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royectos\16.-Sankey\"/>
    </mc:Choice>
  </mc:AlternateContent>
  <xr:revisionPtr revIDLastSave="0" documentId="13_ncr:1_{DDCDB178-8856-49C8-8A92-05817FB60B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31" i="1" l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C1931" i="1"/>
  <c r="B1931" i="1"/>
  <c r="B1930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D1928" i="1"/>
  <c r="C1928" i="1"/>
  <c r="B1928" i="1"/>
  <c r="B1927" i="1"/>
  <c r="Q1926" i="1"/>
  <c r="P1926" i="1"/>
  <c r="O1926" i="1"/>
  <c r="N1926" i="1"/>
  <c r="M1926" i="1"/>
  <c r="L1926" i="1"/>
  <c r="K1926" i="1"/>
  <c r="J1926" i="1"/>
  <c r="I1926" i="1"/>
  <c r="H1926" i="1"/>
  <c r="G1926" i="1"/>
  <c r="F1926" i="1"/>
  <c r="E1926" i="1"/>
  <c r="D1926" i="1"/>
  <c r="C1926" i="1"/>
  <c r="B1925" i="1"/>
  <c r="Q1924" i="1"/>
  <c r="P1924" i="1"/>
  <c r="O1924" i="1"/>
  <c r="N1924" i="1"/>
  <c r="M1924" i="1"/>
  <c r="L1924" i="1"/>
  <c r="K1924" i="1"/>
  <c r="J1924" i="1"/>
  <c r="I1924" i="1"/>
  <c r="H1924" i="1"/>
  <c r="G1924" i="1"/>
  <c r="F1924" i="1"/>
  <c r="E1924" i="1"/>
  <c r="D1924" i="1"/>
  <c r="C1924" i="1"/>
  <c r="B1924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B1923" i="1"/>
  <c r="Q1922" i="1"/>
  <c r="P1922" i="1"/>
  <c r="O1922" i="1"/>
  <c r="N1922" i="1"/>
  <c r="M1922" i="1"/>
  <c r="L1922" i="1"/>
  <c r="K1922" i="1"/>
  <c r="J1922" i="1"/>
  <c r="I1922" i="1"/>
  <c r="H1922" i="1"/>
  <c r="G1922" i="1"/>
  <c r="F1922" i="1"/>
  <c r="E1922" i="1"/>
  <c r="D1922" i="1"/>
  <c r="C1922" i="1"/>
  <c r="B1922" i="1"/>
  <c r="Q1921" i="1"/>
  <c r="P1921" i="1"/>
  <c r="O1921" i="1"/>
  <c r="N1921" i="1"/>
  <c r="M1921" i="1"/>
  <c r="L1921" i="1"/>
  <c r="K1921" i="1"/>
  <c r="J1921" i="1"/>
  <c r="I1921" i="1"/>
  <c r="H1921" i="1"/>
  <c r="G1921" i="1"/>
  <c r="F1921" i="1"/>
  <c r="E1921" i="1"/>
  <c r="D1921" i="1"/>
  <c r="C1921" i="1"/>
  <c r="B1921" i="1"/>
  <c r="Q1920" i="1"/>
  <c r="P1920" i="1"/>
  <c r="O1920" i="1"/>
  <c r="N1920" i="1"/>
  <c r="M1920" i="1"/>
  <c r="L1920" i="1"/>
  <c r="K1920" i="1"/>
  <c r="J1920" i="1"/>
  <c r="I1920" i="1"/>
  <c r="H1920" i="1"/>
  <c r="G1920" i="1"/>
  <c r="F1920" i="1"/>
  <c r="E1920" i="1"/>
  <c r="D1920" i="1"/>
  <c r="C1920" i="1"/>
  <c r="B1920" i="1"/>
  <c r="Q1919" i="1"/>
  <c r="P1919" i="1"/>
  <c r="O1919" i="1"/>
  <c r="N1919" i="1"/>
  <c r="M1919" i="1"/>
  <c r="L1919" i="1"/>
  <c r="K1919" i="1"/>
  <c r="J1919" i="1"/>
  <c r="I1919" i="1"/>
  <c r="H1919" i="1"/>
  <c r="G1919" i="1"/>
  <c r="F1919" i="1"/>
  <c r="E1919" i="1"/>
  <c r="D1919" i="1"/>
  <c r="C1919" i="1"/>
  <c r="B1918" i="1"/>
  <c r="Q1917" i="1"/>
  <c r="P1917" i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C1917" i="1"/>
  <c r="B1917" i="1"/>
  <c r="Q1916" i="1"/>
  <c r="P1916" i="1"/>
  <c r="O1916" i="1"/>
  <c r="N1916" i="1"/>
  <c r="M1916" i="1"/>
  <c r="L1916" i="1"/>
  <c r="K1916" i="1"/>
  <c r="J1916" i="1"/>
  <c r="I1916" i="1"/>
  <c r="H1916" i="1"/>
  <c r="G1916" i="1"/>
  <c r="F1916" i="1"/>
  <c r="E1916" i="1"/>
  <c r="D1916" i="1"/>
  <c r="C1916" i="1"/>
  <c r="B1916" i="1"/>
  <c r="Q1915" i="1"/>
  <c r="P1915" i="1"/>
  <c r="O1915" i="1"/>
  <c r="N1915" i="1"/>
  <c r="M1915" i="1"/>
  <c r="L1915" i="1"/>
  <c r="K1915" i="1"/>
  <c r="J1915" i="1"/>
  <c r="I1915" i="1"/>
  <c r="H1915" i="1"/>
  <c r="G1915" i="1"/>
  <c r="F1915" i="1"/>
  <c r="E1915" i="1"/>
  <c r="D1915" i="1"/>
  <c r="C1915" i="1"/>
  <c r="B1915" i="1"/>
  <c r="Q1914" i="1"/>
  <c r="P1914" i="1"/>
  <c r="O1914" i="1"/>
  <c r="N1914" i="1"/>
  <c r="M1914" i="1"/>
  <c r="L1914" i="1"/>
  <c r="K1914" i="1"/>
  <c r="J1914" i="1"/>
  <c r="I1914" i="1"/>
  <c r="H1914" i="1"/>
  <c r="G1914" i="1"/>
  <c r="F1914" i="1"/>
  <c r="E1914" i="1"/>
  <c r="D1914" i="1"/>
  <c r="C1914" i="1"/>
  <c r="B1914" i="1"/>
  <c r="Q1913" i="1"/>
  <c r="P1913" i="1"/>
  <c r="O1913" i="1"/>
  <c r="N1913" i="1"/>
  <c r="M1913" i="1"/>
  <c r="L1913" i="1"/>
  <c r="K1913" i="1"/>
  <c r="J1913" i="1"/>
  <c r="I1913" i="1"/>
  <c r="H1913" i="1"/>
  <c r="G1913" i="1"/>
  <c r="F1913" i="1"/>
  <c r="E1913" i="1"/>
  <c r="D1913" i="1"/>
  <c r="C1913" i="1"/>
  <c r="B1913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E1912" i="1"/>
  <c r="D1912" i="1"/>
  <c r="C1912" i="1"/>
  <c r="B1911" i="1"/>
  <c r="Q1910" i="1"/>
  <c r="P1910" i="1"/>
  <c r="O1910" i="1"/>
  <c r="N1910" i="1"/>
  <c r="M1910" i="1"/>
  <c r="L1910" i="1"/>
  <c r="K1910" i="1"/>
  <c r="J1910" i="1"/>
  <c r="I1910" i="1"/>
  <c r="H1910" i="1"/>
  <c r="G1910" i="1"/>
  <c r="F1910" i="1"/>
  <c r="E1910" i="1"/>
  <c r="D1910" i="1"/>
  <c r="C1910" i="1"/>
  <c r="B1910" i="1"/>
  <c r="Q1909" i="1"/>
  <c r="P1909" i="1"/>
  <c r="O1909" i="1"/>
  <c r="N1909" i="1"/>
  <c r="M1909" i="1"/>
  <c r="L1909" i="1"/>
  <c r="K1909" i="1"/>
  <c r="J1909" i="1"/>
  <c r="I1909" i="1"/>
  <c r="H1909" i="1"/>
  <c r="G1909" i="1"/>
  <c r="F1909" i="1"/>
  <c r="E1909" i="1"/>
  <c r="D1909" i="1"/>
  <c r="C1909" i="1"/>
  <c r="B1909" i="1"/>
  <c r="Q1908" i="1"/>
  <c r="P1908" i="1"/>
  <c r="O1908" i="1"/>
  <c r="N1908" i="1"/>
  <c r="M1908" i="1"/>
  <c r="L1908" i="1"/>
  <c r="K1908" i="1"/>
  <c r="J1908" i="1"/>
  <c r="I1908" i="1"/>
  <c r="H1908" i="1"/>
  <c r="G1908" i="1"/>
  <c r="F1908" i="1"/>
  <c r="E1908" i="1"/>
  <c r="D1908" i="1"/>
  <c r="C1908" i="1"/>
  <c r="B1908" i="1"/>
  <c r="Q1907" i="1"/>
  <c r="P1907" i="1"/>
  <c r="O1907" i="1"/>
  <c r="N1907" i="1"/>
  <c r="M1907" i="1"/>
  <c r="L1907" i="1"/>
  <c r="K1907" i="1"/>
  <c r="J1907" i="1"/>
  <c r="I1907" i="1"/>
  <c r="H1907" i="1"/>
  <c r="G1907" i="1"/>
  <c r="F1907" i="1"/>
  <c r="E1907" i="1"/>
  <c r="D1907" i="1"/>
  <c r="C1907" i="1"/>
  <c r="B1907" i="1"/>
  <c r="Q1906" i="1"/>
  <c r="P1906" i="1"/>
  <c r="O1906" i="1"/>
  <c r="N1906" i="1"/>
  <c r="M1906" i="1"/>
  <c r="L1906" i="1"/>
  <c r="K1906" i="1"/>
  <c r="J1906" i="1"/>
  <c r="I1906" i="1"/>
  <c r="H1906" i="1"/>
  <c r="G1906" i="1"/>
  <c r="F1906" i="1"/>
  <c r="E1906" i="1"/>
  <c r="D1906" i="1"/>
  <c r="C1906" i="1"/>
  <c r="B1906" i="1"/>
  <c r="Q1905" i="1"/>
  <c r="P1905" i="1"/>
  <c r="O1905" i="1"/>
  <c r="N1905" i="1"/>
  <c r="M1905" i="1"/>
  <c r="L1905" i="1"/>
  <c r="K1905" i="1"/>
  <c r="J1905" i="1"/>
  <c r="I1905" i="1"/>
  <c r="H1905" i="1"/>
  <c r="G1905" i="1"/>
  <c r="F1905" i="1"/>
  <c r="E1905" i="1"/>
  <c r="D1905" i="1"/>
  <c r="C1905" i="1"/>
  <c r="B1904" i="1"/>
  <c r="Q1903" i="1"/>
  <c r="P1903" i="1"/>
  <c r="O1903" i="1"/>
  <c r="N1903" i="1"/>
  <c r="M1903" i="1"/>
  <c r="L1903" i="1"/>
  <c r="K1903" i="1"/>
  <c r="J1903" i="1"/>
  <c r="I1903" i="1"/>
  <c r="H1903" i="1"/>
  <c r="G1903" i="1"/>
  <c r="F1903" i="1"/>
  <c r="E1903" i="1"/>
  <c r="D1903" i="1"/>
  <c r="C1903" i="1"/>
  <c r="B1903" i="1"/>
  <c r="Q1902" i="1"/>
  <c r="P1902" i="1"/>
  <c r="O1902" i="1"/>
  <c r="N1902" i="1"/>
  <c r="M1902" i="1"/>
  <c r="L1902" i="1"/>
  <c r="K1902" i="1"/>
  <c r="J1902" i="1"/>
  <c r="I1902" i="1"/>
  <c r="H1902" i="1"/>
  <c r="G1902" i="1"/>
  <c r="F1902" i="1"/>
  <c r="E1902" i="1"/>
  <c r="D1902" i="1"/>
  <c r="C1902" i="1"/>
  <c r="B1902" i="1"/>
  <c r="Q1901" i="1"/>
  <c r="P1901" i="1"/>
  <c r="O1901" i="1"/>
  <c r="N1901" i="1"/>
  <c r="M1901" i="1"/>
  <c r="L1901" i="1"/>
  <c r="K1901" i="1"/>
  <c r="J1901" i="1"/>
  <c r="I1901" i="1"/>
  <c r="H1901" i="1"/>
  <c r="G1901" i="1"/>
  <c r="F1901" i="1"/>
  <c r="E1901" i="1"/>
  <c r="D1901" i="1"/>
  <c r="C1901" i="1"/>
  <c r="B1901" i="1"/>
  <c r="Q1900" i="1"/>
  <c r="P1900" i="1"/>
  <c r="O1900" i="1"/>
  <c r="N1900" i="1"/>
  <c r="M1900" i="1"/>
  <c r="L1900" i="1"/>
  <c r="K1900" i="1"/>
  <c r="J1900" i="1"/>
  <c r="I1900" i="1"/>
  <c r="H1900" i="1"/>
  <c r="G1900" i="1"/>
  <c r="F1900" i="1"/>
  <c r="E1900" i="1"/>
  <c r="D1900" i="1"/>
  <c r="C1900" i="1"/>
  <c r="B1900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C1899" i="1"/>
  <c r="B1899" i="1"/>
  <c r="Q1898" i="1"/>
  <c r="P1898" i="1"/>
  <c r="O1898" i="1"/>
  <c r="N1898" i="1"/>
  <c r="M1898" i="1"/>
  <c r="L1898" i="1"/>
  <c r="K1898" i="1"/>
  <c r="J1898" i="1"/>
  <c r="I1898" i="1"/>
  <c r="H1898" i="1"/>
  <c r="G1898" i="1"/>
  <c r="F1898" i="1"/>
  <c r="E1898" i="1"/>
  <c r="D1898" i="1"/>
  <c r="C1898" i="1"/>
  <c r="B1897" i="1"/>
  <c r="Q1896" i="1"/>
  <c r="P1896" i="1"/>
  <c r="O1896" i="1"/>
  <c r="N1896" i="1"/>
  <c r="M1896" i="1"/>
  <c r="L1896" i="1"/>
  <c r="K1896" i="1"/>
  <c r="J1896" i="1"/>
  <c r="I1896" i="1"/>
  <c r="H1896" i="1"/>
  <c r="G1896" i="1"/>
  <c r="F1896" i="1"/>
  <c r="E1896" i="1"/>
  <c r="D1896" i="1"/>
  <c r="C1896" i="1"/>
  <c r="B1896" i="1"/>
  <c r="Q1895" i="1"/>
  <c r="P1895" i="1"/>
  <c r="O1895" i="1"/>
  <c r="N1895" i="1"/>
  <c r="M1895" i="1"/>
  <c r="L1895" i="1"/>
  <c r="K1895" i="1"/>
  <c r="J1895" i="1"/>
  <c r="I1895" i="1"/>
  <c r="H1895" i="1"/>
  <c r="G1895" i="1"/>
  <c r="F1895" i="1"/>
  <c r="E1895" i="1"/>
  <c r="D1895" i="1"/>
  <c r="C1895" i="1"/>
  <c r="B1895" i="1"/>
  <c r="Q1894" i="1"/>
  <c r="P1894" i="1"/>
  <c r="O1894" i="1"/>
  <c r="N1894" i="1"/>
  <c r="M1894" i="1"/>
  <c r="L1894" i="1"/>
  <c r="K1894" i="1"/>
  <c r="J1894" i="1"/>
  <c r="I1894" i="1"/>
  <c r="H1894" i="1"/>
  <c r="G1894" i="1"/>
  <c r="F1894" i="1"/>
  <c r="E1894" i="1"/>
  <c r="D1894" i="1"/>
  <c r="C1894" i="1"/>
  <c r="B1894" i="1"/>
  <c r="Q1893" i="1"/>
  <c r="P1893" i="1"/>
  <c r="O1893" i="1"/>
  <c r="N1893" i="1"/>
  <c r="M1893" i="1"/>
  <c r="L1893" i="1"/>
  <c r="K1893" i="1"/>
  <c r="J1893" i="1"/>
  <c r="I1893" i="1"/>
  <c r="H1893" i="1"/>
  <c r="G1893" i="1"/>
  <c r="F1893" i="1"/>
  <c r="E1893" i="1"/>
  <c r="D1893" i="1"/>
  <c r="C1893" i="1"/>
  <c r="B1893" i="1"/>
  <c r="Q1892" i="1"/>
  <c r="P1892" i="1"/>
  <c r="O1892" i="1"/>
  <c r="N1892" i="1"/>
  <c r="M1892" i="1"/>
  <c r="L1892" i="1"/>
  <c r="K1892" i="1"/>
  <c r="J1892" i="1"/>
  <c r="I1892" i="1"/>
  <c r="H1892" i="1"/>
  <c r="G1892" i="1"/>
  <c r="F1892" i="1"/>
  <c r="E1892" i="1"/>
  <c r="D1892" i="1"/>
  <c r="C1892" i="1"/>
  <c r="B1892" i="1"/>
  <c r="Q1891" i="1"/>
  <c r="P1891" i="1"/>
  <c r="O1891" i="1"/>
  <c r="N1891" i="1"/>
  <c r="M1891" i="1"/>
  <c r="L1891" i="1"/>
  <c r="K1891" i="1"/>
  <c r="J1891" i="1"/>
  <c r="I1891" i="1"/>
  <c r="H1891" i="1"/>
  <c r="G1891" i="1"/>
  <c r="F1891" i="1"/>
  <c r="E1891" i="1"/>
  <c r="D1891" i="1"/>
  <c r="C1891" i="1"/>
  <c r="B1890" i="1"/>
  <c r="Q1889" i="1"/>
  <c r="P1889" i="1"/>
  <c r="O1889" i="1"/>
  <c r="N1889" i="1"/>
  <c r="M1889" i="1"/>
  <c r="L1889" i="1"/>
  <c r="K1889" i="1"/>
  <c r="J1889" i="1"/>
  <c r="I1889" i="1"/>
  <c r="H1889" i="1"/>
  <c r="G1889" i="1"/>
  <c r="F1889" i="1"/>
  <c r="E1889" i="1"/>
  <c r="D1889" i="1"/>
  <c r="C1889" i="1"/>
  <c r="B1889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D1888" i="1"/>
  <c r="C1888" i="1"/>
  <c r="B1888" i="1"/>
  <c r="Q1887" i="1"/>
  <c r="P1887" i="1"/>
  <c r="O1887" i="1"/>
  <c r="N1887" i="1"/>
  <c r="M1887" i="1"/>
  <c r="L1887" i="1"/>
  <c r="K1887" i="1"/>
  <c r="J1887" i="1"/>
  <c r="I1887" i="1"/>
  <c r="H1887" i="1"/>
  <c r="G1887" i="1"/>
  <c r="F1887" i="1"/>
  <c r="E1887" i="1"/>
  <c r="D1887" i="1"/>
  <c r="C1887" i="1"/>
  <c r="B1887" i="1"/>
  <c r="Q1886" i="1"/>
  <c r="P1886" i="1"/>
  <c r="O1886" i="1"/>
  <c r="N1886" i="1"/>
  <c r="M1886" i="1"/>
  <c r="L1886" i="1"/>
  <c r="K1886" i="1"/>
  <c r="J1886" i="1"/>
  <c r="I1886" i="1"/>
  <c r="H1886" i="1"/>
  <c r="G1886" i="1"/>
  <c r="F1886" i="1"/>
  <c r="E1886" i="1"/>
  <c r="D1886" i="1"/>
  <c r="C1886" i="1"/>
  <c r="B1886" i="1"/>
  <c r="Q1885" i="1"/>
  <c r="P1885" i="1"/>
  <c r="O1885" i="1"/>
  <c r="N1885" i="1"/>
  <c r="M1885" i="1"/>
  <c r="L1885" i="1"/>
  <c r="K1885" i="1"/>
  <c r="J1885" i="1"/>
  <c r="I1885" i="1"/>
  <c r="H1885" i="1"/>
  <c r="G1885" i="1"/>
  <c r="F1885" i="1"/>
  <c r="E1885" i="1"/>
  <c r="D1885" i="1"/>
  <c r="C1885" i="1"/>
  <c r="B1885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C1884" i="1"/>
  <c r="B1883" i="1"/>
  <c r="Q1882" i="1"/>
  <c r="P1882" i="1"/>
  <c r="O1882" i="1"/>
  <c r="N1882" i="1"/>
  <c r="M1882" i="1"/>
  <c r="L1882" i="1"/>
  <c r="K1882" i="1"/>
  <c r="J1882" i="1"/>
  <c r="I1882" i="1"/>
  <c r="H1882" i="1"/>
  <c r="G1882" i="1"/>
  <c r="F1882" i="1"/>
  <c r="E1882" i="1"/>
  <c r="D1882" i="1"/>
  <c r="C1882" i="1"/>
  <c r="B1882" i="1"/>
  <c r="Q1881" i="1"/>
  <c r="P1881" i="1"/>
  <c r="O1881" i="1"/>
  <c r="N1881" i="1"/>
  <c r="M1881" i="1"/>
  <c r="L1881" i="1"/>
  <c r="K1881" i="1"/>
  <c r="J1881" i="1"/>
  <c r="I1881" i="1"/>
  <c r="H1881" i="1"/>
  <c r="G1881" i="1"/>
  <c r="F1881" i="1"/>
  <c r="E1881" i="1"/>
  <c r="D1881" i="1"/>
  <c r="C1881" i="1"/>
  <c r="B1881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C1880" i="1"/>
  <c r="B1880" i="1"/>
  <c r="Q1879" i="1"/>
  <c r="P1879" i="1"/>
  <c r="O1879" i="1"/>
  <c r="N1879" i="1"/>
  <c r="M1879" i="1"/>
  <c r="L1879" i="1"/>
  <c r="K1879" i="1"/>
  <c r="J1879" i="1"/>
  <c r="I1879" i="1"/>
  <c r="H1879" i="1"/>
  <c r="G1879" i="1"/>
  <c r="F1879" i="1"/>
  <c r="E1879" i="1"/>
  <c r="D1879" i="1"/>
  <c r="C1879" i="1"/>
  <c r="B1879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C1878" i="1"/>
  <c r="B1878" i="1"/>
  <c r="Q1877" i="1"/>
  <c r="P1877" i="1"/>
  <c r="O1877" i="1"/>
  <c r="N1877" i="1"/>
  <c r="M1877" i="1"/>
  <c r="L1877" i="1"/>
  <c r="K1877" i="1"/>
  <c r="J1877" i="1"/>
  <c r="I1877" i="1"/>
  <c r="H1877" i="1"/>
  <c r="G1877" i="1"/>
  <c r="F1877" i="1"/>
  <c r="E1877" i="1"/>
  <c r="D1877" i="1"/>
  <c r="C1877" i="1"/>
  <c r="B1876" i="1"/>
  <c r="Q1875" i="1"/>
  <c r="P1875" i="1"/>
  <c r="O1875" i="1"/>
  <c r="N1875" i="1"/>
  <c r="M1875" i="1"/>
  <c r="L1875" i="1"/>
  <c r="K1875" i="1"/>
  <c r="J1875" i="1"/>
  <c r="I1875" i="1"/>
  <c r="H1875" i="1"/>
  <c r="G1875" i="1"/>
  <c r="F1875" i="1"/>
  <c r="E1875" i="1"/>
  <c r="D1875" i="1"/>
  <c r="C1875" i="1"/>
  <c r="B1875" i="1"/>
  <c r="Q1874" i="1"/>
  <c r="P1874" i="1"/>
  <c r="O1874" i="1"/>
  <c r="N1874" i="1"/>
  <c r="M1874" i="1"/>
  <c r="L1874" i="1"/>
  <c r="K1874" i="1"/>
  <c r="J1874" i="1"/>
  <c r="I1874" i="1"/>
  <c r="H1874" i="1"/>
  <c r="G1874" i="1"/>
  <c r="F1874" i="1"/>
  <c r="E1874" i="1"/>
  <c r="D1874" i="1"/>
  <c r="C1874" i="1"/>
  <c r="B1874" i="1"/>
  <c r="Q1873" i="1"/>
  <c r="P1873" i="1"/>
  <c r="O1873" i="1"/>
  <c r="N1873" i="1"/>
  <c r="M1873" i="1"/>
  <c r="L1873" i="1"/>
  <c r="K1873" i="1"/>
  <c r="J1873" i="1"/>
  <c r="I1873" i="1"/>
  <c r="H1873" i="1"/>
  <c r="G1873" i="1"/>
  <c r="F1873" i="1"/>
  <c r="E1873" i="1"/>
  <c r="D1873" i="1"/>
  <c r="C1873" i="1"/>
  <c r="B1873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D1872" i="1"/>
  <c r="C1872" i="1"/>
  <c r="B1872" i="1"/>
  <c r="Q1871" i="1"/>
  <c r="P1871" i="1"/>
  <c r="O1871" i="1"/>
  <c r="N1871" i="1"/>
  <c r="M1871" i="1"/>
  <c r="L1871" i="1"/>
  <c r="K1871" i="1"/>
  <c r="J1871" i="1"/>
  <c r="I1871" i="1"/>
  <c r="H1871" i="1"/>
  <c r="G1871" i="1"/>
  <c r="F1871" i="1"/>
  <c r="E1871" i="1"/>
  <c r="D1871" i="1"/>
  <c r="C1871" i="1"/>
  <c r="B1871" i="1"/>
  <c r="Q1870" i="1"/>
  <c r="P1870" i="1"/>
  <c r="O1870" i="1"/>
  <c r="N1870" i="1"/>
  <c r="M1870" i="1"/>
  <c r="L1870" i="1"/>
  <c r="K1870" i="1"/>
  <c r="J1870" i="1"/>
  <c r="I1870" i="1"/>
  <c r="H1870" i="1"/>
  <c r="G1870" i="1"/>
  <c r="F1870" i="1"/>
  <c r="E1870" i="1"/>
  <c r="D1870" i="1"/>
  <c r="C1870" i="1"/>
  <c r="B1869" i="1"/>
  <c r="Q1868" i="1"/>
  <c r="P1868" i="1"/>
  <c r="O1868" i="1"/>
  <c r="N1868" i="1"/>
  <c r="M1868" i="1"/>
  <c r="L1868" i="1"/>
  <c r="K1868" i="1"/>
  <c r="J1868" i="1"/>
  <c r="I1868" i="1"/>
  <c r="H1868" i="1"/>
  <c r="G1868" i="1"/>
  <c r="F1868" i="1"/>
  <c r="E1868" i="1"/>
  <c r="D1868" i="1"/>
  <c r="C1868" i="1"/>
  <c r="B1868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D1867" i="1"/>
  <c r="C1867" i="1"/>
  <c r="B1867" i="1"/>
  <c r="Q1866" i="1"/>
  <c r="P1866" i="1"/>
  <c r="O1866" i="1"/>
  <c r="N1866" i="1"/>
  <c r="M1866" i="1"/>
  <c r="L1866" i="1"/>
  <c r="K1866" i="1"/>
  <c r="J1866" i="1"/>
  <c r="I1866" i="1"/>
  <c r="H1866" i="1"/>
  <c r="G1866" i="1"/>
  <c r="F1866" i="1"/>
  <c r="E1866" i="1"/>
  <c r="D1866" i="1"/>
  <c r="C1866" i="1"/>
  <c r="B1866" i="1"/>
  <c r="Q1865" i="1"/>
  <c r="P1865" i="1"/>
  <c r="O1865" i="1"/>
  <c r="N1865" i="1"/>
  <c r="M1865" i="1"/>
  <c r="L1865" i="1"/>
  <c r="K1865" i="1"/>
  <c r="J1865" i="1"/>
  <c r="I1865" i="1"/>
  <c r="H1865" i="1"/>
  <c r="G1865" i="1"/>
  <c r="F1865" i="1"/>
  <c r="E1865" i="1"/>
  <c r="D1865" i="1"/>
  <c r="C1865" i="1"/>
  <c r="B1865" i="1"/>
  <c r="Q1864" i="1"/>
  <c r="P1864" i="1"/>
  <c r="O1864" i="1"/>
  <c r="N1864" i="1"/>
  <c r="M1864" i="1"/>
  <c r="L1864" i="1"/>
  <c r="K1864" i="1"/>
  <c r="J1864" i="1"/>
  <c r="I1864" i="1"/>
  <c r="H1864" i="1"/>
  <c r="G1864" i="1"/>
  <c r="F1864" i="1"/>
  <c r="E1864" i="1"/>
  <c r="D1864" i="1"/>
  <c r="C1864" i="1"/>
  <c r="B1864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C1863" i="1"/>
  <c r="B1862" i="1"/>
  <c r="Q1861" i="1"/>
  <c r="P1861" i="1"/>
  <c r="O1861" i="1"/>
  <c r="N1861" i="1"/>
  <c r="M1861" i="1"/>
  <c r="L1861" i="1"/>
  <c r="K1861" i="1"/>
  <c r="J1861" i="1"/>
  <c r="I1861" i="1"/>
  <c r="H1861" i="1"/>
  <c r="G1861" i="1"/>
  <c r="F1861" i="1"/>
  <c r="E1861" i="1"/>
  <c r="D1861" i="1"/>
  <c r="C1861" i="1"/>
  <c r="B1861" i="1"/>
  <c r="Q1860" i="1"/>
  <c r="P1860" i="1"/>
  <c r="O1860" i="1"/>
  <c r="N1860" i="1"/>
  <c r="M1860" i="1"/>
  <c r="L1860" i="1"/>
  <c r="K1860" i="1"/>
  <c r="J1860" i="1"/>
  <c r="I1860" i="1"/>
  <c r="H1860" i="1"/>
  <c r="G1860" i="1"/>
  <c r="F1860" i="1"/>
  <c r="E1860" i="1"/>
  <c r="D1860" i="1"/>
  <c r="C1860" i="1"/>
  <c r="B1860" i="1"/>
  <c r="Q1859" i="1"/>
  <c r="P1859" i="1"/>
  <c r="O1859" i="1"/>
  <c r="N1859" i="1"/>
  <c r="M1859" i="1"/>
  <c r="L1859" i="1"/>
  <c r="K1859" i="1"/>
  <c r="J1859" i="1"/>
  <c r="I1859" i="1"/>
  <c r="H1859" i="1"/>
  <c r="G1859" i="1"/>
  <c r="F1859" i="1"/>
  <c r="E1859" i="1"/>
  <c r="D1859" i="1"/>
  <c r="C1859" i="1"/>
  <c r="B1859" i="1"/>
  <c r="Q1858" i="1"/>
  <c r="P1858" i="1"/>
  <c r="O1858" i="1"/>
  <c r="N1858" i="1"/>
  <c r="M1858" i="1"/>
  <c r="L1858" i="1"/>
  <c r="K1858" i="1"/>
  <c r="J1858" i="1"/>
  <c r="I1858" i="1"/>
  <c r="H1858" i="1"/>
  <c r="G1858" i="1"/>
  <c r="F1858" i="1"/>
  <c r="E1858" i="1"/>
  <c r="D1858" i="1"/>
  <c r="C1858" i="1"/>
  <c r="B1858" i="1"/>
  <c r="Q1857" i="1"/>
  <c r="P1857" i="1"/>
  <c r="O1857" i="1"/>
  <c r="N1857" i="1"/>
  <c r="M1857" i="1"/>
  <c r="L1857" i="1"/>
  <c r="K1857" i="1"/>
  <c r="J1857" i="1"/>
  <c r="I1857" i="1"/>
  <c r="H1857" i="1"/>
  <c r="G1857" i="1"/>
  <c r="F1857" i="1"/>
  <c r="E1857" i="1"/>
  <c r="D1857" i="1"/>
  <c r="C1857" i="1"/>
  <c r="B1857" i="1"/>
  <c r="Q1856" i="1"/>
  <c r="P1856" i="1"/>
  <c r="O1856" i="1"/>
  <c r="N1856" i="1"/>
  <c r="M1856" i="1"/>
  <c r="L1856" i="1"/>
  <c r="K1856" i="1"/>
  <c r="J1856" i="1"/>
  <c r="I1856" i="1"/>
  <c r="H1856" i="1"/>
  <c r="G1856" i="1"/>
  <c r="F1856" i="1"/>
  <c r="E1856" i="1"/>
  <c r="D1856" i="1"/>
  <c r="C1856" i="1"/>
  <c r="B1855" i="1"/>
  <c r="B1854" i="1"/>
  <c r="Q1853" i="1"/>
  <c r="P1853" i="1"/>
  <c r="O1853" i="1"/>
  <c r="N1853" i="1"/>
  <c r="M1853" i="1"/>
  <c r="L1853" i="1"/>
  <c r="K1853" i="1"/>
  <c r="J1853" i="1"/>
  <c r="I1853" i="1"/>
  <c r="H1853" i="1"/>
  <c r="G1853" i="1"/>
  <c r="F1853" i="1"/>
  <c r="E1853" i="1"/>
  <c r="D1853" i="1"/>
  <c r="C1853" i="1"/>
  <c r="B1853" i="1"/>
  <c r="Q1852" i="1"/>
  <c r="P1852" i="1"/>
  <c r="O1852" i="1"/>
  <c r="N1852" i="1"/>
  <c r="M1852" i="1"/>
  <c r="L1852" i="1"/>
  <c r="K1852" i="1"/>
  <c r="J1852" i="1"/>
  <c r="I1852" i="1"/>
  <c r="H1852" i="1"/>
  <c r="G1852" i="1"/>
  <c r="F1852" i="1"/>
  <c r="E1852" i="1"/>
  <c r="D1852" i="1"/>
  <c r="C1852" i="1"/>
  <c r="B1852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D1851" i="1"/>
  <c r="C1851" i="1"/>
  <c r="B1851" i="1"/>
  <c r="Q1850" i="1"/>
  <c r="P1850" i="1"/>
  <c r="O1850" i="1"/>
  <c r="N1850" i="1"/>
  <c r="M1850" i="1"/>
  <c r="L1850" i="1"/>
  <c r="K1850" i="1"/>
  <c r="J1850" i="1"/>
  <c r="I1850" i="1"/>
  <c r="H1850" i="1"/>
  <c r="G1850" i="1"/>
  <c r="F1850" i="1"/>
  <c r="E1850" i="1"/>
  <c r="D1850" i="1"/>
  <c r="C1850" i="1"/>
  <c r="B1850" i="1"/>
  <c r="Q1849" i="1"/>
  <c r="P1849" i="1"/>
  <c r="O1849" i="1"/>
  <c r="N1849" i="1"/>
  <c r="M1849" i="1"/>
  <c r="L1849" i="1"/>
  <c r="K1849" i="1"/>
  <c r="J1849" i="1"/>
  <c r="I1849" i="1"/>
  <c r="H1849" i="1"/>
  <c r="G1849" i="1"/>
  <c r="F1849" i="1"/>
  <c r="E1849" i="1"/>
  <c r="D1849" i="1"/>
  <c r="C1849" i="1"/>
  <c r="B1849" i="1"/>
  <c r="Q1848" i="1"/>
  <c r="P1848" i="1"/>
  <c r="O1848" i="1"/>
  <c r="N1848" i="1"/>
  <c r="M1848" i="1"/>
  <c r="L1848" i="1"/>
  <c r="K1848" i="1"/>
  <c r="J1848" i="1"/>
  <c r="I1848" i="1"/>
  <c r="H1848" i="1"/>
  <c r="G1848" i="1"/>
  <c r="F1848" i="1"/>
  <c r="E1848" i="1"/>
  <c r="D1848" i="1"/>
  <c r="C1848" i="1"/>
  <c r="B1848" i="1"/>
  <c r="Q1847" i="1"/>
  <c r="P1847" i="1"/>
  <c r="O1847" i="1"/>
  <c r="N1847" i="1"/>
  <c r="M1847" i="1"/>
  <c r="L1847" i="1"/>
  <c r="K1847" i="1"/>
  <c r="J1847" i="1"/>
  <c r="I1847" i="1"/>
  <c r="H1847" i="1"/>
  <c r="G1847" i="1"/>
  <c r="F1847" i="1"/>
  <c r="E1847" i="1"/>
  <c r="D1847" i="1"/>
  <c r="C1847" i="1"/>
  <c r="B1846" i="1"/>
  <c r="Q1845" i="1"/>
  <c r="P1845" i="1"/>
  <c r="O1845" i="1"/>
  <c r="N1845" i="1"/>
  <c r="M1845" i="1"/>
  <c r="L1845" i="1"/>
  <c r="K1845" i="1"/>
  <c r="J1845" i="1"/>
  <c r="I1845" i="1"/>
  <c r="H1845" i="1"/>
  <c r="G1845" i="1"/>
  <c r="F1845" i="1"/>
  <c r="E1845" i="1"/>
  <c r="D1845" i="1"/>
  <c r="C1845" i="1"/>
  <c r="B1845" i="1"/>
  <c r="Q1844" i="1"/>
  <c r="P1844" i="1"/>
  <c r="O1844" i="1"/>
  <c r="N1844" i="1"/>
  <c r="M1844" i="1"/>
  <c r="L1844" i="1"/>
  <c r="K1844" i="1"/>
  <c r="J1844" i="1"/>
  <c r="I1844" i="1"/>
  <c r="H1844" i="1"/>
  <c r="G1844" i="1"/>
  <c r="F1844" i="1"/>
  <c r="E1844" i="1"/>
  <c r="D1844" i="1"/>
  <c r="C1844" i="1"/>
  <c r="B1844" i="1"/>
  <c r="Q1843" i="1"/>
  <c r="P1843" i="1"/>
  <c r="O1843" i="1"/>
  <c r="N1843" i="1"/>
  <c r="M1843" i="1"/>
  <c r="L1843" i="1"/>
  <c r="K1843" i="1"/>
  <c r="J1843" i="1"/>
  <c r="I1843" i="1"/>
  <c r="H1843" i="1"/>
  <c r="G1843" i="1"/>
  <c r="F1843" i="1"/>
  <c r="E1843" i="1"/>
  <c r="D1843" i="1"/>
  <c r="C1843" i="1"/>
  <c r="B1843" i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C1842" i="1"/>
  <c r="B1842" i="1"/>
  <c r="Q1841" i="1"/>
  <c r="P1841" i="1"/>
  <c r="O1841" i="1"/>
  <c r="N1841" i="1"/>
  <c r="M1841" i="1"/>
  <c r="L1841" i="1"/>
  <c r="K1841" i="1"/>
  <c r="J1841" i="1"/>
  <c r="I1841" i="1"/>
  <c r="H1841" i="1"/>
  <c r="G1841" i="1"/>
  <c r="F1841" i="1"/>
  <c r="E1841" i="1"/>
  <c r="D1841" i="1"/>
  <c r="C1841" i="1"/>
  <c r="B1841" i="1"/>
  <c r="Q1840" i="1"/>
  <c r="P1840" i="1"/>
  <c r="O1840" i="1"/>
  <c r="N1840" i="1"/>
  <c r="M1840" i="1"/>
  <c r="L1840" i="1"/>
  <c r="K1840" i="1"/>
  <c r="J1840" i="1"/>
  <c r="I1840" i="1"/>
  <c r="H1840" i="1"/>
  <c r="G1840" i="1"/>
  <c r="F1840" i="1"/>
  <c r="E1840" i="1"/>
  <c r="D1840" i="1"/>
  <c r="C1840" i="1"/>
  <c r="B1840" i="1"/>
  <c r="Q1839" i="1"/>
  <c r="P1839" i="1"/>
  <c r="O1839" i="1"/>
  <c r="N1839" i="1"/>
  <c r="M1839" i="1"/>
  <c r="L1839" i="1"/>
  <c r="K1839" i="1"/>
  <c r="J1839" i="1"/>
  <c r="I1839" i="1"/>
  <c r="H1839" i="1"/>
  <c r="G1839" i="1"/>
  <c r="F1839" i="1"/>
  <c r="E1839" i="1"/>
  <c r="D1839" i="1"/>
  <c r="C1839" i="1"/>
  <c r="B1838" i="1"/>
  <c r="Q1837" i="1"/>
  <c r="P1837" i="1"/>
  <c r="O1837" i="1"/>
  <c r="N1837" i="1"/>
  <c r="M1837" i="1"/>
  <c r="L1837" i="1"/>
  <c r="K1837" i="1"/>
  <c r="J1837" i="1"/>
  <c r="I1837" i="1"/>
  <c r="H1837" i="1"/>
  <c r="G1837" i="1"/>
  <c r="F1837" i="1"/>
  <c r="E1837" i="1"/>
  <c r="D1837" i="1"/>
  <c r="C1837" i="1"/>
  <c r="B1837" i="1"/>
  <c r="Q1836" i="1"/>
  <c r="P1836" i="1"/>
  <c r="O1836" i="1"/>
  <c r="N1836" i="1"/>
  <c r="M1836" i="1"/>
  <c r="L1836" i="1"/>
  <c r="K1836" i="1"/>
  <c r="J1836" i="1"/>
  <c r="I1836" i="1"/>
  <c r="H1836" i="1"/>
  <c r="G1836" i="1"/>
  <c r="F1836" i="1"/>
  <c r="E1836" i="1"/>
  <c r="D1836" i="1"/>
  <c r="C1836" i="1"/>
  <c r="B1836" i="1"/>
  <c r="Q1835" i="1"/>
  <c r="P1835" i="1"/>
  <c r="O1835" i="1"/>
  <c r="N1835" i="1"/>
  <c r="M1835" i="1"/>
  <c r="L1835" i="1"/>
  <c r="K1835" i="1"/>
  <c r="J1835" i="1"/>
  <c r="I1835" i="1"/>
  <c r="H1835" i="1"/>
  <c r="G1835" i="1"/>
  <c r="F1835" i="1"/>
  <c r="E1835" i="1"/>
  <c r="D1835" i="1"/>
  <c r="C1835" i="1"/>
  <c r="B1835" i="1"/>
  <c r="Q1834" i="1"/>
  <c r="P1834" i="1"/>
  <c r="O1834" i="1"/>
  <c r="N1834" i="1"/>
  <c r="M1834" i="1"/>
  <c r="L1834" i="1"/>
  <c r="K1834" i="1"/>
  <c r="J1834" i="1"/>
  <c r="I1834" i="1"/>
  <c r="H1834" i="1"/>
  <c r="G1834" i="1"/>
  <c r="F1834" i="1"/>
  <c r="E1834" i="1"/>
  <c r="D1834" i="1"/>
  <c r="C1834" i="1"/>
  <c r="B1834" i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C1833" i="1"/>
  <c r="B1833" i="1"/>
  <c r="Q1832" i="1"/>
  <c r="P1832" i="1"/>
  <c r="O1832" i="1"/>
  <c r="N1832" i="1"/>
  <c r="M1832" i="1"/>
  <c r="L1832" i="1"/>
  <c r="K1832" i="1"/>
  <c r="J1832" i="1"/>
  <c r="I1832" i="1"/>
  <c r="H1832" i="1"/>
  <c r="G1832" i="1"/>
  <c r="F1832" i="1"/>
  <c r="E1832" i="1"/>
  <c r="D1832" i="1"/>
  <c r="C1832" i="1"/>
  <c r="B1832" i="1"/>
  <c r="Q1831" i="1"/>
  <c r="P1831" i="1"/>
  <c r="O1831" i="1"/>
  <c r="N1831" i="1"/>
  <c r="M1831" i="1"/>
  <c r="L1831" i="1"/>
  <c r="K1831" i="1"/>
  <c r="J1831" i="1"/>
  <c r="I1831" i="1"/>
  <c r="H1831" i="1"/>
  <c r="G1831" i="1"/>
  <c r="F1831" i="1"/>
  <c r="E1831" i="1"/>
  <c r="D1831" i="1"/>
  <c r="C1831" i="1"/>
  <c r="B1830" i="1"/>
  <c r="Q1829" i="1"/>
  <c r="P1829" i="1"/>
  <c r="O1829" i="1"/>
  <c r="N1829" i="1"/>
  <c r="M1829" i="1"/>
  <c r="L1829" i="1"/>
  <c r="K1829" i="1"/>
  <c r="J1829" i="1"/>
  <c r="I1829" i="1"/>
  <c r="H1829" i="1"/>
  <c r="G1829" i="1"/>
  <c r="F1829" i="1"/>
  <c r="E1829" i="1"/>
  <c r="D1829" i="1"/>
  <c r="C1829" i="1"/>
  <c r="B1829" i="1"/>
  <c r="Q1828" i="1"/>
  <c r="P1828" i="1"/>
  <c r="O1828" i="1"/>
  <c r="N1828" i="1"/>
  <c r="M1828" i="1"/>
  <c r="L1828" i="1"/>
  <c r="K1828" i="1"/>
  <c r="J1828" i="1"/>
  <c r="I1828" i="1"/>
  <c r="H1828" i="1"/>
  <c r="G1828" i="1"/>
  <c r="F1828" i="1"/>
  <c r="E1828" i="1"/>
  <c r="D1828" i="1"/>
  <c r="C1828" i="1"/>
  <c r="B1828" i="1"/>
  <c r="Q1827" i="1"/>
  <c r="P1827" i="1"/>
  <c r="O1827" i="1"/>
  <c r="N1827" i="1"/>
  <c r="M1827" i="1"/>
  <c r="L1827" i="1"/>
  <c r="K1827" i="1"/>
  <c r="J1827" i="1"/>
  <c r="I1827" i="1"/>
  <c r="H1827" i="1"/>
  <c r="G1827" i="1"/>
  <c r="F1827" i="1"/>
  <c r="E1827" i="1"/>
  <c r="D1827" i="1"/>
  <c r="C1827" i="1"/>
  <c r="B1827" i="1"/>
  <c r="Q1826" i="1"/>
  <c r="P1826" i="1"/>
  <c r="O1826" i="1"/>
  <c r="N1826" i="1"/>
  <c r="M1826" i="1"/>
  <c r="L1826" i="1"/>
  <c r="K1826" i="1"/>
  <c r="J1826" i="1"/>
  <c r="I1826" i="1"/>
  <c r="H1826" i="1"/>
  <c r="G1826" i="1"/>
  <c r="F1826" i="1"/>
  <c r="E1826" i="1"/>
  <c r="D1826" i="1"/>
  <c r="C1826" i="1"/>
  <c r="B1826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C1825" i="1"/>
  <c r="B1825" i="1"/>
  <c r="Q1824" i="1"/>
  <c r="P1824" i="1"/>
  <c r="O1824" i="1"/>
  <c r="N1824" i="1"/>
  <c r="M1824" i="1"/>
  <c r="L1824" i="1"/>
  <c r="K1824" i="1"/>
  <c r="J1824" i="1"/>
  <c r="I1824" i="1"/>
  <c r="H1824" i="1"/>
  <c r="G1824" i="1"/>
  <c r="F1824" i="1"/>
  <c r="E1824" i="1"/>
  <c r="D1824" i="1"/>
  <c r="C1824" i="1"/>
  <c r="B1824" i="1"/>
  <c r="Q1823" i="1"/>
  <c r="P1823" i="1"/>
  <c r="O1823" i="1"/>
  <c r="N1823" i="1"/>
  <c r="M1823" i="1"/>
  <c r="L1823" i="1"/>
  <c r="K1823" i="1"/>
  <c r="J1823" i="1"/>
  <c r="I1823" i="1"/>
  <c r="H1823" i="1"/>
  <c r="G1823" i="1"/>
  <c r="F1823" i="1"/>
  <c r="E1823" i="1"/>
  <c r="D1823" i="1"/>
  <c r="C1823" i="1"/>
  <c r="B1822" i="1"/>
  <c r="Q1821" i="1"/>
  <c r="P1821" i="1"/>
  <c r="O1821" i="1"/>
  <c r="N1821" i="1"/>
  <c r="M1821" i="1"/>
  <c r="L1821" i="1"/>
  <c r="K1821" i="1"/>
  <c r="J1821" i="1"/>
  <c r="I1821" i="1"/>
  <c r="H1821" i="1"/>
  <c r="G1821" i="1"/>
  <c r="F1821" i="1"/>
  <c r="E1821" i="1"/>
  <c r="D1821" i="1"/>
  <c r="C1821" i="1"/>
  <c r="B1821" i="1"/>
  <c r="Q1820" i="1"/>
  <c r="P1820" i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C1820" i="1"/>
  <c r="B1820" i="1"/>
  <c r="Q1819" i="1"/>
  <c r="P1819" i="1"/>
  <c r="O1819" i="1"/>
  <c r="N1819" i="1"/>
  <c r="M1819" i="1"/>
  <c r="L1819" i="1"/>
  <c r="K1819" i="1"/>
  <c r="J1819" i="1"/>
  <c r="I1819" i="1"/>
  <c r="H1819" i="1"/>
  <c r="G1819" i="1"/>
  <c r="F1819" i="1"/>
  <c r="E1819" i="1"/>
  <c r="D1819" i="1"/>
  <c r="C1819" i="1"/>
  <c r="B1819" i="1"/>
  <c r="Q1818" i="1"/>
  <c r="P1818" i="1"/>
  <c r="O1818" i="1"/>
  <c r="N1818" i="1"/>
  <c r="M1818" i="1"/>
  <c r="L1818" i="1"/>
  <c r="K1818" i="1"/>
  <c r="J1818" i="1"/>
  <c r="I1818" i="1"/>
  <c r="H1818" i="1"/>
  <c r="G1818" i="1"/>
  <c r="F1818" i="1"/>
  <c r="E1818" i="1"/>
  <c r="D1818" i="1"/>
  <c r="C1818" i="1"/>
  <c r="B1818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C1817" i="1"/>
  <c r="B1817" i="1"/>
  <c r="Q1816" i="1"/>
  <c r="P1816" i="1"/>
  <c r="O1816" i="1"/>
  <c r="N1816" i="1"/>
  <c r="M1816" i="1"/>
  <c r="L1816" i="1"/>
  <c r="K1816" i="1"/>
  <c r="J1816" i="1"/>
  <c r="I1816" i="1"/>
  <c r="H1816" i="1"/>
  <c r="G1816" i="1"/>
  <c r="F1816" i="1"/>
  <c r="E1816" i="1"/>
  <c r="D1816" i="1"/>
  <c r="C1816" i="1"/>
  <c r="B1816" i="1"/>
  <c r="Q1815" i="1"/>
  <c r="P1815" i="1"/>
  <c r="O1815" i="1"/>
  <c r="N1815" i="1"/>
  <c r="M1815" i="1"/>
  <c r="L1815" i="1"/>
  <c r="K1815" i="1"/>
  <c r="J1815" i="1"/>
  <c r="I1815" i="1"/>
  <c r="H1815" i="1"/>
  <c r="G1815" i="1"/>
  <c r="F1815" i="1"/>
  <c r="E1815" i="1"/>
  <c r="D1815" i="1"/>
  <c r="C1815" i="1"/>
  <c r="B1814" i="1"/>
  <c r="Q1813" i="1"/>
  <c r="P1813" i="1"/>
  <c r="O1813" i="1"/>
  <c r="N1813" i="1"/>
  <c r="M1813" i="1"/>
  <c r="L1813" i="1"/>
  <c r="K1813" i="1"/>
  <c r="J1813" i="1"/>
  <c r="I1813" i="1"/>
  <c r="H1813" i="1"/>
  <c r="G1813" i="1"/>
  <c r="F1813" i="1"/>
  <c r="E1813" i="1"/>
  <c r="D1813" i="1"/>
  <c r="C1813" i="1"/>
  <c r="B1813" i="1"/>
  <c r="Q1812" i="1"/>
  <c r="P1812" i="1"/>
  <c r="O1812" i="1"/>
  <c r="N1812" i="1"/>
  <c r="M1812" i="1"/>
  <c r="L1812" i="1"/>
  <c r="K1812" i="1"/>
  <c r="J1812" i="1"/>
  <c r="I1812" i="1"/>
  <c r="H1812" i="1"/>
  <c r="G1812" i="1"/>
  <c r="F1812" i="1"/>
  <c r="E1812" i="1"/>
  <c r="D1812" i="1"/>
  <c r="C1812" i="1"/>
  <c r="B1812" i="1"/>
  <c r="Q1811" i="1"/>
  <c r="P1811" i="1"/>
  <c r="O1811" i="1"/>
  <c r="N1811" i="1"/>
  <c r="M1811" i="1"/>
  <c r="L1811" i="1"/>
  <c r="K1811" i="1"/>
  <c r="J1811" i="1"/>
  <c r="I1811" i="1"/>
  <c r="H1811" i="1"/>
  <c r="G1811" i="1"/>
  <c r="F1811" i="1"/>
  <c r="E1811" i="1"/>
  <c r="D1811" i="1"/>
  <c r="C1811" i="1"/>
  <c r="B1811" i="1"/>
  <c r="Q1810" i="1"/>
  <c r="P1810" i="1"/>
  <c r="O1810" i="1"/>
  <c r="N1810" i="1"/>
  <c r="M1810" i="1"/>
  <c r="L1810" i="1"/>
  <c r="K1810" i="1"/>
  <c r="J1810" i="1"/>
  <c r="I1810" i="1"/>
  <c r="H1810" i="1"/>
  <c r="G1810" i="1"/>
  <c r="F1810" i="1"/>
  <c r="E1810" i="1"/>
  <c r="D1810" i="1"/>
  <c r="C1810" i="1"/>
  <c r="B1810" i="1"/>
  <c r="Q1809" i="1"/>
  <c r="P1809" i="1"/>
  <c r="O1809" i="1"/>
  <c r="N1809" i="1"/>
  <c r="M1809" i="1"/>
  <c r="L1809" i="1"/>
  <c r="K1809" i="1"/>
  <c r="J1809" i="1"/>
  <c r="I1809" i="1"/>
  <c r="H1809" i="1"/>
  <c r="G1809" i="1"/>
  <c r="F1809" i="1"/>
  <c r="E1809" i="1"/>
  <c r="D1809" i="1"/>
  <c r="C1809" i="1"/>
  <c r="B1809" i="1"/>
  <c r="Q1808" i="1"/>
  <c r="P1808" i="1"/>
  <c r="O1808" i="1"/>
  <c r="N1808" i="1"/>
  <c r="M1808" i="1"/>
  <c r="L1808" i="1"/>
  <c r="K1808" i="1"/>
  <c r="J1808" i="1"/>
  <c r="I1808" i="1"/>
  <c r="H1808" i="1"/>
  <c r="G1808" i="1"/>
  <c r="F1808" i="1"/>
  <c r="E1808" i="1"/>
  <c r="D1808" i="1"/>
  <c r="C1808" i="1"/>
  <c r="B1808" i="1"/>
  <c r="Q1807" i="1"/>
  <c r="P1807" i="1"/>
  <c r="O1807" i="1"/>
  <c r="N1807" i="1"/>
  <c r="M1807" i="1"/>
  <c r="L1807" i="1"/>
  <c r="K1807" i="1"/>
  <c r="J1807" i="1"/>
  <c r="I1807" i="1"/>
  <c r="H1807" i="1"/>
  <c r="G1807" i="1"/>
  <c r="F1807" i="1"/>
  <c r="E1807" i="1"/>
  <c r="D1807" i="1"/>
  <c r="C1807" i="1"/>
  <c r="B1806" i="1"/>
  <c r="B1805" i="1"/>
  <c r="Q1804" i="1"/>
  <c r="P1804" i="1"/>
  <c r="O1804" i="1"/>
  <c r="N1804" i="1"/>
  <c r="M1804" i="1"/>
  <c r="L1804" i="1"/>
  <c r="K1804" i="1"/>
  <c r="J1804" i="1"/>
  <c r="I1804" i="1"/>
  <c r="H1804" i="1"/>
  <c r="G1804" i="1"/>
  <c r="F1804" i="1"/>
  <c r="E1804" i="1"/>
  <c r="D1804" i="1"/>
  <c r="C1804" i="1"/>
  <c r="B1804" i="1"/>
  <c r="Q1803" i="1"/>
  <c r="P1803" i="1"/>
  <c r="O1803" i="1"/>
  <c r="N1803" i="1"/>
  <c r="M1803" i="1"/>
  <c r="L1803" i="1"/>
  <c r="K1803" i="1"/>
  <c r="J1803" i="1"/>
  <c r="I1803" i="1"/>
  <c r="H1803" i="1"/>
  <c r="G1803" i="1"/>
  <c r="F1803" i="1"/>
  <c r="E1803" i="1"/>
  <c r="D1803" i="1"/>
  <c r="C1803" i="1"/>
  <c r="B1803" i="1"/>
  <c r="Q1802" i="1"/>
  <c r="P1802" i="1"/>
  <c r="O1802" i="1"/>
  <c r="N1802" i="1"/>
  <c r="M1802" i="1"/>
  <c r="L1802" i="1"/>
  <c r="K1802" i="1"/>
  <c r="J1802" i="1"/>
  <c r="I1802" i="1"/>
  <c r="H1802" i="1"/>
  <c r="G1802" i="1"/>
  <c r="F1802" i="1"/>
  <c r="E1802" i="1"/>
  <c r="D1802" i="1"/>
  <c r="C1802" i="1"/>
  <c r="B1802" i="1"/>
  <c r="Q1801" i="1"/>
  <c r="P1801" i="1"/>
  <c r="O1801" i="1"/>
  <c r="N1801" i="1"/>
  <c r="M1801" i="1"/>
  <c r="L1801" i="1"/>
  <c r="K1801" i="1"/>
  <c r="J1801" i="1"/>
  <c r="I1801" i="1"/>
  <c r="H1801" i="1"/>
  <c r="G1801" i="1"/>
  <c r="F1801" i="1"/>
  <c r="E1801" i="1"/>
  <c r="D1801" i="1"/>
  <c r="C1801" i="1"/>
  <c r="B1801" i="1"/>
  <c r="Q1800" i="1"/>
  <c r="P1800" i="1"/>
  <c r="O1800" i="1"/>
  <c r="N1800" i="1"/>
  <c r="M1800" i="1"/>
  <c r="L1800" i="1"/>
  <c r="K1800" i="1"/>
  <c r="J1800" i="1"/>
  <c r="I1800" i="1"/>
  <c r="H1800" i="1"/>
  <c r="G1800" i="1"/>
  <c r="F1800" i="1"/>
  <c r="E1800" i="1"/>
  <c r="D1800" i="1"/>
  <c r="C1800" i="1"/>
  <c r="B1800" i="1"/>
  <c r="Q1799" i="1"/>
  <c r="P1799" i="1"/>
  <c r="O1799" i="1"/>
  <c r="N1799" i="1"/>
  <c r="M1799" i="1"/>
  <c r="L1799" i="1"/>
  <c r="K1799" i="1"/>
  <c r="J1799" i="1"/>
  <c r="I1799" i="1"/>
  <c r="H1799" i="1"/>
  <c r="G1799" i="1"/>
  <c r="F1799" i="1"/>
  <c r="E1799" i="1"/>
  <c r="D1799" i="1"/>
  <c r="C1799" i="1"/>
  <c r="B1798" i="1"/>
  <c r="Q1797" i="1"/>
  <c r="P1797" i="1"/>
  <c r="O1797" i="1"/>
  <c r="N1797" i="1"/>
  <c r="M1797" i="1"/>
  <c r="L1797" i="1"/>
  <c r="K1797" i="1"/>
  <c r="J1797" i="1"/>
  <c r="I1797" i="1"/>
  <c r="H1797" i="1"/>
  <c r="G1797" i="1"/>
  <c r="F1797" i="1"/>
  <c r="E1797" i="1"/>
  <c r="D1797" i="1"/>
  <c r="C1797" i="1"/>
  <c r="B1797" i="1"/>
  <c r="Q1796" i="1"/>
  <c r="P1796" i="1"/>
  <c r="O1796" i="1"/>
  <c r="N1796" i="1"/>
  <c r="M1796" i="1"/>
  <c r="L1796" i="1"/>
  <c r="K1796" i="1"/>
  <c r="J1796" i="1"/>
  <c r="I1796" i="1"/>
  <c r="H1796" i="1"/>
  <c r="G1796" i="1"/>
  <c r="F1796" i="1"/>
  <c r="E1796" i="1"/>
  <c r="D1796" i="1"/>
  <c r="C1796" i="1"/>
  <c r="B1796" i="1"/>
  <c r="Q1795" i="1"/>
  <c r="P1795" i="1"/>
  <c r="O1795" i="1"/>
  <c r="N1795" i="1"/>
  <c r="M1795" i="1"/>
  <c r="L1795" i="1"/>
  <c r="K1795" i="1"/>
  <c r="J1795" i="1"/>
  <c r="I1795" i="1"/>
  <c r="H1795" i="1"/>
  <c r="G1795" i="1"/>
  <c r="F1795" i="1"/>
  <c r="E1795" i="1"/>
  <c r="D1795" i="1"/>
  <c r="C1795" i="1"/>
  <c r="B1795" i="1"/>
  <c r="Q1794" i="1"/>
  <c r="P1794" i="1"/>
  <c r="O1794" i="1"/>
  <c r="N1794" i="1"/>
  <c r="M1794" i="1"/>
  <c r="L1794" i="1"/>
  <c r="K1794" i="1"/>
  <c r="J1794" i="1"/>
  <c r="I1794" i="1"/>
  <c r="H1794" i="1"/>
  <c r="G1794" i="1"/>
  <c r="F1794" i="1"/>
  <c r="E1794" i="1"/>
  <c r="D1794" i="1"/>
  <c r="C1794" i="1"/>
  <c r="B1794" i="1"/>
  <c r="Q1793" i="1"/>
  <c r="P1793" i="1"/>
  <c r="O1793" i="1"/>
  <c r="N1793" i="1"/>
  <c r="M1793" i="1"/>
  <c r="L1793" i="1"/>
  <c r="K1793" i="1"/>
  <c r="J1793" i="1"/>
  <c r="I1793" i="1"/>
  <c r="H1793" i="1"/>
  <c r="G1793" i="1"/>
  <c r="F1793" i="1"/>
  <c r="E1793" i="1"/>
  <c r="D1793" i="1"/>
  <c r="C1793" i="1"/>
  <c r="B1793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C1792" i="1"/>
  <c r="B1791" i="1"/>
  <c r="Q1790" i="1"/>
  <c r="P1790" i="1"/>
  <c r="O1790" i="1"/>
  <c r="N1790" i="1"/>
  <c r="M1790" i="1"/>
  <c r="L1790" i="1"/>
  <c r="K1790" i="1"/>
  <c r="J1790" i="1"/>
  <c r="I1790" i="1"/>
  <c r="H1790" i="1"/>
  <c r="G1790" i="1"/>
  <c r="F1790" i="1"/>
  <c r="E1790" i="1"/>
  <c r="D1790" i="1"/>
  <c r="C1790" i="1"/>
  <c r="B1790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C1789" i="1"/>
  <c r="B1789" i="1"/>
  <c r="Q1788" i="1"/>
  <c r="P1788" i="1"/>
  <c r="O1788" i="1"/>
  <c r="N1788" i="1"/>
  <c r="M1788" i="1"/>
  <c r="L1788" i="1"/>
  <c r="K1788" i="1"/>
  <c r="J1788" i="1"/>
  <c r="I1788" i="1"/>
  <c r="H1788" i="1"/>
  <c r="G1788" i="1"/>
  <c r="F1788" i="1"/>
  <c r="E1788" i="1"/>
  <c r="D1788" i="1"/>
  <c r="C1788" i="1"/>
  <c r="B1788" i="1"/>
  <c r="Q1787" i="1"/>
  <c r="P1787" i="1"/>
  <c r="O1787" i="1"/>
  <c r="N1787" i="1"/>
  <c r="M1787" i="1"/>
  <c r="L1787" i="1"/>
  <c r="K1787" i="1"/>
  <c r="J1787" i="1"/>
  <c r="I1787" i="1"/>
  <c r="H1787" i="1"/>
  <c r="G1787" i="1"/>
  <c r="F1787" i="1"/>
  <c r="E1787" i="1"/>
  <c r="D1787" i="1"/>
  <c r="C1787" i="1"/>
  <c r="B1787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C1786" i="1"/>
  <c r="B1786" i="1"/>
  <c r="Q1785" i="1"/>
  <c r="P1785" i="1"/>
  <c r="O1785" i="1"/>
  <c r="N1785" i="1"/>
  <c r="M1785" i="1"/>
  <c r="L1785" i="1"/>
  <c r="K1785" i="1"/>
  <c r="J1785" i="1"/>
  <c r="I1785" i="1"/>
  <c r="H1785" i="1"/>
  <c r="G1785" i="1"/>
  <c r="F1785" i="1"/>
  <c r="E1785" i="1"/>
  <c r="D1785" i="1"/>
  <c r="C1785" i="1"/>
  <c r="B1784" i="1"/>
  <c r="Q1783" i="1"/>
  <c r="P1783" i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C1783" i="1"/>
  <c r="B1783" i="1"/>
  <c r="Q1782" i="1"/>
  <c r="P1782" i="1"/>
  <c r="O1782" i="1"/>
  <c r="N1782" i="1"/>
  <c r="M1782" i="1"/>
  <c r="L1782" i="1"/>
  <c r="K1782" i="1"/>
  <c r="J1782" i="1"/>
  <c r="I1782" i="1"/>
  <c r="H1782" i="1"/>
  <c r="G1782" i="1"/>
  <c r="F1782" i="1"/>
  <c r="E1782" i="1"/>
  <c r="D1782" i="1"/>
  <c r="C1782" i="1"/>
  <c r="B1782" i="1"/>
  <c r="Q1781" i="1"/>
  <c r="P1781" i="1"/>
  <c r="O1781" i="1"/>
  <c r="N1781" i="1"/>
  <c r="M1781" i="1"/>
  <c r="L1781" i="1"/>
  <c r="K1781" i="1"/>
  <c r="J1781" i="1"/>
  <c r="I1781" i="1"/>
  <c r="H1781" i="1"/>
  <c r="G1781" i="1"/>
  <c r="F1781" i="1"/>
  <c r="E1781" i="1"/>
  <c r="D1781" i="1"/>
  <c r="C1781" i="1"/>
  <c r="B1781" i="1"/>
  <c r="Q1780" i="1"/>
  <c r="P1780" i="1"/>
  <c r="O1780" i="1"/>
  <c r="N1780" i="1"/>
  <c r="M1780" i="1"/>
  <c r="L1780" i="1"/>
  <c r="K1780" i="1"/>
  <c r="J1780" i="1"/>
  <c r="I1780" i="1"/>
  <c r="H1780" i="1"/>
  <c r="G1780" i="1"/>
  <c r="F1780" i="1"/>
  <c r="E1780" i="1"/>
  <c r="D1780" i="1"/>
  <c r="C1780" i="1"/>
  <c r="B1780" i="1"/>
  <c r="Q1779" i="1"/>
  <c r="P1779" i="1"/>
  <c r="O1779" i="1"/>
  <c r="N1779" i="1"/>
  <c r="M1779" i="1"/>
  <c r="L1779" i="1"/>
  <c r="K1779" i="1"/>
  <c r="J1779" i="1"/>
  <c r="I1779" i="1"/>
  <c r="H1779" i="1"/>
  <c r="G1779" i="1"/>
  <c r="F1779" i="1"/>
  <c r="E1779" i="1"/>
  <c r="D1779" i="1"/>
  <c r="C1779" i="1"/>
  <c r="B1779" i="1"/>
  <c r="Q1778" i="1"/>
  <c r="P1778" i="1"/>
  <c r="O1778" i="1"/>
  <c r="N1778" i="1"/>
  <c r="M1778" i="1"/>
  <c r="L1778" i="1"/>
  <c r="K1778" i="1"/>
  <c r="J1778" i="1"/>
  <c r="I1778" i="1"/>
  <c r="H1778" i="1"/>
  <c r="G1778" i="1"/>
  <c r="F1778" i="1"/>
  <c r="E1778" i="1"/>
  <c r="D1778" i="1"/>
  <c r="C1778" i="1"/>
  <c r="B1777" i="1"/>
  <c r="B1776" i="1"/>
  <c r="Q1774" i="1"/>
  <c r="P1774" i="1"/>
  <c r="O1774" i="1"/>
  <c r="N1774" i="1"/>
  <c r="M1774" i="1"/>
  <c r="L1774" i="1"/>
  <c r="K1774" i="1"/>
  <c r="J1774" i="1"/>
  <c r="I1774" i="1"/>
  <c r="H1774" i="1"/>
  <c r="G1774" i="1"/>
  <c r="F1774" i="1"/>
  <c r="E1774" i="1"/>
  <c r="D1774" i="1"/>
  <c r="C1774" i="1"/>
  <c r="B1774" i="1"/>
  <c r="Q1773" i="1"/>
  <c r="P1773" i="1"/>
  <c r="O1773" i="1"/>
  <c r="N1773" i="1"/>
  <c r="M1773" i="1"/>
  <c r="L1773" i="1"/>
  <c r="K1773" i="1"/>
  <c r="J1773" i="1"/>
  <c r="I1773" i="1"/>
  <c r="H1773" i="1"/>
  <c r="G1773" i="1"/>
  <c r="F1773" i="1"/>
  <c r="E1773" i="1"/>
  <c r="D1773" i="1"/>
  <c r="C1773" i="1"/>
  <c r="B1773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C1772" i="1"/>
  <c r="B1772" i="1"/>
  <c r="Q1771" i="1"/>
  <c r="P1771" i="1"/>
  <c r="O1771" i="1"/>
  <c r="N1771" i="1"/>
  <c r="M1771" i="1"/>
  <c r="L1771" i="1"/>
  <c r="K1771" i="1"/>
  <c r="J1771" i="1"/>
  <c r="I1771" i="1"/>
  <c r="H1771" i="1"/>
  <c r="G1771" i="1"/>
  <c r="F1771" i="1"/>
  <c r="E1771" i="1"/>
  <c r="D1771" i="1"/>
  <c r="C1771" i="1"/>
  <c r="B1771" i="1"/>
  <c r="Q1770" i="1"/>
  <c r="P1770" i="1"/>
  <c r="O1770" i="1"/>
  <c r="N1770" i="1"/>
  <c r="M1770" i="1"/>
  <c r="L1770" i="1"/>
  <c r="K1770" i="1"/>
  <c r="J1770" i="1"/>
  <c r="I1770" i="1"/>
  <c r="H1770" i="1"/>
  <c r="G1770" i="1"/>
  <c r="F1770" i="1"/>
  <c r="E1770" i="1"/>
  <c r="D1770" i="1"/>
  <c r="C1770" i="1"/>
  <c r="B1770" i="1"/>
  <c r="Q1769" i="1"/>
  <c r="P1769" i="1"/>
  <c r="O1769" i="1"/>
  <c r="N1769" i="1"/>
  <c r="M1769" i="1"/>
  <c r="L1769" i="1"/>
  <c r="K1769" i="1"/>
  <c r="J1769" i="1"/>
  <c r="I1769" i="1"/>
  <c r="H1769" i="1"/>
  <c r="G1769" i="1"/>
  <c r="F1769" i="1"/>
  <c r="E1769" i="1"/>
  <c r="D1769" i="1"/>
  <c r="C1769" i="1"/>
  <c r="B1769" i="1"/>
  <c r="Q1768" i="1"/>
  <c r="P1768" i="1"/>
  <c r="O1768" i="1"/>
  <c r="N1768" i="1"/>
  <c r="M1768" i="1"/>
  <c r="L1768" i="1"/>
  <c r="K1768" i="1"/>
  <c r="J1768" i="1"/>
  <c r="I1768" i="1"/>
  <c r="H1768" i="1"/>
  <c r="G1768" i="1"/>
  <c r="F1768" i="1"/>
  <c r="E1768" i="1"/>
  <c r="D1768" i="1"/>
  <c r="C1768" i="1"/>
  <c r="B1768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C1767" i="1"/>
  <c r="B1767" i="1"/>
  <c r="Q1766" i="1"/>
  <c r="P1766" i="1"/>
  <c r="O1766" i="1"/>
  <c r="N1766" i="1"/>
  <c r="M1766" i="1"/>
  <c r="L1766" i="1"/>
  <c r="K1766" i="1"/>
  <c r="J1766" i="1"/>
  <c r="I1766" i="1"/>
  <c r="H1766" i="1"/>
  <c r="G1766" i="1"/>
  <c r="F1766" i="1"/>
  <c r="E1766" i="1"/>
  <c r="D1766" i="1"/>
  <c r="C1766" i="1"/>
  <c r="B1766" i="1"/>
  <c r="Q1765" i="1"/>
  <c r="P1765" i="1"/>
  <c r="O1765" i="1"/>
  <c r="N1765" i="1"/>
  <c r="M1765" i="1"/>
  <c r="L1765" i="1"/>
  <c r="K1765" i="1"/>
  <c r="J1765" i="1"/>
  <c r="I1765" i="1"/>
  <c r="H1765" i="1"/>
  <c r="G1765" i="1"/>
  <c r="F1765" i="1"/>
  <c r="E1765" i="1"/>
  <c r="D1765" i="1"/>
  <c r="C1765" i="1"/>
  <c r="B1765" i="1"/>
  <c r="Q1764" i="1"/>
  <c r="P1764" i="1"/>
  <c r="O1764" i="1"/>
  <c r="N1764" i="1"/>
  <c r="M1764" i="1"/>
  <c r="L1764" i="1"/>
  <c r="K1764" i="1"/>
  <c r="J1764" i="1"/>
  <c r="I1764" i="1"/>
  <c r="H1764" i="1"/>
  <c r="G1764" i="1"/>
  <c r="F1764" i="1"/>
  <c r="E1764" i="1"/>
  <c r="D1764" i="1"/>
  <c r="C1764" i="1"/>
  <c r="B1764" i="1"/>
  <c r="Q1763" i="1"/>
  <c r="P1763" i="1"/>
  <c r="O1763" i="1"/>
  <c r="N1763" i="1"/>
  <c r="M1763" i="1"/>
  <c r="L1763" i="1"/>
  <c r="K1763" i="1"/>
  <c r="J1763" i="1"/>
  <c r="I1763" i="1"/>
  <c r="H1763" i="1"/>
  <c r="G1763" i="1"/>
  <c r="F1763" i="1"/>
  <c r="E1763" i="1"/>
  <c r="D1763" i="1"/>
  <c r="C1763" i="1"/>
  <c r="B1763" i="1"/>
  <c r="Q1762" i="1"/>
  <c r="P1762" i="1"/>
  <c r="O1762" i="1"/>
  <c r="N1762" i="1"/>
  <c r="M1762" i="1"/>
  <c r="L1762" i="1"/>
  <c r="K1762" i="1"/>
  <c r="J1762" i="1"/>
  <c r="I1762" i="1"/>
  <c r="H1762" i="1"/>
  <c r="G1762" i="1"/>
  <c r="F1762" i="1"/>
  <c r="E1762" i="1"/>
  <c r="D1762" i="1"/>
  <c r="C1762" i="1"/>
  <c r="B1762" i="1"/>
  <c r="Q1761" i="1"/>
  <c r="P1761" i="1"/>
  <c r="O1761" i="1"/>
  <c r="N1761" i="1"/>
  <c r="M1761" i="1"/>
  <c r="L1761" i="1"/>
  <c r="K1761" i="1"/>
  <c r="J1761" i="1"/>
  <c r="I1761" i="1"/>
  <c r="H1761" i="1"/>
  <c r="G1761" i="1"/>
  <c r="F1761" i="1"/>
  <c r="E1761" i="1"/>
  <c r="D1761" i="1"/>
  <c r="C1761" i="1"/>
  <c r="B1761" i="1"/>
  <c r="Q1760" i="1"/>
  <c r="P1760" i="1"/>
  <c r="O1760" i="1"/>
  <c r="N1760" i="1"/>
  <c r="M1760" i="1"/>
  <c r="L1760" i="1"/>
  <c r="K1760" i="1"/>
  <c r="J1760" i="1"/>
  <c r="I1760" i="1"/>
  <c r="H1760" i="1"/>
  <c r="G1760" i="1"/>
  <c r="F1760" i="1"/>
  <c r="E1760" i="1"/>
  <c r="D1760" i="1"/>
  <c r="C1760" i="1"/>
  <c r="B1760" i="1"/>
  <c r="Q1759" i="1"/>
  <c r="P1759" i="1"/>
  <c r="O1759" i="1"/>
  <c r="N1759" i="1"/>
  <c r="M1759" i="1"/>
  <c r="L1759" i="1"/>
  <c r="K1759" i="1"/>
  <c r="J1759" i="1"/>
  <c r="I1759" i="1"/>
  <c r="H1759" i="1"/>
  <c r="G1759" i="1"/>
  <c r="F1759" i="1"/>
  <c r="E1759" i="1"/>
  <c r="D1759" i="1"/>
  <c r="C1759" i="1"/>
  <c r="B1759" i="1"/>
  <c r="Q1758" i="1"/>
  <c r="P1758" i="1"/>
  <c r="O1758" i="1"/>
  <c r="N1758" i="1"/>
  <c r="M1758" i="1"/>
  <c r="L1758" i="1"/>
  <c r="K1758" i="1"/>
  <c r="J1758" i="1"/>
  <c r="I1758" i="1"/>
  <c r="H1758" i="1"/>
  <c r="G1758" i="1"/>
  <c r="F1758" i="1"/>
  <c r="E1758" i="1"/>
  <c r="D1758" i="1"/>
  <c r="C1758" i="1"/>
  <c r="B1758" i="1"/>
  <c r="Q1757" i="1"/>
  <c r="P1757" i="1"/>
  <c r="O1757" i="1"/>
  <c r="N1757" i="1"/>
  <c r="M1757" i="1"/>
  <c r="L1757" i="1"/>
  <c r="K1757" i="1"/>
  <c r="J1757" i="1"/>
  <c r="I1757" i="1"/>
  <c r="H1757" i="1"/>
  <c r="G1757" i="1"/>
  <c r="F1757" i="1"/>
  <c r="E1757" i="1"/>
  <c r="D1757" i="1"/>
  <c r="C1757" i="1"/>
  <c r="B1757" i="1"/>
  <c r="Q1756" i="1"/>
  <c r="P1756" i="1"/>
  <c r="O1756" i="1"/>
  <c r="N1756" i="1"/>
  <c r="M1756" i="1"/>
  <c r="L1756" i="1"/>
  <c r="K1756" i="1"/>
  <c r="J1756" i="1"/>
  <c r="I1756" i="1"/>
  <c r="H1756" i="1"/>
  <c r="G1756" i="1"/>
  <c r="F1756" i="1"/>
  <c r="E1756" i="1"/>
  <c r="D1756" i="1"/>
  <c r="C1756" i="1"/>
  <c r="B1756" i="1"/>
  <c r="Q1755" i="1"/>
  <c r="P1755" i="1"/>
  <c r="O1755" i="1"/>
  <c r="N1755" i="1"/>
  <c r="M1755" i="1"/>
  <c r="L1755" i="1"/>
  <c r="K1755" i="1"/>
  <c r="J1755" i="1"/>
  <c r="I1755" i="1"/>
  <c r="H1755" i="1"/>
  <c r="G1755" i="1"/>
  <c r="F1755" i="1"/>
  <c r="E1755" i="1"/>
  <c r="D1755" i="1"/>
  <c r="C1755" i="1"/>
  <c r="B1755" i="1"/>
  <c r="Q1754" i="1"/>
  <c r="P1754" i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C1754" i="1"/>
  <c r="B1754" i="1"/>
  <c r="Q1753" i="1"/>
  <c r="P1753" i="1"/>
  <c r="O1753" i="1"/>
  <c r="N1753" i="1"/>
  <c r="M1753" i="1"/>
  <c r="L1753" i="1"/>
  <c r="K1753" i="1"/>
  <c r="J1753" i="1"/>
  <c r="I1753" i="1"/>
  <c r="H1753" i="1"/>
  <c r="G1753" i="1"/>
  <c r="F1753" i="1"/>
  <c r="E1753" i="1"/>
  <c r="D1753" i="1"/>
  <c r="C1753" i="1"/>
  <c r="B1753" i="1"/>
  <c r="Q1752" i="1"/>
  <c r="P1752" i="1"/>
  <c r="O1752" i="1"/>
  <c r="N1752" i="1"/>
  <c r="M1752" i="1"/>
  <c r="L1752" i="1"/>
  <c r="K1752" i="1"/>
  <c r="J1752" i="1"/>
  <c r="I1752" i="1"/>
  <c r="H1752" i="1"/>
  <c r="G1752" i="1"/>
  <c r="F1752" i="1"/>
  <c r="E1752" i="1"/>
  <c r="D1752" i="1"/>
  <c r="C1752" i="1"/>
  <c r="B1751" i="1"/>
  <c r="Q1749" i="1"/>
  <c r="P1749" i="1"/>
  <c r="O1749" i="1"/>
  <c r="N1749" i="1"/>
  <c r="M1749" i="1"/>
  <c r="L1749" i="1"/>
  <c r="K1749" i="1"/>
  <c r="J1749" i="1"/>
  <c r="I1749" i="1"/>
  <c r="H1749" i="1"/>
  <c r="G1749" i="1"/>
  <c r="F1749" i="1"/>
  <c r="E1749" i="1"/>
  <c r="D1749" i="1"/>
  <c r="C1749" i="1"/>
  <c r="B1749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C1748" i="1"/>
  <c r="B1748" i="1"/>
  <c r="Q1747" i="1"/>
  <c r="P1747" i="1"/>
  <c r="O1747" i="1"/>
  <c r="N1747" i="1"/>
  <c r="M1747" i="1"/>
  <c r="L1747" i="1"/>
  <c r="K1747" i="1"/>
  <c r="J1747" i="1"/>
  <c r="I1747" i="1"/>
  <c r="H1747" i="1"/>
  <c r="G1747" i="1"/>
  <c r="F1747" i="1"/>
  <c r="E1747" i="1"/>
  <c r="D1747" i="1"/>
  <c r="C1747" i="1"/>
  <c r="B1747" i="1"/>
  <c r="Q1746" i="1"/>
  <c r="P1746" i="1"/>
  <c r="O1746" i="1"/>
  <c r="N1746" i="1"/>
  <c r="M1746" i="1"/>
  <c r="L1746" i="1"/>
  <c r="K1746" i="1"/>
  <c r="J1746" i="1"/>
  <c r="I1746" i="1"/>
  <c r="H1746" i="1"/>
  <c r="G1746" i="1"/>
  <c r="F1746" i="1"/>
  <c r="E1746" i="1"/>
  <c r="D1746" i="1"/>
  <c r="C1746" i="1"/>
  <c r="B1746" i="1"/>
  <c r="Q1745" i="1"/>
  <c r="P1745" i="1"/>
  <c r="O1745" i="1"/>
  <c r="N1745" i="1"/>
  <c r="M1745" i="1"/>
  <c r="L1745" i="1"/>
  <c r="K1745" i="1"/>
  <c r="J1745" i="1"/>
  <c r="I1745" i="1"/>
  <c r="H1745" i="1"/>
  <c r="G1745" i="1"/>
  <c r="F1745" i="1"/>
  <c r="E1745" i="1"/>
  <c r="D1745" i="1"/>
  <c r="C1745" i="1"/>
  <c r="B1745" i="1"/>
  <c r="Q1744" i="1"/>
  <c r="P1744" i="1"/>
  <c r="O1744" i="1"/>
  <c r="N1744" i="1"/>
  <c r="M1744" i="1"/>
  <c r="L1744" i="1"/>
  <c r="K1744" i="1"/>
  <c r="J1744" i="1"/>
  <c r="I1744" i="1"/>
  <c r="H1744" i="1"/>
  <c r="G1744" i="1"/>
  <c r="F1744" i="1"/>
  <c r="E1744" i="1"/>
  <c r="D1744" i="1"/>
  <c r="C1744" i="1"/>
  <c r="B1744" i="1"/>
  <c r="Q1743" i="1"/>
  <c r="P1743" i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C1743" i="1"/>
  <c r="B1743" i="1"/>
  <c r="Q1742" i="1"/>
  <c r="P1742" i="1"/>
  <c r="O1742" i="1"/>
  <c r="N1742" i="1"/>
  <c r="M1742" i="1"/>
  <c r="L1742" i="1"/>
  <c r="K1742" i="1"/>
  <c r="J1742" i="1"/>
  <c r="I1742" i="1"/>
  <c r="H1742" i="1"/>
  <c r="G1742" i="1"/>
  <c r="F1742" i="1"/>
  <c r="E1742" i="1"/>
  <c r="D1742" i="1"/>
  <c r="C1742" i="1"/>
  <c r="B1742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C1741" i="1"/>
  <c r="B1741" i="1"/>
  <c r="Q1740" i="1"/>
  <c r="P1740" i="1"/>
  <c r="O1740" i="1"/>
  <c r="N1740" i="1"/>
  <c r="M1740" i="1"/>
  <c r="L1740" i="1"/>
  <c r="K1740" i="1"/>
  <c r="J1740" i="1"/>
  <c r="I1740" i="1"/>
  <c r="H1740" i="1"/>
  <c r="G1740" i="1"/>
  <c r="F1740" i="1"/>
  <c r="E1740" i="1"/>
  <c r="D1740" i="1"/>
  <c r="C1740" i="1"/>
  <c r="B1740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C1739" i="1"/>
  <c r="B1739" i="1"/>
  <c r="Q1738" i="1"/>
  <c r="P1738" i="1"/>
  <c r="O1738" i="1"/>
  <c r="N1738" i="1"/>
  <c r="M1738" i="1"/>
  <c r="L1738" i="1"/>
  <c r="K1738" i="1"/>
  <c r="J1738" i="1"/>
  <c r="I1738" i="1"/>
  <c r="H1738" i="1"/>
  <c r="G1738" i="1"/>
  <c r="F1738" i="1"/>
  <c r="E1738" i="1"/>
  <c r="D1738" i="1"/>
  <c r="C1738" i="1"/>
  <c r="B1738" i="1"/>
  <c r="Q1737" i="1"/>
  <c r="P1737" i="1"/>
  <c r="O1737" i="1"/>
  <c r="N1737" i="1"/>
  <c r="M1737" i="1"/>
  <c r="L1737" i="1"/>
  <c r="K1737" i="1"/>
  <c r="J1737" i="1"/>
  <c r="I1737" i="1"/>
  <c r="H1737" i="1"/>
  <c r="G1737" i="1"/>
  <c r="F1737" i="1"/>
  <c r="E1737" i="1"/>
  <c r="D1737" i="1"/>
  <c r="C1737" i="1"/>
  <c r="B1737" i="1"/>
  <c r="Q1736" i="1"/>
  <c r="P1736" i="1"/>
  <c r="O1736" i="1"/>
  <c r="N1736" i="1"/>
  <c r="M1736" i="1"/>
  <c r="L1736" i="1"/>
  <c r="K1736" i="1"/>
  <c r="J1736" i="1"/>
  <c r="I1736" i="1"/>
  <c r="H1736" i="1"/>
  <c r="G1736" i="1"/>
  <c r="F1736" i="1"/>
  <c r="E1736" i="1"/>
  <c r="D1736" i="1"/>
  <c r="C1736" i="1"/>
  <c r="B1736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C1735" i="1"/>
  <c r="B1735" i="1"/>
  <c r="Q1734" i="1"/>
  <c r="P1734" i="1"/>
  <c r="O1734" i="1"/>
  <c r="N1734" i="1"/>
  <c r="M1734" i="1"/>
  <c r="L1734" i="1"/>
  <c r="K1734" i="1"/>
  <c r="J1734" i="1"/>
  <c r="I1734" i="1"/>
  <c r="H1734" i="1"/>
  <c r="G1734" i="1"/>
  <c r="F1734" i="1"/>
  <c r="E1734" i="1"/>
  <c r="D1734" i="1"/>
  <c r="C1734" i="1"/>
  <c r="B1734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C1733" i="1"/>
  <c r="B1733" i="1"/>
  <c r="Q1732" i="1"/>
  <c r="P1732" i="1"/>
  <c r="O1732" i="1"/>
  <c r="N1732" i="1"/>
  <c r="M1732" i="1"/>
  <c r="L1732" i="1"/>
  <c r="K1732" i="1"/>
  <c r="J1732" i="1"/>
  <c r="I1732" i="1"/>
  <c r="H1732" i="1"/>
  <c r="G1732" i="1"/>
  <c r="F1732" i="1"/>
  <c r="E1732" i="1"/>
  <c r="D1732" i="1"/>
  <c r="C1732" i="1"/>
  <c r="B1732" i="1"/>
  <c r="Q1731" i="1"/>
  <c r="P1731" i="1"/>
  <c r="O1731" i="1"/>
  <c r="N1731" i="1"/>
  <c r="M1731" i="1"/>
  <c r="L1731" i="1"/>
  <c r="K1731" i="1"/>
  <c r="J1731" i="1"/>
  <c r="I1731" i="1"/>
  <c r="H1731" i="1"/>
  <c r="G1731" i="1"/>
  <c r="F1731" i="1"/>
  <c r="E1731" i="1"/>
  <c r="D1731" i="1"/>
  <c r="C1731" i="1"/>
  <c r="B1731" i="1"/>
  <c r="Q1730" i="1"/>
  <c r="P1730" i="1"/>
  <c r="O1730" i="1"/>
  <c r="N1730" i="1"/>
  <c r="M1730" i="1"/>
  <c r="L1730" i="1"/>
  <c r="K1730" i="1"/>
  <c r="J1730" i="1"/>
  <c r="I1730" i="1"/>
  <c r="H1730" i="1"/>
  <c r="G1730" i="1"/>
  <c r="F1730" i="1"/>
  <c r="E1730" i="1"/>
  <c r="D1730" i="1"/>
  <c r="C1730" i="1"/>
  <c r="B1730" i="1"/>
  <c r="Q1729" i="1"/>
  <c r="P1729" i="1"/>
  <c r="O1729" i="1"/>
  <c r="N1729" i="1"/>
  <c r="M1729" i="1"/>
  <c r="L1729" i="1"/>
  <c r="K1729" i="1"/>
  <c r="J1729" i="1"/>
  <c r="I1729" i="1"/>
  <c r="H1729" i="1"/>
  <c r="G1729" i="1"/>
  <c r="F1729" i="1"/>
  <c r="E1729" i="1"/>
  <c r="D1729" i="1"/>
  <c r="C1729" i="1"/>
  <c r="B1729" i="1"/>
  <c r="Q1728" i="1"/>
  <c r="P1728" i="1"/>
  <c r="O1728" i="1"/>
  <c r="N1728" i="1"/>
  <c r="M1728" i="1"/>
  <c r="L1728" i="1"/>
  <c r="K1728" i="1"/>
  <c r="J1728" i="1"/>
  <c r="I1728" i="1"/>
  <c r="H1728" i="1"/>
  <c r="G1728" i="1"/>
  <c r="F1728" i="1"/>
  <c r="E1728" i="1"/>
  <c r="D1728" i="1"/>
  <c r="C1728" i="1"/>
  <c r="B1728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C1727" i="1"/>
  <c r="B1726" i="1"/>
  <c r="Q1724" i="1"/>
  <c r="P1724" i="1"/>
  <c r="O1724" i="1"/>
  <c r="N1724" i="1"/>
  <c r="M1724" i="1"/>
  <c r="L1724" i="1"/>
  <c r="K1724" i="1"/>
  <c r="J1724" i="1"/>
  <c r="I1724" i="1"/>
  <c r="H1724" i="1"/>
  <c r="G1724" i="1"/>
  <c r="F1724" i="1"/>
  <c r="E1724" i="1"/>
  <c r="D1724" i="1"/>
  <c r="C1724" i="1"/>
  <c r="B1724" i="1"/>
  <c r="Q1723" i="1"/>
  <c r="P1723" i="1"/>
  <c r="O1723" i="1"/>
  <c r="N1723" i="1"/>
  <c r="M1723" i="1"/>
  <c r="L1723" i="1"/>
  <c r="K1723" i="1"/>
  <c r="J1723" i="1"/>
  <c r="I1723" i="1"/>
  <c r="H1723" i="1"/>
  <c r="G1723" i="1"/>
  <c r="F1723" i="1"/>
  <c r="E1723" i="1"/>
  <c r="D1723" i="1"/>
  <c r="C1723" i="1"/>
  <c r="B1723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C1722" i="1"/>
  <c r="B1722" i="1"/>
  <c r="Q1721" i="1"/>
  <c r="P1721" i="1"/>
  <c r="O1721" i="1"/>
  <c r="N1721" i="1"/>
  <c r="M1721" i="1"/>
  <c r="L1721" i="1"/>
  <c r="K1721" i="1"/>
  <c r="J1721" i="1"/>
  <c r="I1721" i="1"/>
  <c r="H1721" i="1"/>
  <c r="G1721" i="1"/>
  <c r="F1721" i="1"/>
  <c r="E1721" i="1"/>
  <c r="D1721" i="1"/>
  <c r="C1721" i="1"/>
  <c r="B1721" i="1"/>
  <c r="Q1720" i="1"/>
  <c r="P1720" i="1"/>
  <c r="O1720" i="1"/>
  <c r="N1720" i="1"/>
  <c r="M1720" i="1"/>
  <c r="L1720" i="1"/>
  <c r="K1720" i="1"/>
  <c r="J1720" i="1"/>
  <c r="I1720" i="1"/>
  <c r="H1720" i="1"/>
  <c r="G1720" i="1"/>
  <c r="F1720" i="1"/>
  <c r="E1720" i="1"/>
  <c r="D1720" i="1"/>
  <c r="C1720" i="1"/>
  <c r="B1720" i="1"/>
  <c r="Q1719" i="1"/>
  <c r="P1719" i="1"/>
  <c r="O1719" i="1"/>
  <c r="N1719" i="1"/>
  <c r="M1719" i="1"/>
  <c r="L1719" i="1"/>
  <c r="K1719" i="1"/>
  <c r="J1719" i="1"/>
  <c r="I1719" i="1"/>
  <c r="H1719" i="1"/>
  <c r="G1719" i="1"/>
  <c r="F1719" i="1"/>
  <c r="E1719" i="1"/>
  <c r="D1719" i="1"/>
  <c r="C1719" i="1"/>
  <c r="B1719" i="1"/>
  <c r="Q1718" i="1"/>
  <c r="P1718" i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C1718" i="1"/>
  <c r="B1718" i="1"/>
  <c r="Q1717" i="1"/>
  <c r="P1717" i="1"/>
  <c r="O1717" i="1"/>
  <c r="N1717" i="1"/>
  <c r="M1717" i="1"/>
  <c r="L1717" i="1"/>
  <c r="K1717" i="1"/>
  <c r="J1717" i="1"/>
  <c r="I1717" i="1"/>
  <c r="H1717" i="1"/>
  <c r="G1717" i="1"/>
  <c r="F1717" i="1"/>
  <c r="E1717" i="1"/>
  <c r="D1717" i="1"/>
  <c r="C1717" i="1"/>
  <c r="B1717" i="1"/>
  <c r="Q1716" i="1"/>
  <c r="P1716" i="1"/>
  <c r="O1716" i="1"/>
  <c r="N1716" i="1"/>
  <c r="M1716" i="1"/>
  <c r="L1716" i="1"/>
  <c r="K1716" i="1"/>
  <c r="J1716" i="1"/>
  <c r="I1716" i="1"/>
  <c r="H1716" i="1"/>
  <c r="G1716" i="1"/>
  <c r="F1716" i="1"/>
  <c r="E1716" i="1"/>
  <c r="D1716" i="1"/>
  <c r="C1716" i="1"/>
  <c r="B1716" i="1"/>
  <c r="Q1715" i="1"/>
  <c r="P1715" i="1"/>
  <c r="O1715" i="1"/>
  <c r="N1715" i="1"/>
  <c r="M1715" i="1"/>
  <c r="L1715" i="1"/>
  <c r="K1715" i="1"/>
  <c r="J1715" i="1"/>
  <c r="I1715" i="1"/>
  <c r="H1715" i="1"/>
  <c r="G1715" i="1"/>
  <c r="F1715" i="1"/>
  <c r="E1715" i="1"/>
  <c r="D1715" i="1"/>
  <c r="C1715" i="1"/>
  <c r="B1715" i="1"/>
  <c r="Q1714" i="1"/>
  <c r="P1714" i="1"/>
  <c r="O1714" i="1"/>
  <c r="N1714" i="1"/>
  <c r="M1714" i="1"/>
  <c r="L1714" i="1"/>
  <c r="K1714" i="1"/>
  <c r="J1714" i="1"/>
  <c r="I1714" i="1"/>
  <c r="H1714" i="1"/>
  <c r="G1714" i="1"/>
  <c r="F1714" i="1"/>
  <c r="E1714" i="1"/>
  <c r="D1714" i="1"/>
  <c r="C1714" i="1"/>
  <c r="B1714" i="1"/>
  <c r="Q1713" i="1"/>
  <c r="P1713" i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C1713" i="1"/>
  <c r="B1713" i="1"/>
  <c r="Q1712" i="1"/>
  <c r="P1712" i="1"/>
  <c r="O1712" i="1"/>
  <c r="N1712" i="1"/>
  <c r="M1712" i="1"/>
  <c r="L1712" i="1"/>
  <c r="K1712" i="1"/>
  <c r="J1712" i="1"/>
  <c r="I1712" i="1"/>
  <c r="H1712" i="1"/>
  <c r="G1712" i="1"/>
  <c r="F1712" i="1"/>
  <c r="E1712" i="1"/>
  <c r="D1712" i="1"/>
  <c r="C1712" i="1"/>
  <c r="B1712" i="1"/>
  <c r="Q1711" i="1"/>
  <c r="P1711" i="1"/>
  <c r="O1711" i="1"/>
  <c r="N1711" i="1"/>
  <c r="M1711" i="1"/>
  <c r="L1711" i="1"/>
  <c r="K1711" i="1"/>
  <c r="J1711" i="1"/>
  <c r="I1711" i="1"/>
  <c r="H1711" i="1"/>
  <c r="G1711" i="1"/>
  <c r="F1711" i="1"/>
  <c r="E1711" i="1"/>
  <c r="D1711" i="1"/>
  <c r="C1711" i="1"/>
  <c r="B1711" i="1"/>
  <c r="Q1710" i="1"/>
  <c r="P1710" i="1"/>
  <c r="O1710" i="1"/>
  <c r="N1710" i="1"/>
  <c r="M1710" i="1"/>
  <c r="L1710" i="1"/>
  <c r="K1710" i="1"/>
  <c r="J1710" i="1"/>
  <c r="I1710" i="1"/>
  <c r="H1710" i="1"/>
  <c r="G1710" i="1"/>
  <c r="F1710" i="1"/>
  <c r="E1710" i="1"/>
  <c r="D1710" i="1"/>
  <c r="C1710" i="1"/>
  <c r="B1710" i="1"/>
  <c r="Q1709" i="1"/>
  <c r="P1709" i="1"/>
  <c r="O1709" i="1"/>
  <c r="N1709" i="1"/>
  <c r="M1709" i="1"/>
  <c r="L1709" i="1"/>
  <c r="K1709" i="1"/>
  <c r="J1709" i="1"/>
  <c r="I1709" i="1"/>
  <c r="H1709" i="1"/>
  <c r="G1709" i="1"/>
  <c r="F1709" i="1"/>
  <c r="E1709" i="1"/>
  <c r="D1709" i="1"/>
  <c r="C1709" i="1"/>
  <c r="B1709" i="1"/>
  <c r="Q1708" i="1"/>
  <c r="P1708" i="1"/>
  <c r="O1708" i="1"/>
  <c r="N1708" i="1"/>
  <c r="M1708" i="1"/>
  <c r="L1708" i="1"/>
  <c r="K1708" i="1"/>
  <c r="J1708" i="1"/>
  <c r="I1708" i="1"/>
  <c r="H1708" i="1"/>
  <c r="G1708" i="1"/>
  <c r="F1708" i="1"/>
  <c r="E1708" i="1"/>
  <c r="D1708" i="1"/>
  <c r="C1708" i="1"/>
  <c r="B1708" i="1"/>
  <c r="Q1707" i="1"/>
  <c r="P1707" i="1"/>
  <c r="O1707" i="1"/>
  <c r="N1707" i="1"/>
  <c r="M1707" i="1"/>
  <c r="L1707" i="1"/>
  <c r="K1707" i="1"/>
  <c r="J1707" i="1"/>
  <c r="I1707" i="1"/>
  <c r="H1707" i="1"/>
  <c r="G1707" i="1"/>
  <c r="F1707" i="1"/>
  <c r="E1707" i="1"/>
  <c r="D1707" i="1"/>
  <c r="C1707" i="1"/>
  <c r="B1707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C1706" i="1"/>
  <c r="B1706" i="1"/>
  <c r="Q1705" i="1"/>
  <c r="P1705" i="1"/>
  <c r="O1705" i="1"/>
  <c r="N1705" i="1"/>
  <c r="M1705" i="1"/>
  <c r="L1705" i="1"/>
  <c r="K1705" i="1"/>
  <c r="J1705" i="1"/>
  <c r="I1705" i="1"/>
  <c r="H1705" i="1"/>
  <c r="G1705" i="1"/>
  <c r="F1705" i="1"/>
  <c r="E1705" i="1"/>
  <c r="D1705" i="1"/>
  <c r="C1705" i="1"/>
  <c r="B1705" i="1"/>
  <c r="Q1704" i="1"/>
  <c r="P1704" i="1"/>
  <c r="O1704" i="1"/>
  <c r="N1704" i="1"/>
  <c r="M1704" i="1"/>
  <c r="L1704" i="1"/>
  <c r="K1704" i="1"/>
  <c r="J1704" i="1"/>
  <c r="I1704" i="1"/>
  <c r="H1704" i="1"/>
  <c r="G1704" i="1"/>
  <c r="F1704" i="1"/>
  <c r="E1704" i="1"/>
  <c r="D1704" i="1"/>
  <c r="C1704" i="1"/>
  <c r="B1704" i="1"/>
  <c r="Q1703" i="1"/>
  <c r="P1703" i="1"/>
  <c r="O1703" i="1"/>
  <c r="N1703" i="1"/>
  <c r="M1703" i="1"/>
  <c r="L1703" i="1"/>
  <c r="K1703" i="1"/>
  <c r="J1703" i="1"/>
  <c r="I1703" i="1"/>
  <c r="H1703" i="1"/>
  <c r="G1703" i="1"/>
  <c r="F1703" i="1"/>
  <c r="E1703" i="1"/>
  <c r="D1703" i="1"/>
  <c r="C1703" i="1"/>
  <c r="B1703" i="1"/>
  <c r="Q1702" i="1"/>
  <c r="P1702" i="1"/>
  <c r="O1702" i="1"/>
  <c r="N1702" i="1"/>
  <c r="M1702" i="1"/>
  <c r="L1702" i="1"/>
  <c r="K1702" i="1"/>
  <c r="J1702" i="1"/>
  <c r="I1702" i="1"/>
  <c r="H1702" i="1"/>
  <c r="G1702" i="1"/>
  <c r="F1702" i="1"/>
  <c r="E1702" i="1"/>
  <c r="D1702" i="1"/>
  <c r="C1702" i="1"/>
  <c r="B1701" i="1"/>
  <c r="Q1699" i="1"/>
  <c r="P1699" i="1"/>
  <c r="O1699" i="1"/>
  <c r="N1699" i="1"/>
  <c r="M1699" i="1"/>
  <c r="L1699" i="1"/>
  <c r="K1699" i="1"/>
  <c r="J1699" i="1"/>
  <c r="I1699" i="1"/>
  <c r="H1699" i="1"/>
  <c r="G1699" i="1"/>
  <c r="F1699" i="1"/>
  <c r="E1699" i="1"/>
  <c r="D1699" i="1"/>
  <c r="C1699" i="1"/>
  <c r="B1699" i="1"/>
  <c r="Q1698" i="1"/>
  <c r="P1698" i="1"/>
  <c r="O1698" i="1"/>
  <c r="N1698" i="1"/>
  <c r="M1698" i="1"/>
  <c r="L1698" i="1"/>
  <c r="K1698" i="1"/>
  <c r="J1698" i="1"/>
  <c r="I1698" i="1"/>
  <c r="H1698" i="1"/>
  <c r="G1698" i="1"/>
  <c r="F1698" i="1"/>
  <c r="E1698" i="1"/>
  <c r="D1698" i="1"/>
  <c r="C1698" i="1"/>
  <c r="B1698" i="1"/>
  <c r="Q1697" i="1"/>
  <c r="P1697" i="1"/>
  <c r="O1697" i="1"/>
  <c r="N1697" i="1"/>
  <c r="M1697" i="1"/>
  <c r="L1697" i="1"/>
  <c r="K1697" i="1"/>
  <c r="J1697" i="1"/>
  <c r="I1697" i="1"/>
  <c r="H1697" i="1"/>
  <c r="G1697" i="1"/>
  <c r="F1697" i="1"/>
  <c r="E1697" i="1"/>
  <c r="D1697" i="1"/>
  <c r="C1697" i="1"/>
  <c r="B1697" i="1"/>
  <c r="Q1696" i="1"/>
  <c r="P1696" i="1"/>
  <c r="O1696" i="1"/>
  <c r="N1696" i="1"/>
  <c r="M1696" i="1"/>
  <c r="L1696" i="1"/>
  <c r="K1696" i="1"/>
  <c r="J1696" i="1"/>
  <c r="I1696" i="1"/>
  <c r="H1696" i="1"/>
  <c r="G1696" i="1"/>
  <c r="F1696" i="1"/>
  <c r="E1696" i="1"/>
  <c r="D1696" i="1"/>
  <c r="C1696" i="1"/>
  <c r="B1696" i="1"/>
  <c r="Q1695" i="1"/>
  <c r="P1695" i="1"/>
  <c r="O1695" i="1"/>
  <c r="N1695" i="1"/>
  <c r="M1695" i="1"/>
  <c r="L1695" i="1"/>
  <c r="K1695" i="1"/>
  <c r="J1695" i="1"/>
  <c r="I1695" i="1"/>
  <c r="H1695" i="1"/>
  <c r="G1695" i="1"/>
  <c r="F1695" i="1"/>
  <c r="E1695" i="1"/>
  <c r="D1695" i="1"/>
  <c r="C1695" i="1"/>
  <c r="B1695" i="1"/>
  <c r="Q1694" i="1"/>
  <c r="P1694" i="1"/>
  <c r="O1694" i="1"/>
  <c r="N1694" i="1"/>
  <c r="M1694" i="1"/>
  <c r="L1694" i="1"/>
  <c r="K1694" i="1"/>
  <c r="J1694" i="1"/>
  <c r="I1694" i="1"/>
  <c r="H1694" i="1"/>
  <c r="G1694" i="1"/>
  <c r="F1694" i="1"/>
  <c r="E1694" i="1"/>
  <c r="D1694" i="1"/>
  <c r="C1694" i="1"/>
  <c r="B1694" i="1"/>
  <c r="Q1693" i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D1693" i="1"/>
  <c r="C1693" i="1"/>
  <c r="B1693" i="1"/>
  <c r="Q1692" i="1"/>
  <c r="P1692" i="1"/>
  <c r="O1692" i="1"/>
  <c r="N1692" i="1"/>
  <c r="M1692" i="1"/>
  <c r="L1692" i="1"/>
  <c r="K1692" i="1"/>
  <c r="J1692" i="1"/>
  <c r="I1692" i="1"/>
  <c r="H1692" i="1"/>
  <c r="G1692" i="1"/>
  <c r="F1692" i="1"/>
  <c r="E1692" i="1"/>
  <c r="D1692" i="1"/>
  <c r="C1692" i="1"/>
  <c r="B1692" i="1"/>
  <c r="Q1691" i="1"/>
  <c r="P1691" i="1"/>
  <c r="O1691" i="1"/>
  <c r="N1691" i="1"/>
  <c r="M1691" i="1"/>
  <c r="L1691" i="1"/>
  <c r="K1691" i="1"/>
  <c r="J1691" i="1"/>
  <c r="I1691" i="1"/>
  <c r="H1691" i="1"/>
  <c r="G1691" i="1"/>
  <c r="F1691" i="1"/>
  <c r="E1691" i="1"/>
  <c r="D1691" i="1"/>
  <c r="C1691" i="1"/>
  <c r="B1691" i="1"/>
  <c r="Q1690" i="1"/>
  <c r="P1690" i="1"/>
  <c r="O1690" i="1"/>
  <c r="N1690" i="1"/>
  <c r="M1690" i="1"/>
  <c r="L1690" i="1"/>
  <c r="K1690" i="1"/>
  <c r="J1690" i="1"/>
  <c r="I1690" i="1"/>
  <c r="H1690" i="1"/>
  <c r="G1690" i="1"/>
  <c r="F1690" i="1"/>
  <c r="E1690" i="1"/>
  <c r="D1690" i="1"/>
  <c r="C1690" i="1"/>
  <c r="B1690" i="1"/>
  <c r="Q1689" i="1"/>
  <c r="P1689" i="1"/>
  <c r="O1689" i="1"/>
  <c r="N1689" i="1"/>
  <c r="M1689" i="1"/>
  <c r="L1689" i="1"/>
  <c r="K1689" i="1"/>
  <c r="J1689" i="1"/>
  <c r="I1689" i="1"/>
  <c r="H1689" i="1"/>
  <c r="G1689" i="1"/>
  <c r="F1689" i="1"/>
  <c r="E1689" i="1"/>
  <c r="D1689" i="1"/>
  <c r="C1689" i="1"/>
  <c r="B1689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D1688" i="1"/>
  <c r="C1688" i="1"/>
  <c r="B1688" i="1"/>
  <c r="Q1687" i="1"/>
  <c r="P1687" i="1"/>
  <c r="O1687" i="1"/>
  <c r="N1687" i="1"/>
  <c r="M1687" i="1"/>
  <c r="L1687" i="1"/>
  <c r="K1687" i="1"/>
  <c r="J1687" i="1"/>
  <c r="I1687" i="1"/>
  <c r="H1687" i="1"/>
  <c r="G1687" i="1"/>
  <c r="F1687" i="1"/>
  <c r="E1687" i="1"/>
  <c r="D1687" i="1"/>
  <c r="C1687" i="1"/>
  <c r="B1687" i="1"/>
  <c r="Q1686" i="1"/>
  <c r="P1686" i="1"/>
  <c r="O1686" i="1"/>
  <c r="N1686" i="1"/>
  <c r="M1686" i="1"/>
  <c r="L1686" i="1"/>
  <c r="K1686" i="1"/>
  <c r="J1686" i="1"/>
  <c r="I1686" i="1"/>
  <c r="H1686" i="1"/>
  <c r="G1686" i="1"/>
  <c r="F1686" i="1"/>
  <c r="E1686" i="1"/>
  <c r="D1686" i="1"/>
  <c r="C1686" i="1"/>
  <c r="B1686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C1685" i="1"/>
  <c r="B1685" i="1"/>
  <c r="Q1684" i="1"/>
  <c r="P1684" i="1"/>
  <c r="O1684" i="1"/>
  <c r="N1684" i="1"/>
  <c r="M1684" i="1"/>
  <c r="L1684" i="1"/>
  <c r="K1684" i="1"/>
  <c r="J1684" i="1"/>
  <c r="I1684" i="1"/>
  <c r="H1684" i="1"/>
  <c r="G1684" i="1"/>
  <c r="F1684" i="1"/>
  <c r="E1684" i="1"/>
  <c r="D1684" i="1"/>
  <c r="C1684" i="1"/>
  <c r="B1684" i="1"/>
  <c r="Q1683" i="1"/>
  <c r="P1683" i="1"/>
  <c r="O1683" i="1"/>
  <c r="N1683" i="1"/>
  <c r="M1683" i="1"/>
  <c r="L1683" i="1"/>
  <c r="K1683" i="1"/>
  <c r="J1683" i="1"/>
  <c r="I1683" i="1"/>
  <c r="H1683" i="1"/>
  <c r="G1683" i="1"/>
  <c r="F1683" i="1"/>
  <c r="E1683" i="1"/>
  <c r="D1683" i="1"/>
  <c r="C1683" i="1"/>
  <c r="B1683" i="1"/>
  <c r="Q1682" i="1"/>
  <c r="P1682" i="1"/>
  <c r="O1682" i="1"/>
  <c r="N1682" i="1"/>
  <c r="M1682" i="1"/>
  <c r="L1682" i="1"/>
  <c r="K1682" i="1"/>
  <c r="J1682" i="1"/>
  <c r="I1682" i="1"/>
  <c r="H1682" i="1"/>
  <c r="G1682" i="1"/>
  <c r="F1682" i="1"/>
  <c r="E1682" i="1"/>
  <c r="D1682" i="1"/>
  <c r="C1682" i="1"/>
  <c r="B1682" i="1"/>
  <c r="Q1681" i="1"/>
  <c r="P1681" i="1"/>
  <c r="O1681" i="1"/>
  <c r="N1681" i="1"/>
  <c r="M1681" i="1"/>
  <c r="L1681" i="1"/>
  <c r="K1681" i="1"/>
  <c r="J1681" i="1"/>
  <c r="I1681" i="1"/>
  <c r="H1681" i="1"/>
  <c r="G1681" i="1"/>
  <c r="F1681" i="1"/>
  <c r="E1681" i="1"/>
  <c r="D1681" i="1"/>
  <c r="C1681" i="1"/>
  <c r="B1681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B1680" i="1"/>
  <c r="Q1679" i="1"/>
  <c r="P1679" i="1"/>
  <c r="O1679" i="1"/>
  <c r="N1679" i="1"/>
  <c r="M1679" i="1"/>
  <c r="L1679" i="1"/>
  <c r="K1679" i="1"/>
  <c r="J1679" i="1"/>
  <c r="I1679" i="1"/>
  <c r="H1679" i="1"/>
  <c r="G1679" i="1"/>
  <c r="F1679" i="1"/>
  <c r="E1679" i="1"/>
  <c r="D1679" i="1"/>
  <c r="C1679" i="1"/>
  <c r="B1679" i="1"/>
  <c r="Q1678" i="1"/>
  <c r="P1678" i="1"/>
  <c r="O1678" i="1"/>
  <c r="N1678" i="1"/>
  <c r="M1678" i="1"/>
  <c r="L1678" i="1"/>
  <c r="K1678" i="1"/>
  <c r="J1678" i="1"/>
  <c r="I1678" i="1"/>
  <c r="H1678" i="1"/>
  <c r="G1678" i="1"/>
  <c r="F1678" i="1"/>
  <c r="E1678" i="1"/>
  <c r="D1678" i="1"/>
  <c r="C1678" i="1"/>
  <c r="B1678" i="1"/>
  <c r="Q1677" i="1"/>
  <c r="P1677" i="1"/>
  <c r="O1677" i="1"/>
  <c r="N1677" i="1"/>
  <c r="M1677" i="1"/>
  <c r="L1677" i="1"/>
  <c r="K1677" i="1"/>
  <c r="J1677" i="1"/>
  <c r="I1677" i="1"/>
  <c r="H1677" i="1"/>
  <c r="G1677" i="1"/>
  <c r="F1677" i="1"/>
  <c r="E1677" i="1"/>
  <c r="D1677" i="1"/>
  <c r="C1677" i="1"/>
  <c r="B1676" i="1"/>
  <c r="Q1675" i="1"/>
  <c r="P1675" i="1"/>
  <c r="O1675" i="1"/>
  <c r="N1675" i="1"/>
  <c r="M1675" i="1"/>
  <c r="L1675" i="1"/>
  <c r="K1675" i="1"/>
  <c r="J1675" i="1"/>
  <c r="I1675" i="1"/>
  <c r="H1675" i="1"/>
  <c r="G1675" i="1"/>
  <c r="F1675" i="1"/>
  <c r="E1675" i="1"/>
  <c r="D1675" i="1"/>
  <c r="C1675" i="1"/>
  <c r="B1675" i="1"/>
  <c r="Q1674" i="1"/>
  <c r="P1674" i="1"/>
  <c r="O1674" i="1"/>
  <c r="N1674" i="1"/>
  <c r="M1674" i="1"/>
  <c r="L1674" i="1"/>
  <c r="K1674" i="1"/>
  <c r="J1674" i="1"/>
  <c r="I1674" i="1"/>
  <c r="H1674" i="1"/>
  <c r="G1674" i="1"/>
  <c r="F1674" i="1"/>
  <c r="E1674" i="1"/>
  <c r="D1674" i="1"/>
  <c r="C1674" i="1"/>
  <c r="B1674" i="1"/>
  <c r="Q1673" i="1"/>
  <c r="P1673" i="1"/>
  <c r="O1673" i="1"/>
  <c r="N1673" i="1"/>
  <c r="M1673" i="1"/>
  <c r="L1673" i="1"/>
  <c r="K1673" i="1"/>
  <c r="J1673" i="1"/>
  <c r="I1673" i="1"/>
  <c r="H1673" i="1"/>
  <c r="G1673" i="1"/>
  <c r="F1673" i="1"/>
  <c r="E1673" i="1"/>
  <c r="D1673" i="1"/>
  <c r="C1673" i="1"/>
  <c r="B1673" i="1"/>
  <c r="Q1672" i="1"/>
  <c r="P1672" i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C1672" i="1"/>
  <c r="B1672" i="1"/>
  <c r="Q1671" i="1"/>
  <c r="P1671" i="1"/>
  <c r="O1671" i="1"/>
  <c r="N1671" i="1"/>
  <c r="M1671" i="1"/>
  <c r="L1671" i="1"/>
  <c r="K1671" i="1"/>
  <c r="J1671" i="1"/>
  <c r="I1671" i="1"/>
  <c r="H1671" i="1"/>
  <c r="G1671" i="1"/>
  <c r="F1671" i="1"/>
  <c r="E1671" i="1"/>
  <c r="D1671" i="1"/>
  <c r="C1671" i="1"/>
  <c r="B1671" i="1"/>
  <c r="Q1670" i="1"/>
  <c r="P1670" i="1"/>
  <c r="O1670" i="1"/>
  <c r="N1670" i="1"/>
  <c r="M1670" i="1"/>
  <c r="L1670" i="1"/>
  <c r="K1670" i="1"/>
  <c r="J1670" i="1"/>
  <c r="I1670" i="1"/>
  <c r="H1670" i="1"/>
  <c r="G1670" i="1"/>
  <c r="F1670" i="1"/>
  <c r="E1670" i="1"/>
  <c r="D1670" i="1"/>
  <c r="C1670" i="1"/>
  <c r="B1670" i="1"/>
  <c r="Q1669" i="1"/>
  <c r="P1669" i="1"/>
  <c r="O1669" i="1"/>
  <c r="N1669" i="1"/>
  <c r="M1669" i="1"/>
  <c r="L1669" i="1"/>
  <c r="K1669" i="1"/>
  <c r="J1669" i="1"/>
  <c r="I1669" i="1"/>
  <c r="H1669" i="1"/>
  <c r="G1669" i="1"/>
  <c r="F1669" i="1"/>
  <c r="E1669" i="1"/>
  <c r="D1669" i="1"/>
  <c r="C1669" i="1"/>
  <c r="B1669" i="1"/>
  <c r="Q1668" i="1"/>
  <c r="P1668" i="1"/>
  <c r="O1668" i="1"/>
  <c r="N1668" i="1"/>
  <c r="M1668" i="1"/>
  <c r="L1668" i="1"/>
  <c r="K1668" i="1"/>
  <c r="J1668" i="1"/>
  <c r="I1668" i="1"/>
  <c r="H1668" i="1"/>
  <c r="G1668" i="1"/>
  <c r="F1668" i="1"/>
  <c r="E1668" i="1"/>
  <c r="D1668" i="1"/>
  <c r="C1668" i="1"/>
  <c r="B1668" i="1"/>
  <c r="Q1667" i="1"/>
  <c r="P1667" i="1"/>
  <c r="O1667" i="1"/>
  <c r="N1667" i="1"/>
  <c r="M1667" i="1"/>
  <c r="L1667" i="1"/>
  <c r="K1667" i="1"/>
  <c r="J1667" i="1"/>
  <c r="I1667" i="1"/>
  <c r="H1667" i="1"/>
  <c r="G1667" i="1"/>
  <c r="F1667" i="1"/>
  <c r="E1667" i="1"/>
  <c r="D1667" i="1"/>
  <c r="C1667" i="1"/>
  <c r="B1667" i="1"/>
  <c r="Q1666" i="1"/>
  <c r="P1666" i="1"/>
  <c r="O1666" i="1"/>
  <c r="N1666" i="1"/>
  <c r="M1666" i="1"/>
  <c r="L1666" i="1"/>
  <c r="K1666" i="1"/>
  <c r="J1666" i="1"/>
  <c r="I1666" i="1"/>
  <c r="H1666" i="1"/>
  <c r="G1666" i="1"/>
  <c r="F1666" i="1"/>
  <c r="E1666" i="1"/>
  <c r="D1666" i="1"/>
  <c r="C1666" i="1"/>
  <c r="B1666" i="1"/>
  <c r="Q1665" i="1"/>
  <c r="P1665" i="1"/>
  <c r="O1665" i="1"/>
  <c r="N1665" i="1"/>
  <c r="M1665" i="1"/>
  <c r="L1665" i="1"/>
  <c r="K1665" i="1"/>
  <c r="J1665" i="1"/>
  <c r="I1665" i="1"/>
  <c r="H1665" i="1"/>
  <c r="G1665" i="1"/>
  <c r="F1665" i="1"/>
  <c r="E1665" i="1"/>
  <c r="D1665" i="1"/>
  <c r="C1665" i="1"/>
  <c r="B1665" i="1"/>
  <c r="Q1664" i="1"/>
  <c r="P1664" i="1"/>
  <c r="O1664" i="1"/>
  <c r="N1664" i="1"/>
  <c r="M1664" i="1"/>
  <c r="L1664" i="1"/>
  <c r="K1664" i="1"/>
  <c r="J1664" i="1"/>
  <c r="I1664" i="1"/>
  <c r="H1664" i="1"/>
  <c r="G1664" i="1"/>
  <c r="F1664" i="1"/>
  <c r="E1664" i="1"/>
  <c r="D1664" i="1"/>
  <c r="C1664" i="1"/>
  <c r="B1664" i="1"/>
  <c r="Q1663" i="1"/>
  <c r="P1663" i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C1663" i="1"/>
  <c r="B1663" i="1"/>
  <c r="Q1662" i="1"/>
  <c r="P1662" i="1"/>
  <c r="O1662" i="1"/>
  <c r="N1662" i="1"/>
  <c r="M1662" i="1"/>
  <c r="L1662" i="1"/>
  <c r="K1662" i="1"/>
  <c r="J1662" i="1"/>
  <c r="I1662" i="1"/>
  <c r="H1662" i="1"/>
  <c r="G1662" i="1"/>
  <c r="F1662" i="1"/>
  <c r="E1662" i="1"/>
  <c r="D1662" i="1"/>
  <c r="C1662" i="1"/>
  <c r="B1662" i="1"/>
  <c r="Q1661" i="1"/>
  <c r="P1661" i="1"/>
  <c r="O1661" i="1"/>
  <c r="N1661" i="1"/>
  <c r="M1661" i="1"/>
  <c r="L1661" i="1"/>
  <c r="K1661" i="1"/>
  <c r="J1661" i="1"/>
  <c r="I1661" i="1"/>
  <c r="H1661" i="1"/>
  <c r="G1661" i="1"/>
  <c r="F1661" i="1"/>
  <c r="E1661" i="1"/>
  <c r="D1661" i="1"/>
  <c r="C1661" i="1"/>
  <c r="B1661" i="1"/>
  <c r="Q1660" i="1"/>
  <c r="P1660" i="1"/>
  <c r="O1660" i="1"/>
  <c r="N1660" i="1"/>
  <c r="M1660" i="1"/>
  <c r="L1660" i="1"/>
  <c r="K1660" i="1"/>
  <c r="J1660" i="1"/>
  <c r="I1660" i="1"/>
  <c r="H1660" i="1"/>
  <c r="G1660" i="1"/>
  <c r="F1660" i="1"/>
  <c r="E1660" i="1"/>
  <c r="D1660" i="1"/>
  <c r="C1660" i="1"/>
  <c r="B1660" i="1"/>
  <c r="Q1659" i="1"/>
  <c r="P1659" i="1"/>
  <c r="O1659" i="1"/>
  <c r="N1659" i="1"/>
  <c r="M1659" i="1"/>
  <c r="L1659" i="1"/>
  <c r="K1659" i="1"/>
  <c r="J1659" i="1"/>
  <c r="I1659" i="1"/>
  <c r="H1659" i="1"/>
  <c r="G1659" i="1"/>
  <c r="F1659" i="1"/>
  <c r="E1659" i="1"/>
  <c r="D1659" i="1"/>
  <c r="C1659" i="1"/>
  <c r="B1659" i="1"/>
  <c r="Q1658" i="1"/>
  <c r="P1658" i="1"/>
  <c r="O1658" i="1"/>
  <c r="N1658" i="1"/>
  <c r="M1658" i="1"/>
  <c r="L1658" i="1"/>
  <c r="K1658" i="1"/>
  <c r="J1658" i="1"/>
  <c r="I1658" i="1"/>
  <c r="H1658" i="1"/>
  <c r="G1658" i="1"/>
  <c r="F1658" i="1"/>
  <c r="E1658" i="1"/>
  <c r="D1658" i="1"/>
  <c r="C1658" i="1"/>
  <c r="B1658" i="1"/>
  <c r="Q1657" i="1"/>
  <c r="P1657" i="1"/>
  <c r="O1657" i="1"/>
  <c r="N1657" i="1"/>
  <c r="M1657" i="1"/>
  <c r="L1657" i="1"/>
  <c r="K1657" i="1"/>
  <c r="J1657" i="1"/>
  <c r="I1657" i="1"/>
  <c r="H1657" i="1"/>
  <c r="G1657" i="1"/>
  <c r="F1657" i="1"/>
  <c r="E1657" i="1"/>
  <c r="D1657" i="1"/>
  <c r="C1657" i="1"/>
  <c r="B1657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C1656" i="1"/>
  <c r="B1656" i="1"/>
  <c r="Q1655" i="1"/>
  <c r="P1655" i="1"/>
  <c r="O1655" i="1"/>
  <c r="N1655" i="1"/>
  <c r="M1655" i="1"/>
  <c r="L1655" i="1"/>
  <c r="K1655" i="1"/>
  <c r="J1655" i="1"/>
  <c r="I1655" i="1"/>
  <c r="H1655" i="1"/>
  <c r="G1655" i="1"/>
  <c r="F1655" i="1"/>
  <c r="E1655" i="1"/>
  <c r="D1655" i="1"/>
  <c r="C1655" i="1"/>
  <c r="B1655" i="1"/>
  <c r="Q1654" i="1"/>
  <c r="P1654" i="1"/>
  <c r="O1654" i="1"/>
  <c r="N1654" i="1"/>
  <c r="M1654" i="1"/>
  <c r="L1654" i="1"/>
  <c r="K1654" i="1"/>
  <c r="J1654" i="1"/>
  <c r="I1654" i="1"/>
  <c r="H1654" i="1"/>
  <c r="G1654" i="1"/>
  <c r="F1654" i="1"/>
  <c r="E1654" i="1"/>
  <c r="D1654" i="1"/>
  <c r="C1654" i="1"/>
  <c r="B1654" i="1"/>
  <c r="Q1653" i="1"/>
  <c r="P1653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C1653" i="1"/>
  <c r="B1652" i="1"/>
  <c r="Q1651" i="1"/>
  <c r="P1651" i="1"/>
  <c r="O1651" i="1"/>
  <c r="N1651" i="1"/>
  <c r="M1651" i="1"/>
  <c r="L1651" i="1"/>
  <c r="K1651" i="1"/>
  <c r="J1651" i="1"/>
  <c r="I1651" i="1"/>
  <c r="H1651" i="1"/>
  <c r="G1651" i="1"/>
  <c r="F1651" i="1"/>
  <c r="E1651" i="1"/>
  <c r="D1651" i="1"/>
  <c r="C1651" i="1"/>
  <c r="B1651" i="1"/>
  <c r="Q1650" i="1"/>
  <c r="P1650" i="1"/>
  <c r="O1650" i="1"/>
  <c r="N1650" i="1"/>
  <c r="M1650" i="1"/>
  <c r="L1650" i="1"/>
  <c r="K1650" i="1"/>
  <c r="J1650" i="1"/>
  <c r="I1650" i="1"/>
  <c r="H1650" i="1"/>
  <c r="G1650" i="1"/>
  <c r="F1650" i="1"/>
  <c r="E1650" i="1"/>
  <c r="D1650" i="1"/>
  <c r="C1650" i="1"/>
  <c r="B1650" i="1"/>
  <c r="Q1649" i="1"/>
  <c r="P1649" i="1"/>
  <c r="O1649" i="1"/>
  <c r="N1649" i="1"/>
  <c r="M1649" i="1"/>
  <c r="L1649" i="1"/>
  <c r="K1649" i="1"/>
  <c r="J1649" i="1"/>
  <c r="I1649" i="1"/>
  <c r="H1649" i="1"/>
  <c r="G1649" i="1"/>
  <c r="F1649" i="1"/>
  <c r="E1649" i="1"/>
  <c r="D1649" i="1"/>
  <c r="C1649" i="1"/>
  <c r="B1649" i="1"/>
  <c r="Q1648" i="1"/>
  <c r="P1648" i="1"/>
  <c r="O1648" i="1"/>
  <c r="N1648" i="1"/>
  <c r="M1648" i="1"/>
  <c r="L1648" i="1"/>
  <c r="K1648" i="1"/>
  <c r="J1648" i="1"/>
  <c r="I1648" i="1"/>
  <c r="H1648" i="1"/>
  <c r="G1648" i="1"/>
  <c r="F1648" i="1"/>
  <c r="E1648" i="1"/>
  <c r="D1648" i="1"/>
  <c r="C1648" i="1"/>
  <c r="B1648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C1647" i="1"/>
  <c r="B1647" i="1"/>
  <c r="Q1646" i="1"/>
  <c r="P1646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B1646" i="1"/>
  <c r="Q1645" i="1"/>
  <c r="P1645" i="1"/>
  <c r="O1645" i="1"/>
  <c r="N1645" i="1"/>
  <c r="M1645" i="1"/>
  <c r="L1645" i="1"/>
  <c r="K1645" i="1"/>
  <c r="J1645" i="1"/>
  <c r="I1645" i="1"/>
  <c r="H1645" i="1"/>
  <c r="G1645" i="1"/>
  <c r="F1645" i="1"/>
  <c r="E1645" i="1"/>
  <c r="D1645" i="1"/>
  <c r="C1645" i="1"/>
  <c r="B1645" i="1"/>
  <c r="Q1644" i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B1644" i="1"/>
  <c r="Q1643" i="1"/>
  <c r="P1643" i="1"/>
  <c r="O1643" i="1"/>
  <c r="N1643" i="1"/>
  <c r="M1643" i="1"/>
  <c r="L1643" i="1"/>
  <c r="K1643" i="1"/>
  <c r="J1643" i="1"/>
  <c r="I1643" i="1"/>
  <c r="H1643" i="1"/>
  <c r="G1643" i="1"/>
  <c r="F1643" i="1"/>
  <c r="E1643" i="1"/>
  <c r="D1643" i="1"/>
  <c r="C1643" i="1"/>
  <c r="B1643" i="1"/>
  <c r="Q1642" i="1"/>
  <c r="P1642" i="1"/>
  <c r="O1642" i="1"/>
  <c r="N1642" i="1"/>
  <c r="M1642" i="1"/>
  <c r="L1642" i="1"/>
  <c r="K1642" i="1"/>
  <c r="J1642" i="1"/>
  <c r="I1642" i="1"/>
  <c r="H1642" i="1"/>
  <c r="G1642" i="1"/>
  <c r="F1642" i="1"/>
  <c r="E1642" i="1"/>
  <c r="D1642" i="1"/>
  <c r="C1642" i="1"/>
  <c r="B1642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C1641" i="1"/>
  <c r="B1641" i="1"/>
  <c r="Q1640" i="1"/>
  <c r="P1640" i="1"/>
  <c r="O1640" i="1"/>
  <c r="N1640" i="1"/>
  <c r="M1640" i="1"/>
  <c r="L1640" i="1"/>
  <c r="K1640" i="1"/>
  <c r="J1640" i="1"/>
  <c r="I1640" i="1"/>
  <c r="H1640" i="1"/>
  <c r="G1640" i="1"/>
  <c r="F1640" i="1"/>
  <c r="E1640" i="1"/>
  <c r="D1640" i="1"/>
  <c r="C1640" i="1"/>
  <c r="B1640" i="1"/>
  <c r="Q1639" i="1"/>
  <c r="P1639" i="1"/>
  <c r="O1639" i="1"/>
  <c r="N1639" i="1"/>
  <c r="M1639" i="1"/>
  <c r="L1639" i="1"/>
  <c r="K1639" i="1"/>
  <c r="J1639" i="1"/>
  <c r="I1639" i="1"/>
  <c r="H1639" i="1"/>
  <c r="G1639" i="1"/>
  <c r="F1639" i="1"/>
  <c r="E1639" i="1"/>
  <c r="D1639" i="1"/>
  <c r="C1639" i="1"/>
  <c r="B1639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D1638" i="1"/>
  <c r="C1638" i="1"/>
  <c r="B1638" i="1"/>
  <c r="Q1637" i="1"/>
  <c r="P1637" i="1"/>
  <c r="O1637" i="1"/>
  <c r="N1637" i="1"/>
  <c r="M1637" i="1"/>
  <c r="L1637" i="1"/>
  <c r="K1637" i="1"/>
  <c r="J1637" i="1"/>
  <c r="I1637" i="1"/>
  <c r="H1637" i="1"/>
  <c r="G1637" i="1"/>
  <c r="F1637" i="1"/>
  <c r="E1637" i="1"/>
  <c r="D1637" i="1"/>
  <c r="C1637" i="1"/>
  <c r="B1637" i="1"/>
  <c r="Q1636" i="1"/>
  <c r="P1636" i="1"/>
  <c r="O1636" i="1"/>
  <c r="N1636" i="1"/>
  <c r="M1636" i="1"/>
  <c r="L1636" i="1"/>
  <c r="K1636" i="1"/>
  <c r="J1636" i="1"/>
  <c r="I1636" i="1"/>
  <c r="H1636" i="1"/>
  <c r="G1636" i="1"/>
  <c r="F1636" i="1"/>
  <c r="E1636" i="1"/>
  <c r="D1636" i="1"/>
  <c r="C1636" i="1"/>
  <c r="B1636" i="1"/>
  <c r="Q1635" i="1"/>
  <c r="P1635" i="1"/>
  <c r="O1635" i="1"/>
  <c r="N1635" i="1"/>
  <c r="M1635" i="1"/>
  <c r="L1635" i="1"/>
  <c r="K1635" i="1"/>
  <c r="J1635" i="1"/>
  <c r="I1635" i="1"/>
  <c r="H1635" i="1"/>
  <c r="G1635" i="1"/>
  <c r="F1635" i="1"/>
  <c r="E1635" i="1"/>
  <c r="D1635" i="1"/>
  <c r="C1635" i="1"/>
  <c r="B1635" i="1"/>
  <c r="Q1634" i="1"/>
  <c r="P1634" i="1"/>
  <c r="O1634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B1634" i="1"/>
  <c r="Q1633" i="1"/>
  <c r="P1633" i="1"/>
  <c r="O1633" i="1"/>
  <c r="N1633" i="1"/>
  <c r="M1633" i="1"/>
  <c r="L1633" i="1"/>
  <c r="K1633" i="1"/>
  <c r="J1633" i="1"/>
  <c r="I1633" i="1"/>
  <c r="H1633" i="1"/>
  <c r="G1633" i="1"/>
  <c r="F1633" i="1"/>
  <c r="E1633" i="1"/>
  <c r="D1633" i="1"/>
  <c r="C1633" i="1"/>
  <c r="B1633" i="1"/>
  <c r="Q1632" i="1"/>
  <c r="P1632" i="1"/>
  <c r="O1632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B1632" i="1"/>
  <c r="Q1631" i="1"/>
  <c r="P1631" i="1"/>
  <c r="O1631" i="1"/>
  <c r="N1631" i="1"/>
  <c r="M1631" i="1"/>
  <c r="L1631" i="1"/>
  <c r="K1631" i="1"/>
  <c r="J1631" i="1"/>
  <c r="I1631" i="1"/>
  <c r="H1631" i="1"/>
  <c r="G1631" i="1"/>
  <c r="F1631" i="1"/>
  <c r="E1631" i="1"/>
  <c r="D1631" i="1"/>
  <c r="C1631" i="1"/>
  <c r="B1631" i="1"/>
  <c r="Q1630" i="1"/>
  <c r="P1630" i="1"/>
  <c r="O1630" i="1"/>
  <c r="N1630" i="1"/>
  <c r="M1630" i="1"/>
  <c r="L1630" i="1"/>
  <c r="K1630" i="1"/>
  <c r="J1630" i="1"/>
  <c r="I1630" i="1"/>
  <c r="H1630" i="1"/>
  <c r="G1630" i="1"/>
  <c r="F1630" i="1"/>
  <c r="E1630" i="1"/>
  <c r="D1630" i="1"/>
  <c r="C1630" i="1"/>
  <c r="B1630" i="1"/>
  <c r="Q1629" i="1"/>
  <c r="P1629" i="1"/>
  <c r="O1629" i="1"/>
  <c r="N1629" i="1"/>
  <c r="M1629" i="1"/>
  <c r="L1629" i="1"/>
  <c r="K1629" i="1"/>
  <c r="J1629" i="1"/>
  <c r="I1629" i="1"/>
  <c r="H1629" i="1"/>
  <c r="G1629" i="1"/>
  <c r="F1629" i="1"/>
  <c r="E1629" i="1"/>
  <c r="D1629" i="1"/>
  <c r="C1629" i="1"/>
  <c r="B1628" i="1"/>
  <c r="Q1627" i="1"/>
  <c r="P1627" i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C1627" i="1"/>
  <c r="B1627" i="1"/>
  <c r="Q1626" i="1"/>
  <c r="P1626" i="1"/>
  <c r="O1626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B1626" i="1"/>
  <c r="Q1625" i="1"/>
  <c r="P1625" i="1"/>
  <c r="O1625" i="1"/>
  <c r="N1625" i="1"/>
  <c r="M1625" i="1"/>
  <c r="L1625" i="1"/>
  <c r="K1625" i="1"/>
  <c r="J1625" i="1"/>
  <c r="I1625" i="1"/>
  <c r="H1625" i="1"/>
  <c r="G1625" i="1"/>
  <c r="F1625" i="1"/>
  <c r="E1625" i="1"/>
  <c r="D1625" i="1"/>
  <c r="C1625" i="1"/>
  <c r="B1625" i="1"/>
  <c r="Q1624" i="1"/>
  <c r="P1624" i="1"/>
  <c r="O1624" i="1"/>
  <c r="N1624" i="1"/>
  <c r="M1624" i="1"/>
  <c r="L1624" i="1"/>
  <c r="K1624" i="1"/>
  <c r="J1624" i="1"/>
  <c r="I1624" i="1"/>
  <c r="H1624" i="1"/>
  <c r="G1624" i="1"/>
  <c r="F1624" i="1"/>
  <c r="E1624" i="1"/>
  <c r="D1624" i="1"/>
  <c r="C1624" i="1"/>
  <c r="B1624" i="1"/>
  <c r="Q1623" i="1"/>
  <c r="P1623" i="1"/>
  <c r="O1623" i="1"/>
  <c r="N1623" i="1"/>
  <c r="M1623" i="1"/>
  <c r="L1623" i="1"/>
  <c r="K1623" i="1"/>
  <c r="J1623" i="1"/>
  <c r="I1623" i="1"/>
  <c r="H1623" i="1"/>
  <c r="G1623" i="1"/>
  <c r="F1623" i="1"/>
  <c r="E1623" i="1"/>
  <c r="D1623" i="1"/>
  <c r="C1623" i="1"/>
  <c r="B1623" i="1"/>
  <c r="Q1622" i="1"/>
  <c r="P1622" i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C1622" i="1"/>
  <c r="B1622" i="1"/>
  <c r="Q1621" i="1"/>
  <c r="P1621" i="1"/>
  <c r="O1621" i="1"/>
  <c r="N1621" i="1"/>
  <c r="M1621" i="1"/>
  <c r="L1621" i="1"/>
  <c r="K1621" i="1"/>
  <c r="J1621" i="1"/>
  <c r="I1621" i="1"/>
  <c r="H1621" i="1"/>
  <c r="G1621" i="1"/>
  <c r="F1621" i="1"/>
  <c r="E1621" i="1"/>
  <c r="D1621" i="1"/>
  <c r="C1621" i="1"/>
  <c r="B1621" i="1"/>
  <c r="Q1620" i="1"/>
  <c r="P1620" i="1"/>
  <c r="O1620" i="1"/>
  <c r="N1620" i="1"/>
  <c r="M1620" i="1"/>
  <c r="L1620" i="1"/>
  <c r="K1620" i="1"/>
  <c r="J1620" i="1"/>
  <c r="I1620" i="1"/>
  <c r="H1620" i="1"/>
  <c r="G1620" i="1"/>
  <c r="F1620" i="1"/>
  <c r="E1620" i="1"/>
  <c r="D1620" i="1"/>
  <c r="C1620" i="1"/>
  <c r="B1620" i="1"/>
  <c r="Q1619" i="1"/>
  <c r="P1619" i="1"/>
  <c r="O1619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B1619" i="1"/>
  <c r="Q1618" i="1"/>
  <c r="P1618" i="1"/>
  <c r="O1618" i="1"/>
  <c r="N1618" i="1"/>
  <c r="M1618" i="1"/>
  <c r="L1618" i="1"/>
  <c r="K1618" i="1"/>
  <c r="J1618" i="1"/>
  <c r="I1618" i="1"/>
  <c r="H1618" i="1"/>
  <c r="G1618" i="1"/>
  <c r="F1618" i="1"/>
  <c r="E1618" i="1"/>
  <c r="D1618" i="1"/>
  <c r="C1618" i="1"/>
  <c r="B1618" i="1"/>
  <c r="Q1617" i="1"/>
  <c r="P1617" i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C1617" i="1"/>
  <c r="B1617" i="1"/>
  <c r="Q1616" i="1"/>
  <c r="P1616" i="1"/>
  <c r="O1616" i="1"/>
  <c r="N1616" i="1"/>
  <c r="M1616" i="1"/>
  <c r="L1616" i="1"/>
  <c r="K1616" i="1"/>
  <c r="J1616" i="1"/>
  <c r="I1616" i="1"/>
  <c r="H1616" i="1"/>
  <c r="G1616" i="1"/>
  <c r="F1616" i="1"/>
  <c r="E1616" i="1"/>
  <c r="D1616" i="1"/>
  <c r="C1616" i="1"/>
  <c r="B1616" i="1"/>
  <c r="Q1615" i="1"/>
  <c r="P1615" i="1"/>
  <c r="O1615" i="1"/>
  <c r="N1615" i="1"/>
  <c r="M1615" i="1"/>
  <c r="L1615" i="1"/>
  <c r="K1615" i="1"/>
  <c r="J1615" i="1"/>
  <c r="I1615" i="1"/>
  <c r="H1615" i="1"/>
  <c r="G1615" i="1"/>
  <c r="F1615" i="1"/>
  <c r="E1615" i="1"/>
  <c r="D1615" i="1"/>
  <c r="C1615" i="1"/>
  <c r="B1615" i="1"/>
  <c r="Q1614" i="1"/>
  <c r="P1614" i="1"/>
  <c r="O1614" i="1"/>
  <c r="N1614" i="1"/>
  <c r="M1614" i="1"/>
  <c r="L1614" i="1"/>
  <c r="K1614" i="1"/>
  <c r="J1614" i="1"/>
  <c r="I1614" i="1"/>
  <c r="H1614" i="1"/>
  <c r="G1614" i="1"/>
  <c r="F1614" i="1"/>
  <c r="E1614" i="1"/>
  <c r="D1614" i="1"/>
  <c r="C1614" i="1"/>
  <c r="B1614" i="1"/>
  <c r="Q1613" i="1"/>
  <c r="P1613" i="1"/>
  <c r="O1613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B1613" i="1"/>
  <c r="Q1612" i="1"/>
  <c r="P1612" i="1"/>
  <c r="O1612" i="1"/>
  <c r="N1612" i="1"/>
  <c r="M1612" i="1"/>
  <c r="L1612" i="1"/>
  <c r="K1612" i="1"/>
  <c r="J1612" i="1"/>
  <c r="I1612" i="1"/>
  <c r="H1612" i="1"/>
  <c r="G1612" i="1"/>
  <c r="F1612" i="1"/>
  <c r="E1612" i="1"/>
  <c r="D1612" i="1"/>
  <c r="C1612" i="1"/>
  <c r="B1612" i="1"/>
  <c r="Q1611" i="1"/>
  <c r="P1611" i="1"/>
  <c r="O1611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B1611" i="1"/>
  <c r="Q1610" i="1"/>
  <c r="P1610" i="1"/>
  <c r="O1610" i="1"/>
  <c r="N1610" i="1"/>
  <c r="M1610" i="1"/>
  <c r="L1610" i="1"/>
  <c r="K1610" i="1"/>
  <c r="J1610" i="1"/>
  <c r="I1610" i="1"/>
  <c r="H1610" i="1"/>
  <c r="G1610" i="1"/>
  <c r="F1610" i="1"/>
  <c r="E1610" i="1"/>
  <c r="D1610" i="1"/>
  <c r="C1610" i="1"/>
  <c r="B1610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B1609" i="1"/>
  <c r="Q1608" i="1"/>
  <c r="P1608" i="1"/>
  <c r="O1608" i="1"/>
  <c r="N1608" i="1"/>
  <c r="M1608" i="1"/>
  <c r="L1608" i="1"/>
  <c r="K1608" i="1"/>
  <c r="J1608" i="1"/>
  <c r="I1608" i="1"/>
  <c r="H1608" i="1"/>
  <c r="G1608" i="1"/>
  <c r="F1608" i="1"/>
  <c r="E1608" i="1"/>
  <c r="D1608" i="1"/>
  <c r="C1608" i="1"/>
  <c r="B1608" i="1"/>
  <c r="Q1607" i="1"/>
  <c r="P1607" i="1"/>
  <c r="O1607" i="1"/>
  <c r="N1607" i="1"/>
  <c r="M1607" i="1"/>
  <c r="L1607" i="1"/>
  <c r="K1607" i="1"/>
  <c r="J1607" i="1"/>
  <c r="I1607" i="1"/>
  <c r="H1607" i="1"/>
  <c r="G1607" i="1"/>
  <c r="F1607" i="1"/>
  <c r="E1607" i="1"/>
  <c r="D1607" i="1"/>
  <c r="C1607" i="1"/>
  <c r="B1607" i="1"/>
  <c r="Q1606" i="1"/>
  <c r="P1606" i="1"/>
  <c r="O1606" i="1"/>
  <c r="N1606" i="1"/>
  <c r="M1606" i="1"/>
  <c r="L1606" i="1"/>
  <c r="K1606" i="1"/>
  <c r="J1606" i="1"/>
  <c r="I1606" i="1"/>
  <c r="H1606" i="1"/>
  <c r="G1606" i="1"/>
  <c r="F1606" i="1"/>
  <c r="E1606" i="1"/>
  <c r="D1606" i="1"/>
  <c r="C1606" i="1"/>
  <c r="B1606" i="1"/>
  <c r="Q1605" i="1"/>
  <c r="P1605" i="1"/>
  <c r="O1605" i="1"/>
  <c r="N1605" i="1"/>
  <c r="M1605" i="1"/>
  <c r="L1605" i="1"/>
  <c r="K1605" i="1"/>
  <c r="J1605" i="1"/>
  <c r="I1605" i="1"/>
  <c r="H1605" i="1"/>
  <c r="G1605" i="1"/>
  <c r="F1605" i="1"/>
  <c r="E1605" i="1"/>
  <c r="D1605" i="1"/>
  <c r="C1605" i="1"/>
  <c r="B1604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C1603" i="1"/>
  <c r="B1603" i="1"/>
  <c r="Q1602" i="1"/>
  <c r="P1602" i="1"/>
  <c r="O1602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B1602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D1601" i="1"/>
  <c r="C1601" i="1"/>
  <c r="B1601" i="1"/>
  <c r="Q1600" i="1"/>
  <c r="P1600" i="1"/>
  <c r="O1600" i="1"/>
  <c r="N1600" i="1"/>
  <c r="M1600" i="1"/>
  <c r="L1600" i="1"/>
  <c r="K1600" i="1"/>
  <c r="J1600" i="1"/>
  <c r="I1600" i="1"/>
  <c r="H1600" i="1"/>
  <c r="G1600" i="1"/>
  <c r="F1600" i="1"/>
  <c r="E1600" i="1"/>
  <c r="D1600" i="1"/>
  <c r="C1600" i="1"/>
  <c r="B1600" i="1"/>
  <c r="Q1599" i="1"/>
  <c r="P1599" i="1"/>
  <c r="O1599" i="1"/>
  <c r="N1599" i="1"/>
  <c r="M1599" i="1"/>
  <c r="L1599" i="1"/>
  <c r="K1599" i="1"/>
  <c r="J1599" i="1"/>
  <c r="I1599" i="1"/>
  <c r="H1599" i="1"/>
  <c r="G1599" i="1"/>
  <c r="F1599" i="1"/>
  <c r="E1599" i="1"/>
  <c r="D1599" i="1"/>
  <c r="C1599" i="1"/>
  <c r="B1599" i="1"/>
  <c r="Q1598" i="1"/>
  <c r="P1598" i="1"/>
  <c r="O1598" i="1"/>
  <c r="N1598" i="1"/>
  <c r="M1598" i="1"/>
  <c r="L1598" i="1"/>
  <c r="K1598" i="1"/>
  <c r="J1598" i="1"/>
  <c r="I1598" i="1"/>
  <c r="H1598" i="1"/>
  <c r="G1598" i="1"/>
  <c r="F1598" i="1"/>
  <c r="E1598" i="1"/>
  <c r="D1598" i="1"/>
  <c r="C1598" i="1"/>
  <c r="B1598" i="1"/>
  <c r="Q1597" i="1"/>
  <c r="P1597" i="1"/>
  <c r="O1597" i="1"/>
  <c r="N1597" i="1"/>
  <c r="M1597" i="1"/>
  <c r="L1597" i="1"/>
  <c r="K1597" i="1"/>
  <c r="J1597" i="1"/>
  <c r="I1597" i="1"/>
  <c r="H1597" i="1"/>
  <c r="G1597" i="1"/>
  <c r="F1597" i="1"/>
  <c r="E1597" i="1"/>
  <c r="D1597" i="1"/>
  <c r="C1597" i="1"/>
  <c r="B1597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C1596" i="1"/>
  <c r="B1596" i="1"/>
  <c r="Q1595" i="1"/>
  <c r="P1595" i="1"/>
  <c r="O1595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B1595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D1594" i="1"/>
  <c r="C1594" i="1"/>
  <c r="B1594" i="1"/>
  <c r="Q1593" i="1"/>
  <c r="P1593" i="1"/>
  <c r="O1593" i="1"/>
  <c r="N1593" i="1"/>
  <c r="M1593" i="1"/>
  <c r="L1593" i="1"/>
  <c r="K1593" i="1"/>
  <c r="J1593" i="1"/>
  <c r="I1593" i="1"/>
  <c r="H1593" i="1"/>
  <c r="G1593" i="1"/>
  <c r="F1593" i="1"/>
  <c r="E1593" i="1"/>
  <c r="D1593" i="1"/>
  <c r="C1593" i="1"/>
  <c r="B1593" i="1"/>
  <c r="Q1592" i="1"/>
  <c r="P1592" i="1"/>
  <c r="O1592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B1592" i="1"/>
  <c r="Q1591" i="1"/>
  <c r="P1591" i="1"/>
  <c r="O1591" i="1"/>
  <c r="N1591" i="1"/>
  <c r="M1591" i="1"/>
  <c r="L1591" i="1"/>
  <c r="K1591" i="1"/>
  <c r="J1591" i="1"/>
  <c r="I1591" i="1"/>
  <c r="H1591" i="1"/>
  <c r="G1591" i="1"/>
  <c r="F1591" i="1"/>
  <c r="E1591" i="1"/>
  <c r="D1591" i="1"/>
  <c r="C1591" i="1"/>
  <c r="B1591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B1590" i="1"/>
  <c r="Q1589" i="1"/>
  <c r="P1589" i="1"/>
  <c r="O1589" i="1"/>
  <c r="N1589" i="1"/>
  <c r="M1589" i="1"/>
  <c r="L1589" i="1"/>
  <c r="K1589" i="1"/>
  <c r="J1589" i="1"/>
  <c r="I1589" i="1"/>
  <c r="H1589" i="1"/>
  <c r="G1589" i="1"/>
  <c r="F1589" i="1"/>
  <c r="E1589" i="1"/>
  <c r="D1589" i="1"/>
  <c r="C1589" i="1"/>
  <c r="B1589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D1588" i="1"/>
  <c r="C1588" i="1"/>
  <c r="B1588" i="1"/>
  <c r="Q1587" i="1"/>
  <c r="P1587" i="1"/>
  <c r="O1587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B1587" i="1"/>
  <c r="Q1586" i="1"/>
  <c r="P1586" i="1"/>
  <c r="O1586" i="1"/>
  <c r="N1586" i="1"/>
  <c r="M1586" i="1"/>
  <c r="L1586" i="1"/>
  <c r="K1586" i="1"/>
  <c r="J1586" i="1"/>
  <c r="I1586" i="1"/>
  <c r="H1586" i="1"/>
  <c r="G1586" i="1"/>
  <c r="F1586" i="1"/>
  <c r="E1586" i="1"/>
  <c r="D1586" i="1"/>
  <c r="C1586" i="1"/>
  <c r="B1586" i="1"/>
  <c r="Q1585" i="1"/>
  <c r="P1585" i="1"/>
  <c r="O1585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B1585" i="1"/>
  <c r="Q1584" i="1"/>
  <c r="P1584" i="1"/>
  <c r="O1584" i="1"/>
  <c r="N1584" i="1"/>
  <c r="M1584" i="1"/>
  <c r="L1584" i="1"/>
  <c r="K1584" i="1"/>
  <c r="J1584" i="1"/>
  <c r="I1584" i="1"/>
  <c r="H1584" i="1"/>
  <c r="G1584" i="1"/>
  <c r="F1584" i="1"/>
  <c r="E1584" i="1"/>
  <c r="D1584" i="1"/>
  <c r="C1584" i="1"/>
  <c r="B1584" i="1"/>
  <c r="Q1583" i="1"/>
  <c r="P1583" i="1"/>
  <c r="O1583" i="1"/>
  <c r="N1583" i="1"/>
  <c r="M1583" i="1"/>
  <c r="L1583" i="1"/>
  <c r="K1583" i="1"/>
  <c r="J1583" i="1"/>
  <c r="I1583" i="1"/>
  <c r="H1583" i="1"/>
  <c r="G1583" i="1"/>
  <c r="F1583" i="1"/>
  <c r="E1583" i="1"/>
  <c r="D1583" i="1"/>
  <c r="C1583" i="1"/>
  <c r="B1583" i="1"/>
  <c r="Q1582" i="1"/>
  <c r="P1582" i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B1582" i="1"/>
  <c r="Q1581" i="1"/>
  <c r="P1581" i="1"/>
  <c r="O1581" i="1"/>
  <c r="N1581" i="1"/>
  <c r="M1581" i="1"/>
  <c r="L1581" i="1"/>
  <c r="K1581" i="1"/>
  <c r="J1581" i="1"/>
  <c r="I1581" i="1"/>
  <c r="H1581" i="1"/>
  <c r="G1581" i="1"/>
  <c r="F1581" i="1"/>
  <c r="E1581" i="1"/>
  <c r="D1581" i="1"/>
  <c r="C1581" i="1"/>
  <c r="B1580" i="1"/>
  <c r="Q1579" i="1"/>
  <c r="P1579" i="1"/>
  <c r="O1579" i="1"/>
  <c r="N1579" i="1"/>
  <c r="M1579" i="1"/>
  <c r="L1579" i="1"/>
  <c r="K1579" i="1"/>
  <c r="J1579" i="1"/>
  <c r="I1579" i="1"/>
  <c r="H1579" i="1"/>
  <c r="G1579" i="1"/>
  <c r="F1579" i="1"/>
  <c r="E1579" i="1"/>
  <c r="D1579" i="1"/>
  <c r="C1579" i="1"/>
  <c r="B1579" i="1"/>
  <c r="Q1578" i="1"/>
  <c r="P1578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B1578" i="1"/>
  <c r="Q1577" i="1"/>
  <c r="P1577" i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C1577" i="1"/>
  <c r="B1577" i="1"/>
  <c r="Q1576" i="1"/>
  <c r="P1576" i="1"/>
  <c r="O1576" i="1"/>
  <c r="N1576" i="1"/>
  <c r="M1576" i="1"/>
  <c r="L1576" i="1"/>
  <c r="K1576" i="1"/>
  <c r="J1576" i="1"/>
  <c r="I1576" i="1"/>
  <c r="H1576" i="1"/>
  <c r="G1576" i="1"/>
  <c r="F1576" i="1"/>
  <c r="E1576" i="1"/>
  <c r="D1576" i="1"/>
  <c r="C1576" i="1"/>
  <c r="B1576" i="1"/>
  <c r="Q1575" i="1"/>
  <c r="P1575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B1575" i="1"/>
  <c r="Q1574" i="1"/>
  <c r="P1574" i="1"/>
  <c r="O1574" i="1"/>
  <c r="N1574" i="1"/>
  <c r="M1574" i="1"/>
  <c r="L1574" i="1"/>
  <c r="K1574" i="1"/>
  <c r="J1574" i="1"/>
  <c r="I1574" i="1"/>
  <c r="H1574" i="1"/>
  <c r="G1574" i="1"/>
  <c r="F1574" i="1"/>
  <c r="E1574" i="1"/>
  <c r="D1574" i="1"/>
  <c r="C1574" i="1"/>
  <c r="B1574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D1573" i="1"/>
  <c r="C1573" i="1"/>
  <c r="B1573" i="1"/>
  <c r="Q1572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B1572" i="1"/>
  <c r="Q1571" i="1"/>
  <c r="P1571" i="1"/>
  <c r="O1571" i="1"/>
  <c r="N1571" i="1"/>
  <c r="M1571" i="1"/>
  <c r="L1571" i="1"/>
  <c r="K1571" i="1"/>
  <c r="J1571" i="1"/>
  <c r="I1571" i="1"/>
  <c r="H1571" i="1"/>
  <c r="G1571" i="1"/>
  <c r="F1571" i="1"/>
  <c r="E1571" i="1"/>
  <c r="D1571" i="1"/>
  <c r="C1571" i="1"/>
  <c r="B1571" i="1"/>
  <c r="Q1570" i="1"/>
  <c r="P1570" i="1"/>
  <c r="O1570" i="1"/>
  <c r="N1570" i="1"/>
  <c r="M1570" i="1"/>
  <c r="L1570" i="1"/>
  <c r="K1570" i="1"/>
  <c r="J1570" i="1"/>
  <c r="I1570" i="1"/>
  <c r="H1570" i="1"/>
  <c r="G1570" i="1"/>
  <c r="F1570" i="1"/>
  <c r="E1570" i="1"/>
  <c r="D1570" i="1"/>
  <c r="C1570" i="1"/>
  <c r="B1570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B1569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D1568" i="1"/>
  <c r="C1568" i="1"/>
  <c r="B1568" i="1"/>
  <c r="Q1567" i="1"/>
  <c r="P1567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B1567" i="1"/>
  <c r="Q1566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B1566" i="1"/>
  <c r="Q1565" i="1"/>
  <c r="P1565" i="1"/>
  <c r="O1565" i="1"/>
  <c r="N1565" i="1"/>
  <c r="M1565" i="1"/>
  <c r="L1565" i="1"/>
  <c r="K1565" i="1"/>
  <c r="J1565" i="1"/>
  <c r="I1565" i="1"/>
  <c r="H1565" i="1"/>
  <c r="G1565" i="1"/>
  <c r="F1565" i="1"/>
  <c r="E1565" i="1"/>
  <c r="D1565" i="1"/>
  <c r="C1565" i="1"/>
  <c r="B1565" i="1"/>
  <c r="Q1564" i="1"/>
  <c r="P1564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B1564" i="1"/>
  <c r="Q1563" i="1"/>
  <c r="P1563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B1563" i="1"/>
  <c r="Q1562" i="1"/>
  <c r="P1562" i="1"/>
  <c r="O1562" i="1"/>
  <c r="N1562" i="1"/>
  <c r="M1562" i="1"/>
  <c r="L1562" i="1"/>
  <c r="K1562" i="1"/>
  <c r="J1562" i="1"/>
  <c r="I1562" i="1"/>
  <c r="H1562" i="1"/>
  <c r="G1562" i="1"/>
  <c r="F1562" i="1"/>
  <c r="E1562" i="1"/>
  <c r="D1562" i="1"/>
  <c r="C1562" i="1"/>
  <c r="B1562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B1561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B1560" i="1"/>
  <c r="Q1559" i="1"/>
  <c r="P1559" i="1"/>
  <c r="O1559" i="1"/>
  <c r="N1559" i="1"/>
  <c r="M1559" i="1"/>
  <c r="L1559" i="1"/>
  <c r="K1559" i="1"/>
  <c r="J1559" i="1"/>
  <c r="I1559" i="1"/>
  <c r="H1559" i="1"/>
  <c r="G1559" i="1"/>
  <c r="F1559" i="1"/>
  <c r="E1559" i="1"/>
  <c r="D1559" i="1"/>
  <c r="C1559" i="1"/>
  <c r="B1559" i="1"/>
  <c r="Q1558" i="1"/>
  <c r="P1558" i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B1558" i="1"/>
  <c r="Q1557" i="1"/>
  <c r="P1557" i="1"/>
  <c r="O1557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B1556" i="1"/>
  <c r="Q1555" i="1"/>
  <c r="P1555" i="1"/>
  <c r="O1555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B1555" i="1"/>
  <c r="Q1554" i="1"/>
  <c r="P1554" i="1"/>
  <c r="O1554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B1554" i="1"/>
  <c r="Q1553" i="1"/>
  <c r="P1553" i="1"/>
  <c r="O1553" i="1"/>
  <c r="N1553" i="1"/>
  <c r="M1553" i="1"/>
  <c r="L1553" i="1"/>
  <c r="K1553" i="1"/>
  <c r="J1553" i="1"/>
  <c r="I1553" i="1"/>
  <c r="H1553" i="1"/>
  <c r="G1553" i="1"/>
  <c r="F1553" i="1"/>
  <c r="E1553" i="1"/>
  <c r="D1553" i="1"/>
  <c r="C1553" i="1"/>
  <c r="B1553" i="1"/>
  <c r="Q1552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B1552" i="1"/>
  <c r="Q1551" i="1"/>
  <c r="P1551" i="1"/>
  <c r="O1551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B1551" i="1"/>
  <c r="Q1550" i="1"/>
  <c r="P1550" i="1"/>
  <c r="O1550" i="1"/>
  <c r="N1550" i="1"/>
  <c r="M1550" i="1"/>
  <c r="L1550" i="1"/>
  <c r="K1550" i="1"/>
  <c r="J1550" i="1"/>
  <c r="I1550" i="1"/>
  <c r="H1550" i="1"/>
  <c r="G1550" i="1"/>
  <c r="F1550" i="1"/>
  <c r="E1550" i="1"/>
  <c r="D1550" i="1"/>
  <c r="C1550" i="1"/>
  <c r="B1550" i="1"/>
  <c r="Q1549" i="1"/>
  <c r="P1549" i="1"/>
  <c r="O1549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B1549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B1548" i="1"/>
  <c r="Q1547" i="1"/>
  <c r="P1547" i="1"/>
  <c r="O1547" i="1"/>
  <c r="N1547" i="1"/>
  <c r="M1547" i="1"/>
  <c r="L1547" i="1"/>
  <c r="K1547" i="1"/>
  <c r="J1547" i="1"/>
  <c r="I1547" i="1"/>
  <c r="H1547" i="1"/>
  <c r="G1547" i="1"/>
  <c r="F1547" i="1"/>
  <c r="E1547" i="1"/>
  <c r="D1547" i="1"/>
  <c r="C1547" i="1"/>
  <c r="B1547" i="1"/>
  <c r="Q1546" i="1"/>
  <c r="P1546" i="1"/>
  <c r="O1546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B1546" i="1"/>
  <c r="Q1545" i="1"/>
  <c r="P1545" i="1"/>
  <c r="O1545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B1545" i="1"/>
  <c r="Q1544" i="1"/>
  <c r="P1544" i="1"/>
  <c r="O1544" i="1"/>
  <c r="N1544" i="1"/>
  <c r="M1544" i="1"/>
  <c r="L1544" i="1"/>
  <c r="K1544" i="1"/>
  <c r="J1544" i="1"/>
  <c r="I1544" i="1"/>
  <c r="H1544" i="1"/>
  <c r="G1544" i="1"/>
  <c r="F1544" i="1"/>
  <c r="E1544" i="1"/>
  <c r="D1544" i="1"/>
  <c r="C1544" i="1"/>
  <c r="B1544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B1543" i="1"/>
  <c r="Q1542" i="1"/>
  <c r="P1542" i="1"/>
  <c r="O1542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B1542" i="1"/>
  <c r="Q1541" i="1"/>
  <c r="P1541" i="1"/>
  <c r="O1541" i="1"/>
  <c r="N1541" i="1"/>
  <c r="M1541" i="1"/>
  <c r="L1541" i="1"/>
  <c r="K1541" i="1"/>
  <c r="J1541" i="1"/>
  <c r="I1541" i="1"/>
  <c r="H1541" i="1"/>
  <c r="G1541" i="1"/>
  <c r="F1541" i="1"/>
  <c r="E1541" i="1"/>
  <c r="D1541" i="1"/>
  <c r="C1541" i="1"/>
  <c r="B1541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B1540" i="1"/>
  <c r="Q1539" i="1"/>
  <c r="P1539" i="1"/>
  <c r="O1539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B1539" i="1"/>
  <c r="Q1538" i="1"/>
  <c r="P1538" i="1"/>
  <c r="O1538" i="1"/>
  <c r="N1538" i="1"/>
  <c r="M1538" i="1"/>
  <c r="L1538" i="1"/>
  <c r="K1538" i="1"/>
  <c r="J1538" i="1"/>
  <c r="I1538" i="1"/>
  <c r="H1538" i="1"/>
  <c r="G1538" i="1"/>
  <c r="F1538" i="1"/>
  <c r="E1538" i="1"/>
  <c r="D1538" i="1"/>
  <c r="C1538" i="1"/>
  <c r="B1538" i="1"/>
  <c r="Q1537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B1537" i="1"/>
  <c r="Q1536" i="1"/>
  <c r="P1536" i="1"/>
  <c r="O1536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B1536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C1535" i="1"/>
  <c r="B1535" i="1"/>
  <c r="Q1534" i="1"/>
  <c r="P1534" i="1"/>
  <c r="O1534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B1534" i="1"/>
  <c r="Q1533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B1532" i="1"/>
  <c r="Q1531" i="1"/>
  <c r="P1531" i="1"/>
  <c r="O1531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B1531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B1530" i="1"/>
  <c r="Q1529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B1529" i="1"/>
  <c r="Q1528" i="1"/>
  <c r="P1528" i="1"/>
  <c r="O1528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B1528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B1527" i="1"/>
  <c r="Q1526" i="1"/>
  <c r="P1526" i="1"/>
  <c r="O1526" i="1"/>
  <c r="N1526" i="1"/>
  <c r="M1526" i="1"/>
  <c r="L1526" i="1"/>
  <c r="K1526" i="1"/>
  <c r="J1526" i="1"/>
  <c r="I1526" i="1"/>
  <c r="H1526" i="1"/>
  <c r="G1526" i="1"/>
  <c r="F1526" i="1"/>
  <c r="E1526" i="1"/>
  <c r="D1526" i="1"/>
  <c r="C1526" i="1"/>
  <c r="B1526" i="1"/>
  <c r="Q1525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B1525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B1524" i="1"/>
  <c r="Q1523" i="1"/>
  <c r="P1523" i="1"/>
  <c r="O1523" i="1"/>
  <c r="N1523" i="1"/>
  <c r="M1523" i="1"/>
  <c r="L1523" i="1"/>
  <c r="K1523" i="1"/>
  <c r="J1523" i="1"/>
  <c r="I1523" i="1"/>
  <c r="H1523" i="1"/>
  <c r="G1523" i="1"/>
  <c r="F1523" i="1"/>
  <c r="E1523" i="1"/>
  <c r="D1523" i="1"/>
  <c r="C1523" i="1"/>
  <c r="B1523" i="1"/>
  <c r="Q1522" i="1"/>
  <c r="P1522" i="1"/>
  <c r="O1522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B1522" i="1"/>
  <c r="Q1521" i="1"/>
  <c r="P1521" i="1"/>
  <c r="O1521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B1521" i="1"/>
  <c r="Q1520" i="1"/>
  <c r="P1520" i="1"/>
  <c r="O1520" i="1"/>
  <c r="N1520" i="1"/>
  <c r="M1520" i="1"/>
  <c r="L1520" i="1"/>
  <c r="K1520" i="1"/>
  <c r="J1520" i="1"/>
  <c r="I1520" i="1"/>
  <c r="H1520" i="1"/>
  <c r="G1520" i="1"/>
  <c r="F1520" i="1"/>
  <c r="E1520" i="1"/>
  <c r="D1520" i="1"/>
  <c r="C1520" i="1"/>
  <c r="B1520" i="1"/>
  <c r="Q1519" i="1"/>
  <c r="P1519" i="1"/>
  <c r="O1519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B1519" i="1"/>
  <c r="Q1518" i="1"/>
  <c r="P1518" i="1"/>
  <c r="O1518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B1518" i="1"/>
  <c r="Q1517" i="1"/>
  <c r="P1517" i="1"/>
  <c r="O1517" i="1"/>
  <c r="N1517" i="1"/>
  <c r="M1517" i="1"/>
  <c r="L1517" i="1"/>
  <c r="K1517" i="1"/>
  <c r="J1517" i="1"/>
  <c r="I1517" i="1"/>
  <c r="H1517" i="1"/>
  <c r="G1517" i="1"/>
  <c r="F1517" i="1"/>
  <c r="E1517" i="1"/>
  <c r="D1517" i="1"/>
  <c r="C1517" i="1"/>
  <c r="B1517" i="1"/>
  <c r="Q1516" i="1"/>
  <c r="P1516" i="1"/>
  <c r="O1516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B1516" i="1"/>
  <c r="Q1515" i="1"/>
  <c r="P1515" i="1"/>
  <c r="O1515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B1515" i="1"/>
  <c r="Q1514" i="1"/>
  <c r="P1514" i="1"/>
  <c r="O1514" i="1"/>
  <c r="N1514" i="1"/>
  <c r="M1514" i="1"/>
  <c r="L1514" i="1"/>
  <c r="K1514" i="1"/>
  <c r="J1514" i="1"/>
  <c r="I1514" i="1"/>
  <c r="H1514" i="1"/>
  <c r="G1514" i="1"/>
  <c r="F1514" i="1"/>
  <c r="E1514" i="1"/>
  <c r="D1514" i="1"/>
  <c r="C1514" i="1"/>
  <c r="B1514" i="1"/>
  <c r="Q1513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B1513" i="1"/>
  <c r="Q1512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B1512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C1511" i="1"/>
  <c r="B1511" i="1"/>
  <c r="Q1510" i="1"/>
  <c r="P1510" i="1"/>
  <c r="O1510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B1510" i="1"/>
  <c r="Q1509" i="1"/>
  <c r="P1509" i="1"/>
  <c r="O1509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B1508" i="1"/>
  <c r="Q1507" i="1"/>
  <c r="P1507" i="1"/>
  <c r="O1507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B1507" i="1"/>
  <c r="Q1506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B1506" i="1"/>
  <c r="Q1505" i="1"/>
  <c r="P1505" i="1"/>
  <c r="O1505" i="1"/>
  <c r="N1505" i="1"/>
  <c r="M1505" i="1"/>
  <c r="L1505" i="1"/>
  <c r="K1505" i="1"/>
  <c r="J1505" i="1"/>
  <c r="I1505" i="1"/>
  <c r="H1505" i="1"/>
  <c r="G1505" i="1"/>
  <c r="F1505" i="1"/>
  <c r="E1505" i="1"/>
  <c r="D1505" i="1"/>
  <c r="C1505" i="1"/>
  <c r="B1505" i="1"/>
  <c r="Q1504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B1504" i="1"/>
  <c r="Q1503" i="1"/>
  <c r="P1503" i="1"/>
  <c r="O1503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B1503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D1502" i="1"/>
  <c r="C1502" i="1"/>
  <c r="B1502" i="1"/>
  <c r="Q1501" i="1"/>
  <c r="P1501" i="1"/>
  <c r="O1501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B1501" i="1"/>
  <c r="Q1500" i="1"/>
  <c r="P1500" i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B1500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C1499" i="1"/>
  <c r="B1499" i="1"/>
  <c r="Q1498" i="1"/>
  <c r="P1498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B1498" i="1"/>
  <c r="Q1497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B1497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D1496" i="1"/>
  <c r="C1496" i="1"/>
  <c r="B1496" i="1"/>
  <c r="Q1495" i="1"/>
  <c r="P1495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B1495" i="1"/>
  <c r="Q1494" i="1"/>
  <c r="P1494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B1494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C1493" i="1"/>
  <c r="B1493" i="1"/>
  <c r="Q1492" i="1"/>
  <c r="P1492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B1492" i="1"/>
  <c r="Q1491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B1491" i="1"/>
  <c r="Q1490" i="1"/>
  <c r="P1490" i="1"/>
  <c r="O1490" i="1"/>
  <c r="N1490" i="1"/>
  <c r="M1490" i="1"/>
  <c r="L1490" i="1"/>
  <c r="K1490" i="1"/>
  <c r="J1490" i="1"/>
  <c r="I1490" i="1"/>
  <c r="H1490" i="1"/>
  <c r="G1490" i="1"/>
  <c r="F1490" i="1"/>
  <c r="E1490" i="1"/>
  <c r="D1490" i="1"/>
  <c r="C1490" i="1"/>
  <c r="B1490" i="1"/>
  <c r="Q1489" i="1"/>
  <c r="P1489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B1489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B1488" i="1"/>
  <c r="Q1487" i="1"/>
  <c r="P1487" i="1"/>
  <c r="O1487" i="1"/>
  <c r="N1487" i="1"/>
  <c r="M1487" i="1"/>
  <c r="L1487" i="1"/>
  <c r="K1487" i="1"/>
  <c r="J1487" i="1"/>
  <c r="I1487" i="1"/>
  <c r="H1487" i="1"/>
  <c r="G1487" i="1"/>
  <c r="F1487" i="1"/>
  <c r="E1487" i="1"/>
  <c r="D1487" i="1"/>
  <c r="C1487" i="1"/>
  <c r="B1487" i="1"/>
  <c r="Q1486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B1486" i="1"/>
  <c r="Q1485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B1484" i="1"/>
  <c r="Q1483" i="1"/>
  <c r="P1483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B1483" i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B1482" i="1"/>
  <c r="Q1481" i="1"/>
  <c r="P1481" i="1"/>
  <c r="O1481" i="1"/>
  <c r="N1481" i="1"/>
  <c r="M1481" i="1"/>
  <c r="L1481" i="1"/>
  <c r="K1481" i="1"/>
  <c r="J1481" i="1"/>
  <c r="I1481" i="1"/>
  <c r="H1481" i="1"/>
  <c r="G1481" i="1"/>
  <c r="F1481" i="1"/>
  <c r="E1481" i="1"/>
  <c r="D1481" i="1"/>
  <c r="C1481" i="1"/>
  <c r="B1481" i="1"/>
  <c r="Q1480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B1480" i="1"/>
  <c r="Q1479" i="1"/>
  <c r="P1479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B1479" i="1"/>
  <c r="Q1478" i="1"/>
  <c r="P1478" i="1"/>
  <c r="O1478" i="1"/>
  <c r="N1478" i="1"/>
  <c r="M1478" i="1"/>
  <c r="L1478" i="1"/>
  <c r="K1478" i="1"/>
  <c r="J1478" i="1"/>
  <c r="I1478" i="1"/>
  <c r="H1478" i="1"/>
  <c r="G1478" i="1"/>
  <c r="F1478" i="1"/>
  <c r="E1478" i="1"/>
  <c r="D1478" i="1"/>
  <c r="C1478" i="1"/>
  <c r="B1478" i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B1477" i="1"/>
  <c r="Q1476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B1476" i="1"/>
  <c r="Q1475" i="1"/>
  <c r="P1475" i="1"/>
  <c r="O1475" i="1"/>
  <c r="N1475" i="1"/>
  <c r="M1475" i="1"/>
  <c r="L1475" i="1"/>
  <c r="K1475" i="1"/>
  <c r="J1475" i="1"/>
  <c r="I1475" i="1"/>
  <c r="H1475" i="1"/>
  <c r="G1475" i="1"/>
  <c r="F1475" i="1"/>
  <c r="E1475" i="1"/>
  <c r="D1475" i="1"/>
  <c r="C1475" i="1"/>
  <c r="B1475" i="1"/>
  <c r="Q1474" i="1"/>
  <c r="P1474" i="1"/>
  <c r="O1474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B1474" i="1"/>
  <c r="Q1473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B1473" i="1"/>
  <c r="Q1472" i="1"/>
  <c r="P1472" i="1"/>
  <c r="O1472" i="1"/>
  <c r="N1472" i="1"/>
  <c r="M1472" i="1"/>
  <c r="L1472" i="1"/>
  <c r="K1472" i="1"/>
  <c r="J1472" i="1"/>
  <c r="I1472" i="1"/>
  <c r="H1472" i="1"/>
  <c r="G1472" i="1"/>
  <c r="F1472" i="1"/>
  <c r="E1472" i="1"/>
  <c r="D1472" i="1"/>
  <c r="C1472" i="1"/>
  <c r="B1472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B1471" i="1"/>
  <c r="Q1470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B1470" i="1"/>
  <c r="Q1469" i="1"/>
  <c r="P1469" i="1"/>
  <c r="O1469" i="1"/>
  <c r="N1469" i="1"/>
  <c r="M1469" i="1"/>
  <c r="L1469" i="1"/>
  <c r="K1469" i="1"/>
  <c r="J1469" i="1"/>
  <c r="I1469" i="1"/>
  <c r="H1469" i="1"/>
  <c r="G1469" i="1"/>
  <c r="F1469" i="1"/>
  <c r="E1469" i="1"/>
  <c r="D1469" i="1"/>
  <c r="C1469" i="1"/>
  <c r="B1469" i="1"/>
  <c r="Q1468" i="1"/>
  <c r="P1468" i="1"/>
  <c r="O1468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B1468" i="1"/>
  <c r="Q1467" i="1"/>
  <c r="P1467" i="1"/>
  <c r="O1467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B1467" i="1"/>
  <c r="Q1466" i="1"/>
  <c r="P1466" i="1"/>
  <c r="O1466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B1466" i="1"/>
  <c r="Q1465" i="1"/>
  <c r="P1465" i="1"/>
  <c r="O1465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B1465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B1464" i="1"/>
  <c r="Q1463" i="1"/>
  <c r="P1463" i="1"/>
  <c r="O1463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B1463" i="1"/>
  <c r="Q1462" i="1"/>
  <c r="P1462" i="1"/>
  <c r="O1462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B1462" i="1"/>
  <c r="Q1461" i="1"/>
  <c r="P1461" i="1"/>
  <c r="O1461" i="1"/>
  <c r="N1461" i="1"/>
  <c r="M1461" i="1"/>
  <c r="L1461" i="1"/>
  <c r="K1461" i="1"/>
  <c r="J1461" i="1"/>
  <c r="I1461" i="1"/>
  <c r="H1461" i="1"/>
  <c r="G1461" i="1"/>
  <c r="F1461" i="1"/>
  <c r="E1461" i="1"/>
  <c r="D1461" i="1"/>
  <c r="C1461" i="1"/>
  <c r="B1460" i="1"/>
  <c r="Q1459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B1459" i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B1458" i="1"/>
  <c r="Q1457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B1457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B1456" i="1"/>
  <c r="Q1455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B1455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B1454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B1453" i="1"/>
  <c r="Q1452" i="1"/>
  <c r="P1452" i="1"/>
  <c r="O1452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B1452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B1451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B1450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B1449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B1448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B1447" i="1"/>
  <c r="Q1446" i="1"/>
  <c r="P1446" i="1"/>
  <c r="O1446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B1446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B1445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B1444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B1443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B1442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B1441" i="1"/>
  <c r="Q1440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B1440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B1439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B1438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B1436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B1435" i="1"/>
  <c r="Q1434" i="1"/>
  <c r="P1434" i="1"/>
  <c r="O1434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B1434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B1433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B1432" i="1"/>
  <c r="Q1431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B1429" i="1"/>
  <c r="Q1428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B1428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B1427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  <c r="Q1425" i="1"/>
  <c r="P1425" i="1"/>
  <c r="O1425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B1425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B1424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B1423" i="1"/>
  <c r="Q1422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B1421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  <c r="Q1419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B1419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B1418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B1415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B1414" i="1"/>
  <c r="Q1413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B1412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B1411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B1410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B1409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B1407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B1406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B1405" i="1"/>
  <c r="Q1404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B1404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B1403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B1402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B1401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B1400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B1399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B1397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B1396" i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B1395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B1394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B1393" i="1"/>
  <c r="Q1392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B1392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B1391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B1390" i="1"/>
  <c r="Q1389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B1388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B1387" i="1"/>
  <c r="Q1386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B1386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B1385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B1384" i="1"/>
  <c r="Q1383" i="1"/>
  <c r="P1383" i="1"/>
  <c r="O1383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B1383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B1382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B1381" i="1"/>
  <c r="Q1380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B1380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B1379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B1378" i="1"/>
  <c r="Q1377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B1377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B1376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B1375" i="1"/>
  <c r="Q1374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B1374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B1373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B1372" i="1"/>
  <c r="Q1371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B1371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B1370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B1369" i="1"/>
  <c r="Q1368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B1368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B1367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B1366" i="1"/>
  <c r="Q1365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B1364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B1363" i="1"/>
  <c r="Q1362" i="1"/>
  <c r="P1362" i="1"/>
  <c r="O1362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B1362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B1361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B1360" i="1"/>
  <c r="Q1359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B1359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B1358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B1357" i="1"/>
  <c r="Q1356" i="1"/>
  <c r="P1356" i="1"/>
  <c r="O1356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B1356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B1355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B1354" i="1"/>
  <c r="Q1353" i="1"/>
  <c r="P1353" i="1"/>
  <c r="O1353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B1353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B1352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B1351" i="1"/>
  <c r="Q1350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B1350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B1349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B1348" i="1"/>
  <c r="Q1347" i="1"/>
  <c r="P1347" i="1"/>
  <c r="O1347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B1347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B1346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B1345" i="1"/>
  <c r="Q1344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B1344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B1343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B1342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B1340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B1339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B1338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B1337" i="1"/>
  <c r="Q1336" i="1"/>
  <c r="P1336" i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B1336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B1335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B1334" i="1"/>
  <c r="Q1333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B1333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B1332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Q1330" i="1"/>
  <c r="P1330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B1330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B1329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B1328" i="1"/>
  <c r="Q1327" i="1"/>
  <c r="P1327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B1327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B1326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B1325" i="1"/>
  <c r="Q1324" i="1"/>
  <c r="P1324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B1324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B1323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B1322" i="1"/>
  <c r="Q1321" i="1"/>
  <c r="P1321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B1321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B1320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B1319" i="1"/>
  <c r="Q1318" i="1"/>
  <c r="P1318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B1318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B1316" i="1"/>
  <c r="Q1315" i="1"/>
  <c r="P1315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B1315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B1314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B1313" i="1"/>
  <c r="Q1312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B1312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B1311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B1310" i="1"/>
  <c r="Q1309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B1309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B1308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B1307" i="1"/>
  <c r="Q1306" i="1"/>
  <c r="P1306" i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B1306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B1305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B1304" i="1"/>
  <c r="Q1303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B1303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B1302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B1301" i="1"/>
  <c r="Q1300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B1300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B1299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B1298" i="1"/>
  <c r="Q1297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B1297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B1296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B1295" i="1"/>
  <c r="Q1294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B1294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B1292" i="1"/>
  <c r="Q1291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B1291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B1290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B1287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B1286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B1285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B1284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B1283" i="1"/>
  <c r="Q1282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B1282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B1281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B1280" i="1"/>
  <c r="Q1279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B1279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B1278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B1277" i="1"/>
  <c r="Q1276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B1276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B1275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B1274" i="1"/>
  <c r="Q1273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B1273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Q1270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B1270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B1268" i="1"/>
  <c r="Q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B1267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B1266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B1265" i="1"/>
  <c r="Q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B1264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B1263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B1262" i="1"/>
  <c r="Q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B1261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B1260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B1259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B1258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B1257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B1256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B1253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B1252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B1251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B1250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B1249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B1248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B1247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B1246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B1244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B1242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B1241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B1240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B1239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B1236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B1235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B1234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B1233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B1232" i="1"/>
  <c r="Q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B1231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B1230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B1229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B1228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B1227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B1226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B1225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B1224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B1223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B1222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B1220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B1219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B1218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B1217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B1216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B1215" i="1"/>
  <c r="Q1214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B1214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B1213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B1212" i="1"/>
  <c r="Q1211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B1211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B1210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B1209" i="1"/>
  <c r="Q1208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B1208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B1207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B1206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B1205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B1202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B1201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B1200" i="1"/>
  <c r="Q1199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B1199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B1198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B1196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B1195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B1194" i="1"/>
  <c r="Q1193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B1193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B1192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B1191" i="1"/>
  <c r="Q1190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B1190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B1189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B1188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B1185" i="1"/>
  <c r="Q1184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B1184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B1182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B1181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B1180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B1179" i="1"/>
  <c r="Q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B1178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B1177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B1176" i="1"/>
  <c r="Q1175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B1175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B1174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B1172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B1171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Q1169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B1168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B1167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B1166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B1165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B1164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B1163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B1162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Q1160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B1160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B1159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B1158" i="1"/>
  <c r="Q1157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B1157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B1156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B1155" i="1"/>
  <c r="Q1154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B1154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Q1151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B1151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B1150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B1148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B1147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B1146" i="1"/>
  <c r="Q1145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B1145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B1144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B1143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B1142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B1141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B1140" i="1"/>
  <c r="Q1139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B1139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B1138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B1137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B1134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B1133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B1132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B1131" i="1"/>
  <c r="Q1130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B1130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B1129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B1128" i="1"/>
  <c r="Q1127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B1127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B1126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B1124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B1123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B1122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B1121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B1120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B1117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B1116" i="1"/>
  <c r="Q1115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B1115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B1114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B1113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B1112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B1111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B1109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B1108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B1107" i="1"/>
  <c r="Q1106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B1105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B1104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B1103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B1100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B1099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B1098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B1097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B1096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B1095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B1094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B1093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B1092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B1091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B1090" i="1"/>
  <c r="Q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B1089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B1088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B1087" i="1"/>
  <c r="Q1086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B1086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B1085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B1084" i="1"/>
  <c r="Q1083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B1083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B1082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B1081" i="1"/>
  <c r="Q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B1080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B1079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B1078" i="1"/>
  <c r="Q1077" i="1"/>
  <c r="P1077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B1076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B1075" i="1"/>
  <c r="Q1074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B1074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B1073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B1072" i="1"/>
  <c r="Q1071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B1071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B1070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B1069" i="1"/>
  <c r="Q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B1068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B1067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B1066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B1065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B1064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B1063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B1062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B1061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B1060" i="1"/>
  <c r="Q1059" i="1"/>
  <c r="P1059" i="1"/>
  <c r="O1059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B1059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B1058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B1057" i="1"/>
  <c r="Q1056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B1056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B1055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B1054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B1052" i="1"/>
  <c r="Q1050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B1048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B1047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B1046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B1045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B1044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B1043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B1042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G1027" i="1"/>
  <c r="F1027" i="1"/>
  <c r="E1027" i="1"/>
  <c r="D1027" i="1"/>
  <c r="C1027" i="1"/>
  <c r="B1027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B1025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B1024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B1021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B1020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B1018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B1017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B1016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B1015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B1013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B1012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B1011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B1010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G1002" i="1"/>
  <c r="F1002" i="1"/>
  <c r="E1002" i="1"/>
  <c r="D1002" i="1"/>
  <c r="C1002" i="1"/>
  <c r="B1002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G977" i="1"/>
  <c r="F977" i="1"/>
  <c r="E977" i="1"/>
  <c r="D977" i="1"/>
  <c r="C977" i="1"/>
  <c r="B977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G952" i="1"/>
  <c r="F952" i="1"/>
  <c r="E952" i="1"/>
  <c r="D952" i="1"/>
  <c r="C952" i="1"/>
  <c r="B952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G927" i="1"/>
  <c r="F927" i="1"/>
  <c r="E927" i="1"/>
  <c r="D927" i="1"/>
  <c r="C927" i="1"/>
  <c r="B927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G902" i="1"/>
  <c r="F902" i="1"/>
  <c r="E902" i="1"/>
  <c r="D902" i="1"/>
  <c r="C902" i="1"/>
  <c r="B902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G877" i="1"/>
  <c r="F877" i="1"/>
  <c r="E877" i="1"/>
  <c r="D877" i="1"/>
  <c r="C877" i="1"/>
  <c r="B877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G852" i="1"/>
  <c r="F852" i="1"/>
  <c r="E852" i="1"/>
  <c r="D852" i="1"/>
  <c r="C852" i="1"/>
  <c r="B852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G827" i="1"/>
  <c r="F827" i="1"/>
  <c r="E827" i="1"/>
  <c r="D827" i="1"/>
  <c r="C827" i="1"/>
  <c r="B827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G802" i="1"/>
  <c r="F802" i="1"/>
  <c r="E802" i="1"/>
  <c r="D802" i="1"/>
  <c r="C802" i="1"/>
  <c r="B802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G777" i="1"/>
  <c r="F777" i="1"/>
  <c r="E777" i="1"/>
  <c r="D777" i="1"/>
  <c r="C777" i="1"/>
  <c r="B777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G752" i="1"/>
  <c r="F752" i="1"/>
  <c r="E752" i="1"/>
  <c r="D752" i="1"/>
  <c r="C752" i="1"/>
  <c r="B752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G727" i="1"/>
  <c r="F727" i="1"/>
  <c r="E727" i="1"/>
  <c r="D727" i="1"/>
  <c r="C727" i="1"/>
  <c r="B727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G702" i="1"/>
  <c r="F702" i="1"/>
  <c r="E702" i="1"/>
  <c r="D702" i="1"/>
  <c r="C702" i="1"/>
  <c r="B702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G677" i="1"/>
  <c r="F677" i="1"/>
  <c r="E677" i="1"/>
  <c r="D677" i="1"/>
  <c r="C677" i="1"/>
  <c r="B677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G652" i="1"/>
  <c r="F652" i="1"/>
  <c r="E652" i="1"/>
  <c r="D652" i="1"/>
  <c r="C652" i="1"/>
  <c r="B652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G627" i="1"/>
  <c r="F627" i="1"/>
  <c r="E627" i="1"/>
  <c r="D627" i="1"/>
  <c r="C627" i="1"/>
  <c r="B627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G602" i="1"/>
  <c r="F602" i="1"/>
  <c r="E602" i="1"/>
  <c r="D602" i="1"/>
  <c r="C602" i="1"/>
  <c r="B602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G577" i="1"/>
  <c r="F577" i="1"/>
  <c r="E577" i="1"/>
  <c r="D577" i="1"/>
  <c r="C577" i="1"/>
  <c r="B577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G552" i="1"/>
  <c r="F552" i="1"/>
  <c r="E552" i="1"/>
  <c r="D552" i="1"/>
  <c r="C552" i="1"/>
  <c r="B552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G527" i="1"/>
  <c r="F527" i="1"/>
  <c r="E527" i="1"/>
  <c r="D527" i="1"/>
  <c r="C527" i="1"/>
  <c r="B527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G502" i="1"/>
  <c r="F502" i="1"/>
  <c r="E502" i="1"/>
  <c r="D502" i="1"/>
  <c r="C502" i="1"/>
  <c r="B502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G477" i="1"/>
  <c r="F477" i="1"/>
  <c r="E477" i="1"/>
  <c r="D477" i="1"/>
  <c r="C477" i="1"/>
  <c r="B477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G452" i="1"/>
  <c r="F452" i="1"/>
  <c r="E452" i="1"/>
  <c r="D452" i="1"/>
  <c r="C452" i="1"/>
  <c r="B452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G427" i="1"/>
  <c r="F427" i="1"/>
  <c r="E427" i="1"/>
  <c r="D427" i="1"/>
  <c r="C427" i="1"/>
  <c r="B427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G402" i="1"/>
  <c r="F402" i="1"/>
  <c r="E402" i="1"/>
  <c r="D402" i="1"/>
  <c r="C402" i="1"/>
  <c r="B402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G377" i="1"/>
  <c r="F377" i="1"/>
  <c r="E377" i="1"/>
  <c r="D377" i="1"/>
  <c r="C377" i="1"/>
  <c r="B377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G352" i="1"/>
  <c r="F352" i="1"/>
  <c r="E352" i="1"/>
  <c r="D352" i="1"/>
  <c r="C352" i="1"/>
  <c r="B352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G327" i="1"/>
  <c r="F327" i="1"/>
  <c r="E327" i="1"/>
  <c r="D327" i="1"/>
  <c r="C327" i="1"/>
  <c r="B327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G302" i="1"/>
  <c r="F302" i="1"/>
  <c r="E302" i="1"/>
  <c r="D302" i="1"/>
  <c r="C302" i="1"/>
  <c r="B302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G277" i="1"/>
  <c r="F277" i="1"/>
  <c r="E277" i="1"/>
  <c r="D277" i="1"/>
  <c r="C277" i="1"/>
  <c r="B277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G252" i="1"/>
  <c r="F252" i="1"/>
  <c r="E252" i="1"/>
  <c r="D252" i="1"/>
  <c r="C252" i="1"/>
  <c r="B252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G227" i="1"/>
  <c r="F227" i="1"/>
  <c r="E227" i="1"/>
  <c r="D227" i="1"/>
  <c r="C227" i="1"/>
  <c r="B227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G202" i="1"/>
  <c r="F202" i="1"/>
  <c r="E202" i="1"/>
  <c r="D202" i="1"/>
  <c r="C202" i="1"/>
  <c r="B202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G177" i="1"/>
  <c r="F177" i="1"/>
  <c r="E177" i="1"/>
  <c r="D177" i="1"/>
  <c r="C177" i="1"/>
  <c r="B177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G152" i="1"/>
  <c r="F152" i="1"/>
  <c r="E152" i="1"/>
  <c r="D152" i="1"/>
  <c r="C152" i="1"/>
  <c r="B152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G127" i="1"/>
  <c r="F127" i="1"/>
  <c r="E127" i="1"/>
  <c r="D127" i="1"/>
  <c r="C127" i="1"/>
  <c r="B127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G102" i="1"/>
  <c r="F102" i="1"/>
  <c r="E102" i="1"/>
  <c r="D102" i="1"/>
  <c r="C102" i="1"/>
  <c r="B102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G77" i="1"/>
  <c r="F77" i="1"/>
  <c r="E77" i="1"/>
  <c r="D77" i="1"/>
  <c r="C77" i="1"/>
  <c r="B77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G52" i="1"/>
  <c r="F52" i="1"/>
  <c r="E52" i="1"/>
  <c r="D52" i="1"/>
  <c r="C52" i="1"/>
  <c r="B52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G27" i="1"/>
  <c r="F27" i="1"/>
  <c r="E27" i="1"/>
  <c r="D27" i="1"/>
  <c r="C27" i="1"/>
  <c r="B27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G2" i="1"/>
  <c r="F2" i="1"/>
  <c r="E2" i="1"/>
  <c r="D2" i="1"/>
  <c r="C2" i="1"/>
  <c r="B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7" x14ac:knownFonts="1">
    <font>
      <sz val="10"/>
      <color rgb="FF000000"/>
      <name val="Georgia"/>
      <scheme val="minor"/>
    </font>
    <font>
      <sz val="10"/>
      <color theme="1"/>
      <name val="Georgia"/>
      <scheme val="minor"/>
    </font>
    <font>
      <b/>
      <sz val="10"/>
      <color rgb="FFFFFFFF"/>
      <name val="Georgia"/>
      <scheme val="minor"/>
    </font>
    <font>
      <sz val="10"/>
      <color theme="1"/>
      <name val="Roboto"/>
    </font>
    <font>
      <b/>
      <sz val="10"/>
      <color rgb="FF000000"/>
      <name val="Georgia"/>
      <scheme val="minor"/>
    </font>
    <font>
      <b/>
      <sz val="12"/>
      <color theme="1"/>
      <name val="Georgia"/>
      <scheme val="minor"/>
    </font>
    <font>
      <sz val="10"/>
      <color theme="1"/>
      <name val="Georgia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3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ck">
        <color rgb="FF000000"/>
      </left>
      <right style="thin">
        <color rgb="FF666666"/>
      </right>
      <top style="thick">
        <color rgb="FF000000"/>
      </top>
      <bottom style="thick">
        <color rgb="FF000000"/>
      </bottom>
      <diagonal/>
    </border>
    <border>
      <left style="thin">
        <color rgb="FF666666"/>
      </left>
      <right style="thin">
        <color rgb="FF666666"/>
      </right>
      <top style="thick">
        <color rgb="FF000000"/>
      </top>
      <bottom style="thick">
        <color rgb="FF000000"/>
      </bottom>
      <diagonal/>
    </border>
    <border>
      <left style="thin">
        <color rgb="FF666666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FFFFFF"/>
      </right>
      <top style="thick">
        <color rgb="FF000000"/>
      </top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 style="thick">
        <color rgb="FF000000"/>
      </top>
      <bottom style="thick">
        <color rgb="FF000000"/>
      </bottom>
      <diagonal/>
    </border>
    <border>
      <left style="thin">
        <color rgb="FFFFFFFF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ck">
        <color rgb="FF000000"/>
      </right>
      <top/>
      <bottom style="thin">
        <color rgb="FFFFFFFF"/>
      </bottom>
      <diagonal/>
    </border>
    <border>
      <left style="thick">
        <color rgb="FF000000"/>
      </left>
      <right style="thick">
        <color rgb="FF000000"/>
      </right>
      <top style="thin">
        <color rgb="FFFFFFFF"/>
      </top>
      <bottom/>
      <diagonal/>
    </border>
    <border>
      <left style="thin">
        <color rgb="FFFFFFFF"/>
      </left>
      <right style="thick">
        <color rgb="FF000000"/>
      </right>
      <top style="thin">
        <color rgb="FFFFFFFF"/>
      </top>
      <bottom style="thin">
        <color rgb="FFFFFFFF"/>
      </bottom>
      <diagonal/>
    </border>
    <border>
      <left style="thick">
        <color rgb="FF000000"/>
      </left>
      <right style="thick">
        <color rgb="FF000000"/>
      </right>
      <top style="thin">
        <color rgb="FFFFFFFF"/>
      </top>
      <bottom style="thick">
        <color rgb="FF000000"/>
      </bottom>
      <diagonal/>
    </border>
    <border>
      <left/>
      <right style="thin">
        <color rgb="FFFFFFFF"/>
      </right>
      <top style="thin">
        <color rgb="FFFFFFFF"/>
      </top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000000"/>
      </bottom>
      <diagonal/>
    </border>
    <border>
      <left style="thin">
        <color rgb="FFFFFFFF"/>
      </left>
      <right style="thick">
        <color rgb="FF000000"/>
      </right>
      <top style="thin">
        <color rgb="FFFFFFFF"/>
      </top>
      <bottom style="thick">
        <color rgb="FF000000"/>
      </bottom>
      <diagonal/>
    </border>
    <border>
      <left style="thick">
        <color rgb="FF000000"/>
      </left>
      <right style="thin">
        <color rgb="FFB7B7B7"/>
      </right>
      <top style="thick">
        <color rgb="FF000000"/>
      </top>
      <bottom style="thick">
        <color rgb="FF000000"/>
      </bottom>
      <diagonal/>
    </border>
    <border>
      <left style="thin">
        <color rgb="FFB7B7B7"/>
      </left>
      <right style="thin">
        <color rgb="FFB7B7B7"/>
      </right>
      <top style="thick">
        <color rgb="FF000000"/>
      </top>
      <bottom style="thick">
        <color rgb="FF000000"/>
      </bottom>
      <diagonal/>
    </border>
    <border>
      <left style="thin">
        <color rgb="FFB7B7B7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D9D9D9"/>
      </right>
      <top style="thick">
        <color rgb="FF000000"/>
      </top>
      <bottom style="thick">
        <color rgb="FF000000"/>
      </bottom>
      <diagonal/>
    </border>
    <border>
      <left style="thick">
        <color rgb="FFD9D9D9"/>
      </left>
      <right style="thick">
        <color rgb="FFD9D9D9"/>
      </right>
      <top style="thick">
        <color rgb="FF000000"/>
      </top>
      <bottom style="thick">
        <color rgb="FF000000"/>
      </bottom>
      <diagonal/>
    </border>
    <border>
      <left style="thick">
        <color rgb="FFD9D9D9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FFFFFF"/>
      </right>
      <top/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/>
      <bottom style="thick">
        <color rgb="FF000000"/>
      </bottom>
      <diagonal/>
    </border>
    <border>
      <left style="thin">
        <color rgb="FFFFFFFF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FFFFFF"/>
      </bottom>
      <diagonal/>
    </border>
    <border>
      <left style="thick">
        <color rgb="FF000000"/>
      </left>
      <right style="thin">
        <color rgb="FFFFFFFF"/>
      </right>
      <top/>
      <bottom style="thin">
        <color rgb="FFFFFFFF"/>
      </bottom>
      <diagonal/>
    </border>
    <border>
      <left style="thick">
        <color rgb="FF000000"/>
      </left>
      <right style="thick">
        <color rgb="FF000000"/>
      </right>
      <top style="thin">
        <color rgb="FFFFFFFF"/>
      </top>
      <bottom style="thin">
        <color rgb="FFFFFFFF"/>
      </bottom>
      <diagonal/>
    </border>
    <border>
      <left style="thick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000000"/>
      </left>
      <right style="thin">
        <color rgb="FFFFFFFF"/>
      </right>
      <top style="thin">
        <color rgb="FFFFFFFF"/>
      </top>
      <bottom style="thick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4" fontId="3" fillId="4" borderId="15" xfId="0" applyNumberFormat="1" applyFont="1" applyFill="1" applyBorder="1" applyAlignment="1">
      <alignment horizontal="right" vertical="center"/>
    </xf>
    <xf numFmtId="4" fontId="3" fillId="4" borderId="16" xfId="0" applyNumberFormat="1" applyFont="1" applyFill="1" applyBorder="1" applyAlignment="1">
      <alignment horizontal="right" vertical="center"/>
    </xf>
    <xf numFmtId="4" fontId="3" fillId="4" borderId="17" xfId="0" applyNumberFormat="1" applyFont="1" applyFill="1" applyBorder="1" applyAlignment="1">
      <alignment horizontal="right" vertical="center"/>
    </xf>
    <xf numFmtId="4" fontId="3" fillId="4" borderId="9" xfId="0" applyNumberFormat="1" applyFont="1" applyFill="1" applyBorder="1" applyAlignment="1">
      <alignment horizontal="right" vertical="center"/>
    </xf>
    <xf numFmtId="0" fontId="3" fillId="0" borderId="18" xfId="0" applyFont="1" applyBorder="1" applyAlignment="1">
      <alignment vertical="center"/>
    </xf>
    <xf numFmtId="4" fontId="3" fillId="4" borderId="8" xfId="0" applyNumberFormat="1" applyFont="1" applyFill="1" applyBorder="1" applyAlignment="1">
      <alignment horizontal="right" vertical="center"/>
    </xf>
    <xf numFmtId="4" fontId="3" fillId="4" borderId="1" xfId="0" applyNumberFormat="1" applyFont="1" applyFill="1" applyBorder="1" applyAlignment="1">
      <alignment horizontal="right" vertical="center"/>
    </xf>
    <xf numFmtId="4" fontId="3" fillId="4" borderId="19" xfId="0" applyNumberFormat="1" applyFont="1" applyFill="1" applyBorder="1" applyAlignment="1">
      <alignment horizontal="right" vertical="center"/>
    </xf>
    <xf numFmtId="0" fontId="3" fillId="0" borderId="20" xfId="0" applyFont="1" applyBorder="1" applyAlignment="1">
      <alignment vertical="center"/>
    </xf>
    <xf numFmtId="4" fontId="3" fillId="4" borderId="21" xfId="0" applyNumberFormat="1" applyFont="1" applyFill="1" applyBorder="1" applyAlignment="1">
      <alignment horizontal="right" vertical="center"/>
    </xf>
    <xf numFmtId="4" fontId="3" fillId="4" borderId="22" xfId="0" applyNumberFormat="1" applyFont="1" applyFill="1" applyBorder="1" applyAlignment="1">
      <alignment horizontal="right" vertical="center"/>
    </xf>
    <xf numFmtId="4" fontId="3" fillId="4" borderId="23" xfId="0" applyNumberFormat="1" applyFont="1" applyFill="1" applyBorder="1" applyAlignment="1">
      <alignment horizontal="right" vertical="center"/>
    </xf>
    <xf numFmtId="0" fontId="1" fillId="5" borderId="4" xfId="0" applyFont="1" applyFill="1" applyBorder="1"/>
    <xf numFmtId="0" fontId="1" fillId="6" borderId="4" xfId="0" applyFont="1" applyFill="1" applyBorder="1"/>
    <xf numFmtId="164" fontId="4" fillId="7" borderId="24" xfId="0" applyNumberFormat="1" applyFont="1" applyFill="1" applyBorder="1" applyAlignment="1">
      <alignment horizontal="left"/>
    </xf>
    <xf numFmtId="0" fontId="4" fillId="7" borderId="25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left"/>
    </xf>
    <xf numFmtId="0" fontId="4" fillId="7" borderId="26" xfId="0" applyFont="1" applyFill="1" applyBorder="1" applyAlignment="1">
      <alignment horizont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vertical="center"/>
    </xf>
    <xf numFmtId="164" fontId="3" fillId="0" borderId="18" xfId="0" applyNumberFormat="1" applyFont="1" applyBorder="1" applyAlignment="1">
      <alignment vertical="center"/>
    </xf>
    <xf numFmtId="164" fontId="3" fillId="0" borderId="20" xfId="0" applyNumberFormat="1" applyFont="1" applyBorder="1" applyAlignment="1">
      <alignment vertical="center"/>
    </xf>
    <xf numFmtId="4" fontId="4" fillId="7" borderId="25" xfId="0" applyNumberFormat="1" applyFont="1" applyFill="1" applyBorder="1" applyAlignment="1">
      <alignment horizontal="center"/>
    </xf>
    <xf numFmtId="4" fontId="4" fillId="7" borderId="25" xfId="0" applyNumberFormat="1" applyFont="1" applyFill="1" applyBorder="1" applyAlignment="1">
      <alignment horizontal="left"/>
    </xf>
    <xf numFmtId="4" fontId="4" fillId="7" borderId="26" xfId="0" applyNumberFormat="1" applyFont="1" applyFill="1" applyBorder="1" applyAlignment="1">
      <alignment horizontal="center"/>
    </xf>
    <xf numFmtId="4" fontId="1" fillId="0" borderId="8" xfId="0" applyNumberFormat="1" applyFont="1" applyBorder="1"/>
    <xf numFmtId="4" fontId="1" fillId="0" borderId="1" xfId="0" applyNumberFormat="1" applyFont="1" applyBorder="1"/>
    <xf numFmtId="164" fontId="3" fillId="0" borderId="10" xfId="0" applyNumberFormat="1" applyFont="1" applyBorder="1" applyAlignment="1">
      <alignment vertical="center"/>
    </xf>
    <xf numFmtId="0" fontId="5" fillId="0" borderId="4" xfId="0" applyFont="1" applyBorder="1"/>
    <xf numFmtId="0" fontId="5" fillId="8" borderId="27" xfId="0" applyFont="1" applyFill="1" applyBorder="1"/>
    <xf numFmtId="4" fontId="5" fillId="8" borderId="28" xfId="0" applyNumberFormat="1" applyFont="1" applyFill="1" applyBorder="1"/>
    <xf numFmtId="4" fontId="5" fillId="8" borderId="29" xfId="0" applyNumberFormat="1" applyFont="1" applyFill="1" applyBorder="1"/>
    <xf numFmtId="0" fontId="5" fillId="0" borderId="8" xfId="0" applyFont="1" applyBorder="1"/>
    <xf numFmtId="164" fontId="1" fillId="0" borderId="4" xfId="0" applyNumberFormat="1" applyFont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31" xfId="0" applyNumberFormat="1" applyFont="1" applyBorder="1" applyAlignment="1">
      <alignment horizontal="center"/>
    </xf>
    <xf numFmtId="164" fontId="1" fillId="0" borderId="32" xfId="0" applyNumberFormat="1" applyFont="1" applyBorder="1" applyAlignment="1">
      <alignment horizontal="center"/>
    </xf>
    <xf numFmtId="164" fontId="1" fillId="0" borderId="33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34" xfId="0" applyFont="1" applyBorder="1"/>
    <xf numFmtId="4" fontId="1" fillId="0" borderId="35" xfId="0" applyNumberFormat="1" applyFont="1" applyBorder="1"/>
    <xf numFmtId="4" fontId="1" fillId="0" borderId="16" xfId="0" applyNumberFormat="1" applyFont="1" applyBorder="1"/>
    <xf numFmtId="4" fontId="1" fillId="0" borderId="17" xfId="0" applyNumberFormat="1" applyFont="1" applyBorder="1"/>
    <xf numFmtId="0" fontId="1" fillId="0" borderId="36" xfId="0" applyFont="1" applyBorder="1"/>
    <xf numFmtId="4" fontId="1" fillId="0" borderId="37" xfId="0" applyNumberFormat="1" applyFont="1" applyBorder="1"/>
    <xf numFmtId="4" fontId="1" fillId="0" borderId="19" xfId="0" applyNumberFormat="1" applyFont="1" applyBorder="1"/>
    <xf numFmtId="0" fontId="1" fillId="0" borderId="20" xfId="0" applyFont="1" applyBorder="1"/>
    <xf numFmtId="4" fontId="1" fillId="0" borderId="38" xfId="0" applyNumberFormat="1" applyFont="1" applyBorder="1"/>
    <xf numFmtId="4" fontId="1" fillId="0" borderId="22" xfId="0" applyNumberFormat="1" applyFont="1" applyBorder="1"/>
    <xf numFmtId="4" fontId="1" fillId="0" borderId="23" xfId="0" applyNumberFormat="1" applyFont="1" applyBorder="1"/>
    <xf numFmtId="4" fontId="1" fillId="0" borderId="2" xfId="0" applyNumberFormat="1" applyFont="1" applyBorder="1"/>
    <xf numFmtId="0" fontId="6" fillId="0" borderId="4" xfId="0" applyFont="1" applyBorder="1"/>
    <xf numFmtId="164" fontId="6" fillId="8" borderId="27" xfId="0" applyNumberFormat="1" applyFont="1" applyFill="1" applyBorder="1"/>
    <xf numFmtId="4" fontId="6" fillId="8" borderId="28" xfId="0" applyNumberFormat="1" applyFont="1" applyFill="1" applyBorder="1"/>
    <xf numFmtId="4" fontId="6" fillId="8" borderId="29" xfId="0" applyNumberFormat="1" applyFont="1" applyFill="1" applyBorder="1"/>
    <xf numFmtId="0" fontId="6" fillId="0" borderId="8" xfId="0" applyFont="1" applyBorder="1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424"/>
  <sheetViews>
    <sheetView tabSelected="1" workbookViewId="0"/>
  </sheetViews>
  <sheetFormatPr baseColWidth="10" defaultColWidth="12.59765625" defaultRowHeight="15.75" customHeight="1" outlineLevelRow="2" x14ac:dyDescent="0.25"/>
  <cols>
    <col min="1" max="1" width="3.19921875" customWidth="1"/>
    <col min="2" max="2" width="18.69921875" customWidth="1"/>
    <col min="3" max="17" width="9.5" customWidth="1"/>
    <col min="18" max="18" width="3.19921875" customWidth="1"/>
  </cols>
  <sheetData>
    <row r="1" spans="1:18" ht="13.2" x14ac:dyDescent="0.25">
      <c r="A1" s="1" t="str">
        <f ca="1">IFERROR(__xludf.DUMMYFUNCTION("ArrayFormula(IMPORTRANGE(""https://docs.google.com/spreadsheets/d/11RtoxJ_pLk3wdz8LuHnOUoZhwdZ5hH5f5Iv1E7El7Uc/edit?gid=1027482909#gid=1027482909"",""OutPut!A1:Q2000""))"),"")</f>
        <v/>
      </c>
      <c r="B1" s="2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3"/>
    </row>
    <row r="2" spans="1:18" ht="13.2" collapsed="1" x14ac:dyDescent="0.25">
      <c r="A2" s="4"/>
      <c r="B2" s="5" t="str">
        <f ca="1">IFERROR(__xludf.DUMMYFUNCTION("""COMPUTED_VALUE"""),"OIB(e,a)")</f>
        <v>OIB(e,a)</v>
      </c>
      <c r="C2" s="6" t="str">
        <f ca="1">IFERROR(__xludf.DUMMYFUNCTION("""COMPUTED_VALUE"""),"-/+")</f>
        <v>-/+</v>
      </c>
      <c r="D2" s="7" t="str">
        <f ca="1">IFERROR(__xludf.DUMMYFUNCTION("""COMPUTED_VALUE"""),"Oferta interna bruta por energético e y año a.")</f>
        <v>Oferta interna bruta por energético e y año a.</v>
      </c>
      <c r="E2" s="6" t="str">
        <f ca="1">IFERROR(__xludf.DUMMYFUNCTION("""COMPUTED_VALUE"""),"cbne")</f>
        <v>cbne</v>
      </c>
      <c r="F2" s="6" t="str">
        <f ca="1">IFERROR(__xludf.DUMMYFUNCTION("""COMPUTED_VALUE"""),"a")</f>
        <v>a</v>
      </c>
      <c r="G2" s="8" t="str">
        <f ca="1">IFERROR(__xludf.DUMMYFUNCTION("""COMPUTED_VALUE"""),"PJ")</f>
        <v>PJ</v>
      </c>
      <c r="H2" s="9"/>
      <c r="I2" s="1"/>
      <c r="J2" s="1"/>
      <c r="K2" s="1"/>
      <c r="L2" s="1"/>
      <c r="M2" s="1"/>
      <c r="N2" s="1"/>
      <c r="O2" s="1"/>
      <c r="P2" s="1"/>
      <c r="Q2" s="1"/>
      <c r="R2" s="10"/>
    </row>
    <row r="3" spans="1:18" ht="13.2" hidden="1" outlineLevel="1" x14ac:dyDescent="0.25">
      <c r="A3" s="1"/>
      <c r="B3" s="11"/>
      <c r="C3" s="12">
        <f ca="1">IFERROR(__xludf.DUMMYFUNCTION("""COMPUTED_VALUE"""),2010)</f>
        <v>2010</v>
      </c>
      <c r="D3" s="13">
        <f ca="1">IFERROR(__xludf.DUMMYFUNCTION("""COMPUTED_VALUE"""),2011)</f>
        <v>2011</v>
      </c>
      <c r="E3" s="13">
        <f ca="1">IFERROR(__xludf.DUMMYFUNCTION("""COMPUTED_VALUE"""),2012)</f>
        <v>2012</v>
      </c>
      <c r="F3" s="13">
        <f ca="1">IFERROR(__xludf.DUMMYFUNCTION("""COMPUTED_VALUE"""),2013)</f>
        <v>2013</v>
      </c>
      <c r="G3" s="13">
        <f ca="1">IFERROR(__xludf.DUMMYFUNCTION("""COMPUTED_VALUE"""),2014)</f>
        <v>2014</v>
      </c>
      <c r="H3" s="13">
        <f ca="1">IFERROR(__xludf.DUMMYFUNCTION("""COMPUTED_VALUE"""),2015)</f>
        <v>2015</v>
      </c>
      <c r="I3" s="13">
        <f ca="1">IFERROR(__xludf.DUMMYFUNCTION("""COMPUTED_VALUE"""),2016)</f>
        <v>2016</v>
      </c>
      <c r="J3" s="13">
        <f ca="1">IFERROR(__xludf.DUMMYFUNCTION("""COMPUTED_VALUE"""),2017)</f>
        <v>2017</v>
      </c>
      <c r="K3" s="13">
        <f ca="1">IFERROR(__xludf.DUMMYFUNCTION("""COMPUTED_VALUE"""),2018)</f>
        <v>2018</v>
      </c>
      <c r="L3" s="13">
        <f ca="1">IFERROR(__xludf.DUMMYFUNCTION("""COMPUTED_VALUE"""),2019)</f>
        <v>2019</v>
      </c>
      <c r="M3" s="13">
        <f ca="1">IFERROR(__xludf.DUMMYFUNCTION("""COMPUTED_VALUE"""),2020)</f>
        <v>2020</v>
      </c>
      <c r="N3" s="13">
        <f ca="1">IFERROR(__xludf.DUMMYFUNCTION("""COMPUTED_VALUE"""),2021)</f>
        <v>2021</v>
      </c>
      <c r="O3" s="13">
        <f ca="1">IFERROR(__xludf.DUMMYFUNCTION("""COMPUTED_VALUE"""),2022)</f>
        <v>2022</v>
      </c>
      <c r="P3" s="13">
        <f ca="1">IFERROR(__xludf.DUMMYFUNCTION("""COMPUTED_VALUE"""),2023)</f>
        <v>2023</v>
      </c>
      <c r="Q3" s="14">
        <f ca="1">IFERROR(__xludf.DUMMYFUNCTION("""COMPUTED_VALUE"""),2024)</f>
        <v>2024</v>
      </c>
      <c r="R3" s="15"/>
    </row>
    <row r="4" spans="1:18" ht="13.2" hidden="1" outlineLevel="1" x14ac:dyDescent="0.25">
      <c r="A4" s="1"/>
      <c r="B4" s="16" t="str">
        <f ca="1">IFERROR(__xludf.DUMMYFUNCTION("""COMPUTED_VALUE"""),"Carbón mineral")</f>
        <v>Carbón mineral</v>
      </c>
      <c r="C4" s="17">
        <f ca="1">IFERROR(__xludf.DUMMYFUNCTION("""COMPUTED_VALUE"""),586.406901005799)</f>
        <v>586.406901005799</v>
      </c>
      <c r="D4" s="18">
        <f ca="1">IFERROR(__xludf.DUMMYFUNCTION("""COMPUTED_VALUE"""),699.52617174985)</f>
        <v>699.52617174985005</v>
      </c>
      <c r="E4" s="18">
        <f ca="1">IFERROR(__xludf.DUMMYFUNCTION("""COMPUTED_VALUE"""),555.46385768935)</f>
        <v>555.46385768934999</v>
      </c>
      <c r="F4" s="18">
        <f ca="1">IFERROR(__xludf.DUMMYFUNCTION("""COMPUTED_VALUE"""),553.51013242485)</f>
        <v>553.51013242484999</v>
      </c>
      <c r="G4" s="18">
        <f ca="1">IFERROR(__xludf.DUMMYFUNCTION("""COMPUTED_VALUE"""),553.517927170589)</f>
        <v>553.51792717058902</v>
      </c>
      <c r="H4" s="18">
        <f ca="1">IFERROR(__xludf.DUMMYFUNCTION("""COMPUTED_VALUE"""),589.378510704301)</f>
        <v>589.37851070430099</v>
      </c>
      <c r="I4" s="18">
        <f ca="1">IFERROR(__xludf.DUMMYFUNCTION("""COMPUTED_VALUE"""),528.682080681623)</f>
        <v>528.68208068162301</v>
      </c>
      <c r="J4" s="18">
        <f ca="1">IFERROR(__xludf.DUMMYFUNCTION("""COMPUTED_VALUE"""),554.566020500549)</f>
        <v>554.56602050054903</v>
      </c>
      <c r="K4" s="18">
        <f ca="1">IFERROR(__xludf.DUMMYFUNCTION("""COMPUTED_VALUE"""),501.751208622748)</f>
        <v>501.75120862274798</v>
      </c>
      <c r="L4" s="18">
        <f ca="1">IFERROR(__xludf.DUMMYFUNCTION("""COMPUTED_VALUE"""),430.436342753147)</f>
        <v>430.43634275314702</v>
      </c>
      <c r="M4" s="18">
        <f ca="1">IFERROR(__xludf.DUMMYFUNCTION("""COMPUTED_VALUE"""),377.774250336831)</f>
        <v>377.77425033683102</v>
      </c>
      <c r="N4" s="18">
        <f ca="1">IFERROR(__xludf.DUMMYFUNCTION("""COMPUTED_VALUE"""),339.605922073624)</f>
        <v>339.60592207362401</v>
      </c>
      <c r="O4" s="18">
        <f ca="1">IFERROR(__xludf.DUMMYFUNCTION("""COMPUTED_VALUE"""),321.529452984005)</f>
        <v>321.52945298400499</v>
      </c>
      <c r="P4" s="18">
        <f ca="1">IFERROR(__xludf.DUMMYFUNCTION("""COMPUTED_VALUE"""),215.304841173133)</f>
        <v>215.30484117313301</v>
      </c>
      <c r="Q4" s="19">
        <f ca="1">IFERROR(__xludf.DUMMYFUNCTION("""COMPUTED_VALUE"""),219.46128962336)</f>
        <v>219.46128962335999</v>
      </c>
      <c r="R4" s="20"/>
    </row>
    <row r="5" spans="1:18" ht="13.2" hidden="1" outlineLevel="1" x14ac:dyDescent="0.25">
      <c r="A5" s="1"/>
      <c r="B5" s="21" t="str">
        <f ca="1">IFERROR(__xludf.DUMMYFUNCTION("""COMPUTED_VALUE"""),"Petróleo crudo")</f>
        <v>Petróleo crudo</v>
      </c>
      <c r="C5" s="22">
        <f ca="1">IFERROR(__xludf.DUMMYFUNCTION("""COMPUTED_VALUE"""),2442.21619)</f>
        <v>2442.2161900000001</v>
      </c>
      <c r="D5" s="23">
        <f ca="1">IFERROR(__xludf.DUMMYFUNCTION("""COMPUTED_VALUE"""),2454.18447)</f>
        <v>2454.1844700000001</v>
      </c>
      <c r="E5" s="23">
        <f ca="1">IFERROR(__xludf.DUMMYFUNCTION("""COMPUTED_VALUE"""),2682.747322)</f>
        <v>2682.7473220000002</v>
      </c>
      <c r="F5" s="23">
        <f ca="1">IFERROR(__xludf.DUMMYFUNCTION("""COMPUTED_VALUE"""),2870.782811)</f>
        <v>2870.782811</v>
      </c>
      <c r="G5" s="23">
        <f ca="1">IFERROR(__xludf.DUMMYFUNCTION("""COMPUTED_VALUE"""),2437.4176057803)</f>
        <v>2437.4176057803002</v>
      </c>
      <c r="H5" s="23">
        <f ca="1">IFERROR(__xludf.DUMMYFUNCTION("""COMPUTED_VALUE"""),2329.50136501872)</f>
        <v>2329.5013650187202</v>
      </c>
      <c r="I5" s="23">
        <f ca="1">IFERROR(__xludf.DUMMYFUNCTION("""COMPUTED_VALUE"""),2032.92605176399)</f>
        <v>2032.92605176399</v>
      </c>
      <c r="J5" s="23">
        <f ca="1">IFERROR(__xludf.DUMMYFUNCTION("""COMPUTED_VALUE"""),1688.75359012583)</f>
        <v>1688.75359012583</v>
      </c>
      <c r="K5" s="23">
        <f ca="1">IFERROR(__xludf.DUMMYFUNCTION("""COMPUTED_VALUE"""),1307.01196843227)</f>
        <v>1307.0119684322699</v>
      </c>
      <c r="L5" s="23">
        <f ca="1">IFERROR(__xludf.DUMMYFUNCTION("""COMPUTED_VALUE"""),1377.84933117191)</f>
        <v>1377.8493311719101</v>
      </c>
      <c r="M5" s="23">
        <f ca="1">IFERROR(__xludf.DUMMYFUNCTION("""COMPUTED_VALUE"""),1486.95294176918)</f>
        <v>1486.9529417691799</v>
      </c>
      <c r="N5" s="23">
        <f ca="1">IFERROR(__xludf.DUMMYFUNCTION("""COMPUTED_VALUE"""),1672.39522477379)</f>
        <v>1672.39522477379</v>
      </c>
      <c r="O5" s="23">
        <f ca="1">IFERROR(__xludf.DUMMYFUNCTION("""COMPUTED_VALUE"""),1515.17300075924)</f>
        <v>1515.17300075924</v>
      </c>
      <c r="P5" s="23">
        <f ca="1">IFERROR(__xludf.DUMMYFUNCTION("""COMPUTED_VALUE"""),1494.89122853292)</f>
        <v>1494.89122853292</v>
      </c>
      <c r="Q5" s="24">
        <f ca="1">IFERROR(__xludf.DUMMYFUNCTION("""COMPUTED_VALUE"""),1728.65655640467)</f>
        <v>1728.65655640467</v>
      </c>
      <c r="R5" s="20"/>
    </row>
    <row r="6" spans="1:18" ht="13.2" hidden="1" outlineLevel="1" x14ac:dyDescent="0.25">
      <c r="A6" s="1"/>
      <c r="B6" s="21" t="str">
        <f ca="1">IFERROR(__xludf.DUMMYFUNCTION("""COMPUTED_VALUE"""),"Condensados")</f>
        <v>Condensados</v>
      </c>
      <c r="C6" s="22">
        <f ca="1">IFERROR(__xludf.DUMMYFUNCTION("""COMPUTED_VALUE"""),92.52137)</f>
        <v>92.521370000000005</v>
      </c>
      <c r="D6" s="23">
        <f ca="1">IFERROR(__xludf.DUMMYFUNCTION("""COMPUTED_VALUE"""),98.56798)</f>
        <v>98.567980000000006</v>
      </c>
      <c r="E6" s="23">
        <f ca="1">IFERROR(__xludf.DUMMYFUNCTION("""COMPUTED_VALUE"""),77.7630599999999)</f>
        <v>77.763059999999896</v>
      </c>
      <c r="F6" s="23">
        <f ca="1">IFERROR(__xludf.DUMMYFUNCTION("""COMPUTED_VALUE"""),122.4996)</f>
        <v>122.4996</v>
      </c>
      <c r="G6" s="23">
        <f ca="1">IFERROR(__xludf.DUMMYFUNCTION("""COMPUTED_VALUE"""),104.177071795129)</f>
        <v>104.177071795129</v>
      </c>
      <c r="H6" s="23">
        <f ca="1">IFERROR(__xludf.DUMMYFUNCTION("""COMPUTED_VALUE"""),97.6667037090607)</f>
        <v>97.666703709060698</v>
      </c>
      <c r="I6" s="23">
        <f ca="1">IFERROR(__xludf.DUMMYFUNCTION("""COMPUTED_VALUE"""),88.394)</f>
        <v>88.394000000000005</v>
      </c>
      <c r="J6" s="23">
        <f ca="1">IFERROR(__xludf.DUMMYFUNCTION("""COMPUTED_VALUE"""),71.0909169718451)</f>
        <v>71.090916971845104</v>
      </c>
      <c r="K6" s="23">
        <f ca="1">IFERROR(__xludf.DUMMYFUNCTION("""COMPUTED_VALUE"""),60.17162802)</f>
        <v>60.17162802</v>
      </c>
      <c r="L6" s="23">
        <f ca="1">IFERROR(__xludf.DUMMYFUNCTION("""COMPUTED_VALUE"""),68.51946456)</f>
        <v>68.519464560000003</v>
      </c>
      <c r="M6" s="23">
        <f ca="1">IFERROR(__xludf.DUMMYFUNCTION("""COMPUTED_VALUE"""),45.79841436)</f>
        <v>45.798414360000002</v>
      </c>
      <c r="N6" s="23">
        <f ca="1">IFERROR(__xludf.DUMMYFUNCTION("""COMPUTED_VALUE"""),260.15527571)</f>
        <v>260.15527571000001</v>
      </c>
      <c r="O6" s="23">
        <f ca="1">IFERROR(__xludf.DUMMYFUNCTION("""COMPUTED_VALUE"""),498.4892807)</f>
        <v>498.48928069999999</v>
      </c>
      <c r="P6" s="23">
        <f ca="1">IFERROR(__xludf.DUMMYFUNCTION("""COMPUTED_VALUE"""),637.7998141)</f>
        <v>637.79981410000005</v>
      </c>
      <c r="Q6" s="24">
        <f ca="1">IFERROR(__xludf.DUMMYFUNCTION("""COMPUTED_VALUE"""),603.18576709)</f>
        <v>603.18576709000001</v>
      </c>
      <c r="R6" s="20"/>
    </row>
    <row r="7" spans="1:18" ht="13.2" hidden="1" outlineLevel="1" x14ac:dyDescent="0.25">
      <c r="A7" s="1"/>
      <c r="B7" s="21" t="str">
        <f ca="1">IFERROR(__xludf.DUMMYFUNCTION("""COMPUTED_VALUE"""),"Gas natural")</f>
        <v>Gas natural</v>
      </c>
      <c r="C7" s="22">
        <f ca="1">IFERROR(__xludf.DUMMYFUNCTION("""COMPUTED_VALUE"""),2620.465306806)</f>
        <v>2620.4653068060002</v>
      </c>
      <c r="D7" s="23">
        <f ca="1">IFERROR(__xludf.DUMMYFUNCTION("""COMPUTED_VALUE"""),2537.56406461673)</f>
        <v>2537.5640646167299</v>
      </c>
      <c r="E7" s="23">
        <f ca="1">IFERROR(__xludf.DUMMYFUNCTION("""COMPUTED_VALUE"""),2493.10118544638)</f>
        <v>2493.10118544638</v>
      </c>
      <c r="F7" s="23">
        <f ca="1">IFERROR(__xludf.DUMMYFUNCTION("""COMPUTED_VALUE"""),2504.88454500659)</f>
        <v>2504.8845450065901</v>
      </c>
      <c r="G7" s="23">
        <f ca="1">IFERROR(__xludf.DUMMYFUNCTION("""COMPUTED_VALUE"""),2468.87634432176)</f>
        <v>2468.8763443217599</v>
      </c>
      <c r="H7" s="23">
        <f ca="1">IFERROR(__xludf.DUMMYFUNCTION("""COMPUTED_VALUE"""),2306.81647045254)</f>
        <v>2306.8164704525402</v>
      </c>
      <c r="I7" s="23">
        <f ca="1">IFERROR(__xludf.DUMMYFUNCTION("""COMPUTED_VALUE"""),1981.29155785719)</f>
        <v>1981.2915578571899</v>
      </c>
      <c r="J7" s="23">
        <f ca="1">IFERROR(__xludf.DUMMYFUNCTION("""COMPUTED_VALUE"""),1867.47177619576)</f>
        <v>1867.47177619576</v>
      </c>
      <c r="K7" s="23">
        <f ca="1">IFERROR(__xludf.DUMMYFUNCTION("""COMPUTED_VALUE"""),1791.76615506902)</f>
        <v>1791.76615506902</v>
      </c>
      <c r="L7" s="23">
        <f ca="1">IFERROR(__xludf.DUMMYFUNCTION("""COMPUTED_VALUE"""),1710.68177356494)</f>
        <v>1710.6817735649399</v>
      </c>
      <c r="M7" s="23">
        <f ca="1">IFERROR(__xludf.DUMMYFUNCTION("""COMPUTED_VALUE"""),1726.345144118)</f>
        <v>1726.345144118</v>
      </c>
      <c r="N7" s="23">
        <f ca="1">IFERROR(__xludf.DUMMYFUNCTION("""COMPUTED_VALUE"""),1523.78817756812)</f>
        <v>1523.7881775681201</v>
      </c>
      <c r="O7" s="23">
        <f ca="1">IFERROR(__xludf.DUMMYFUNCTION("""COMPUTED_VALUE"""),1649.30375601179)</f>
        <v>1649.30375601179</v>
      </c>
      <c r="P7" s="23">
        <f ca="1">IFERROR(__xludf.DUMMYFUNCTION("""COMPUTED_VALUE"""),1601.44091350262)</f>
        <v>1601.4409135026201</v>
      </c>
      <c r="Q7" s="24">
        <f ca="1">IFERROR(__xludf.DUMMYFUNCTION("""COMPUTED_VALUE"""),1611.53317823249)</f>
        <v>1611.5331782324899</v>
      </c>
      <c r="R7" s="20"/>
    </row>
    <row r="8" spans="1:18" ht="13.2" hidden="1" outlineLevel="1" x14ac:dyDescent="0.25">
      <c r="A8" s="1"/>
      <c r="B8" s="21" t="str">
        <f ca="1">IFERROR(__xludf.DUMMYFUNCTION("""COMPUTED_VALUE"""),"Energía Nuclear")</f>
        <v>Energía Nuclear</v>
      </c>
      <c r="C8" s="22">
        <f ca="1">IFERROR(__xludf.DUMMYFUNCTION("""COMPUTED_VALUE"""),63.94)</f>
        <v>63.94</v>
      </c>
      <c r="D8" s="23">
        <f ca="1">IFERROR(__xludf.DUMMYFUNCTION("""COMPUTED_VALUE"""),106.39)</f>
        <v>106.39</v>
      </c>
      <c r="E8" s="23">
        <f ca="1">IFERROR(__xludf.DUMMYFUNCTION("""COMPUTED_VALUE"""),91.32)</f>
        <v>91.32</v>
      </c>
      <c r="F8" s="23">
        <f ca="1">IFERROR(__xludf.DUMMYFUNCTION("""COMPUTED_VALUE"""),122.6)</f>
        <v>122.6</v>
      </c>
      <c r="G8" s="23">
        <f ca="1">IFERROR(__xludf.DUMMYFUNCTION("""COMPUTED_VALUE"""),112.6)</f>
        <v>112.6</v>
      </c>
      <c r="H8" s="23">
        <f ca="1">IFERROR(__xludf.DUMMYFUNCTION("""COMPUTED_VALUE"""),130.41)</f>
        <v>130.41</v>
      </c>
      <c r="I8" s="23">
        <f ca="1">IFERROR(__xludf.DUMMYFUNCTION("""COMPUTED_VALUE"""),109.95)</f>
        <v>109.95</v>
      </c>
      <c r="J8" s="23">
        <f ca="1">IFERROR(__xludf.DUMMYFUNCTION("""COMPUTED_VALUE"""),113.22)</f>
        <v>113.22</v>
      </c>
      <c r="K8" s="23">
        <f ca="1">IFERROR(__xludf.DUMMYFUNCTION("""COMPUTED_VALUE"""),141.649958844)</f>
        <v>141.649958844</v>
      </c>
      <c r="L8" s="23">
        <f ca="1">IFERROR(__xludf.DUMMYFUNCTION("""COMPUTED_VALUE"""),116.482347758)</f>
        <v>116.482347758</v>
      </c>
      <c r="M8" s="23">
        <f ca="1">IFERROR(__xludf.DUMMYFUNCTION("""COMPUTED_VALUE"""),117.464405187)</f>
        <v>117.464405187</v>
      </c>
      <c r="N8" s="23">
        <f ca="1">IFERROR(__xludf.DUMMYFUNCTION("""COMPUTED_VALUE"""),124.986917246)</f>
        <v>124.986917246</v>
      </c>
      <c r="O8" s="23">
        <f ca="1">IFERROR(__xludf.DUMMYFUNCTION("""COMPUTED_VALUE"""),114.174258473606)</f>
        <v>114.174258473606</v>
      </c>
      <c r="P8" s="23">
        <f ca="1">IFERROR(__xludf.DUMMYFUNCTION("""COMPUTED_VALUE"""),130.343389429)</f>
        <v>130.34338942900001</v>
      </c>
      <c r="Q8" s="24">
        <f ca="1">IFERROR(__xludf.DUMMYFUNCTION("""COMPUTED_VALUE"""),129.506482099619)</f>
        <v>129.50648209961901</v>
      </c>
      <c r="R8" s="20"/>
    </row>
    <row r="9" spans="1:18" ht="13.2" hidden="1" outlineLevel="1" x14ac:dyDescent="0.25">
      <c r="A9" s="1"/>
      <c r="B9" s="21" t="str">
        <f ca="1">IFERROR(__xludf.DUMMYFUNCTION("""COMPUTED_VALUE"""),"Energia Hidraúlica")</f>
        <v>Energia Hidraúlica</v>
      </c>
      <c r="C9" s="22">
        <f ca="1">IFERROR(__xludf.DUMMYFUNCTION("""COMPUTED_VALUE"""),140.650755235208)</f>
        <v>140.65075523520801</v>
      </c>
      <c r="D9" s="23">
        <f ca="1">IFERROR(__xludf.DUMMYFUNCTION("""COMPUTED_VALUE"""),136.794558672405)</f>
        <v>136.794558672405</v>
      </c>
      <c r="E9" s="23">
        <f ca="1">IFERROR(__xludf.DUMMYFUNCTION("""COMPUTED_VALUE"""),119.376356904078)</f>
        <v>119.37635690407799</v>
      </c>
      <c r="F9" s="23">
        <f ca="1">IFERROR(__xludf.DUMMYFUNCTION("""COMPUTED_VALUE"""),104.973810376497)</f>
        <v>104.973810376497</v>
      </c>
      <c r="G9" s="23">
        <f ca="1">IFERROR(__xludf.DUMMYFUNCTION("""COMPUTED_VALUE"""),143.244619898085)</f>
        <v>143.24461989808501</v>
      </c>
      <c r="H9" s="23">
        <f ca="1">IFERROR(__xludf.DUMMYFUNCTION("""COMPUTED_VALUE"""),113.841109573861)</f>
        <v>113.841109573861</v>
      </c>
      <c r="I9" s="23">
        <f ca="1">IFERROR(__xludf.DUMMYFUNCTION("""COMPUTED_VALUE"""),113.379393418838)</f>
        <v>113.37939341883801</v>
      </c>
      <c r="J9" s="23">
        <f ca="1">IFERROR(__xludf.DUMMYFUNCTION("""COMPUTED_VALUE"""),115.127888338328)</f>
        <v>115.12788833832801</v>
      </c>
      <c r="K9" s="23">
        <f ca="1">IFERROR(__xludf.DUMMYFUNCTION("""COMPUTED_VALUE"""),117.199476436479)</f>
        <v>117.199476436479</v>
      </c>
      <c r="L9" s="23">
        <f ca="1">IFERROR(__xludf.DUMMYFUNCTION("""COMPUTED_VALUE"""),85.7683544952812)</f>
        <v>85.768354495281201</v>
      </c>
      <c r="M9" s="23">
        <f ca="1">IFERROR(__xludf.DUMMYFUNCTION("""COMPUTED_VALUE"""),97.4546523269544)</f>
        <v>97.454652326954402</v>
      </c>
      <c r="N9" s="23">
        <f ca="1">IFERROR(__xludf.DUMMYFUNCTION("""COMPUTED_VALUE"""),126.117339304689)</f>
        <v>126.117339304689</v>
      </c>
      <c r="O9" s="23">
        <f ca="1">IFERROR(__xludf.DUMMYFUNCTION("""COMPUTED_VALUE"""),129.225569710392)</f>
        <v>129.22556971039199</v>
      </c>
      <c r="P9" s="23">
        <f ca="1">IFERROR(__xludf.DUMMYFUNCTION("""COMPUTED_VALUE"""),74.9299386156002)</f>
        <v>74.929938615600193</v>
      </c>
      <c r="Q9" s="24">
        <f ca="1">IFERROR(__xludf.DUMMYFUNCTION("""COMPUTED_VALUE"""),86.517832500333)</f>
        <v>86.517832500333</v>
      </c>
      <c r="R9" s="20"/>
    </row>
    <row r="10" spans="1:18" ht="13.2" hidden="1" outlineLevel="1" x14ac:dyDescent="0.25">
      <c r="A10" s="1"/>
      <c r="B10" s="21" t="str">
        <f ca="1">IFERROR(__xludf.DUMMYFUNCTION("""COMPUTED_VALUE"""),"Geoenergía")</f>
        <v>Geoenergía</v>
      </c>
      <c r="C10" s="22">
        <f ca="1">IFERROR(__xludf.DUMMYFUNCTION("""COMPUTED_VALUE"""),28.762373781417)</f>
        <v>28.762373781417001</v>
      </c>
      <c r="D10" s="23">
        <f ca="1">IFERROR(__xludf.DUMMYFUNCTION("""COMPUTED_VALUE"""),27.4176420837335)</f>
        <v>27.417642083733501</v>
      </c>
      <c r="E10" s="23">
        <f ca="1">IFERROR(__xludf.DUMMYFUNCTION("""COMPUTED_VALUE"""),24.5599069913274)</f>
        <v>24.559906991327399</v>
      </c>
      <c r="F10" s="23">
        <f ca="1">IFERROR(__xludf.DUMMYFUNCTION("""COMPUTED_VALUE"""),25.4932891196797)</f>
        <v>25.493289119679702</v>
      </c>
      <c r="G10" s="23">
        <f ca="1">IFERROR(__xludf.DUMMYFUNCTION("""COMPUTED_VALUE"""),25.326716568116)</f>
        <v>25.326716568116002</v>
      </c>
      <c r="H10" s="23">
        <f ca="1">IFERROR(__xludf.DUMMYFUNCTION("""COMPUTED_VALUE"""),26.5306410704584)</f>
        <v>26.530641070458401</v>
      </c>
      <c r="I10" s="23">
        <f ca="1">IFERROR(__xludf.DUMMYFUNCTION("""COMPUTED_VALUE"""),25.7432810093918)</f>
        <v>25.743281009391801</v>
      </c>
      <c r="J10" s="23">
        <f ca="1">IFERROR(__xludf.DUMMYFUNCTION("""COMPUTED_VALUE"""),23.7316824624317)</f>
        <v>23.731682462431699</v>
      </c>
      <c r="K10" s="23">
        <f ca="1">IFERROR(__xludf.DUMMYFUNCTION("""COMPUTED_VALUE"""),21.1555305711881)</f>
        <v>21.155530571188098</v>
      </c>
      <c r="L10" s="23">
        <f ca="1">IFERROR(__xludf.DUMMYFUNCTION("""COMPUTED_VALUE"""),20.9378103741678)</f>
        <v>20.9378103741678</v>
      </c>
      <c r="M10" s="23">
        <f ca="1">IFERROR(__xludf.DUMMYFUNCTION("""COMPUTED_VALUE"""),19.1204715569663)</f>
        <v>19.120471556966301</v>
      </c>
      <c r="N10" s="23">
        <f ca="1">IFERROR(__xludf.DUMMYFUNCTION("""COMPUTED_VALUE"""),17.5980014093371)</f>
        <v>17.598001409337101</v>
      </c>
      <c r="O10" s="23">
        <f ca="1">IFERROR(__xludf.DUMMYFUNCTION("""COMPUTED_VALUE"""),18.4614130254254)</f>
        <v>18.461413025425401</v>
      </c>
      <c r="P10" s="23">
        <f ca="1">IFERROR(__xludf.DUMMYFUNCTION("""COMPUTED_VALUE"""),17.2933047562122)</f>
        <v>17.293304756212201</v>
      </c>
      <c r="Q10" s="24">
        <f ca="1">IFERROR(__xludf.DUMMYFUNCTION("""COMPUTED_VALUE"""),14.775345960735)</f>
        <v>14.775345960735001</v>
      </c>
      <c r="R10" s="20"/>
    </row>
    <row r="11" spans="1:18" ht="13.2" hidden="1" outlineLevel="1" x14ac:dyDescent="0.25">
      <c r="A11" s="1"/>
      <c r="B11" s="21" t="str">
        <f ca="1">IFERROR(__xludf.DUMMYFUNCTION("""COMPUTED_VALUE"""),"Energía solar")</f>
        <v>Energía solar</v>
      </c>
      <c r="C11" s="22">
        <f ca="1">IFERROR(__xludf.DUMMYFUNCTION("""COMPUTED_VALUE"""),14.7103973843924)</f>
        <v>14.710397384392399</v>
      </c>
      <c r="D11" s="23">
        <f ca="1">IFERROR(__xludf.DUMMYFUNCTION("""COMPUTED_VALUE"""),17.150396878777)</f>
        <v>17.150396878776998</v>
      </c>
      <c r="E11" s="23">
        <f ca="1">IFERROR(__xludf.DUMMYFUNCTION("""COMPUTED_VALUE"""),18.7506455052817)</f>
        <v>18.7506455052817</v>
      </c>
      <c r="F11" s="23">
        <f ca="1">IFERROR(__xludf.DUMMYFUNCTION("""COMPUTED_VALUE"""),19.682269780926)</f>
        <v>19.682269780925999</v>
      </c>
      <c r="G11" s="23">
        <f ca="1">IFERROR(__xludf.DUMMYFUNCTION("""COMPUTED_VALUE"""),22.8847322256601)</f>
        <v>22.884732225660098</v>
      </c>
      <c r="H11" s="23">
        <f ca="1">IFERROR(__xludf.DUMMYFUNCTION("""COMPUTED_VALUE"""),25.1986118401864)</f>
        <v>25.198611840186398</v>
      </c>
      <c r="I11" s="23">
        <f ca="1">IFERROR(__xludf.DUMMYFUNCTION("""COMPUTED_VALUE"""),27.7085304782755)</f>
        <v>27.708530478275499</v>
      </c>
      <c r="J11" s="23">
        <f ca="1">IFERROR(__xludf.DUMMYFUNCTION("""COMPUTED_VALUE"""),31.0225739086554)</f>
        <v>31.022573908655399</v>
      </c>
      <c r="K11" s="23">
        <f ca="1">IFERROR(__xludf.DUMMYFUNCTION("""COMPUTED_VALUE"""),39.937431288956)</f>
        <v>39.937431288955999</v>
      </c>
      <c r="L11" s="23">
        <f ca="1">IFERROR(__xludf.DUMMYFUNCTION("""COMPUTED_VALUE"""),64.5222560465888)</f>
        <v>64.522256046588794</v>
      </c>
      <c r="M11" s="23">
        <f ca="1">IFERROR(__xludf.DUMMYFUNCTION("""COMPUTED_VALUE"""),83.87516431347)</f>
        <v>83.875164313469995</v>
      </c>
      <c r="N11" s="23">
        <f ca="1">IFERROR(__xludf.DUMMYFUNCTION("""COMPUTED_VALUE"""),99.3877737831912)</f>
        <v>99.387773783191193</v>
      </c>
      <c r="O11" s="23">
        <f ca="1">IFERROR(__xludf.DUMMYFUNCTION("""COMPUTED_VALUE"""),98.8626296193328)</f>
        <v>98.862629619332793</v>
      </c>
      <c r="P11" s="23">
        <f ca="1">IFERROR(__xludf.DUMMYFUNCTION("""COMPUTED_VALUE"""),108.606391481994)</f>
        <v>108.606391481994</v>
      </c>
      <c r="Q11" s="24">
        <f ca="1">IFERROR(__xludf.DUMMYFUNCTION("""COMPUTED_VALUE"""),114.36026615905)</f>
        <v>114.36026615905</v>
      </c>
      <c r="R11" s="20"/>
    </row>
    <row r="12" spans="1:18" ht="13.2" hidden="1" outlineLevel="1" x14ac:dyDescent="0.25">
      <c r="A12" s="1"/>
      <c r="B12" s="21" t="str">
        <f ca="1">IFERROR(__xludf.DUMMYFUNCTION("""COMPUTED_VALUE"""),"Energía eólica")</f>
        <v>Energía eólica</v>
      </c>
      <c r="C12" s="22">
        <f ca="1">IFERROR(__xludf.DUMMYFUNCTION("""COMPUTED_VALUE"""),4.72015574438388)</f>
        <v>4.72015574438388</v>
      </c>
      <c r="D12" s="23">
        <f ca="1">IFERROR(__xludf.DUMMYFUNCTION("""COMPUTED_VALUE"""),6.09270561652387)</f>
        <v>6.0927056165238698</v>
      </c>
      <c r="E12" s="23">
        <f ca="1">IFERROR(__xludf.DUMMYFUNCTION("""COMPUTED_VALUE"""),13.4182747539153)</f>
        <v>13.4182747539153</v>
      </c>
      <c r="F12" s="23">
        <f ca="1">IFERROR(__xludf.DUMMYFUNCTION("""COMPUTED_VALUE"""),15.4326807263786)</f>
        <v>15.432680726378599</v>
      </c>
      <c r="G12" s="23">
        <f ca="1">IFERROR(__xludf.DUMMYFUNCTION("""COMPUTED_VALUE"""),23.6933194550924)</f>
        <v>23.6933194550924</v>
      </c>
      <c r="H12" s="23">
        <f ca="1">IFERROR(__xludf.DUMMYFUNCTION("""COMPUTED_VALUE"""),32.2266686190985)</f>
        <v>32.226668619098497</v>
      </c>
      <c r="I12" s="23">
        <f ca="1">IFERROR(__xludf.DUMMYFUNCTION("""COMPUTED_VALUE"""),38.4244589107372)</f>
        <v>38.424458910737201</v>
      </c>
      <c r="J12" s="23">
        <f ca="1">IFERROR(__xludf.DUMMYFUNCTION("""COMPUTED_VALUE"""),38.0122580222196)</f>
        <v>38.012258022219598</v>
      </c>
      <c r="K12" s="23">
        <f ca="1">IFERROR(__xludf.DUMMYFUNCTION("""COMPUTED_VALUE"""),45.2287222480656)</f>
        <v>45.228722248065601</v>
      </c>
      <c r="L12" s="23">
        <f ca="1">IFERROR(__xludf.DUMMYFUNCTION("""COMPUTED_VALUE"""),60.8230933995897)</f>
        <v>60.823093399589702</v>
      </c>
      <c r="M12" s="23">
        <f ca="1">IFERROR(__xludf.DUMMYFUNCTION("""COMPUTED_VALUE"""),71.6722117329134)</f>
        <v>71.672211732913397</v>
      </c>
      <c r="N12" s="23">
        <f ca="1">IFERROR(__xludf.DUMMYFUNCTION("""COMPUTED_VALUE"""),76.6530766316587)</f>
        <v>76.653076631658706</v>
      </c>
      <c r="O12" s="23">
        <f ca="1">IFERROR(__xludf.DUMMYFUNCTION("""COMPUTED_VALUE"""),73.9145440149017)</f>
        <v>73.914544014901693</v>
      </c>
      <c r="P12" s="23">
        <f ca="1">IFERROR(__xludf.DUMMYFUNCTION("""COMPUTED_VALUE"""),75.2858005595479)</f>
        <v>75.285800559547894</v>
      </c>
      <c r="Q12" s="24">
        <f ca="1">IFERROR(__xludf.DUMMYFUNCTION("""COMPUTED_VALUE"""),72.6585248964424)</f>
        <v>72.658524896442401</v>
      </c>
      <c r="R12" s="20"/>
    </row>
    <row r="13" spans="1:18" ht="13.2" hidden="1" outlineLevel="1" x14ac:dyDescent="0.25">
      <c r="A13" s="1"/>
      <c r="B13" s="21" t="str">
        <f ca="1">IFERROR(__xludf.DUMMYFUNCTION("""COMPUTED_VALUE"""),"Bagazo de caña")</f>
        <v>Bagazo de caña</v>
      </c>
      <c r="C13" s="22">
        <f ca="1">IFERROR(__xludf.DUMMYFUNCTION("""COMPUTED_VALUE"""),98.1025)</f>
        <v>98.102500000000006</v>
      </c>
      <c r="D13" s="23">
        <f ca="1">IFERROR(__xludf.DUMMYFUNCTION("""COMPUTED_VALUE"""),98.1724999999999)</f>
        <v>98.1724999999999</v>
      </c>
      <c r="E13" s="23">
        <f ca="1">IFERROR(__xludf.DUMMYFUNCTION("""COMPUTED_VALUE"""),100.7082)</f>
        <v>100.70820000000001</v>
      </c>
      <c r="F13" s="23">
        <f ca="1">IFERROR(__xludf.DUMMYFUNCTION("""COMPUTED_VALUE"""),138.985474999999)</f>
        <v>138.98547499999901</v>
      </c>
      <c r="G13" s="23">
        <f ca="1">IFERROR(__xludf.DUMMYFUNCTION("""COMPUTED_VALUE"""),110.069025)</f>
        <v>110.069025</v>
      </c>
      <c r="H13" s="23">
        <f ca="1">IFERROR(__xludf.DUMMYFUNCTION("""COMPUTED_VALUE"""),105.825361519365)</f>
        <v>105.825361519365</v>
      </c>
      <c r="I13" s="23">
        <f ca="1">IFERROR(__xludf.DUMMYFUNCTION("""COMPUTED_VALUE"""),106.7166051149)</f>
        <v>106.71660511490001</v>
      </c>
      <c r="J13" s="23">
        <f ca="1">IFERROR(__xludf.DUMMYFUNCTION("""COMPUTED_VALUE"""),106.213193043045)</f>
        <v>106.213193043045</v>
      </c>
      <c r="K13" s="23">
        <f ca="1">IFERROR(__xludf.DUMMYFUNCTION("""COMPUTED_VALUE"""),105.967574784255)</f>
        <v>105.96757478425501</v>
      </c>
      <c r="L13" s="23">
        <f ca="1">IFERROR(__xludf.DUMMYFUNCTION("""COMPUTED_VALUE"""),112.002937730515)</f>
        <v>112.002937730515</v>
      </c>
      <c r="M13" s="23">
        <f ca="1">IFERROR(__xludf.DUMMYFUNCTION("""COMPUTED_VALUE"""),98.56021177217)</f>
        <v>98.560211772170007</v>
      </c>
      <c r="N13" s="23">
        <f ca="1">IFERROR(__xludf.DUMMYFUNCTION("""COMPUTED_VALUE"""),102.81028261457)</f>
        <v>102.81028261457</v>
      </c>
      <c r="O13" s="23">
        <f ca="1">IFERROR(__xludf.DUMMYFUNCTION("""COMPUTED_VALUE"""),110.36629902713)</f>
        <v>110.36629902713</v>
      </c>
      <c r="P13" s="23">
        <f ca="1">IFERROR(__xludf.DUMMYFUNCTION("""COMPUTED_VALUE"""),96.310413550975)</f>
        <v>96.310413550974999</v>
      </c>
      <c r="Q13" s="24">
        <f ca="1">IFERROR(__xludf.DUMMYFUNCTION("""COMPUTED_VALUE"""),94.71717424449)</f>
        <v>94.717174244489996</v>
      </c>
      <c r="R13" s="20"/>
    </row>
    <row r="14" spans="1:18" ht="13.2" hidden="1" outlineLevel="1" x14ac:dyDescent="0.25">
      <c r="A14" s="1"/>
      <c r="B14" s="21" t="str">
        <f ca="1">IFERROR(__xludf.DUMMYFUNCTION("""COMPUTED_VALUE"""),"Leña")</f>
        <v>Leña</v>
      </c>
      <c r="C14" s="22">
        <f ca="1">IFERROR(__xludf.DUMMYFUNCTION("""COMPUTED_VALUE"""),138.367582101017)</f>
        <v>138.36758210101701</v>
      </c>
      <c r="D14" s="23">
        <f ca="1">IFERROR(__xludf.DUMMYFUNCTION("""COMPUTED_VALUE"""),137.696178221624)</f>
        <v>137.696178221624</v>
      </c>
      <c r="E14" s="23">
        <f ca="1">IFERROR(__xludf.DUMMYFUNCTION("""COMPUTED_VALUE"""),137.024774342231)</f>
        <v>137.02477434223101</v>
      </c>
      <c r="F14" s="23">
        <f ca="1">IFERROR(__xludf.DUMMYFUNCTION("""COMPUTED_VALUE"""),136.357019396965)</f>
        <v>136.357019396965</v>
      </c>
      <c r="G14" s="23">
        <f ca="1">IFERROR(__xludf.DUMMYFUNCTION("""COMPUTED_VALUE"""),135.685615517572)</f>
        <v>135.68561551757199</v>
      </c>
      <c r="H14" s="23">
        <f ca="1">IFERROR(__xludf.DUMMYFUNCTION("""COMPUTED_VALUE"""),135.010562704052)</f>
        <v>135.01056270405201</v>
      </c>
      <c r="I14" s="23">
        <f ca="1">IFERROR(__xludf.DUMMYFUNCTION("""COMPUTED_VALUE"""),134.339158824659)</f>
        <v>134.33915882465899</v>
      </c>
      <c r="J14" s="23">
        <f ca="1">IFERROR(__xludf.DUMMYFUNCTION("""COMPUTED_VALUE"""),133.667754945265)</f>
        <v>133.66775494526499</v>
      </c>
      <c r="K14" s="23">
        <f ca="1">IFERROR(__xludf.DUMMYFUNCTION("""COMPUTED_VALUE"""),132.999999999999)</f>
        <v>132.99999999999901</v>
      </c>
      <c r="L14" s="23">
        <f ca="1">IFERROR(__xludf.DUMMYFUNCTION("""COMPUTED_VALUE"""),132.324947186479)</f>
        <v>132.32494718647899</v>
      </c>
      <c r="M14" s="23">
        <f ca="1">IFERROR(__xludf.DUMMYFUNCTION("""COMPUTED_VALUE"""),131.653543307086)</f>
        <v>131.65354330708601</v>
      </c>
      <c r="N14" s="23">
        <f ca="1">IFERROR(__xludf.DUMMYFUNCTION("""COMPUTED_VALUE"""),131.095256385634)</f>
        <v>131.095256385634</v>
      </c>
      <c r="O14" s="23">
        <f ca="1">IFERROR(__xludf.DUMMYFUNCTION("""COMPUTED_VALUE"""),130.536969464182)</f>
        <v>130.53696946418199</v>
      </c>
      <c r="P14" s="23">
        <f ca="1">IFERROR(__xludf.DUMMYFUNCTION("""COMPUTED_VALUE"""),129.97868254273)</f>
        <v>129.97868254273001</v>
      </c>
      <c r="Q14" s="24">
        <f ca="1">IFERROR(__xludf.DUMMYFUNCTION("""COMPUTED_VALUE"""),129.420395621279)</f>
        <v>129.420395621279</v>
      </c>
      <c r="R14" s="20"/>
    </row>
    <row r="15" spans="1:18" ht="13.2" hidden="1" outlineLevel="1" x14ac:dyDescent="0.25">
      <c r="A15" s="1"/>
      <c r="B15" s="21" t="str">
        <f ca="1">IFERROR(__xludf.DUMMYFUNCTION("""COMPUTED_VALUE"""),"Biogás")</f>
        <v>Biogás</v>
      </c>
      <c r="C15" s="22">
        <f ca="1">IFERROR(__xludf.DUMMYFUNCTION("""COMPUTED_VALUE"""),1.3)</f>
        <v>1.3</v>
      </c>
      <c r="D15" s="23">
        <f ca="1">IFERROR(__xludf.DUMMYFUNCTION("""COMPUTED_VALUE"""),1.47)</f>
        <v>1.47</v>
      </c>
      <c r="E15" s="23">
        <f ca="1">IFERROR(__xludf.DUMMYFUNCTION("""COMPUTED_VALUE"""),1.82)</f>
        <v>1.82</v>
      </c>
      <c r="F15" s="23">
        <f ca="1">IFERROR(__xludf.DUMMYFUNCTION("""COMPUTED_VALUE"""),1.97)</f>
        <v>1.97</v>
      </c>
      <c r="G15" s="23">
        <f ca="1">IFERROR(__xludf.DUMMYFUNCTION("""COMPUTED_VALUE"""),1.94)</f>
        <v>1.94</v>
      </c>
      <c r="H15" s="23">
        <f ca="1">IFERROR(__xludf.DUMMYFUNCTION("""COMPUTED_VALUE"""),1.87)</f>
        <v>1.87</v>
      </c>
      <c r="I15" s="23">
        <f ca="1">IFERROR(__xludf.DUMMYFUNCTION("""COMPUTED_VALUE"""),1.91)</f>
        <v>1.91</v>
      </c>
      <c r="J15" s="23">
        <f ca="1">IFERROR(__xludf.DUMMYFUNCTION("""COMPUTED_VALUE"""),2.52)</f>
        <v>2.52</v>
      </c>
      <c r="K15" s="23">
        <f ca="1">IFERROR(__xludf.DUMMYFUNCTION("""COMPUTED_VALUE"""),2.84)</f>
        <v>2.84</v>
      </c>
      <c r="L15" s="23">
        <f ca="1">IFERROR(__xludf.DUMMYFUNCTION("""COMPUTED_VALUE"""),2.8)</f>
        <v>2.8</v>
      </c>
      <c r="M15" s="23">
        <f ca="1">IFERROR(__xludf.DUMMYFUNCTION("""COMPUTED_VALUE"""),2.53)</f>
        <v>2.5299999999999998</v>
      </c>
      <c r="N15" s="23">
        <f ca="1">IFERROR(__xludf.DUMMYFUNCTION("""COMPUTED_VALUE"""),2.71)</f>
        <v>2.71</v>
      </c>
      <c r="O15" s="23">
        <f ca="1">IFERROR(__xludf.DUMMYFUNCTION("""COMPUTED_VALUE"""),2.89)</f>
        <v>2.89</v>
      </c>
      <c r="P15" s="23">
        <f ca="1">IFERROR(__xludf.DUMMYFUNCTION("""COMPUTED_VALUE"""),3.07)</f>
        <v>3.07</v>
      </c>
      <c r="Q15" s="24">
        <f ca="1">IFERROR(__xludf.DUMMYFUNCTION("""COMPUTED_VALUE"""),3.25)</f>
        <v>3.25</v>
      </c>
      <c r="R15" s="20"/>
    </row>
    <row r="16" spans="1:18" ht="13.2" hidden="1" outlineLevel="1" x14ac:dyDescent="0.25">
      <c r="A16" s="1"/>
      <c r="B16" s="21" t="str">
        <f ca="1">IFERROR(__xludf.DUMMYFUNCTION("""COMPUTED_VALUE"""),"Coque de carbón")</f>
        <v>Coque de carbón</v>
      </c>
      <c r="C16" s="22">
        <f ca="1">IFERROR(__xludf.DUMMYFUNCTION("""COMPUTED_VALUE"""),20.655)</f>
        <v>20.655000000000001</v>
      </c>
      <c r="D16" s="23">
        <f ca="1">IFERROR(__xludf.DUMMYFUNCTION("""COMPUTED_VALUE"""),21.2675)</f>
        <v>21.267499999999998</v>
      </c>
      <c r="E16" s="23">
        <f ca="1">IFERROR(__xludf.DUMMYFUNCTION("""COMPUTED_VALUE"""),25.6349999999999)</f>
        <v>25.634999999999899</v>
      </c>
      <c r="F16" s="23">
        <f ca="1">IFERROR(__xludf.DUMMYFUNCTION("""COMPUTED_VALUE"""),21.1425)</f>
        <v>21.142499999999998</v>
      </c>
      <c r="G16" s="23">
        <f ca="1">IFERROR(__xludf.DUMMYFUNCTION("""COMPUTED_VALUE"""),13.271374352588)</f>
        <v>13.271374352587999</v>
      </c>
      <c r="H16" s="23">
        <f ca="1">IFERROR(__xludf.DUMMYFUNCTION("""COMPUTED_VALUE"""),18.5770005724049)</f>
        <v>18.577000572404899</v>
      </c>
      <c r="I16" s="23">
        <f ca="1">IFERROR(__xludf.DUMMYFUNCTION("""COMPUTED_VALUE"""),29.4092507281319)</f>
        <v>29.409250728131902</v>
      </c>
      <c r="J16" s="23">
        <f ca="1">IFERROR(__xludf.DUMMYFUNCTION("""COMPUTED_VALUE"""),28.8970407362779)</f>
        <v>28.897040736277901</v>
      </c>
      <c r="K16" s="23">
        <f ca="1">IFERROR(__xludf.DUMMYFUNCTION("""COMPUTED_VALUE"""),31.982180795873)</f>
        <v>31.982180795872999</v>
      </c>
      <c r="L16" s="23">
        <f ca="1">IFERROR(__xludf.DUMMYFUNCTION("""COMPUTED_VALUE"""),32.327302281813)</f>
        <v>32.327302281812997</v>
      </c>
      <c r="M16" s="23">
        <f ca="1">IFERROR(__xludf.DUMMYFUNCTION("""COMPUTED_VALUE"""),27.1928548486979)</f>
        <v>27.192854848697898</v>
      </c>
      <c r="N16" s="23">
        <f ca="1">IFERROR(__xludf.DUMMYFUNCTION("""COMPUTED_VALUE"""),36.336813788649)</f>
        <v>36.336813788649003</v>
      </c>
      <c r="O16" s="23">
        <f ca="1">IFERROR(__xludf.DUMMYFUNCTION("""COMPUTED_VALUE"""),30.90722464885)</f>
        <v>30.907224648850001</v>
      </c>
      <c r="P16" s="23">
        <f ca="1">IFERROR(__xludf.DUMMYFUNCTION("""COMPUTED_VALUE"""),18.9821022171549)</f>
        <v>18.9821022171549</v>
      </c>
      <c r="Q16" s="24">
        <f ca="1">IFERROR(__xludf.DUMMYFUNCTION("""COMPUTED_VALUE"""),16.820465758118)</f>
        <v>16.820465758118001</v>
      </c>
      <c r="R16" s="20"/>
    </row>
    <row r="17" spans="1:18" ht="13.2" hidden="1" outlineLevel="1" x14ac:dyDescent="0.25">
      <c r="A17" s="1"/>
      <c r="B17" s="21" t="str">
        <f ca="1">IFERROR(__xludf.DUMMYFUNCTION("""COMPUTED_VALUE"""),"Coque de petróleo")</f>
        <v>Coque de petróleo</v>
      </c>
      <c r="C17" s="22">
        <f ca="1">IFERROR(__xludf.DUMMYFUNCTION("""COMPUTED_VALUE"""),92.7174078261123)</f>
        <v>92.717407826112293</v>
      </c>
      <c r="D17" s="23">
        <f ca="1">IFERROR(__xludf.DUMMYFUNCTION("""COMPUTED_VALUE"""),165.4527684533)</f>
        <v>165.4527684533</v>
      </c>
      <c r="E17" s="23">
        <f ca="1">IFERROR(__xludf.DUMMYFUNCTION("""COMPUTED_VALUE"""),140.8555)</f>
        <v>140.85550000000001</v>
      </c>
      <c r="F17" s="23">
        <f ca="1">IFERROR(__xludf.DUMMYFUNCTION("""COMPUTED_VALUE"""),120.052930466775)</f>
        <v>120.052930466775</v>
      </c>
      <c r="G17" s="23">
        <f ca="1">IFERROR(__xludf.DUMMYFUNCTION("""COMPUTED_VALUE"""),30.7412628091788)</f>
        <v>30.741262809178799</v>
      </c>
      <c r="H17" s="23">
        <f ca="1">IFERROR(__xludf.DUMMYFUNCTION("""COMPUTED_VALUE"""),34.7453379348095)</f>
        <v>34.745337934809498</v>
      </c>
      <c r="I17" s="23">
        <f ca="1">IFERROR(__xludf.DUMMYFUNCTION("""COMPUTED_VALUE"""),18.104)</f>
        <v>18.103999999999999</v>
      </c>
      <c r="J17" s="23">
        <f ca="1">IFERROR(__xludf.DUMMYFUNCTION("""COMPUTED_VALUE"""),46.9164839284275)</f>
        <v>46.916483928427503</v>
      </c>
      <c r="K17" s="23">
        <f ca="1">IFERROR(__xludf.DUMMYFUNCTION("""COMPUTED_VALUE"""),81.0412694961989)</f>
        <v>81.041269496198893</v>
      </c>
      <c r="L17" s="23">
        <f ca="1">IFERROR(__xludf.DUMMYFUNCTION("""COMPUTED_VALUE"""),110.395244026346)</f>
        <v>110.39524402634601</v>
      </c>
      <c r="M17" s="23">
        <f ca="1">IFERROR(__xludf.DUMMYFUNCTION("""COMPUTED_VALUE"""),130.516847434638)</f>
        <v>130.51684743463801</v>
      </c>
      <c r="N17" s="23">
        <f ca="1">IFERROR(__xludf.DUMMYFUNCTION("""COMPUTED_VALUE"""),157.342627506442)</f>
        <v>157.342627506442</v>
      </c>
      <c r="O17" s="23">
        <f ca="1">IFERROR(__xludf.DUMMYFUNCTION("""COMPUTED_VALUE"""),170.303611527044)</f>
        <v>170.30361152704401</v>
      </c>
      <c r="P17" s="23">
        <f ca="1">IFERROR(__xludf.DUMMYFUNCTION("""COMPUTED_VALUE"""),163.913454330702)</f>
        <v>163.913454330702</v>
      </c>
      <c r="Q17" s="24">
        <f ca="1">IFERROR(__xludf.DUMMYFUNCTION("""COMPUTED_VALUE"""),119.250423254402)</f>
        <v>119.25042325440199</v>
      </c>
      <c r="R17" s="20"/>
    </row>
    <row r="18" spans="1:18" ht="13.2" hidden="1" outlineLevel="1" x14ac:dyDescent="0.25">
      <c r="A18" s="1"/>
      <c r="B18" s="21" t="str">
        <f ca="1">IFERROR(__xludf.DUMMYFUNCTION("""COMPUTED_VALUE"""),"Gas licuado de petróleo")</f>
        <v>Gas licuado de petróleo</v>
      </c>
      <c r="C18" s="22">
        <f ca="1">IFERROR(__xludf.DUMMYFUNCTION("""COMPUTED_VALUE"""),122.23)</f>
        <v>122.23</v>
      </c>
      <c r="D18" s="23">
        <f ca="1">IFERROR(__xludf.DUMMYFUNCTION("""COMPUTED_VALUE"""),124.14)</f>
        <v>124.14</v>
      </c>
      <c r="E18" s="23">
        <f ca="1">IFERROR(__xludf.DUMMYFUNCTION("""COMPUTED_VALUE"""),130.67)</f>
        <v>130.66999999999999</v>
      </c>
      <c r="F18" s="23">
        <f ca="1">IFERROR(__xludf.DUMMYFUNCTION("""COMPUTED_VALUE"""),119.34)</f>
        <v>119.34</v>
      </c>
      <c r="G18" s="23">
        <f ca="1">IFERROR(__xludf.DUMMYFUNCTION("""COMPUTED_VALUE"""),130.040881800549)</f>
        <v>130.04088180054899</v>
      </c>
      <c r="H18" s="23">
        <f ca="1">IFERROR(__xludf.DUMMYFUNCTION("""COMPUTED_VALUE"""),159.371633779961)</f>
        <v>159.371633779961</v>
      </c>
      <c r="I18" s="23">
        <f ca="1">IFERROR(__xludf.DUMMYFUNCTION("""COMPUTED_VALUE"""),212.028)</f>
        <v>212.02799999999999</v>
      </c>
      <c r="J18" s="23">
        <f ca="1">IFERROR(__xludf.DUMMYFUNCTION("""COMPUTED_VALUE"""),230.855125972141)</f>
        <v>230.855125972141</v>
      </c>
      <c r="K18" s="23">
        <f ca="1">IFERROR(__xludf.DUMMYFUNCTION("""COMPUTED_VALUE"""),253.068359349558)</f>
        <v>253.06835934955799</v>
      </c>
      <c r="L18" s="23">
        <f ca="1">IFERROR(__xludf.DUMMYFUNCTION("""COMPUTED_VALUE"""),233.938270777771)</f>
        <v>233.93827077777101</v>
      </c>
      <c r="M18" s="23">
        <f ca="1">IFERROR(__xludf.DUMMYFUNCTION("""COMPUTED_VALUE"""),285.422159550715)</f>
        <v>285.42215955071498</v>
      </c>
      <c r="N18" s="23">
        <f ca="1">IFERROR(__xludf.DUMMYFUNCTION("""COMPUTED_VALUE"""),299.945031623772)</f>
        <v>299.94503162377202</v>
      </c>
      <c r="O18" s="23">
        <f ca="1">IFERROR(__xludf.DUMMYFUNCTION("""COMPUTED_VALUE"""),289.03605962151)</f>
        <v>289.03605962150999</v>
      </c>
      <c r="P18" s="23">
        <f ca="1">IFERROR(__xludf.DUMMYFUNCTION("""COMPUTED_VALUE"""),257.71)</f>
        <v>257.70999999999998</v>
      </c>
      <c r="Q18" s="24">
        <f ca="1">IFERROR(__xludf.DUMMYFUNCTION("""COMPUTED_VALUE"""),246.07979485413)</f>
        <v>246.07979485413</v>
      </c>
      <c r="R18" s="20"/>
    </row>
    <row r="19" spans="1:18" ht="13.2" hidden="1" outlineLevel="1" x14ac:dyDescent="0.25">
      <c r="A19" s="1"/>
      <c r="B19" s="21" t="str">
        <f ca="1">IFERROR(__xludf.DUMMYFUNCTION("""COMPUTED_VALUE"""),"Gasolinas y naftas")</f>
        <v>Gasolinas y naftas</v>
      </c>
      <c r="C19" s="22">
        <f ca="1">IFERROR(__xludf.DUMMYFUNCTION("""COMPUTED_VALUE"""),635.75)</f>
        <v>635.75</v>
      </c>
      <c r="D19" s="23">
        <f ca="1">IFERROR(__xludf.DUMMYFUNCTION("""COMPUTED_VALUE"""),674.5)</f>
        <v>674.5</v>
      </c>
      <c r="E19" s="23">
        <f ca="1">IFERROR(__xludf.DUMMYFUNCTION("""COMPUTED_VALUE"""),625.41)</f>
        <v>625.41</v>
      </c>
      <c r="F19" s="23">
        <f ca="1">IFERROR(__xludf.DUMMYFUNCTION("""COMPUTED_VALUE"""),588.99)</f>
        <v>588.99</v>
      </c>
      <c r="G19" s="23">
        <f ca="1">IFERROR(__xludf.DUMMYFUNCTION("""COMPUTED_VALUE"""),587.703572003685)</f>
        <v>587.70357200368505</v>
      </c>
      <c r="H19" s="23">
        <f ca="1">IFERROR(__xludf.DUMMYFUNCTION("""COMPUTED_VALUE"""),698.288950686753)</f>
        <v>698.28895068675297</v>
      </c>
      <c r="I19" s="23">
        <f ca="1">IFERROR(__xludf.DUMMYFUNCTION("""COMPUTED_VALUE"""),879.112)</f>
        <v>879.11199999999997</v>
      </c>
      <c r="J19" s="23">
        <f ca="1">IFERROR(__xludf.DUMMYFUNCTION("""COMPUTED_VALUE"""),973.184451086563)</f>
        <v>973.18445108656294</v>
      </c>
      <c r="K19" s="23">
        <f ca="1">IFERROR(__xludf.DUMMYFUNCTION("""COMPUTED_VALUE"""),1114.11507553011)</f>
        <v>1114.1150755301101</v>
      </c>
      <c r="L19" s="23">
        <f ca="1">IFERROR(__xludf.DUMMYFUNCTION("""COMPUTED_VALUE"""),976.949723002278)</f>
        <v>976.94972300227801</v>
      </c>
      <c r="M19" s="23">
        <f ca="1">IFERROR(__xludf.DUMMYFUNCTION("""COMPUTED_VALUE"""),705.684976827416)</f>
        <v>705.68497682741599</v>
      </c>
      <c r="N19" s="23">
        <f ca="1">IFERROR(__xludf.DUMMYFUNCTION("""COMPUTED_VALUE"""),685.903657802936)</f>
        <v>685.90365780293598</v>
      </c>
      <c r="O19" s="23">
        <f ca="1">IFERROR(__xludf.DUMMYFUNCTION("""COMPUTED_VALUE"""),791.198788685987)</f>
        <v>791.19878868598698</v>
      </c>
      <c r="P19" s="23">
        <f ca="1">IFERROR(__xludf.DUMMYFUNCTION("""COMPUTED_VALUE"""),797.614)</f>
        <v>797.61400000000003</v>
      </c>
      <c r="Q19" s="24">
        <f ca="1">IFERROR(__xludf.DUMMYFUNCTION("""COMPUTED_VALUE"""),769.617975293361)</f>
        <v>769.61797529336104</v>
      </c>
      <c r="R19" s="20"/>
    </row>
    <row r="20" spans="1:18" ht="13.2" hidden="1" outlineLevel="1" x14ac:dyDescent="0.25">
      <c r="A20" s="1"/>
      <c r="B20" s="21" t="str">
        <f ca="1">IFERROR(__xludf.DUMMYFUNCTION("""COMPUTED_VALUE"""),"Querosenos")</f>
        <v>Querosenos</v>
      </c>
      <c r="C20" s="22">
        <f ca="1">IFERROR(__xludf.DUMMYFUNCTION("""COMPUTED_VALUE"""),5.39)</f>
        <v>5.39</v>
      </c>
      <c r="D20" s="23">
        <f ca="1">IFERROR(__xludf.DUMMYFUNCTION("""COMPUTED_VALUE"""),-1.74)</f>
        <v>-1.74</v>
      </c>
      <c r="E20" s="23">
        <f ca="1">IFERROR(__xludf.DUMMYFUNCTION("""COMPUTED_VALUE"""),6.61)</f>
        <v>6.61</v>
      </c>
      <c r="F20" s="23">
        <f ca="1">IFERROR(__xludf.DUMMYFUNCTION("""COMPUTED_VALUE"""),6.56)</f>
        <v>6.56</v>
      </c>
      <c r="G20" s="23">
        <f ca="1">IFERROR(__xludf.DUMMYFUNCTION("""COMPUTED_VALUE"""),25.8583432046373)</f>
        <v>25.858343204637301</v>
      </c>
      <c r="H20" s="23">
        <f ca="1">IFERROR(__xludf.DUMMYFUNCTION("""COMPUTED_VALUE"""),48.5533233696614)</f>
        <v>48.553323369661399</v>
      </c>
      <c r="I20" s="23">
        <f ca="1">IFERROR(__xludf.DUMMYFUNCTION("""COMPUTED_VALUE"""),74.3729999999999)</f>
        <v>74.372999999999905</v>
      </c>
      <c r="J20" s="23">
        <f ca="1">IFERROR(__xludf.DUMMYFUNCTION("""COMPUTED_VALUE"""),91.7671014945624)</f>
        <v>91.767101494562397</v>
      </c>
      <c r="K20" s="23">
        <f ca="1">IFERROR(__xludf.DUMMYFUNCTION("""COMPUTED_VALUE"""),126.726105888406)</f>
        <v>126.726105888406</v>
      </c>
      <c r="L20" s="23">
        <f ca="1">IFERROR(__xludf.DUMMYFUNCTION("""COMPUTED_VALUE"""),130.850569250016)</f>
        <v>130.85056925001601</v>
      </c>
      <c r="M20" s="23">
        <f ca="1">IFERROR(__xludf.DUMMYFUNCTION("""COMPUTED_VALUE"""),47.0598278714121)</f>
        <v>47.059827871412097</v>
      </c>
      <c r="N20" s="23">
        <f ca="1">IFERROR(__xludf.DUMMYFUNCTION("""COMPUTED_VALUE"""),72.4116251245284)</f>
        <v>72.411625124528399</v>
      </c>
      <c r="O20" s="23">
        <f ca="1">IFERROR(__xludf.DUMMYFUNCTION("""COMPUTED_VALUE"""),116.411632780681)</f>
        <v>116.411632780681</v>
      </c>
      <c r="P20" s="23">
        <f ca="1">IFERROR(__xludf.DUMMYFUNCTION("""COMPUTED_VALUE"""),116.785)</f>
        <v>116.785</v>
      </c>
      <c r="Q20" s="24">
        <f ca="1">IFERROR(__xludf.DUMMYFUNCTION("""COMPUTED_VALUE"""),127.027453145267)</f>
        <v>127.027453145267</v>
      </c>
      <c r="R20" s="20"/>
    </row>
    <row r="21" spans="1:18" ht="13.2" hidden="1" outlineLevel="1" x14ac:dyDescent="0.25">
      <c r="A21" s="1"/>
      <c r="B21" s="21" t="str">
        <f ca="1">IFERROR(__xludf.DUMMYFUNCTION("""COMPUTED_VALUE"""),"Diesel")</f>
        <v>Diesel</v>
      </c>
      <c r="C21" s="22">
        <f ca="1">IFERROR(__xludf.DUMMYFUNCTION("""COMPUTED_VALUE"""),392.5872)</f>
        <v>392.5872</v>
      </c>
      <c r="D21" s="23">
        <f ca="1">IFERROR(__xludf.DUMMYFUNCTION("""COMPUTED_VALUE"""),424.5585)</f>
        <v>424.55849999999998</v>
      </c>
      <c r="E21" s="23">
        <f ca="1">IFERROR(__xludf.DUMMYFUNCTION("""COMPUTED_VALUE"""),433.679099999999)</f>
        <v>433.67909999999898</v>
      </c>
      <c r="F21" s="23">
        <f ca="1">IFERROR(__xludf.DUMMYFUNCTION("""COMPUTED_VALUE"""),338.645)</f>
        <v>338.64499999999998</v>
      </c>
      <c r="G21" s="23">
        <f ca="1">IFERROR(__xludf.DUMMYFUNCTION("""COMPUTED_VALUE"""),271.039522611128)</f>
        <v>271.03952261112801</v>
      </c>
      <c r="H21" s="23">
        <f ca="1">IFERROR(__xludf.DUMMYFUNCTION("""COMPUTED_VALUE"""),314.972917765257)</f>
        <v>314.97291776525702</v>
      </c>
      <c r="I21" s="23">
        <f ca="1">IFERROR(__xludf.DUMMYFUNCTION("""COMPUTED_VALUE"""),395.558)</f>
        <v>395.55799999999999</v>
      </c>
      <c r="J21" s="23">
        <f ca="1">IFERROR(__xludf.DUMMYFUNCTION("""COMPUTED_VALUE"""),543.13695583529)</f>
        <v>543.13695583529</v>
      </c>
      <c r="K21" s="23">
        <f ca="1">IFERROR(__xludf.DUMMYFUNCTION("""COMPUTED_VALUE"""),715.755872458914)</f>
        <v>715.75587245891404</v>
      </c>
      <c r="L21" s="23">
        <f ca="1">IFERROR(__xludf.DUMMYFUNCTION("""COMPUTED_VALUE"""),555.82435326017)</f>
        <v>555.82435326017003</v>
      </c>
      <c r="M21" s="23">
        <f ca="1">IFERROR(__xludf.DUMMYFUNCTION("""COMPUTED_VALUE"""),364.280615352751)</f>
        <v>364.280615352751</v>
      </c>
      <c r="N21" s="23">
        <f ca="1">IFERROR(__xludf.DUMMYFUNCTION("""COMPUTED_VALUE"""),611.974094187996)</f>
        <v>611.974094187996</v>
      </c>
      <c r="O21" s="23">
        <f ca="1">IFERROR(__xludf.DUMMYFUNCTION("""COMPUTED_VALUE"""),570.166139118571)</f>
        <v>570.16613911857098</v>
      </c>
      <c r="P21" s="23">
        <f ca="1">IFERROR(__xludf.DUMMYFUNCTION("""COMPUTED_VALUE"""),548.091)</f>
        <v>548.09100000000001</v>
      </c>
      <c r="Q21" s="24">
        <f ca="1">IFERROR(__xludf.DUMMYFUNCTION("""COMPUTED_VALUE"""),506.107169809867)</f>
        <v>506.107169809867</v>
      </c>
      <c r="R21" s="20"/>
    </row>
    <row r="22" spans="1:18" ht="13.2" hidden="1" outlineLevel="1" x14ac:dyDescent="0.25">
      <c r="A22" s="1"/>
      <c r="B22" s="21" t="str">
        <f ca="1">IFERROR(__xludf.DUMMYFUNCTION("""COMPUTED_VALUE"""),"Combustóleo")</f>
        <v>Combustóleo</v>
      </c>
      <c r="C22" s="22">
        <f ca="1">IFERROR(__xludf.DUMMYFUNCTION("""COMPUTED_VALUE"""),-262.2026)</f>
        <v>-262.20260000000002</v>
      </c>
      <c r="D22" s="23">
        <f ca="1">IFERROR(__xludf.DUMMYFUNCTION("""COMPUTED_VALUE"""),-166.2214)</f>
        <v>-166.22139999999999</v>
      </c>
      <c r="E22" s="23">
        <f ca="1">IFERROR(__xludf.DUMMYFUNCTION("""COMPUTED_VALUE"""),-58.8790999999999)</f>
        <v>-58.879099999999902</v>
      </c>
      <c r="F22" s="23">
        <f ca="1">IFERROR(__xludf.DUMMYFUNCTION("""COMPUTED_VALUE"""),-138.8734)</f>
        <v>-138.8734</v>
      </c>
      <c r="G22" s="23">
        <f ca="1">IFERROR(__xludf.DUMMYFUNCTION("""COMPUTED_VALUE"""),-260.699302591847)</f>
        <v>-260.69930259184702</v>
      </c>
      <c r="H22" s="23">
        <f ca="1">IFERROR(__xludf.DUMMYFUNCTION("""COMPUTED_VALUE"""),-249.072817993678)</f>
        <v>-249.072817993678</v>
      </c>
      <c r="I22" s="23">
        <f ca="1">IFERROR(__xludf.DUMMYFUNCTION("""COMPUTED_VALUE"""),-250.174)</f>
        <v>-250.17400000000001</v>
      </c>
      <c r="J22" s="23">
        <f ca="1">IFERROR(__xludf.DUMMYFUNCTION("""COMPUTED_VALUE"""),-178.279026570872)</f>
        <v>-178.27902657087199</v>
      </c>
      <c r="K22" s="23">
        <f ca="1">IFERROR(__xludf.DUMMYFUNCTION("""COMPUTED_VALUE"""),-156.660622188478)</f>
        <v>-156.66062218847799</v>
      </c>
      <c r="L22" s="23">
        <f ca="1">IFERROR(__xludf.DUMMYFUNCTION("""COMPUTED_VALUE"""),-118.932865376571)</f>
        <v>-118.932865376571</v>
      </c>
      <c r="M22" s="23">
        <f ca="1">IFERROR(__xludf.DUMMYFUNCTION("""COMPUTED_VALUE"""),-236.569720631057)</f>
        <v>-236.56972063105701</v>
      </c>
      <c r="N22" s="23">
        <f ca="1">IFERROR(__xludf.DUMMYFUNCTION("""COMPUTED_VALUE"""),-373.849494508538)</f>
        <v>-373.84949450853799</v>
      </c>
      <c r="O22" s="23">
        <f ca="1">IFERROR(__xludf.DUMMYFUNCTION("""COMPUTED_VALUE"""),-408.187213489549)</f>
        <v>-408.18721348954898</v>
      </c>
      <c r="P22" s="23">
        <f ca="1">IFERROR(__xludf.DUMMYFUNCTION("""COMPUTED_VALUE"""),-436.355)</f>
        <v>-436.35500000000002</v>
      </c>
      <c r="Q22" s="24">
        <f ca="1">IFERROR(__xludf.DUMMYFUNCTION("""COMPUTED_VALUE"""),-487.866215080041)</f>
        <v>-487.866215080041</v>
      </c>
      <c r="R22" s="20"/>
    </row>
    <row r="23" spans="1:18" ht="13.2" hidden="1" outlineLevel="1" x14ac:dyDescent="0.25">
      <c r="A23" s="1"/>
      <c r="B23" s="21" t="str">
        <f ca="1">IFERROR(__xludf.DUMMYFUNCTION("""COMPUTED_VALUE"""),"Otros energéticos")</f>
        <v>Otros energéticos</v>
      </c>
      <c r="C23" s="22">
        <f ca="1">IFERROR(__xludf.DUMMYFUNCTION("""COMPUTED_VALUE"""),-3.96049999999999)</f>
        <v>-3.9604999999999899</v>
      </c>
      <c r="D23" s="23">
        <f ca="1">IFERROR(__xludf.DUMMYFUNCTION("""COMPUTED_VALUE"""),-4.0601)</f>
        <v>-4.0601000000000003</v>
      </c>
      <c r="E23" s="23">
        <f ca="1">IFERROR(__xludf.DUMMYFUNCTION("""COMPUTED_VALUE"""),-3.3034)</f>
        <v>-3.3033999999999999</v>
      </c>
      <c r="F23" s="23">
        <f ca="1">IFERROR(__xludf.DUMMYFUNCTION("""COMPUTED_VALUE"""),-8.011)</f>
        <v>-8.0109999999999992</v>
      </c>
      <c r="G23" s="23">
        <f ca="1">IFERROR(__xludf.DUMMYFUNCTION("""COMPUTED_VALUE"""),-2.70250145769228)</f>
        <v>-2.7025014576922799</v>
      </c>
      <c r="H23" s="23">
        <f ca="1">IFERROR(__xludf.DUMMYFUNCTION("""COMPUTED_VALUE"""),-2.27960121255162)</f>
        <v>-2.2796012125516198</v>
      </c>
      <c r="I23" s="23">
        <f ca="1">IFERROR(__xludf.DUMMYFUNCTION("""COMPUTED_VALUE"""),-2.642)</f>
        <v>-2.6419999999999999</v>
      </c>
      <c r="J23" s="23">
        <f ca="1">IFERROR(__xludf.DUMMYFUNCTION("""COMPUTED_VALUE"""),-0.72678842863887)</f>
        <v>-0.72678842863887005</v>
      </c>
      <c r="K23" s="23">
        <f ca="1">IFERROR(__xludf.DUMMYFUNCTION("""COMPUTED_VALUE"""),-1.96530814836979)</f>
        <v>-1.9653081483697901</v>
      </c>
      <c r="L23" s="23">
        <f ca="1">IFERROR(__xludf.DUMMYFUNCTION("""COMPUTED_VALUE"""),-1.09574584427906)</f>
        <v>-1.09574584427906</v>
      </c>
      <c r="M23" s="23">
        <f ca="1">IFERROR(__xludf.DUMMYFUNCTION("""COMPUTED_VALUE"""),-1.84970149196441)</f>
        <v>-1.8497014919644099</v>
      </c>
      <c r="N23" s="23">
        <f ca="1">IFERROR(__xludf.DUMMYFUNCTION("""COMPUTED_VALUE"""),-0.331601504533668)</f>
        <v>-0.33160150453366799</v>
      </c>
      <c r="O23" s="23">
        <f ca="1">IFERROR(__xludf.DUMMYFUNCTION("""COMPUTED_VALUE"""),-0.00309156936371648)</f>
        <v>-3.0915693637164799E-3</v>
      </c>
      <c r="P23" s="23">
        <f ca="1">IFERROR(__xludf.DUMMYFUNCTION("""COMPUTED_VALUE"""),-1.567)</f>
        <v>-1.5669999999999999</v>
      </c>
      <c r="Q23" s="24">
        <f ca="1">IFERROR(__xludf.DUMMYFUNCTION("""COMPUTED_VALUE"""),-0.26536024544973)</f>
        <v>-0.26536024544973003</v>
      </c>
      <c r="R23" s="20"/>
    </row>
    <row r="24" spans="1:18" ht="13.2" hidden="1" outlineLevel="1" x14ac:dyDescent="0.25">
      <c r="A24" s="1"/>
      <c r="B24" s="21" t="str">
        <f ca="1">IFERROR(__xludf.DUMMYFUNCTION("""COMPUTED_VALUE"""),"Gas natural seco")</f>
        <v>Gas natural seco</v>
      </c>
      <c r="C24" s="22">
        <f ca="1">IFERROR(__xludf.DUMMYFUNCTION("""COMPUTED_VALUE"""),847.773614864)</f>
        <v>847.77361486400002</v>
      </c>
      <c r="D24" s="23">
        <f ca="1">IFERROR(__xludf.DUMMYFUNCTION("""COMPUTED_VALUE"""),1019.841779446)</f>
        <v>1019.841779446</v>
      </c>
      <c r="E24" s="23">
        <f ca="1">IFERROR(__xludf.DUMMYFUNCTION("""COMPUTED_VALUE"""),836.667064807999)</f>
        <v>836.66706480799905</v>
      </c>
      <c r="F24" s="23">
        <f ca="1">IFERROR(__xludf.DUMMYFUNCTION("""COMPUTED_VALUE"""),942.69859)</f>
        <v>942.69858999999997</v>
      </c>
      <c r="G24" s="23">
        <f ca="1">IFERROR(__xludf.DUMMYFUNCTION("""COMPUTED_VALUE"""),1182.69498633302)</f>
        <v>1182.6949863330201</v>
      </c>
      <c r="H24" s="23">
        <f ca="1">IFERROR(__xludf.DUMMYFUNCTION("""COMPUTED_VALUE"""),1367.61523803513)</f>
        <v>1367.61523803513</v>
      </c>
      <c r="I24" s="23">
        <f ca="1">IFERROR(__xludf.DUMMYFUNCTION("""COMPUTED_VALUE"""),1855.405)</f>
        <v>1855.405</v>
      </c>
      <c r="J24" s="23">
        <f ca="1">IFERROR(__xludf.DUMMYFUNCTION("""COMPUTED_VALUE"""),1908.69524876348)</f>
        <v>1908.6952487634801</v>
      </c>
      <c r="K24" s="23">
        <f ca="1">IFERROR(__xludf.DUMMYFUNCTION("""COMPUTED_VALUE"""),2412.76658875797)</f>
        <v>2412.7665887579701</v>
      </c>
      <c r="L24" s="23">
        <f ca="1">IFERROR(__xludf.DUMMYFUNCTION("""COMPUTED_VALUE"""),2578.4647215244)</f>
        <v>2578.4647215243999</v>
      </c>
      <c r="M24" s="23">
        <f ca="1">IFERROR(__xludf.DUMMYFUNCTION("""COMPUTED_VALUE"""),2176.15897714508)</f>
        <v>2176.1589771450799</v>
      </c>
      <c r="N24" s="23">
        <f ca="1">IFERROR(__xludf.DUMMYFUNCTION("""COMPUTED_VALUE"""),2439.51193218319)</f>
        <v>2439.5119321831899</v>
      </c>
      <c r="O24" s="23">
        <f ca="1">IFERROR(__xludf.DUMMYFUNCTION("""COMPUTED_VALUE"""),2304.10585241087)</f>
        <v>2304.1058524108698</v>
      </c>
      <c r="P24" s="23">
        <f ca="1">IFERROR(__xludf.DUMMYFUNCTION("""COMPUTED_VALUE"""),2466.16960020026)</f>
        <v>2466.16960020026</v>
      </c>
      <c r="Q24" s="24">
        <f ca="1">IFERROR(__xludf.DUMMYFUNCTION("""COMPUTED_VALUE"""),2660.82258749126)</f>
        <v>2660.82258749126</v>
      </c>
      <c r="R24" s="20"/>
    </row>
    <row r="25" spans="1:18" ht="13.2" hidden="1" outlineLevel="1" x14ac:dyDescent="0.25">
      <c r="A25" s="1"/>
      <c r="B25" s="25" t="str">
        <f ca="1">IFERROR(__xludf.DUMMYFUNCTION("""COMPUTED_VALUE"""),"Energía eléctrica")</f>
        <v>Energía eléctrica</v>
      </c>
      <c r="C25" s="26">
        <f ca="1">IFERROR(__xludf.DUMMYFUNCTION("""COMPUTED_VALUE"""),-20.25)</f>
        <v>-20.25</v>
      </c>
      <c r="D25" s="27">
        <f ca="1">IFERROR(__xludf.DUMMYFUNCTION("""COMPUTED_VALUE"""),-19.89)</f>
        <v>-19.89</v>
      </c>
      <c r="E25" s="27">
        <f ca="1">IFERROR(__xludf.DUMMYFUNCTION("""COMPUTED_VALUE"""),-15.26)</f>
        <v>-15.26</v>
      </c>
      <c r="F25" s="27">
        <f ca="1">IFERROR(__xludf.DUMMYFUNCTION("""COMPUTED_VALUE"""),-20.54)</f>
        <v>-20.54</v>
      </c>
      <c r="G25" s="27">
        <f ca="1">IFERROR(__xludf.DUMMYFUNCTION("""COMPUTED_VALUE"""),-24.71)</f>
        <v>-24.71</v>
      </c>
      <c r="H25" s="27">
        <f ca="1">IFERROR(__xludf.DUMMYFUNCTION("""COMPUTED_VALUE"""),-24.1799999999999)</f>
        <v>-24.1799999999999</v>
      </c>
      <c r="I25" s="27">
        <f ca="1">IFERROR(__xludf.DUMMYFUNCTION("""COMPUTED_VALUE"""),-18.54)</f>
        <v>-18.54</v>
      </c>
      <c r="J25" s="27">
        <f ca="1">IFERROR(__xludf.DUMMYFUNCTION("""COMPUTED_VALUE"""),-20.2277271297664)</f>
        <v>-20.2277271297664</v>
      </c>
      <c r="K25" s="27">
        <f ca="1">IFERROR(__xludf.DUMMYFUNCTION("""COMPUTED_VALUE"""),-9.2319783086368)</f>
        <v>-9.2319783086367995</v>
      </c>
      <c r="L25" s="27">
        <f ca="1">IFERROR(__xludf.DUMMYFUNCTION("""COMPUTED_VALUE"""),-3.31857231248116)</f>
        <v>-3.3185723124811601</v>
      </c>
      <c r="M25" s="27">
        <f ca="1">IFERROR(__xludf.DUMMYFUNCTION("""COMPUTED_VALUE"""),11.5999063210223)</f>
        <v>11.599906321022299</v>
      </c>
      <c r="N25" s="27">
        <f ca="1">IFERROR(__xludf.DUMMYFUNCTION("""COMPUTED_VALUE"""),-8.89315671621524)</f>
        <v>-8.8931567162152394</v>
      </c>
      <c r="O25" s="27">
        <f ca="1">IFERROR(__xludf.DUMMYFUNCTION("""COMPUTED_VALUE"""),-15.6374890959735)</f>
        <v>-15.6374890959735</v>
      </c>
      <c r="P25" s="27">
        <f ca="1">IFERROR(__xludf.DUMMYFUNCTION("""COMPUTED_VALUE"""),-11.6139671672091)</f>
        <v>-11.6139671672091</v>
      </c>
      <c r="Q25" s="28">
        <f ca="1">IFERROR(__xludf.DUMMYFUNCTION("""COMPUTED_VALUE"""),-6.93904254442433)</f>
        <v>-6.9390425444243302</v>
      </c>
      <c r="R25" s="20"/>
    </row>
    <row r="26" spans="1:18" ht="13.2" hidden="1" outlineLevel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0"/>
    </row>
    <row r="27" spans="1:18" ht="13.2" collapsed="1" x14ac:dyDescent="0.25">
      <c r="A27" s="4"/>
      <c r="B27" s="5" t="str">
        <f ca="1">IFERROR(__xludf.DUMMYFUNCTION("""COMPUTED_VALUE"""),"OTot(e,a)")</f>
        <v>OTot(e,a)</v>
      </c>
      <c r="C27" s="6" t="str">
        <f ca="1">IFERROR(__xludf.DUMMYFUNCTION("""COMPUTED_VALUE"""),"-/+")</f>
        <v>-/+</v>
      </c>
      <c r="D27" s="7" t="str">
        <f ca="1">IFERROR(__xludf.DUMMYFUNCTION("""COMPUTED_VALUE"""),"Oferta total por energético e y año a.")</f>
        <v>Oferta total por energético e y año a.</v>
      </c>
      <c r="E27" s="6" t="str">
        <f ca="1">IFERROR(__xludf.DUMMYFUNCTION("""COMPUTED_VALUE"""),"cbne")</f>
        <v>cbne</v>
      </c>
      <c r="F27" s="6" t="str">
        <f ca="1">IFERROR(__xludf.DUMMYFUNCTION("""COMPUTED_VALUE"""),"a")</f>
        <v>a</v>
      </c>
      <c r="G27" s="8" t="str">
        <f ca="1">IFERROR(__xludf.DUMMYFUNCTION("""COMPUTED_VALUE"""),"PJ")</f>
        <v>PJ</v>
      </c>
      <c r="H27" s="9"/>
      <c r="I27" s="1"/>
      <c r="J27" s="1"/>
      <c r="K27" s="1"/>
      <c r="L27" s="1"/>
      <c r="M27" s="1"/>
      <c r="N27" s="1"/>
      <c r="O27" s="1"/>
      <c r="P27" s="1"/>
      <c r="Q27" s="1"/>
      <c r="R27" s="10"/>
    </row>
    <row r="28" spans="1:18" ht="13.2" hidden="1" outlineLevel="1" x14ac:dyDescent="0.25">
      <c r="A28" s="1"/>
      <c r="B28" s="11"/>
      <c r="C28" s="12">
        <f ca="1">IFERROR(__xludf.DUMMYFUNCTION("""COMPUTED_VALUE"""),2010)</f>
        <v>2010</v>
      </c>
      <c r="D28" s="13">
        <f ca="1">IFERROR(__xludf.DUMMYFUNCTION("""COMPUTED_VALUE"""),2011)</f>
        <v>2011</v>
      </c>
      <c r="E28" s="13">
        <f ca="1">IFERROR(__xludf.DUMMYFUNCTION("""COMPUTED_VALUE"""),2012)</f>
        <v>2012</v>
      </c>
      <c r="F28" s="13">
        <f ca="1">IFERROR(__xludf.DUMMYFUNCTION("""COMPUTED_VALUE"""),2013)</f>
        <v>2013</v>
      </c>
      <c r="G28" s="13">
        <f ca="1">IFERROR(__xludf.DUMMYFUNCTION("""COMPUTED_VALUE"""),2014)</f>
        <v>2014</v>
      </c>
      <c r="H28" s="13">
        <f ca="1">IFERROR(__xludf.DUMMYFUNCTION("""COMPUTED_VALUE"""),2015)</f>
        <v>2015</v>
      </c>
      <c r="I28" s="13">
        <f ca="1">IFERROR(__xludf.DUMMYFUNCTION("""COMPUTED_VALUE"""),2016)</f>
        <v>2016</v>
      </c>
      <c r="J28" s="13">
        <f ca="1">IFERROR(__xludf.DUMMYFUNCTION("""COMPUTED_VALUE"""),2017)</f>
        <v>2017</v>
      </c>
      <c r="K28" s="13">
        <f ca="1">IFERROR(__xludf.DUMMYFUNCTION("""COMPUTED_VALUE"""),2018)</f>
        <v>2018</v>
      </c>
      <c r="L28" s="13">
        <f ca="1">IFERROR(__xludf.DUMMYFUNCTION("""COMPUTED_VALUE"""),2019)</f>
        <v>2019</v>
      </c>
      <c r="M28" s="13">
        <f ca="1">IFERROR(__xludf.DUMMYFUNCTION("""COMPUTED_VALUE"""),2020)</f>
        <v>2020</v>
      </c>
      <c r="N28" s="13">
        <f ca="1">IFERROR(__xludf.DUMMYFUNCTION("""COMPUTED_VALUE"""),2021)</f>
        <v>2021</v>
      </c>
      <c r="O28" s="13">
        <f ca="1">IFERROR(__xludf.DUMMYFUNCTION("""COMPUTED_VALUE"""),2022)</f>
        <v>2022</v>
      </c>
      <c r="P28" s="13">
        <f ca="1">IFERROR(__xludf.DUMMYFUNCTION("""COMPUTED_VALUE"""),2023)</f>
        <v>2023</v>
      </c>
      <c r="Q28" s="14">
        <f ca="1">IFERROR(__xludf.DUMMYFUNCTION("""COMPUTED_VALUE"""),2024)</f>
        <v>2024</v>
      </c>
      <c r="R28" s="15"/>
    </row>
    <row r="29" spans="1:18" ht="13.2" hidden="1" outlineLevel="1" x14ac:dyDescent="0.25">
      <c r="A29" s="1"/>
      <c r="B29" s="16" t="str">
        <f ca="1">IFERROR(__xludf.DUMMYFUNCTION("""COMPUTED_VALUE"""),"Carbón mineral")</f>
        <v>Carbón mineral</v>
      </c>
      <c r="C29" s="17">
        <f ca="1">IFERROR(__xludf.DUMMYFUNCTION("""COMPUTED_VALUE"""),589.626901005799)</f>
        <v>589.62690100579903</v>
      </c>
      <c r="D29" s="18">
        <f ca="1">IFERROR(__xludf.DUMMYFUNCTION("""COMPUTED_VALUE"""),706.62617174985)</f>
        <v>706.62617174984996</v>
      </c>
      <c r="E29" s="18">
        <f ca="1">IFERROR(__xludf.DUMMYFUNCTION("""COMPUTED_VALUE"""),561.81385768935)</f>
        <v>561.81385768935002</v>
      </c>
      <c r="F29" s="18">
        <f ca="1">IFERROR(__xludf.DUMMYFUNCTION("""COMPUTED_VALUE"""),553.65013242485)</f>
        <v>553.65013242484997</v>
      </c>
      <c r="G29" s="18">
        <f ca="1">IFERROR(__xludf.DUMMYFUNCTION("""COMPUTED_VALUE"""),553.621759008384)</f>
        <v>553.62175900838395</v>
      </c>
      <c r="H29" s="18">
        <f ca="1">IFERROR(__xludf.DUMMYFUNCTION("""COMPUTED_VALUE"""),589.462828440082)</f>
        <v>589.46282844008203</v>
      </c>
      <c r="I29" s="18">
        <f ca="1">IFERROR(__xludf.DUMMYFUNCTION("""COMPUTED_VALUE"""),528.781977838584)</f>
        <v>528.781977838584</v>
      </c>
      <c r="J29" s="18">
        <f ca="1">IFERROR(__xludf.DUMMYFUNCTION("""COMPUTED_VALUE"""),554.6652670277)</f>
        <v>554.6652670277</v>
      </c>
      <c r="K29" s="18">
        <f ca="1">IFERROR(__xludf.DUMMYFUNCTION("""COMPUTED_VALUE"""),501.847914300133)</f>
        <v>501.84791430013303</v>
      </c>
      <c r="L29" s="18">
        <f ca="1">IFERROR(__xludf.DUMMYFUNCTION("""COMPUTED_VALUE"""),430.533158653862)</f>
        <v>430.53315865386202</v>
      </c>
      <c r="M29" s="18">
        <f ca="1">IFERROR(__xludf.DUMMYFUNCTION("""COMPUTED_VALUE"""),377.872776813546)</f>
        <v>377.87277681354601</v>
      </c>
      <c r="N29" s="18">
        <f ca="1">IFERROR(__xludf.DUMMYFUNCTION("""COMPUTED_VALUE"""),339.707330792489)</f>
        <v>339.70733079248902</v>
      </c>
      <c r="O29" s="18">
        <f ca="1">IFERROR(__xludf.DUMMYFUNCTION("""COMPUTED_VALUE"""),321.63263471027)</f>
        <v>321.63263471027</v>
      </c>
      <c r="P29" s="18">
        <f ca="1">IFERROR(__xludf.DUMMYFUNCTION("""COMPUTED_VALUE"""),215.412760824583)</f>
        <v>215.41276082458299</v>
      </c>
      <c r="Q29" s="19">
        <f ca="1">IFERROR(__xludf.DUMMYFUNCTION("""COMPUTED_VALUE"""),219.556224577085)</f>
        <v>219.556224577085</v>
      </c>
      <c r="R29" s="20"/>
    </row>
    <row r="30" spans="1:18" ht="13.2" hidden="1" outlineLevel="1" x14ac:dyDescent="0.25">
      <c r="A30" s="1"/>
      <c r="B30" s="21" t="str">
        <f ca="1">IFERROR(__xludf.DUMMYFUNCTION("""COMPUTED_VALUE"""),"Petróleo crudo")</f>
        <v>Petróleo crudo</v>
      </c>
      <c r="C30" s="22">
        <f ca="1">IFERROR(__xludf.DUMMYFUNCTION("""COMPUTED_VALUE"""),5743.21619)</f>
        <v>5743.2161900000001</v>
      </c>
      <c r="D30" s="23">
        <f ca="1">IFERROR(__xludf.DUMMYFUNCTION("""COMPUTED_VALUE"""),5705.18447)</f>
        <v>5705.1844700000001</v>
      </c>
      <c r="E30" s="23">
        <f ca="1">IFERROR(__xludf.DUMMYFUNCTION("""COMPUTED_VALUE"""),5683.747322)</f>
        <v>5683.7473220000002</v>
      </c>
      <c r="F30" s="23">
        <f ca="1">IFERROR(__xludf.DUMMYFUNCTION("""COMPUTED_VALUE"""),5612.782811)</f>
        <v>5612.782811</v>
      </c>
      <c r="G30" s="23">
        <f ca="1">IFERROR(__xludf.DUMMYFUNCTION("""COMPUTED_VALUE"""),5168.4176057803)</f>
        <v>5168.4176057802997</v>
      </c>
      <c r="H30" s="23">
        <f ca="1">IFERROR(__xludf.DUMMYFUNCTION("""COMPUTED_VALUE"""),4962.50136501872)</f>
        <v>4962.5013650187202</v>
      </c>
      <c r="I30" s="23">
        <f ca="1">IFERROR(__xludf.DUMMYFUNCTION("""COMPUTED_VALUE"""),4736.92605176399)</f>
        <v>4736.9260517639896</v>
      </c>
      <c r="J30" s="23">
        <f ca="1">IFERROR(__xludf.DUMMYFUNCTION("""COMPUTED_VALUE"""),4324.37725804845)</f>
        <v>4324.3772580484501</v>
      </c>
      <c r="K30" s="23">
        <f ca="1">IFERROR(__xludf.DUMMYFUNCTION("""COMPUTED_VALUE"""),4025.80531176286)</f>
        <v>4025.8053117628601</v>
      </c>
      <c r="L30" s="23">
        <f ca="1">IFERROR(__xludf.DUMMYFUNCTION("""COMPUTED_VALUE"""),3791.72703740974)</f>
        <v>3791.7270374097402</v>
      </c>
      <c r="M30" s="23">
        <f ca="1">IFERROR(__xludf.DUMMYFUNCTION("""COMPUTED_VALUE"""),3764.87135193026)</f>
        <v>3764.8713519302601</v>
      </c>
      <c r="N30" s="23">
        <f ca="1">IFERROR(__xludf.DUMMYFUNCTION("""COMPUTED_VALUE"""),3736.43839169916)</f>
        <v>3736.4383916991601</v>
      </c>
      <c r="O30" s="23">
        <f ca="1">IFERROR(__xludf.DUMMYFUNCTION("""COMPUTED_VALUE"""),3615.38074890645)</f>
        <v>3615.3807489064502</v>
      </c>
      <c r="P30" s="23">
        <f ca="1">IFERROR(__xludf.DUMMYFUNCTION("""COMPUTED_VALUE"""),3750.4656943098)</f>
        <v>3750.4656943097998</v>
      </c>
      <c r="Q30" s="24">
        <f ca="1">IFERROR(__xludf.DUMMYFUNCTION("""COMPUTED_VALUE"""),3490.17207690774)</f>
        <v>3490.1720769077401</v>
      </c>
      <c r="R30" s="20"/>
    </row>
    <row r="31" spans="1:18" ht="13.2" hidden="1" outlineLevel="1" x14ac:dyDescent="0.25">
      <c r="A31" s="1"/>
      <c r="B31" s="21" t="str">
        <f ca="1">IFERROR(__xludf.DUMMYFUNCTION("""COMPUTED_VALUE"""),"Condensados")</f>
        <v>Condensados</v>
      </c>
      <c r="C31" s="22">
        <f ca="1">IFERROR(__xludf.DUMMYFUNCTION("""COMPUTED_VALUE"""),92.88137)</f>
        <v>92.881370000000004</v>
      </c>
      <c r="D31" s="23">
        <f ca="1">IFERROR(__xludf.DUMMYFUNCTION("""COMPUTED_VALUE"""),100.08798)</f>
        <v>100.08798</v>
      </c>
      <c r="E31" s="23">
        <f ca="1">IFERROR(__xludf.DUMMYFUNCTION("""COMPUTED_VALUE"""),87.7530599999999)</f>
        <v>87.753059999999905</v>
      </c>
      <c r="F31" s="23">
        <f ca="1">IFERROR(__xludf.DUMMYFUNCTION("""COMPUTED_VALUE"""),134.5896)</f>
        <v>134.58959999999999</v>
      </c>
      <c r="G31" s="23">
        <f ca="1">IFERROR(__xludf.DUMMYFUNCTION("""COMPUTED_VALUE"""),105.839447978647)</f>
        <v>105.839447978647</v>
      </c>
      <c r="H31" s="23">
        <f ca="1">IFERROR(__xludf.DUMMYFUNCTION("""COMPUTED_VALUE"""),99.9467037090607)</f>
        <v>99.946703709060699</v>
      </c>
      <c r="I31" s="23">
        <f ca="1">IFERROR(__xludf.DUMMYFUNCTION("""COMPUTED_VALUE"""),90.245)</f>
        <v>90.245000000000005</v>
      </c>
      <c r="J31" s="23">
        <f ca="1">IFERROR(__xludf.DUMMYFUNCTION("""COMPUTED_VALUE"""),74.8109169718451)</f>
        <v>74.810916971845103</v>
      </c>
      <c r="K31" s="23">
        <f ca="1">IFERROR(__xludf.DUMMYFUNCTION("""COMPUTED_VALUE"""),72.37162802)</f>
        <v>72.371628020000003</v>
      </c>
      <c r="L31" s="23">
        <f ca="1">IFERROR(__xludf.DUMMYFUNCTION("""COMPUTED_VALUE"""),78.36946456)</f>
        <v>78.369464559999997</v>
      </c>
      <c r="M31" s="23">
        <f ca="1">IFERROR(__xludf.DUMMYFUNCTION("""COMPUTED_VALUE"""),54.33841436)</f>
        <v>54.338414360000002</v>
      </c>
      <c r="N31" s="23">
        <f ca="1">IFERROR(__xludf.DUMMYFUNCTION("""COMPUTED_VALUE"""),260.37527571)</f>
        <v>260.37527570999998</v>
      </c>
      <c r="O31" s="23">
        <f ca="1">IFERROR(__xludf.DUMMYFUNCTION("""COMPUTED_VALUE"""),498.7892807)</f>
        <v>498.78928070000001</v>
      </c>
      <c r="P31" s="23">
        <f ca="1">IFERROR(__xludf.DUMMYFUNCTION("""COMPUTED_VALUE"""),638.4798141)</f>
        <v>638.4798141</v>
      </c>
      <c r="Q31" s="24">
        <f ca="1">IFERROR(__xludf.DUMMYFUNCTION("""COMPUTED_VALUE"""),603.58576709)</f>
        <v>603.58576708999999</v>
      </c>
      <c r="R31" s="20"/>
    </row>
    <row r="32" spans="1:18" ht="13.2" hidden="1" outlineLevel="1" x14ac:dyDescent="0.25">
      <c r="A32" s="1"/>
      <c r="B32" s="21" t="str">
        <f ca="1">IFERROR(__xludf.DUMMYFUNCTION("""COMPUTED_VALUE"""),"Gas natural")</f>
        <v>Gas natural</v>
      </c>
      <c r="C32" s="22">
        <f ca="1">IFERROR(__xludf.DUMMYFUNCTION("""COMPUTED_VALUE"""),2789.545306806)</f>
        <v>2789.5453068060001</v>
      </c>
      <c r="D32" s="23">
        <f ca="1">IFERROR(__xludf.DUMMYFUNCTION("""COMPUTED_VALUE"""),2640.60406461673)</f>
        <v>2640.6040646167298</v>
      </c>
      <c r="E32" s="23">
        <f ca="1">IFERROR(__xludf.DUMMYFUNCTION("""COMPUTED_VALUE"""),2546.18118544638)</f>
        <v>2546.1811854463799</v>
      </c>
      <c r="F32" s="23">
        <f ca="1">IFERROR(__xludf.DUMMYFUNCTION("""COMPUTED_VALUE"""),2557.52454500659)</f>
        <v>2557.52454500659</v>
      </c>
      <c r="G32" s="23">
        <f ca="1">IFERROR(__xludf.DUMMYFUNCTION("""COMPUTED_VALUE"""),2598.12160849065)</f>
        <v>2598.12160849065</v>
      </c>
      <c r="H32" s="23">
        <f ca="1">IFERROR(__xludf.DUMMYFUNCTION("""COMPUTED_VALUE"""),2559.401650203)</f>
        <v>2559.4016502029999</v>
      </c>
      <c r="I32" s="23">
        <f ca="1">IFERROR(__xludf.DUMMYFUNCTION("""COMPUTED_VALUE"""),2296.67955785719)</f>
        <v>2296.67955785719</v>
      </c>
      <c r="J32" s="23">
        <f ca="1">IFERROR(__xludf.DUMMYFUNCTION("""COMPUTED_VALUE"""),2015.75233991156)</f>
        <v>2015.7523399115601</v>
      </c>
      <c r="K32" s="23">
        <f ca="1">IFERROR(__xludf.DUMMYFUNCTION("""COMPUTED_VALUE"""),1921.86203296585)</f>
        <v>1921.8620329658499</v>
      </c>
      <c r="L32" s="23">
        <f ca="1">IFERROR(__xludf.DUMMYFUNCTION("""COMPUTED_VALUE"""),1925.90501009235)</f>
        <v>1925.90501009235</v>
      </c>
      <c r="M32" s="23">
        <f ca="1">IFERROR(__xludf.DUMMYFUNCTION("""COMPUTED_VALUE"""),1939.84192295819)</f>
        <v>1939.84192295819</v>
      </c>
      <c r="N32" s="23">
        <f ca="1">IFERROR(__xludf.DUMMYFUNCTION("""COMPUTED_VALUE"""),1906.04143717646)</f>
        <v>1906.04143717646</v>
      </c>
      <c r="O32" s="23">
        <f ca="1">IFERROR(__xludf.DUMMYFUNCTION("""COMPUTED_VALUE"""),1915.28033287331)</f>
        <v>1915.28033287331</v>
      </c>
      <c r="P32" s="23">
        <f ca="1">IFERROR(__xludf.DUMMYFUNCTION("""COMPUTED_VALUE"""),1981.01240756673)</f>
        <v>1981.01240756673</v>
      </c>
      <c r="Q32" s="24">
        <f ca="1">IFERROR(__xludf.DUMMYFUNCTION("""COMPUTED_VALUE"""),1817.37223645907)</f>
        <v>1817.3722364590701</v>
      </c>
      <c r="R32" s="20"/>
    </row>
    <row r="33" spans="1:18" ht="13.2" hidden="1" outlineLevel="1" x14ac:dyDescent="0.25">
      <c r="A33" s="1"/>
      <c r="B33" s="21" t="str">
        <f ca="1">IFERROR(__xludf.DUMMYFUNCTION("""COMPUTED_VALUE"""),"Energía Nuclear")</f>
        <v>Energía Nuclear</v>
      </c>
      <c r="C33" s="22">
        <f ca="1">IFERROR(__xludf.DUMMYFUNCTION("""COMPUTED_VALUE"""),63.94)</f>
        <v>63.94</v>
      </c>
      <c r="D33" s="23">
        <f ca="1">IFERROR(__xludf.DUMMYFUNCTION("""COMPUTED_VALUE"""),106.39)</f>
        <v>106.39</v>
      </c>
      <c r="E33" s="23">
        <f ca="1">IFERROR(__xludf.DUMMYFUNCTION("""COMPUTED_VALUE"""),91.32)</f>
        <v>91.32</v>
      </c>
      <c r="F33" s="23">
        <f ca="1">IFERROR(__xludf.DUMMYFUNCTION("""COMPUTED_VALUE"""),122.6)</f>
        <v>122.6</v>
      </c>
      <c r="G33" s="23">
        <f ca="1">IFERROR(__xludf.DUMMYFUNCTION("""COMPUTED_VALUE"""),112.6)</f>
        <v>112.6</v>
      </c>
      <c r="H33" s="23">
        <f ca="1">IFERROR(__xludf.DUMMYFUNCTION("""COMPUTED_VALUE"""),130.41)</f>
        <v>130.41</v>
      </c>
      <c r="I33" s="23">
        <f ca="1">IFERROR(__xludf.DUMMYFUNCTION("""COMPUTED_VALUE"""),109.95)</f>
        <v>109.95</v>
      </c>
      <c r="J33" s="23">
        <f ca="1">IFERROR(__xludf.DUMMYFUNCTION("""COMPUTED_VALUE"""),113.22)</f>
        <v>113.22</v>
      </c>
      <c r="K33" s="23">
        <f ca="1">IFERROR(__xludf.DUMMYFUNCTION("""COMPUTED_VALUE"""),141.649958844)</f>
        <v>141.649958844</v>
      </c>
      <c r="L33" s="23">
        <f ca="1">IFERROR(__xludf.DUMMYFUNCTION("""COMPUTED_VALUE"""),116.482347758)</f>
        <v>116.482347758</v>
      </c>
      <c r="M33" s="23">
        <f ca="1">IFERROR(__xludf.DUMMYFUNCTION("""COMPUTED_VALUE"""),117.464405187)</f>
        <v>117.464405187</v>
      </c>
      <c r="N33" s="23">
        <f ca="1">IFERROR(__xludf.DUMMYFUNCTION("""COMPUTED_VALUE"""),124.986917246)</f>
        <v>124.986917246</v>
      </c>
      <c r="O33" s="23">
        <f ca="1">IFERROR(__xludf.DUMMYFUNCTION("""COMPUTED_VALUE"""),114.174258473606)</f>
        <v>114.174258473606</v>
      </c>
      <c r="P33" s="23">
        <f ca="1">IFERROR(__xludf.DUMMYFUNCTION("""COMPUTED_VALUE"""),130.343389429)</f>
        <v>130.34338942900001</v>
      </c>
      <c r="Q33" s="24">
        <f ca="1">IFERROR(__xludf.DUMMYFUNCTION("""COMPUTED_VALUE"""),129.506482099619)</f>
        <v>129.50648209961901</v>
      </c>
      <c r="R33" s="20"/>
    </row>
    <row r="34" spans="1:18" ht="13.2" hidden="1" outlineLevel="1" x14ac:dyDescent="0.25">
      <c r="A34" s="1"/>
      <c r="B34" s="21" t="str">
        <f ca="1">IFERROR(__xludf.DUMMYFUNCTION("""COMPUTED_VALUE"""),"Energia Hidraúlica")</f>
        <v>Energia Hidraúlica</v>
      </c>
      <c r="C34" s="22">
        <f ca="1">IFERROR(__xludf.DUMMYFUNCTION("""COMPUTED_VALUE"""),140.650755235208)</f>
        <v>140.65075523520801</v>
      </c>
      <c r="D34" s="23">
        <f ca="1">IFERROR(__xludf.DUMMYFUNCTION("""COMPUTED_VALUE"""),136.794558672405)</f>
        <v>136.794558672405</v>
      </c>
      <c r="E34" s="23">
        <f ca="1">IFERROR(__xludf.DUMMYFUNCTION("""COMPUTED_VALUE"""),119.376356904078)</f>
        <v>119.37635690407799</v>
      </c>
      <c r="F34" s="23">
        <f ca="1">IFERROR(__xludf.DUMMYFUNCTION("""COMPUTED_VALUE"""),104.973810376497)</f>
        <v>104.973810376497</v>
      </c>
      <c r="G34" s="23">
        <f ca="1">IFERROR(__xludf.DUMMYFUNCTION("""COMPUTED_VALUE"""),143.244619898085)</f>
        <v>143.24461989808501</v>
      </c>
      <c r="H34" s="23">
        <f ca="1">IFERROR(__xludf.DUMMYFUNCTION("""COMPUTED_VALUE"""),113.841109573861)</f>
        <v>113.841109573861</v>
      </c>
      <c r="I34" s="23">
        <f ca="1">IFERROR(__xludf.DUMMYFUNCTION("""COMPUTED_VALUE"""),113.379393418838)</f>
        <v>113.37939341883801</v>
      </c>
      <c r="J34" s="23">
        <f ca="1">IFERROR(__xludf.DUMMYFUNCTION("""COMPUTED_VALUE"""),115.127888338328)</f>
        <v>115.12788833832801</v>
      </c>
      <c r="K34" s="23">
        <f ca="1">IFERROR(__xludf.DUMMYFUNCTION("""COMPUTED_VALUE"""),117.199476436479)</f>
        <v>117.199476436479</v>
      </c>
      <c r="L34" s="23">
        <f ca="1">IFERROR(__xludf.DUMMYFUNCTION("""COMPUTED_VALUE"""),85.7683544952812)</f>
        <v>85.768354495281201</v>
      </c>
      <c r="M34" s="23">
        <f ca="1">IFERROR(__xludf.DUMMYFUNCTION("""COMPUTED_VALUE"""),97.4546523269544)</f>
        <v>97.454652326954402</v>
      </c>
      <c r="N34" s="23">
        <f ca="1">IFERROR(__xludf.DUMMYFUNCTION("""COMPUTED_VALUE"""),126.117339304689)</f>
        <v>126.117339304689</v>
      </c>
      <c r="O34" s="23">
        <f ca="1">IFERROR(__xludf.DUMMYFUNCTION("""COMPUTED_VALUE"""),129.225569710392)</f>
        <v>129.22556971039199</v>
      </c>
      <c r="P34" s="23">
        <f ca="1">IFERROR(__xludf.DUMMYFUNCTION("""COMPUTED_VALUE"""),74.9299386156002)</f>
        <v>74.929938615600193</v>
      </c>
      <c r="Q34" s="24">
        <f ca="1">IFERROR(__xludf.DUMMYFUNCTION("""COMPUTED_VALUE"""),86.517832500333)</f>
        <v>86.517832500333</v>
      </c>
      <c r="R34" s="20"/>
    </row>
    <row r="35" spans="1:18" ht="13.2" hidden="1" outlineLevel="1" x14ac:dyDescent="0.25">
      <c r="A35" s="1"/>
      <c r="B35" s="21" t="str">
        <f ca="1">IFERROR(__xludf.DUMMYFUNCTION("""COMPUTED_VALUE"""),"Geoenergía")</f>
        <v>Geoenergía</v>
      </c>
      <c r="C35" s="22">
        <f ca="1">IFERROR(__xludf.DUMMYFUNCTION("""COMPUTED_VALUE"""),28.762373781417)</f>
        <v>28.762373781417001</v>
      </c>
      <c r="D35" s="23">
        <f ca="1">IFERROR(__xludf.DUMMYFUNCTION("""COMPUTED_VALUE"""),27.4176420837335)</f>
        <v>27.417642083733501</v>
      </c>
      <c r="E35" s="23">
        <f ca="1">IFERROR(__xludf.DUMMYFUNCTION("""COMPUTED_VALUE"""),24.5599069913274)</f>
        <v>24.559906991327399</v>
      </c>
      <c r="F35" s="23">
        <f ca="1">IFERROR(__xludf.DUMMYFUNCTION("""COMPUTED_VALUE"""),25.4932891196797)</f>
        <v>25.493289119679702</v>
      </c>
      <c r="G35" s="23">
        <f ca="1">IFERROR(__xludf.DUMMYFUNCTION("""COMPUTED_VALUE"""),25.326716568116)</f>
        <v>25.326716568116002</v>
      </c>
      <c r="H35" s="23">
        <f ca="1">IFERROR(__xludf.DUMMYFUNCTION("""COMPUTED_VALUE"""),26.5306410704584)</f>
        <v>26.530641070458401</v>
      </c>
      <c r="I35" s="23">
        <f ca="1">IFERROR(__xludf.DUMMYFUNCTION("""COMPUTED_VALUE"""),25.7432810093918)</f>
        <v>25.743281009391801</v>
      </c>
      <c r="J35" s="23">
        <f ca="1">IFERROR(__xludf.DUMMYFUNCTION("""COMPUTED_VALUE"""),23.7316824624317)</f>
        <v>23.731682462431699</v>
      </c>
      <c r="K35" s="23">
        <f ca="1">IFERROR(__xludf.DUMMYFUNCTION("""COMPUTED_VALUE"""),21.1555305711881)</f>
        <v>21.155530571188098</v>
      </c>
      <c r="L35" s="23">
        <f ca="1">IFERROR(__xludf.DUMMYFUNCTION("""COMPUTED_VALUE"""),20.9378103741678)</f>
        <v>20.9378103741678</v>
      </c>
      <c r="M35" s="23">
        <f ca="1">IFERROR(__xludf.DUMMYFUNCTION("""COMPUTED_VALUE"""),19.1204715569663)</f>
        <v>19.120471556966301</v>
      </c>
      <c r="N35" s="23">
        <f ca="1">IFERROR(__xludf.DUMMYFUNCTION("""COMPUTED_VALUE"""),17.5980014093371)</f>
        <v>17.598001409337101</v>
      </c>
      <c r="O35" s="23">
        <f ca="1">IFERROR(__xludf.DUMMYFUNCTION("""COMPUTED_VALUE"""),18.4614130254254)</f>
        <v>18.461413025425401</v>
      </c>
      <c r="P35" s="23">
        <f ca="1">IFERROR(__xludf.DUMMYFUNCTION("""COMPUTED_VALUE"""),17.2933047562122)</f>
        <v>17.293304756212201</v>
      </c>
      <c r="Q35" s="24">
        <f ca="1">IFERROR(__xludf.DUMMYFUNCTION("""COMPUTED_VALUE"""),14.775345960735)</f>
        <v>14.775345960735001</v>
      </c>
      <c r="R35" s="20"/>
    </row>
    <row r="36" spans="1:18" ht="13.2" hidden="1" outlineLevel="1" x14ac:dyDescent="0.25">
      <c r="A36" s="1"/>
      <c r="B36" s="21" t="str">
        <f ca="1">IFERROR(__xludf.DUMMYFUNCTION("""COMPUTED_VALUE"""),"Energía solar")</f>
        <v>Energía solar</v>
      </c>
      <c r="C36" s="22">
        <f ca="1">IFERROR(__xludf.DUMMYFUNCTION("""COMPUTED_VALUE"""),14.7103973843924)</f>
        <v>14.710397384392399</v>
      </c>
      <c r="D36" s="23">
        <f ca="1">IFERROR(__xludf.DUMMYFUNCTION("""COMPUTED_VALUE"""),17.150396878777)</f>
        <v>17.150396878776998</v>
      </c>
      <c r="E36" s="23">
        <f ca="1">IFERROR(__xludf.DUMMYFUNCTION("""COMPUTED_VALUE"""),18.7506455052817)</f>
        <v>18.7506455052817</v>
      </c>
      <c r="F36" s="23">
        <f ca="1">IFERROR(__xludf.DUMMYFUNCTION("""COMPUTED_VALUE"""),19.682269780926)</f>
        <v>19.682269780925999</v>
      </c>
      <c r="G36" s="23">
        <f ca="1">IFERROR(__xludf.DUMMYFUNCTION("""COMPUTED_VALUE"""),22.8847322256601)</f>
        <v>22.884732225660098</v>
      </c>
      <c r="H36" s="23">
        <f ca="1">IFERROR(__xludf.DUMMYFUNCTION("""COMPUTED_VALUE"""),25.1986118401864)</f>
        <v>25.198611840186398</v>
      </c>
      <c r="I36" s="23">
        <f ca="1">IFERROR(__xludf.DUMMYFUNCTION("""COMPUTED_VALUE"""),27.7085304782755)</f>
        <v>27.708530478275499</v>
      </c>
      <c r="J36" s="23">
        <f ca="1">IFERROR(__xludf.DUMMYFUNCTION("""COMPUTED_VALUE"""),31.0225739086554)</f>
        <v>31.022573908655399</v>
      </c>
      <c r="K36" s="23">
        <f ca="1">IFERROR(__xludf.DUMMYFUNCTION("""COMPUTED_VALUE"""),39.937431288956)</f>
        <v>39.937431288955999</v>
      </c>
      <c r="L36" s="23">
        <f ca="1">IFERROR(__xludf.DUMMYFUNCTION("""COMPUTED_VALUE"""),64.5222560465888)</f>
        <v>64.522256046588794</v>
      </c>
      <c r="M36" s="23">
        <f ca="1">IFERROR(__xludf.DUMMYFUNCTION("""COMPUTED_VALUE"""),83.87516431347)</f>
        <v>83.875164313469995</v>
      </c>
      <c r="N36" s="23">
        <f ca="1">IFERROR(__xludf.DUMMYFUNCTION("""COMPUTED_VALUE"""),99.3877737831912)</f>
        <v>99.387773783191193</v>
      </c>
      <c r="O36" s="23">
        <f ca="1">IFERROR(__xludf.DUMMYFUNCTION("""COMPUTED_VALUE"""),98.8626296193328)</f>
        <v>98.862629619332793</v>
      </c>
      <c r="P36" s="23">
        <f ca="1">IFERROR(__xludf.DUMMYFUNCTION("""COMPUTED_VALUE"""),108.606391481994)</f>
        <v>108.606391481994</v>
      </c>
      <c r="Q36" s="24">
        <f ca="1">IFERROR(__xludf.DUMMYFUNCTION("""COMPUTED_VALUE"""),114.36026615905)</f>
        <v>114.36026615905</v>
      </c>
      <c r="R36" s="20"/>
    </row>
    <row r="37" spans="1:18" ht="13.2" hidden="1" outlineLevel="1" x14ac:dyDescent="0.25">
      <c r="A37" s="1"/>
      <c r="B37" s="21" t="str">
        <f ca="1">IFERROR(__xludf.DUMMYFUNCTION("""COMPUTED_VALUE"""),"Energía eólica")</f>
        <v>Energía eólica</v>
      </c>
      <c r="C37" s="22">
        <f ca="1">IFERROR(__xludf.DUMMYFUNCTION("""COMPUTED_VALUE"""),4.72015574438388)</f>
        <v>4.72015574438388</v>
      </c>
      <c r="D37" s="23">
        <f ca="1">IFERROR(__xludf.DUMMYFUNCTION("""COMPUTED_VALUE"""),6.09270561652387)</f>
        <v>6.0927056165238698</v>
      </c>
      <c r="E37" s="23">
        <f ca="1">IFERROR(__xludf.DUMMYFUNCTION("""COMPUTED_VALUE"""),13.4182747539153)</f>
        <v>13.4182747539153</v>
      </c>
      <c r="F37" s="23">
        <f ca="1">IFERROR(__xludf.DUMMYFUNCTION("""COMPUTED_VALUE"""),15.4326807263786)</f>
        <v>15.432680726378599</v>
      </c>
      <c r="G37" s="23">
        <f ca="1">IFERROR(__xludf.DUMMYFUNCTION("""COMPUTED_VALUE"""),23.6933194550924)</f>
        <v>23.6933194550924</v>
      </c>
      <c r="H37" s="23">
        <f ca="1">IFERROR(__xludf.DUMMYFUNCTION("""COMPUTED_VALUE"""),32.2266686190985)</f>
        <v>32.226668619098497</v>
      </c>
      <c r="I37" s="23">
        <f ca="1">IFERROR(__xludf.DUMMYFUNCTION("""COMPUTED_VALUE"""),38.4244589107372)</f>
        <v>38.424458910737201</v>
      </c>
      <c r="J37" s="23">
        <f ca="1">IFERROR(__xludf.DUMMYFUNCTION("""COMPUTED_VALUE"""),38.0122580222196)</f>
        <v>38.012258022219598</v>
      </c>
      <c r="K37" s="23">
        <f ca="1">IFERROR(__xludf.DUMMYFUNCTION("""COMPUTED_VALUE"""),45.2287222480656)</f>
        <v>45.228722248065601</v>
      </c>
      <c r="L37" s="23">
        <f ca="1">IFERROR(__xludf.DUMMYFUNCTION("""COMPUTED_VALUE"""),60.8230933995897)</f>
        <v>60.823093399589702</v>
      </c>
      <c r="M37" s="23">
        <f ca="1">IFERROR(__xludf.DUMMYFUNCTION("""COMPUTED_VALUE"""),71.6722117329134)</f>
        <v>71.672211732913397</v>
      </c>
      <c r="N37" s="23">
        <f ca="1">IFERROR(__xludf.DUMMYFUNCTION("""COMPUTED_VALUE"""),76.6530766316587)</f>
        <v>76.653076631658706</v>
      </c>
      <c r="O37" s="23">
        <f ca="1">IFERROR(__xludf.DUMMYFUNCTION("""COMPUTED_VALUE"""),73.9145440149017)</f>
        <v>73.914544014901693</v>
      </c>
      <c r="P37" s="23">
        <f ca="1">IFERROR(__xludf.DUMMYFUNCTION("""COMPUTED_VALUE"""),75.2858005595479)</f>
        <v>75.285800559547894</v>
      </c>
      <c r="Q37" s="24">
        <f ca="1">IFERROR(__xludf.DUMMYFUNCTION("""COMPUTED_VALUE"""),72.6585248964424)</f>
        <v>72.658524896442401</v>
      </c>
      <c r="R37" s="20"/>
    </row>
    <row r="38" spans="1:18" ht="13.2" hidden="1" outlineLevel="1" x14ac:dyDescent="0.25">
      <c r="A38" s="1"/>
      <c r="B38" s="21" t="str">
        <f ca="1">IFERROR(__xludf.DUMMYFUNCTION("""COMPUTED_VALUE"""),"Bagazo de caña")</f>
        <v>Bagazo de caña</v>
      </c>
      <c r="C38" s="22">
        <f ca="1">IFERROR(__xludf.DUMMYFUNCTION("""COMPUTED_VALUE"""),99.0825)</f>
        <v>99.082499999999996</v>
      </c>
      <c r="D38" s="23">
        <f ca="1">IFERROR(__xludf.DUMMYFUNCTION("""COMPUTED_VALUE"""),99.1724999999999)</f>
        <v>99.1724999999999</v>
      </c>
      <c r="E38" s="23">
        <f ca="1">IFERROR(__xludf.DUMMYFUNCTION("""COMPUTED_VALUE"""),101.7582)</f>
        <v>101.7582</v>
      </c>
      <c r="F38" s="23">
        <f ca="1">IFERROR(__xludf.DUMMYFUNCTION("""COMPUTED_VALUE"""),140.345475)</f>
        <v>140.34547499999999</v>
      </c>
      <c r="G38" s="23">
        <f ca="1">IFERROR(__xludf.DUMMYFUNCTION("""COMPUTED_VALUE"""),111.269025)</f>
        <v>111.269025</v>
      </c>
      <c r="H38" s="23">
        <f ca="1">IFERROR(__xludf.DUMMYFUNCTION("""COMPUTED_VALUE"""),107.002387785)</f>
        <v>107.002387785</v>
      </c>
      <c r="I38" s="23">
        <f ca="1">IFERROR(__xludf.DUMMYFUNCTION("""COMPUTED_VALUE"""),107.9035441)</f>
        <v>107.9035441</v>
      </c>
      <c r="J38" s="23">
        <f ca="1">IFERROR(__xludf.DUMMYFUNCTION("""COMPUTED_VALUE"""),107.394532905)</f>
        <v>107.39453290500001</v>
      </c>
      <c r="K38" s="23">
        <f ca="1">IFERROR(__xludf.DUMMYFUNCTION("""COMPUTED_VALUE"""),107.146182795)</f>
        <v>107.146182795</v>
      </c>
      <c r="L38" s="23">
        <f ca="1">IFERROR(__xludf.DUMMYFUNCTION("""COMPUTED_VALUE"""),113.248673135)</f>
        <v>113.248673135</v>
      </c>
      <c r="M38" s="23">
        <f ca="1">IFERROR(__xludf.DUMMYFUNCTION("""COMPUTED_VALUE"""),99.65643253)</f>
        <v>99.656432530000004</v>
      </c>
      <c r="N38" s="23">
        <f ca="1">IFERROR(__xludf.DUMMYFUNCTION("""COMPUTED_VALUE"""),103.95377413)</f>
        <v>103.95377413</v>
      </c>
      <c r="O38" s="23">
        <f ca="1">IFERROR(__xludf.DUMMYFUNCTION("""COMPUTED_VALUE"""),111.59383117)</f>
        <v>111.59383117</v>
      </c>
      <c r="P38" s="23">
        <f ca="1">IFERROR(__xludf.DUMMYFUNCTION("""COMPUTED_VALUE"""),97.381611275)</f>
        <v>97.381611274999997</v>
      </c>
      <c r="Q38" s="24">
        <f ca="1">IFERROR(__xludf.DUMMYFUNCTION("""COMPUTED_VALUE"""),95.77065141)</f>
        <v>95.770651409999999</v>
      </c>
      <c r="R38" s="20"/>
    </row>
    <row r="39" spans="1:18" ht="13.2" hidden="1" outlineLevel="1" x14ac:dyDescent="0.25">
      <c r="A39" s="1"/>
      <c r="B39" s="21" t="str">
        <f ca="1">IFERROR(__xludf.DUMMYFUNCTION("""COMPUTED_VALUE"""),"Leña")</f>
        <v>Leña</v>
      </c>
      <c r="C39" s="22">
        <f ca="1">IFERROR(__xludf.DUMMYFUNCTION("""COMPUTED_VALUE"""),138.367582101017)</f>
        <v>138.36758210101701</v>
      </c>
      <c r="D39" s="23">
        <f ca="1">IFERROR(__xludf.DUMMYFUNCTION("""COMPUTED_VALUE"""),137.696178221624)</f>
        <v>137.696178221624</v>
      </c>
      <c r="E39" s="23">
        <f ca="1">IFERROR(__xludf.DUMMYFUNCTION("""COMPUTED_VALUE"""),137.024774342231)</f>
        <v>137.02477434223101</v>
      </c>
      <c r="F39" s="23">
        <f ca="1">IFERROR(__xludf.DUMMYFUNCTION("""COMPUTED_VALUE"""),136.357019396965)</f>
        <v>136.357019396965</v>
      </c>
      <c r="G39" s="23">
        <f ca="1">IFERROR(__xludf.DUMMYFUNCTION("""COMPUTED_VALUE"""),135.685615517572)</f>
        <v>135.68561551757199</v>
      </c>
      <c r="H39" s="23">
        <f ca="1">IFERROR(__xludf.DUMMYFUNCTION("""COMPUTED_VALUE"""),135.010562704052)</f>
        <v>135.01056270405201</v>
      </c>
      <c r="I39" s="23">
        <f ca="1">IFERROR(__xludf.DUMMYFUNCTION("""COMPUTED_VALUE"""),134.339158824659)</f>
        <v>134.33915882465899</v>
      </c>
      <c r="J39" s="23">
        <f ca="1">IFERROR(__xludf.DUMMYFUNCTION("""COMPUTED_VALUE"""),133.667754945265)</f>
        <v>133.66775494526499</v>
      </c>
      <c r="K39" s="23">
        <f ca="1">IFERROR(__xludf.DUMMYFUNCTION("""COMPUTED_VALUE"""),132.999999999999)</f>
        <v>132.99999999999901</v>
      </c>
      <c r="L39" s="23">
        <f ca="1">IFERROR(__xludf.DUMMYFUNCTION("""COMPUTED_VALUE"""),132.324947186479)</f>
        <v>132.32494718647899</v>
      </c>
      <c r="M39" s="23">
        <f ca="1">IFERROR(__xludf.DUMMYFUNCTION("""COMPUTED_VALUE"""),131.653543307086)</f>
        <v>131.65354330708601</v>
      </c>
      <c r="N39" s="23">
        <f ca="1">IFERROR(__xludf.DUMMYFUNCTION("""COMPUTED_VALUE"""),131.095256385634)</f>
        <v>131.095256385634</v>
      </c>
      <c r="O39" s="23">
        <f ca="1">IFERROR(__xludf.DUMMYFUNCTION("""COMPUTED_VALUE"""),130.536969464182)</f>
        <v>130.53696946418199</v>
      </c>
      <c r="P39" s="23">
        <f ca="1">IFERROR(__xludf.DUMMYFUNCTION("""COMPUTED_VALUE"""),129.97868254273)</f>
        <v>129.97868254273001</v>
      </c>
      <c r="Q39" s="24">
        <f ca="1">IFERROR(__xludf.DUMMYFUNCTION("""COMPUTED_VALUE"""),129.420395621279)</f>
        <v>129.420395621279</v>
      </c>
      <c r="R39" s="20"/>
    </row>
    <row r="40" spans="1:18" ht="13.2" hidden="1" outlineLevel="1" x14ac:dyDescent="0.25">
      <c r="A40" s="1"/>
      <c r="B40" s="21" t="str">
        <f ca="1">IFERROR(__xludf.DUMMYFUNCTION("""COMPUTED_VALUE"""),"Biogás")</f>
        <v>Biogás</v>
      </c>
      <c r="C40" s="22">
        <f ca="1">IFERROR(__xludf.DUMMYFUNCTION("""COMPUTED_VALUE"""),1.3)</f>
        <v>1.3</v>
      </c>
      <c r="D40" s="23">
        <f ca="1">IFERROR(__xludf.DUMMYFUNCTION("""COMPUTED_VALUE"""),1.47)</f>
        <v>1.47</v>
      </c>
      <c r="E40" s="23">
        <f ca="1">IFERROR(__xludf.DUMMYFUNCTION("""COMPUTED_VALUE"""),1.82)</f>
        <v>1.82</v>
      </c>
      <c r="F40" s="23">
        <f ca="1">IFERROR(__xludf.DUMMYFUNCTION("""COMPUTED_VALUE"""),1.97)</f>
        <v>1.97</v>
      </c>
      <c r="G40" s="23">
        <f ca="1">IFERROR(__xludf.DUMMYFUNCTION("""COMPUTED_VALUE"""),1.94)</f>
        <v>1.94</v>
      </c>
      <c r="H40" s="23">
        <f ca="1">IFERROR(__xludf.DUMMYFUNCTION("""COMPUTED_VALUE"""),1.87)</f>
        <v>1.87</v>
      </c>
      <c r="I40" s="23">
        <f ca="1">IFERROR(__xludf.DUMMYFUNCTION("""COMPUTED_VALUE"""),1.91)</f>
        <v>1.91</v>
      </c>
      <c r="J40" s="23">
        <f ca="1">IFERROR(__xludf.DUMMYFUNCTION("""COMPUTED_VALUE"""),2.52)</f>
        <v>2.52</v>
      </c>
      <c r="K40" s="23">
        <f ca="1">IFERROR(__xludf.DUMMYFUNCTION("""COMPUTED_VALUE"""),2.84)</f>
        <v>2.84</v>
      </c>
      <c r="L40" s="23">
        <f ca="1">IFERROR(__xludf.DUMMYFUNCTION("""COMPUTED_VALUE"""),2.8)</f>
        <v>2.8</v>
      </c>
      <c r="M40" s="23">
        <f ca="1">IFERROR(__xludf.DUMMYFUNCTION("""COMPUTED_VALUE"""),2.53)</f>
        <v>2.5299999999999998</v>
      </c>
      <c r="N40" s="23">
        <f ca="1">IFERROR(__xludf.DUMMYFUNCTION("""COMPUTED_VALUE"""),2.71)</f>
        <v>2.71</v>
      </c>
      <c r="O40" s="23">
        <f ca="1">IFERROR(__xludf.DUMMYFUNCTION("""COMPUTED_VALUE"""),2.89)</f>
        <v>2.89</v>
      </c>
      <c r="P40" s="23">
        <f ca="1">IFERROR(__xludf.DUMMYFUNCTION("""COMPUTED_VALUE"""),3.07)</f>
        <v>3.07</v>
      </c>
      <c r="Q40" s="24">
        <f ca="1">IFERROR(__xludf.DUMMYFUNCTION("""COMPUTED_VALUE"""),3.25)</f>
        <v>3.25</v>
      </c>
      <c r="R40" s="20"/>
    </row>
    <row r="41" spans="1:18" ht="13.2" hidden="1" outlineLevel="1" x14ac:dyDescent="0.25">
      <c r="A41" s="1"/>
      <c r="B41" s="21" t="str">
        <f ca="1">IFERROR(__xludf.DUMMYFUNCTION("""COMPUTED_VALUE"""),"Coque de carbón")</f>
        <v>Coque de carbón</v>
      </c>
      <c r="C41" s="22">
        <f ca="1">IFERROR(__xludf.DUMMYFUNCTION("""COMPUTED_VALUE"""),20.795)</f>
        <v>20.795000000000002</v>
      </c>
      <c r="D41" s="23">
        <f ca="1">IFERROR(__xludf.DUMMYFUNCTION("""COMPUTED_VALUE"""),23.5475)</f>
        <v>23.547499999999999</v>
      </c>
      <c r="E41" s="23">
        <f ca="1">IFERROR(__xludf.DUMMYFUNCTION("""COMPUTED_VALUE"""),25.805)</f>
        <v>25.805</v>
      </c>
      <c r="F41" s="23">
        <f ca="1">IFERROR(__xludf.DUMMYFUNCTION("""COMPUTED_VALUE"""),21.4125)</f>
        <v>21.412500000000001</v>
      </c>
      <c r="G41" s="23">
        <f ca="1">IFERROR(__xludf.DUMMYFUNCTION("""COMPUTED_VALUE"""),13.286949366779)</f>
        <v>13.286949366779</v>
      </c>
      <c r="H41" s="23">
        <f ca="1">IFERROR(__xludf.DUMMYFUNCTION("""COMPUTED_VALUE"""),18.5814378804779)</f>
        <v>18.5814378804779</v>
      </c>
      <c r="I41" s="23">
        <f ca="1">IFERROR(__xludf.DUMMYFUNCTION("""COMPUTED_VALUE"""),29.4136074919279)</f>
        <v>29.413607491927898</v>
      </c>
      <c r="J41" s="23">
        <f ca="1">IFERROR(__xludf.DUMMYFUNCTION("""COMPUTED_VALUE"""),31.5266496022279)</f>
        <v>31.526649602227899</v>
      </c>
      <c r="K41" s="23">
        <f ca="1">IFERROR(__xludf.DUMMYFUNCTION("""COMPUTED_VALUE"""),31.986450676873)</f>
        <v>31.986450676873002</v>
      </c>
      <c r="L41" s="23">
        <f ca="1">IFERROR(__xludf.DUMMYFUNCTION("""COMPUTED_VALUE"""),32.333129502454)</f>
        <v>32.333129502454</v>
      </c>
      <c r="M41" s="23">
        <f ca="1">IFERROR(__xludf.DUMMYFUNCTION("""COMPUTED_VALUE"""),27.196725482564)</f>
        <v>27.196725482563998</v>
      </c>
      <c r="N41" s="23">
        <f ca="1">IFERROR(__xludf.DUMMYFUNCTION("""COMPUTED_VALUE"""),36.351981546364)</f>
        <v>36.351981546364001</v>
      </c>
      <c r="O41" s="23">
        <f ca="1">IFERROR(__xludf.DUMMYFUNCTION("""COMPUTED_VALUE"""),30.92023213851)</f>
        <v>30.920232138509999</v>
      </c>
      <c r="P41" s="23">
        <f ca="1">IFERROR(__xludf.DUMMYFUNCTION("""COMPUTED_VALUE"""),19.0062680197499)</f>
        <v>19.0062680197499</v>
      </c>
      <c r="Q41" s="24">
        <f ca="1">IFERROR(__xludf.DUMMYFUNCTION("""COMPUTED_VALUE"""),16.821395027437)</f>
        <v>16.821395027436999</v>
      </c>
      <c r="R41" s="20"/>
    </row>
    <row r="42" spans="1:18" ht="13.2" hidden="1" outlineLevel="1" x14ac:dyDescent="0.25">
      <c r="A42" s="1"/>
      <c r="B42" s="21" t="str">
        <f ca="1">IFERROR(__xludf.DUMMYFUNCTION("""COMPUTED_VALUE"""),"Coque de petróleo")</f>
        <v>Coque de petróleo</v>
      </c>
      <c r="C42" s="22">
        <f ca="1">IFERROR(__xludf.DUMMYFUNCTION("""COMPUTED_VALUE"""),92.7795)</f>
        <v>92.779499999999999</v>
      </c>
      <c r="D42" s="23">
        <f ca="1">IFERROR(__xludf.DUMMYFUNCTION("""COMPUTED_VALUE"""),165.525)</f>
        <v>165.52500000000001</v>
      </c>
      <c r="E42" s="23">
        <f ca="1">IFERROR(__xludf.DUMMYFUNCTION("""COMPUTED_VALUE"""),140.8555)</f>
        <v>140.85550000000001</v>
      </c>
      <c r="F42" s="23">
        <f ca="1">IFERROR(__xludf.DUMMYFUNCTION("""COMPUTED_VALUE"""),142.9671)</f>
        <v>142.96709999999999</v>
      </c>
      <c r="G42" s="23">
        <f ca="1">IFERROR(__xludf.DUMMYFUNCTION("""COMPUTED_VALUE"""),31.6225503450701)</f>
        <v>31.622550345070099</v>
      </c>
      <c r="H42" s="23">
        <f ca="1">IFERROR(__xludf.DUMMYFUNCTION("""COMPUTED_VALUE"""),34.7511365674059)</f>
        <v>34.751136567405901</v>
      </c>
      <c r="I42" s="23">
        <f ca="1">IFERROR(__xludf.DUMMYFUNCTION("""COMPUTED_VALUE"""),18.104)</f>
        <v>18.103999999999999</v>
      </c>
      <c r="J42" s="23">
        <f ca="1">IFERROR(__xludf.DUMMYFUNCTION("""COMPUTED_VALUE"""),46.9164839284275)</f>
        <v>46.916483928427503</v>
      </c>
      <c r="K42" s="23">
        <f ca="1">IFERROR(__xludf.DUMMYFUNCTION("""COMPUTED_VALUE"""),81.9809210066015)</f>
        <v>81.980921006601505</v>
      </c>
      <c r="L42" s="23">
        <f ca="1">IFERROR(__xludf.DUMMYFUNCTION("""COMPUTED_VALUE"""),110.395244026346)</f>
        <v>110.39524402634601</v>
      </c>
      <c r="M42" s="23">
        <f ca="1">IFERROR(__xludf.DUMMYFUNCTION("""COMPUTED_VALUE"""),130.516847434638)</f>
        <v>130.51684743463801</v>
      </c>
      <c r="N42" s="23">
        <f ca="1">IFERROR(__xludf.DUMMYFUNCTION("""COMPUTED_VALUE"""),157.342627506442)</f>
        <v>157.342627506442</v>
      </c>
      <c r="O42" s="23">
        <f ca="1">IFERROR(__xludf.DUMMYFUNCTION("""COMPUTED_VALUE"""),170.322662938773)</f>
        <v>170.32266293877299</v>
      </c>
      <c r="P42" s="23">
        <f ca="1">IFERROR(__xludf.DUMMYFUNCTION("""COMPUTED_VALUE"""),163.9367)</f>
        <v>163.9367</v>
      </c>
      <c r="Q42" s="24">
        <f ca="1">IFERROR(__xludf.DUMMYFUNCTION("""COMPUTED_VALUE"""),121.835470425132)</f>
        <v>121.835470425132</v>
      </c>
      <c r="R42" s="20"/>
    </row>
    <row r="43" spans="1:18" ht="13.2" hidden="1" outlineLevel="1" x14ac:dyDescent="0.25">
      <c r="A43" s="1"/>
      <c r="B43" s="21" t="str">
        <f ca="1">IFERROR(__xludf.DUMMYFUNCTION("""COMPUTED_VALUE"""),"Gas licuado de petróleo")</f>
        <v>Gas licuado de petróleo</v>
      </c>
      <c r="C43" s="22">
        <f ca="1">IFERROR(__xludf.DUMMYFUNCTION("""COMPUTED_VALUE"""),122.37)</f>
        <v>122.37</v>
      </c>
      <c r="D43" s="23">
        <f ca="1">IFERROR(__xludf.DUMMYFUNCTION("""COMPUTED_VALUE"""),126.42)</f>
        <v>126.42</v>
      </c>
      <c r="E43" s="23">
        <f ca="1">IFERROR(__xludf.DUMMYFUNCTION("""COMPUTED_VALUE"""),130.84)</f>
        <v>130.84</v>
      </c>
      <c r="F43" s="23">
        <f ca="1">IFERROR(__xludf.DUMMYFUNCTION("""COMPUTED_VALUE"""),119.61)</f>
        <v>119.61</v>
      </c>
      <c r="G43" s="23">
        <f ca="1">IFERROR(__xludf.DUMMYFUNCTION("""COMPUTED_VALUE"""),128.081117169702)</f>
        <v>128.081117169702</v>
      </c>
      <c r="H43" s="23">
        <f ca="1">IFERROR(__xludf.DUMMYFUNCTION("""COMPUTED_VALUE"""),159.340277842762)</f>
        <v>159.34027784276199</v>
      </c>
      <c r="I43" s="23">
        <f ca="1">IFERROR(__xludf.DUMMYFUNCTION("""COMPUTED_VALUE"""),205.268)</f>
        <v>205.268</v>
      </c>
      <c r="J43" s="23">
        <f ca="1">IFERROR(__xludf.DUMMYFUNCTION("""COMPUTED_VALUE"""),222.259112771832)</f>
        <v>222.25911277183201</v>
      </c>
      <c r="K43" s="23">
        <f ca="1">IFERROR(__xludf.DUMMYFUNCTION("""COMPUTED_VALUE"""),251.174277356294)</f>
        <v>251.174277356294</v>
      </c>
      <c r="L43" s="23">
        <f ca="1">IFERROR(__xludf.DUMMYFUNCTION("""COMPUTED_VALUE"""),232.93947578258)</f>
        <v>232.93947578257999</v>
      </c>
      <c r="M43" s="23">
        <f ca="1">IFERROR(__xludf.DUMMYFUNCTION("""COMPUTED_VALUE"""),284.221700766344)</f>
        <v>284.22170076634399</v>
      </c>
      <c r="N43" s="23">
        <f ca="1">IFERROR(__xludf.DUMMYFUNCTION("""COMPUTED_VALUE"""),299.945031623772)</f>
        <v>299.94503162377202</v>
      </c>
      <c r="O43" s="23">
        <f ca="1">IFERROR(__xludf.DUMMYFUNCTION("""COMPUTED_VALUE"""),289.03605962151)</f>
        <v>289.03605962150999</v>
      </c>
      <c r="P43" s="23">
        <f ca="1">IFERROR(__xludf.DUMMYFUNCTION("""COMPUTED_VALUE"""),257.71)</f>
        <v>257.70999999999998</v>
      </c>
      <c r="Q43" s="24">
        <f ca="1">IFERROR(__xludf.DUMMYFUNCTION("""COMPUTED_VALUE"""),246.07979485413)</f>
        <v>246.07979485413</v>
      </c>
      <c r="R43" s="20"/>
    </row>
    <row r="44" spans="1:18" ht="13.2" hidden="1" outlineLevel="1" x14ac:dyDescent="0.25">
      <c r="A44" s="1"/>
      <c r="B44" s="21" t="str">
        <f ca="1">IFERROR(__xludf.DUMMYFUNCTION("""COMPUTED_VALUE"""),"Gasolinas y naftas")</f>
        <v>Gasolinas y naftas</v>
      </c>
      <c r="C44" s="22">
        <f ca="1">IFERROR(__xludf.DUMMYFUNCTION("""COMPUTED_VALUE"""),761.7)</f>
        <v>761.7</v>
      </c>
      <c r="D44" s="23">
        <f ca="1">IFERROR(__xludf.DUMMYFUNCTION("""COMPUTED_VALUE"""),815.73)</f>
        <v>815.73</v>
      </c>
      <c r="E44" s="23">
        <f ca="1">IFERROR(__xludf.DUMMYFUNCTION("""COMPUTED_VALUE"""),755.48)</f>
        <v>755.48</v>
      </c>
      <c r="F44" s="23">
        <f ca="1">IFERROR(__xludf.DUMMYFUNCTION("""COMPUTED_VALUE"""),713.79)</f>
        <v>713.79</v>
      </c>
      <c r="G44" s="23">
        <f ca="1">IFERROR(__xludf.DUMMYFUNCTION("""COMPUTED_VALUE"""),711.323042005049)</f>
        <v>711.32304200504905</v>
      </c>
      <c r="H44" s="23">
        <f ca="1">IFERROR(__xludf.DUMMYFUNCTION("""COMPUTED_VALUE"""),817.102658736177)</f>
        <v>817.10265873617698</v>
      </c>
      <c r="I44" s="23">
        <f ca="1">IFERROR(__xludf.DUMMYFUNCTION("""COMPUTED_VALUE"""),982.516)</f>
        <v>982.51599999999996</v>
      </c>
      <c r="J44" s="23">
        <f ca="1">IFERROR(__xludf.DUMMYFUNCTION("""COMPUTED_VALUE"""),1057.92455598255)</f>
        <v>1057.9245559825499</v>
      </c>
      <c r="K44" s="23">
        <f ca="1">IFERROR(__xludf.DUMMYFUNCTION("""COMPUTED_VALUE"""),1191.15808763941)</f>
        <v>1191.15808763941</v>
      </c>
      <c r="L44" s="23">
        <f ca="1">IFERROR(__xludf.DUMMYFUNCTION("""COMPUTED_VALUE"""),1041.62758419538)</f>
        <v>1041.62758419538</v>
      </c>
      <c r="M44" s="23">
        <f ca="1">IFERROR(__xludf.DUMMYFUNCTION("""COMPUTED_VALUE"""),729.174617524356)</f>
        <v>729.17461752435599</v>
      </c>
      <c r="N44" s="23">
        <f ca="1">IFERROR(__xludf.DUMMYFUNCTION("""COMPUTED_VALUE"""),699.763124560946)</f>
        <v>699.76312456094604</v>
      </c>
      <c r="O44" s="23">
        <f ca="1">IFERROR(__xludf.DUMMYFUNCTION("""COMPUTED_VALUE"""),806.510785924307)</f>
        <v>806.51078592430702</v>
      </c>
      <c r="P44" s="23">
        <f ca="1">IFERROR(__xludf.DUMMYFUNCTION("""COMPUTED_VALUE"""),808.295)</f>
        <v>808.29499999999996</v>
      </c>
      <c r="Q44" s="24">
        <f ca="1">IFERROR(__xludf.DUMMYFUNCTION("""COMPUTED_VALUE"""),774.101626473361)</f>
        <v>774.10162647336097</v>
      </c>
      <c r="R44" s="20"/>
    </row>
    <row r="45" spans="1:18" ht="13.2" hidden="1" outlineLevel="1" x14ac:dyDescent="0.25">
      <c r="A45" s="1"/>
      <c r="B45" s="21" t="str">
        <f ca="1">IFERROR(__xludf.DUMMYFUNCTION("""COMPUTED_VALUE"""),"Querosenos")</f>
        <v>Querosenos</v>
      </c>
      <c r="C45" s="22">
        <f ca="1">IFERROR(__xludf.DUMMYFUNCTION("""COMPUTED_VALUE"""),8.05)</f>
        <v>8.0500000000000007</v>
      </c>
      <c r="D45" s="23">
        <f ca="1">IFERROR(__xludf.DUMMYFUNCTION("""COMPUTED_VALUE"""),1.84)</f>
        <v>1.84</v>
      </c>
      <c r="E45" s="23">
        <f ca="1">IFERROR(__xludf.DUMMYFUNCTION("""COMPUTED_VALUE"""),6.61)</f>
        <v>6.61</v>
      </c>
      <c r="F45" s="23">
        <f ca="1">IFERROR(__xludf.DUMMYFUNCTION("""COMPUTED_VALUE"""),6.56)</f>
        <v>6.56</v>
      </c>
      <c r="G45" s="23">
        <f ca="1">IFERROR(__xludf.DUMMYFUNCTION("""COMPUTED_VALUE"""),25.8583432046373)</f>
        <v>25.858343204637301</v>
      </c>
      <c r="H45" s="23">
        <f ca="1">IFERROR(__xludf.DUMMYFUNCTION("""COMPUTED_VALUE"""),48.5533233696614)</f>
        <v>48.553323369661399</v>
      </c>
      <c r="I45" s="23">
        <f ca="1">IFERROR(__xludf.DUMMYFUNCTION("""COMPUTED_VALUE"""),74.3729999999999)</f>
        <v>74.372999999999905</v>
      </c>
      <c r="J45" s="23">
        <f ca="1">IFERROR(__xludf.DUMMYFUNCTION("""COMPUTED_VALUE"""),91.7671014945624)</f>
        <v>91.767101494562397</v>
      </c>
      <c r="K45" s="23">
        <f ca="1">IFERROR(__xludf.DUMMYFUNCTION("""COMPUTED_VALUE"""),126.726105888406)</f>
        <v>126.726105888406</v>
      </c>
      <c r="L45" s="23">
        <f ca="1">IFERROR(__xludf.DUMMYFUNCTION("""COMPUTED_VALUE"""),130.850569250016)</f>
        <v>130.85056925001601</v>
      </c>
      <c r="M45" s="23">
        <f ca="1">IFERROR(__xludf.DUMMYFUNCTION("""COMPUTED_VALUE"""),47.0598278714121)</f>
        <v>47.059827871412097</v>
      </c>
      <c r="N45" s="23">
        <f ca="1">IFERROR(__xludf.DUMMYFUNCTION("""COMPUTED_VALUE"""),72.4116251245284)</f>
        <v>72.411625124528399</v>
      </c>
      <c r="O45" s="23">
        <f ca="1">IFERROR(__xludf.DUMMYFUNCTION("""COMPUTED_VALUE"""),116.411632780681)</f>
        <v>116.411632780681</v>
      </c>
      <c r="P45" s="23">
        <f ca="1">IFERROR(__xludf.DUMMYFUNCTION("""COMPUTED_VALUE"""),116.785)</f>
        <v>116.785</v>
      </c>
      <c r="Q45" s="24">
        <f ca="1">IFERROR(__xludf.DUMMYFUNCTION("""COMPUTED_VALUE"""),127.027453145267)</f>
        <v>127.027453145267</v>
      </c>
      <c r="R45" s="20"/>
    </row>
    <row r="46" spans="1:18" ht="13.2" hidden="1" outlineLevel="1" x14ac:dyDescent="0.25">
      <c r="A46" s="1"/>
      <c r="B46" s="21" t="str">
        <f ca="1">IFERROR(__xludf.DUMMYFUNCTION("""COMPUTED_VALUE"""),"Diesel")</f>
        <v>Diesel</v>
      </c>
      <c r="C46" s="22">
        <f ca="1">IFERROR(__xludf.DUMMYFUNCTION("""COMPUTED_VALUE"""),395.4572)</f>
        <v>395.4572</v>
      </c>
      <c r="D46" s="23">
        <f ca="1">IFERROR(__xludf.DUMMYFUNCTION("""COMPUTED_VALUE"""),434.698499999999)</f>
        <v>434.698499999999</v>
      </c>
      <c r="E46" s="23">
        <f ca="1">IFERROR(__xludf.DUMMYFUNCTION("""COMPUTED_VALUE"""),439.099099999999)</f>
        <v>439.099099999999</v>
      </c>
      <c r="F46" s="23">
        <f ca="1">IFERROR(__xludf.DUMMYFUNCTION("""COMPUTED_VALUE"""),357.925)</f>
        <v>357.92500000000001</v>
      </c>
      <c r="G46" s="23">
        <f ca="1">IFERROR(__xludf.DUMMYFUNCTION("""COMPUTED_VALUE"""),275.484098959208)</f>
        <v>275.48409895920798</v>
      </c>
      <c r="H46" s="23">
        <f ca="1">IFERROR(__xludf.DUMMYFUNCTION("""COMPUTED_VALUE"""),330.679337334467)</f>
        <v>330.67933733446699</v>
      </c>
      <c r="I46" s="23">
        <f ca="1">IFERROR(__xludf.DUMMYFUNCTION("""COMPUTED_VALUE"""),429.031)</f>
        <v>429.03100000000001</v>
      </c>
      <c r="J46" s="23">
        <f ca="1">IFERROR(__xludf.DUMMYFUNCTION("""COMPUTED_VALUE"""),551.644936348465)</f>
        <v>551.64493634846497</v>
      </c>
      <c r="K46" s="23">
        <f ca="1">IFERROR(__xludf.DUMMYFUNCTION("""COMPUTED_VALUE"""),724.697168688354)</f>
        <v>724.69716868835405</v>
      </c>
      <c r="L46" s="23">
        <f ca="1">IFERROR(__xludf.DUMMYFUNCTION("""COMPUTED_VALUE"""),582.95264806332)</f>
        <v>582.95264806332</v>
      </c>
      <c r="M46" s="23">
        <f ca="1">IFERROR(__xludf.DUMMYFUNCTION("""COMPUTED_VALUE"""),400.878651031691)</f>
        <v>400.87865103169099</v>
      </c>
      <c r="N46" s="23">
        <f ca="1">IFERROR(__xludf.DUMMYFUNCTION("""COMPUTED_VALUE"""),620.267154955716)</f>
        <v>620.26715495571602</v>
      </c>
      <c r="O46" s="23">
        <f ca="1">IFERROR(__xludf.DUMMYFUNCTION("""COMPUTED_VALUE"""),606.330677784259)</f>
        <v>606.33067778425902</v>
      </c>
      <c r="P46" s="23">
        <f ca="1">IFERROR(__xludf.DUMMYFUNCTION("""COMPUTED_VALUE"""),582.162)</f>
        <v>582.16200000000003</v>
      </c>
      <c r="Q46" s="24">
        <f ca="1">IFERROR(__xludf.DUMMYFUNCTION("""COMPUTED_VALUE"""),540.525720457019)</f>
        <v>540.52572045701902</v>
      </c>
      <c r="R46" s="20"/>
    </row>
    <row r="47" spans="1:18" ht="13.2" hidden="1" outlineLevel="1" x14ac:dyDescent="0.25">
      <c r="A47" s="1"/>
      <c r="B47" s="21" t="str">
        <f ca="1">IFERROR(__xludf.DUMMYFUNCTION("""COMPUTED_VALUE"""),"Combustóleo")</f>
        <v>Combustóleo</v>
      </c>
      <c r="C47" s="22">
        <f ca="1">IFERROR(__xludf.DUMMYFUNCTION("""COMPUTED_VALUE"""),21.8374)</f>
        <v>21.837399999999999</v>
      </c>
      <c r="D47" s="23">
        <f ca="1">IFERROR(__xludf.DUMMYFUNCTION("""COMPUTED_VALUE"""),70.7686)</f>
        <v>70.768600000000006</v>
      </c>
      <c r="E47" s="23">
        <f ca="1">IFERROR(__xludf.DUMMYFUNCTION("""COMPUTED_VALUE"""),102.5409)</f>
        <v>102.54089999999999</v>
      </c>
      <c r="F47" s="23">
        <f ca="1">IFERROR(__xludf.DUMMYFUNCTION("""COMPUTED_VALUE"""),82.6066)</f>
        <v>82.6066</v>
      </c>
      <c r="G47" s="23">
        <f ca="1">IFERROR(__xludf.DUMMYFUNCTION("""COMPUTED_VALUE"""),35.2934060399197)</f>
        <v>35.293406039919702</v>
      </c>
      <c r="H47" s="23">
        <f ca="1">IFERROR(__xludf.DUMMYFUNCTION("""COMPUTED_VALUE"""),46.3922442088951)</f>
        <v>46.3922442088951</v>
      </c>
      <c r="I47" s="23">
        <f ca="1">IFERROR(__xludf.DUMMYFUNCTION("""COMPUTED_VALUE"""),21.95)</f>
        <v>21.95</v>
      </c>
      <c r="J47" s="23">
        <f ca="1">IFERROR(__xludf.DUMMYFUNCTION("""COMPUTED_VALUE"""),63.8296087512165)</f>
        <v>63.829608751216497</v>
      </c>
      <c r="K47" s="23">
        <f ca="1">IFERROR(__xludf.DUMMYFUNCTION("""COMPUTED_VALUE"""),52.974628691636)</f>
        <v>52.974628691635999</v>
      </c>
      <c r="L47" s="23">
        <f ca="1">IFERROR(__xludf.DUMMYFUNCTION("""COMPUTED_VALUE"""),44.8417746353428)</f>
        <v>44.841774635342802</v>
      </c>
      <c r="M47" s="23">
        <f ca="1">IFERROR(__xludf.DUMMYFUNCTION("""COMPUTED_VALUE"""),23.2160377914331)</f>
        <v>23.216037791433099</v>
      </c>
      <c r="N47" s="23">
        <f ca="1">IFERROR(__xludf.DUMMYFUNCTION("""COMPUTED_VALUE"""),8.7680109189171)</f>
        <v>8.7680109189170992</v>
      </c>
      <c r="O47" s="23">
        <f ca="1">IFERROR(__xludf.DUMMYFUNCTION("""COMPUTED_VALUE"""),-1.03083779787429)</f>
        <v>-1.03083779787429</v>
      </c>
      <c r="P47" s="23">
        <f ca="1">IFERROR(__xludf.DUMMYFUNCTION("""COMPUTED_VALUE"""),-12.185)</f>
        <v>-12.185</v>
      </c>
      <c r="Q47" s="24">
        <f ca="1">IFERROR(__xludf.DUMMYFUNCTION("""COMPUTED_VALUE"""),0.318478993592228)</f>
        <v>0.31847899359222798</v>
      </c>
      <c r="R47" s="20"/>
    </row>
    <row r="48" spans="1:18" ht="13.2" hidden="1" outlineLevel="1" x14ac:dyDescent="0.25">
      <c r="A48" s="1"/>
      <c r="B48" s="21" t="str">
        <f ca="1">IFERROR(__xludf.DUMMYFUNCTION("""COMPUTED_VALUE"""),"Otros energéticos")</f>
        <v>Otros energéticos</v>
      </c>
      <c r="C48" s="22">
        <f ca="1">IFERROR(__xludf.DUMMYFUNCTION("""COMPUTED_VALUE"""),-0.1405)</f>
        <v>-0.14050000000000001</v>
      </c>
      <c r="D48" s="23">
        <f ca="1">IFERROR(__xludf.DUMMYFUNCTION("""COMPUTED_VALUE"""),-1.3201)</f>
        <v>-1.3201000000000001</v>
      </c>
      <c r="E48" s="23">
        <f ca="1">IFERROR(__xludf.DUMMYFUNCTION("""COMPUTED_VALUE"""),-0.0634)</f>
        <v>-6.3399999999999998E-2</v>
      </c>
      <c r="F48" s="23">
        <f ca="1">IFERROR(__xludf.DUMMYFUNCTION("""COMPUTED_VALUE"""),1.299)</f>
        <v>1.2989999999999999</v>
      </c>
      <c r="G48" s="23">
        <f ca="1">IFERROR(__xludf.DUMMYFUNCTION("""COMPUTED_VALUE"""),0.404578724106433)</f>
        <v>0.40457872410643297</v>
      </c>
      <c r="H48" s="23">
        <f ca="1">IFERROR(__xludf.DUMMYFUNCTION("""COMPUTED_VALUE"""),0.428747929012216)</f>
        <v>0.42874792901221598</v>
      </c>
      <c r="I48" s="23">
        <f ca="1">IFERROR(__xludf.DUMMYFUNCTION("""COMPUTED_VALUE"""),-1.776)</f>
        <v>-1.776</v>
      </c>
      <c r="J48" s="23">
        <f ca="1">IFERROR(__xludf.DUMMYFUNCTION("""COMPUTED_VALUE"""),-0.342286838556645)</f>
        <v>-0.34228683855664499</v>
      </c>
      <c r="K48" s="23">
        <f ca="1">IFERROR(__xludf.DUMMYFUNCTION("""COMPUTED_VALUE"""),-1.96530814836979)</f>
        <v>-1.9653081483697901</v>
      </c>
      <c r="L48" s="23">
        <f ca="1">IFERROR(__xludf.DUMMYFUNCTION("""COMPUTED_VALUE"""),-1.09574584427906)</f>
        <v>-1.09574584427906</v>
      </c>
      <c r="M48" s="23">
        <f ca="1">IFERROR(__xludf.DUMMYFUNCTION("""COMPUTED_VALUE"""),-1.84970149196441)</f>
        <v>-1.8497014919644099</v>
      </c>
      <c r="N48" s="23">
        <f ca="1">IFERROR(__xludf.DUMMYFUNCTION("""COMPUTED_VALUE"""),-0.331601504533668)</f>
        <v>-0.33160150453366799</v>
      </c>
      <c r="O48" s="23">
        <f ca="1">IFERROR(__xludf.DUMMYFUNCTION("""COMPUTED_VALUE"""),-0.00309156936371648)</f>
        <v>-3.0915693637164799E-3</v>
      </c>
      <c r="P48" s="23">
        <f ca="1">IFERROR(__xludf.DUMMYFUNCTION("""COMPUTED_VALUE"""),-1.567)</f>
        <v>-1.5669999999999999</v>
      </c>
      <c r="Q48" s="24">
        <f ca="1">IFERROR(__xludf.DUMMYFUNCTION("""COMPUTED_VALUE"""),-0.26536024544973)</f>
        <v>-0.26536024544973003</v>
      </c>
      <c r="R48" s="20"/>
    </row>
    <row r="49" spans="1:18" ht="13.2" hidden="1" outlineLevel="1" x14ac:dyDescent="0.25">
      <c r="A49" s="1"/>
      <c r="B49" s="21" t="str">
        <f ca="1">IFERROR(__xludf.DUMMYFUNCTION("""COMPUTED_VALUE"""),"Gas natural seco")</f>
        <v>Gas natural seco</v>
      </c>
      <c r="C49" s="22">
        <f ca="1">IFERROR(__xludf.DUMMYFUNCTION("""COMPUTED_VALUE"""),878.453614864)</f>
        <v>878.45361486399997</v>
      </c>
      <c r="D49" s="23">
        <f ca="1">IFERROR(__xludf.DUMMYFUNCTION("""COMPUTED_VALUE"""),1029.071779446)</f>
        <v>1029.0717794459999</v>
      </c>
      <c r="E49" s="23">
        <f ca="1">IFERROR(__xludf.DUMMYFUNCTION("""COMPUTED_VALUE"""),839.637064807999)</f>
        <v>839.63706480799897</v>
      </c>
      <c r="F49" s="23">
        <f ca="1">IFERROR(__xludf.DUMMYFUNCTION("""COMPUTED_VALUE"""),947.53859)</f>
        <v>947.53859</v>
      </c>
      <c r="G49" s="23">
        <f ca="1">IFERROR(__xludf.DUMMYFUNCTION("""COMPUTED_VALUE"""),1184.2612286047)</f>
        <v>1184.2612286046999</v>
      </c>
      <c r="H49" s="23">
        <f ca="1">IFERROR(__xludf.DUMMYFUNCTION("""COMPUTED_VALUE"""),1368.65383818691)</f>
        <v>1368.65383818691</v>
      </c>
      <c r="I49" s="23">
        <f ca="1">IFERROR(__xludf.DUMMYFUNCTION("""COMPUTED_VALUE"""),1856.226)</f>
        <v>1856.2260000000001</v>
      </c>
      <c r="J49" s="23">
        <f ca="1">IFERROR(__xludf.DUMMYFUNCTION("""COMPUTED_VALUE"""),1909.34259976634)</f>
        <v>1909.3425997663401</v>
      </c>
      <c r="K49" s="23">
        <f ca="1">IFERROR(__xludf.DUMMYFUNCTION("""COMPUTED_VALUE"""),2418.48652902413)</f>
        <v>2418.48652902413</v>
      </c>
      <c r="L49" s="23">
        <f ca="1">IFERROR(__xludf.DUMMYFUNCTION("""COMPUTED_VALUE"""),2581.26998679648)</f>
        <v>2581.2699867964802</v>
      </c>
      <c r="M49" s="23">
        <f ca="1">IFERROR(__xludf.DUMMYFUNCTION("""COMPUTED_VALUE"""),2178.1239757522)</f>
        <v>2178.1239757521998</v>
      </c>
      <c r="N49" s="23">
        <f ca="1">IFERROR(__xludf.DUMMYFUNCTION("""COMPUTED_VALUE"""),2441.85986481731)</f>
        <v>2441.8598648173102</v>
      </c>
      <c r="O49" s="23">
        <f ca="1">IFERROR(__xludf.DUMMYFUNCTION("""COMPUTED_VALUE"""),2305.39360483881)</f>
        <v>2305.39360483881</v>
      </c>
      <c r="P49" s="23">
        <f ca="1">IFERROR(__xludf.DUMMYFUNCTION("""COMPUTED_VALUE"""),2467.1400644344)</f>
        <v>2467.1400644343998</v>
      </c>
      <c r="Q49" s="24">
        <f ca="1">IFERROR(__xludf.DUMMYFUNCTION("""COMPUTED_VALUE"""),2669.82591351464)</f>
        <v>2669.82591351464</v>
      </c>
      <c r="R49" s="20"/>
    </row>
    <row r="50" spans="1:18" ht="13.2" hidden="1" outlineLevel="1" x14ac:dyDescent="0.25">
      <c r="A50" s="1"/>
      <c r="B50" s="25" t="str">
        <f ca="1">IFERROR(__xludf.DUMMYFUNCTION("""COMPUTED_VALUE"""),"Energía eléctrica")</f>
        <v>Energía eléctrica</v>
      </c>
      <c r="C50" s="26">
        <f ca="1">IFERROR(__xludf.DUMMYFUNCTION("""COMPUTED_VALUE"""),1.57)</f>
        <v>1.57</v>
      </c>
      <c r="D50" s="27">
        <f ca="1">IFERROR(__xludf.DUMMYFUNCTION("""COMPUTED_VALUE"""),2.36)</f>
        <v>2.36</v>
      </c>
      <c r="E50" s="27">
        <f ca="1">IFERROR(__xludf.DUMMYFUNCTION("""COMPUTED_VALUE"""),8.43)</f>
        <v>8.43</v>
      </c>
      <c r="F50" s="27">
        <f ca="1">IFERROR(__xludf.DUMMYFUNCTION("""COMPUTED_VALUE"""),5.94)</f>
        <v>5.94</v>
      </c>
      <c r="G50" s="27">
        <f ca="1">IFERROR(__xludf.DUMMYFUNCTION("""COMPUTED_VALUE"""),9.14)</f>
        <v>9.14</v>
      </c>
      <c r="H50" s="27">
        <f ca="1">IFERROR(__xludf.DUMMYFUNCTION("""COMPUTED_VALUE"""),8.8)</f>
        <v>8.8000000000000007</v>
      </c>
      <c r="I50" s="27">
        <f ca="1">IFERROR(__xludf.DUMMYFUNCTION("""COMPUTED_VALUE"""),12.46)</f>
        <v>12.46</v>
      </c>
      <c r="J50" s="27">
        <f ca="1">IFERROR(__xludf.DUMMYFUNCTION("""COMPUTED_VALUE"""),14.7526111066229)</f>
        <v>14.752611106622901</v>
      </c>
      <c r="K50" s="27">
        <f ca="1">IFERROR(__xludf.DUMMYFUNCTION("""COMPUTED_VALUE"""),26.4803153382536)</f>
        <v>26.4803153382536</v>
      </c>
      <c r="L50" s="27">
        <f ca="1">IFERROR(__xludf.DUMMYFUNCTION("""COMPUTED_VALUE"""),27.1372324369992)</f>
        <v>27.137232436999199</v>
      </c>
      <c r="M50" s="27">
        <f ca="1">IFERROR(__xludf.DUMMYFUNCTION("""COMPUTED_VALUE"""),41.6479296177215)</f>
        <v>41.647929617721502</v>
      </c>
      <c r="N50" s="27">
        <f ca="1">IFERROR(__xludf.DUMMYFUNCTION("""COMPUTED_VALUE"""),11.5020170570267)</f>
        <v>11.5020170570267</v>
      </c>
      <c r="O50" s="27">
        <f ca="1">IFERROR(__xludf.DUMMYFUNCTION("""COMPUTED_VALUE"""),14.567254679722)</f>
        <v>14.567254679722</v>
      </c>
      <c r="P50" s="27">
        <f ca="1">IFERROR(__xludf.DUMMYFUNCTION("""COMPUTED_VALUE"""),21.0764125530835)</f>
        <v>21.0764125530835</v>
      </c>
      <c r="Q50" s="28">
        <f ca="1">IFERROR(__xludf.DUMMYFUNCTION("""COMPUTED_VALUE"""),23.5109453158926)</f>
        <v>23.510945315892599</v>
      </c>
      <c r="R50" s="20"/>
    </row>
    <row r="51" spans="1:18" ht="13.2" hidden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0"/>
    </row>
    <row r="52" spans="1:18" ht="13.2" collapsed="1" x14ac:dyDescent="0.25">
      <c r="A52" s="29"/>
      <c r="B52" s="5" t="str">
        <f ca="1">IFERROR(__xludf.DUMMYFUNCTION("""COMPUTED_VALUE"""),"Pro(e,a)")</f>
        <v>Pro(e,a)</v>
      </c>
      <c r="C52" s="6" t="str">
        <f ca="1">IFERROR(__xludf.DUMMYFUNCTION("""COMPUTED_VALUE"""),"/+")</f>
        <v>/+</v>
      </c>
      <c r="D52" s="7" t="str">
        <f ca="1">IFERROR(__xludf.DUMMYFUNCTION("""COMPUTED_VALUE"""),"Producción por energético e y año a.")</f>
        <v>Producción por energético e y año a.</v>
      </c>
      <c r="E52" s="6" t="str">
        <f ca="1">IFERROR(__xludf.DUMMYFUNCTION("""COMPUTED_VALUE"""),"cbne")</f>
        <v>cbne</v>
      </c>
      <c r="F52" s="6" t="str">
        <f ca="1">IFERROR(__xludf.DUMMYFUNCTION("""COMPUTED_VALUE"""),"a")</f>
        <v>a</v>
      </c>
      <c r="G52" s="8" t="str">
        <f ca="1">IFERROR(__xludf.DUMMYFUNCTION("""COMPUTED_VALUE"""),"PJ")</f>
        <v>PJ</v>
      </c>
      <c r="H52" s="9"/>
      <c r="I52" s="1"/>
      <c r="J52" s="1"/>
      <c r="K52" s="1"/>
      <c r="L52" s="1"/>
      <c r="M52" s="1"/>
      <c r="N52" s="1"/>
      <c r="O52" s="1"/>
      <c r="P52" s="1"/>
      <c r="Q52" s="1"/>
      <c r="R52" s="10"/>
    </row>
    <row r="53" spans="1:18" ht="13.2" hidden="1" outlineLevel="1" x14ac:dyDescent="0.25">
      <c r="A53" s="1"/>
      <c r="B53" s="11"/>
      <c r="C53" s="12">
        <f ca="1">IFERROR(__xludf.DUMMYFUNCTION("""COMPUTED_VALUE"""),2010)</f>
        <v>2010</v>
      </c>
      <c r="D53" s="13">
        <f ca="1">IFERROR(__xludf.DUMMYFUNCTION("""COMPUTED_VALUE"""),2011)</f>
        <v>2011</v>
      </c>
      <c r="E53" s="13">
        <f ca="1">IFERROR(__xludf.DUMMYFUNCTION("""COMPUTED_VALUE"""),2012)</f>
        <v>2012</v>
      </c>
      <c r="F53" s="13">
        <f ca="1">IFERROR(__xludf.DUMMYFUNCTION("""COMPUTED_VALUE"""),2013)</f>
        <v>2013</v>
      </c>
      <c r="G53" s="13">
        <f ca="1">IFERROR(__xludf.DUMMYFUNCTION("""COMPUTED_VALUE"""),2014)</f>
        <v>2014</v>
      </c>
      <c r="H53" s="13">
        <f ca="1">IFERROR(__xludf.DUMMYFUNCTION("""COMPUTED_VALUE"""),2015)</f>
        <v>2015</v>
      </c>
      <c r="I53" s="13">
        <f ca="1">IFERROR(__xludf.DUMMYFUNCTION("""COMPUTED_VALUE"""),2016)</f>
        <v>2016</v>
      </c>
      <c r="J53" s="13">
        <f ca="1">IFERROR(__xludf.DUMMYFUNCTION("""COMPUTED_VALUE"""),2017)</f>
        <v>2017</v>
      </c>
      <c r="K53" s="13">
        <f ca="1">IFERROR(__xludf.DUMMYFUNCTION("""COMPUTED_VALUE"""),2018)</f>
        <v>2018</v>
      </c>
      <c r="L53" s="13">
        <f ca="1">IFERROR(__xludf.DUMMYFUNCTION("""COMPUTED_VALUE"""),2019)</f>
        <v>2019</v>
      </c>
      <c r="M53" s="13">
        <f ca="1">IFERROR(__xludf.DUMMYFUNCTION("""COMPUTED_VALUE"""),2020)</f>
        <v>2020</v>
      </c>
      <c r="N53" s="13">
        <f ca="1">IFERROR(__xludf.DUMMYFUNCTION("""COMPUTED_VALUE"""),2021)</f>
        <v>2021</v>
      </c>
      <c r="O53" s="13">
        <f ca="1">IFERROR(__xludf.DUMMYFUNCTION("""COMPUTED_VALUE"""),2022)</f>
        <v>2022</v>
      </c>
      <c r="P53" s="13">
        <f ca="1">IFERROR(__xludf.DUMMYFUNCTION("""COMPUTED_VALUE"""),2023)</f>
        <v>2023</v>
      </c>
      <c r="Q53" s="14">
        <f ca="1">IFERROR(__xludf.DUMMYFUNCTION("""COMPUTED_VALUE"""),2024)</f>
        <v>2024</v>
      </c>
      <c r="R53" s="15"/>
    </row>
    <row r="54" spans="1:18" ht="13.2" hidden="1" outlineLevel="1" x14ac:dyDescent="0.25">
      <c r="A54" s="1"/>
      <c r="B54" s="16" t="str">
        <f ca="1">IFERROR(__xludf.DUMMYFUNCTION("""COMPUTED_VALUE"""),"Carbón mineral")</f>
        <v>Carbón mineral</v>
      </c>
      <c r="C54" s="17">
        <f ca="1">IFERROR(__xludf.DUMMYFUNCTION("""COMPUTED_VALUE"""),367.31602185105)</f>
        <v>367.31602185104998</v>
      </c>
      <c r="D54" s="18">
        <f ca="1">IFERROR(__xludf.DUMMYFUNCTION("""COMPUTED_VALUE"""),479.233811565049)</f>
        <v>479.233811565049</v>
      </c>
      <c r="E54" s="18">
        <f ca="1">IFERROR(__xludf.DUMMYFUNCTION("""COMPUTED_VALUE"""),342.23621440445)</f>
        <v>342.23621440444998</v>
      </c>
      <c r="F54" s="18">
        <f ca="1">IFERROR(__xludf.DUMMYFUNCTION("""COMPUTED_VALUE"""),331.68857061835)</f>
        <v>331.68857061835001</v>
      </c>
      <c r="G54" s="18">
        <f ca="1">IFERROR(__xludf.DUMMYFUNCTION("""COMPUTED_VALUE"""),332.988550283)</f>
        <v>332.988550283</v>
      </c>
      <c r="H54" s="18">
        <f ca="1">IFERROR(__xludf.DUMMYFUNCTION("""COMPUTED_VALUE"""),394.091124769)</f>
        <v>394.09112476899998</v>
      </c>
      <c r="I54" s="18">
        <f ca="1">IFERROR(__xludf.DUMMYFUNCTION("""COMPUTED_VALUE"""),320.68651365505)</f>
        <v>320.68651365505002</v>
      </c>
      <c r="J54" s="18">
        <f ca="1">IFERROR(__xludf.DUMMYFUNCTION("""COMPUTED_VALUE"""),333.48901197605)</f>
        <v>333.48901197604999</v>
      </c>
      <c r="K54" s="18">
        <f ca="1">IFERROR(__xludf.DUMMYFUNCTION("""COMPUTED_VALUE"""),279.5780644913)</f>
        <v>279.57806449129998</v>
      </c>
      <c r="L54" s="18">
        <f ca="1">IFERROR(__xludf.DUMMYFUNCTION("""COMPUTED_VALUE"""),230.46125087385)</f>
        <v>230.46125087384999</v>
      </c>
      <c r="M54" s="18">
        <f ca="1">IFERROR(__xludf.DUMMYFUNCTION("""COMPUTED_VALUE"""),180.311106801099)</f>
        <v>180.31110680109899</v>
      </c>
      <c r="N54" s="18">
        <f ca="1">IFERROR(__xludf.DUMMYFUNCTION("""COMPUTED_VALUE"""),137.56087851835)</f>
        <v>137.56087851834999</v>
      </c>
      <c r="O54" s="18">
        <f ca="1">IFERROR(__xludf.DUMMYFUNCTION("""COMPUTED_VALUE"""),137.5857214667)</f>
        <v>137.58572146669999</v>
      </c>
      <c r="P54" s="18">
        <f ca="1">IFERROR(__xludf.DUMMYFUNCTION("""COMPUTED_VALUE"""),14.98053687935)</f>
        <v>14.98053687935</v>
      </c>
      <c r="Q54" s="19">
        <f ca="1">IFERROR(__xludf.DUMMYFUNCTION("""COMPUTED_VALUE"""),14.9861850329)</f>
        <v>14.9861850329</v>
      </c>
      <c r="R54" s="20"/>
    </row>
    <row r="55" spans="1:18" ht="13.2" hidden="1" outlineLevel="1" x14ac:dyDescent="0.25">
      <c r="A55" s="1"/>
      <c r="B55" s="21" t="str">
        <f ca="1">IFERROR(__xludf.DUMMYFUNCTION("""COMPUTED_VALUE"""),"Petróleo crudo")</f>
        <v>Petróleo crudo</v>
      </c>
      <c r="C55" s="22">
        <f ca="1">IFERROR(__xludf.DUMMYFUNCTION("""COMPUTED_VALUE"""),5756.5026)</f>
        <v>5756.5025999999998</v>
      </c>
      <c r="D55" s="23">
        <f ca="1">IFERROR(__xludf.DUMMYFUNCTION("""COMPUTED_VALUE"""),5701.99788)</f>
        <v>5701.9978799999999</v>
      </c>
      <c r="E55" s="23">
        <f ca="1">IFERROR(__xludf.DUMMYFUNCTION("""COMPUTED_VALUE"""),5691.49902)</f>
        <v>5691.4990200000002</v>
      </c>
      <c r="F55" s="23">
        <f ca="1">IFERROR(__xludf.DUMMYFUNCTION("""COMPUTED_VALUE"""),5633.86698)</f>
        <v>5633.8669799999998</v>
      </c>
      <c r="G55" s="23">
        <f ca="1">IFERROR(__xludf.DUMMYFUNCTION("""COMPUTED_VALUE"""),5425.45344)</f>
        <v>5425.4534400000002</v>
      </c>
      <c r="H55" s="23">
        <f ca="1">IFERROR(__xludf.DUMMYFUNCTION("""COMPUTED_VALUE"""),5063.57784)</f>
        <v>5063.5778399999999</v>
      </c>
      <c r="I55" s="23">
        <f ca="1">IFERROR(__xludf.DUMMYFUNCTION("""COMPUTED_VALUE"""),4796.63874)</f>
        <v>4796.6387400000003</v>
      </c>
      <c r="J55" s="23">
        <f ca="1">IFERROR(__xludf.DUMMYFUNCTION("""COMPUTED_VALUE"""),4341.83706)</f>
        <v>4341.8370599999998</v>
      </c>
      <c r="K55" s="23">
        <f ca="1">IFERROR(__xludf.DUMMYFUNCTION("""COMPUTED_VALUE"""),4042.73124)</f>
        <v>4042.7312400000001</v>
      </c>
      <c r="L55" s="23">
        <f ca="1">IFERROR(__xludf.DUMMYFUNCTION("""COMPUTED_VALUE"""),3750.10344)</f>
        <v>3750.1034399999999</v>
      </c>
      <c r="M55" s="23">
        <f ca="1">IFERROR(__xludf.DUMMYFUNCTION("""COMPUTED_VALUE"""),3714.8094)</f>
        <v>3714.8094000000001</v>
      </c>
      <c r="N55" s="23">
        <f ca="1">IFERROR(__xludf.DUMMYFUNCTION("""COMPUTED_VALUE"""),3718.60686)</f>
        <v>3718.6068599999999</v>
      </c>
      <c r="O55" s="23">
        <f ca="1">IFERROR(__xludf.DUMMYFUNCTION("""COMPUTED_VALUE"""),3624.3405)</f>
        <v>3624.3404999999998</v>
      </c>
      <c r="P55" s="23">
        <f ca="1">IFERROR(__xludf.DUMMYFUNCTION("""COMPUTED_VALUE"""),3692.4714)</f>
        <v>3692.4713999999999</v>
      </c>
      <c r="Q55" s="24">
        <f ca="1">IFERROR(__xludf.DUMMYFUNCTION("""COMPUTED_VALUE"""),3469.98492)</f>
        <v>3469.9849199999999</v>
      </c>
      <c r="R55" s="20"/>
    </row>
    <row r="56" spans="1:18" ht="13.2" hidden="1" outlineLevel="1" x14ac:dyDescent="0.25">
      <c r="A56" s="1"/>
      <c r="B56" s="21" t="str">
        <f ca="1">IFERROR(__xludf.DUMMYFUNCTION("""COMPUTED_VALUE"""),"Condensados")</f>
        <v>Condensados</v>
      </c>
      <c r="C56" s="22">
        <f ca="1">IFERROR(__xludf.DUMMYFUNCTION("""COMPUTED_VALUE"""),92.51)</f>
        <v>92.51</v>
      </c>
      <c r="D56" s="23">
        <f ca="1">IFERROR(__xludf.DUMMYFUNCTION("""COMPUTED_VALUE"""),100.38)</f>
        <v>100.38</v>
      </c>
      <c r="E56" s="23">
        <f ca="1">IFERROR(__xludf.DUMMYFUNCTION("""COMPUTED_VALUE"""),87.69)</f>
        <v>87.69</v>
      </c>
      <c r="F56" s="23">
        <f ca="1">IFERROR(__xludf.DUMMYFUNCTION("""COMPUTED_VALUE"""),134.11)</f>
        <v>134.11000000000001</v>
      </c>
      <c r="G56" s="23">
        <f ca="1">IFERROR(__xludf.DUMMYFUNCTION("""COMPUTED_VALUE"""),106.30783976718)</f>
        <v>106.30783976718</v>
      </c>
      <c r="H56" s="23">
        <f ca="1">IFERROR(__xludf.DUMMYFUNCTION("""COMPUTED_VALUE"""),98.8308871293237)</f>
        <v>98.830887129323699</v>
      </c>
      <c r="I56" s="23">
        <f ca="1">IFERROR(__xludf.DUMMYFUNCTION("""COMPUTED_VALUE"""),88.312)</f>
        <v>88.311999999999998</v>
      </c>
      <c r="J56" s="23">
        <f ca="1">IFERROR(__xludf.DUMMYFUNCTION("""COMPUTED_VALUE"""),67.2832576367212)</f>
        <v>67.283257636721203</v>
      </c>
      <c r="K56" s="23">
        <f ca="1">IFERROR(__xludf.DUMMYFUNCTION("""COMPUTED_VALUE"""),48.2019)</f>
        <v>48.201900000000002</v>
      </c>
      <c r="L56" s="23">
        <f ca="1">IFERROR(__xludf.DUMMYFUNCTION("""COMPUTED_VALUE"""),58.838)</f>
        <v>58.838000000000001</v>
      </c>
      <c r="M56" s="23">
        <f ca="1">IFERROR(__xludf.DUMMYFUNCTION("""COMPUTED_VALUE"""),132.1592)</f>
        <v>132.1592</v>
      </c>
      <c r="N56" s="23">
        <f ca="1">IFERROR(__xludf.DUMMYFUNCTION("""COMPUTED_VALUE"""),260.6976)</f>
        <v>260.69760000000002</v>
      </c>
      <c r="O56" s="23">
        <f ca="1">IFERROR(__xludf.DUMMYFUNCTION("""COMPUTED_VALUE"""),499.4441)</f>
        <v>499.44409999999999</v>
      </c>
      <c r="P56" s="23">
        <f ca="1">IFERROR(__xludf.DUMMYFUNCTION("""COMPUTED_VALUE"""),639.7501)</f>
        <v>639.75009999999997</v>
      </c>
      <c r="Q56" s="24">
        <f ca="1">IFERROR(__xludf.DUMMYFUNCTION("""COMPUTED_VALUE"""),604.4473)</f>
        <v>604.44730000000004</v>
      </c>
      <c r="R56" s="20"/>
    </row>
    <row r="57" spans="1:18" ht="13.2" hidden="1" outlineLevel="1" x14ac:dyDescent="0.25">
      <c r="A57" s="1"/>
      <c r="B57" s="21" t="str">
        <f ca="1">IFERROR(__xludf.DUMMYFUNCTION("""COMPUTED_VALUE"""),"Gas natural")</f>
        <v>Gas natural</v>
      </c>
      <c r="C57" s="22">
        <f ca="1">IFERROR(__xludf.DUMMYFUNCTION("""COMPUTED_VALUE"""),2803.405306806)</f>
        <v>2803.4053068060002</v>
      </c>
      <c r="D57" s="23">
        <f ca="1">IFERROR(__xludf.DUMMYFUNCTION("""COMPUTED_VALUE"""),2633.32406461673)</f>
        <v>2633.3240646167301</v>
      </c>
      <c r="E57" s="23">
        <f ca="1">IFERROR(__xludf.DUMMYFUNCTION("""COMPUTED_VALUE"""),2549.66118544638)</f>
        <v>2549.6611854463799</v>
      </c>
      <c r="F57" s="23">
        <f ca="1">IFERROR(__xludf.DUMMYFUNCTION("""COMPUTED_VALUE"""),2543.95054500659)</f>
        <v>2543.9505450065899</v>
      </c>
      <c r="G57" s="23">
        <f ca="1">IFERROR(__xludf.DUMMYFUNCTION("""COMPUTED_VALUE"""),2608.48477543107)</f>
        <v>2608.4847754310699</v>
      </c>
      <c r="H57" s="23">
        <f ca="1">IFERROR(__xludf.DUMMYFUNCTION("""COMPUTED_VALUE"""),2556.2104514053)</f>
        <v>2556.2104514052999</v>
      </c>
      <c r="I57" s="23">
        <f ca="1">IFERROR(__xludf.DUMMYFUNCTION("""COMPUTED_VALUE"""),2285.85355785719)</f>
        <v>2285.85355785719</v>
      </c>
      <c r="J57" s="23">
        <f ca="1">IFERROR(__xludf.DUMMYFUNCTION("""COMPUTED_VALUE"""),2006.99060547221)</f>
        <v>2006.9906054722101</v>
      </c>
      <c r="K57" s="23">
        <f ca="1">IFERROR(__xludf.DUMMYFUNCTION("""COMPUTED_VALUE"""),1925.04491188865)</f>
        <v>1925.0449118886499</v>
      </c>
      <c r="L57" s="23">
        <f ca="1">IFERROR(__xludf.DUMMYFUNCTION("""COMPUTED_VALUE"""),1946.4098953522)</f>
        <v>1946.4098953522</v>
      </c>
      <c r="M57" s="23">
        <f ca="1">IFERROR(__xludf.DUMMYFUNCTION("""COMPUTED_VALUE"""),1932.0334578814)</f>
        <v>1932.0334578814</v>
      </c>
      <c r="N57" s="23">
        <f ca="1">IFERROR(__xludf.DUMMYFUNCTION("""COMPUTED_VALUE"""),1892.97746941905)</f>
        <v>1892.9774694190501</v>
      </c>
      <c r="O57" s="23">
        <f ca="1">IFERROR(__xludf.DUMMYFUNCTION("""COMPUTED_VALUE"""),1918.97486051209)</f>
        <v>1918.9748605120899</v>
      </c>
      <c r="P57" s="23">
        <f ca="1">IFERROR(__xludf.DUMMYFUNCTION("""COMPUTED_VALUE"""),1994.81056817056)</f>
        <v>1994.8105681705599</v>
      </c>
      <c r="Q57" s="24">
        <f ca="1">IFERROR(__xludf.DUMMYFUNCTION("""COMPUTED_VALUE"""),1831.43833013433)</f>
        <v>1831.43833013433</v>
      </c>
      <c r="R57" s="20"/>
    </row>
    <row r="58" spans="1:18" ht="13.2" hidden="1" outlineLevel="1" x14ac:dyDescent="0.25">
      <c r="A58" s="1"/>
      <c r="B58" s="21" t="str">
        <f ca="1">IFERROR(__xludf.DUMMYFUNCTION("""COMPUTED_VALUE"""),"Energía Nuclear")</f>
        <v>Energía Nuclear</v>
      </c>
      <c r="C58" s="22">
        <f ca="1">IFERROR(__xludf.DUMMYFUNCTION("""COMPUTED_VALUE"""),63.94)</f>
        <v>63.94</v>
      </c>
      <c r="D58" s="23">
        <f ca="1">IFERROR(__xludf.DUMMYFUNCTION("""COMPUTED_VALUE"""),106.39)</f>
        <v>106.39</v>
      </c>
      <c r="E58" s="23">
        <f ca="1">IFERROR(__xludf.DUMMYFUNCTION("""COMPUTED_VALUE"""),91.32)</f>
        <v>91.32</v>
      </c>
      <c r="F58" s="23">
        <f ca="1">IFERROR(__xludf.DUMMYFUNCTION("""COMPUTED_VALUE"""),122.6)</f>
        <v>122.6</v>
      </c>
      <c r="G58" s="23">
        <f ca="1">IFERROR(__xludf.DUMMYFUNCTION("""COMPUTED_VALUE"""),112.6)</f>
        <v>112.6</v>
      </c>
      <c r="H58" s="23">
        <f ca="1">IFERROR(__xludf.DUMMYFUNCTION("""COMPUTED_VALUE"""),130.41)</f>
        <v>130.41</v>
      </c>
      <c r="I58" s="23">
        <f ca="1">IFERROR(__xludf.DUMMYFUNCTION("""COMPUTED_VALUE"""),109.95)</f>
        <v>109.95</v>
      </c>
      <c r="J58" s="23">
        <f ca="1">IFERROR(__xludf.DUMMYFUNCTION("""COMPUTED_VALUE"""),113.22)</f>
        <v>113.22</v>
      </c>
      <c r="K58" s="23">
        <f ca="1">IFERROR(__xludf.DUMMYFUNCTION("""COMPUTED_VALUE"""),141.649958844)</f>
        <v>141.649958844</v>
      </c>
      <c r="L58" s="23">
        <f ca="1">IFERROR(__xludf.DUMMYFUNCTION("""COMPUTED_VALUE"""),116.482347758)</f>
        <v>116.482347758</v>
      </c>
      <c r="M58" s="23">
        <f ca="1">IFERROR(__xludf.DUMMYFUNCTION("""COMPUTED_VALUE"""),117.464405187)</f>
        <v>117.464405187</v>
      </c>
      <c r="N58" s="23">
        <f ca="1">IFERROR(__xludf.DUMMYFUNCTION("""COMPUTED_VALUE"""),124.986917246)</f>
        <v>124.986917246</v>
      </c>
      <c r="O58" s="23">
        <f ca="1">IFERROR(__xludf.DUMMYFUNCTION("""COMPUTED_VALUE"""),114.174258473606)</f>
        <v>114.174258473606</v>
      </c>
      <c r="P58" s="23">
        <f ca="1">IFERROR(__xludf.DUMMYFUNCTION("""COMPUTED_VALUE"""),130.343389429)</f>
        <v>130.34338942900001</v>
      </c>
      <c r="Q58" s="24">
        <f ca="1">IFERROR(__xludf.DUMMYFUNCTION("""COMPUTED_VALUE"""),129.506482099619)</f>
        <v>129.50648209961901</v>
      </c>
      <c r="R58" s="20"/>
    </row>
    <row r="59" spans="1:18" ht="13.2" hidden="1" outlineLevel="1" x14ac:dyDescent="0.25">
      <c r="A59" s="1"/>
      <c r="B59" s="21" t="str">
        <f ca="1">IFERROR(__xludf.DUMMYFUNCTION("""COMPUTED_VALUE"""),"Energia Hidraúlica")</f>
        <v>Energia Hidraúlica</v>
      </c>
      <c r="C59" s="22">
        <f ca="1">IFERROR(__xludf.DUMMYFUNCTION("""COMPUTED_VALUE"""),140.650755235208)</f>
        <v>140.65075523520801</v>
      </c>
      <c r="D59" s="23">
        <f ca="1">IFERROR(__xludf.DUMMYFUNCTION("""COMPUTED_VALUE"""),136.794558672405)</f>
        <v>136.794558672405</v>
      </c>
      <c r="E59" s="23">
        <f ca="1">IFERROR(__xludf.DUMMYFUNCTION("""COMPUTED_VALUE"""),119.376356904078)</f>
        <v>119.37635690407799</v>
      </c>
      <c r="F59" s="23">
        <f ca="1">IFERROR(__xludf.DUMMYFUNCTION("""COMPUTED_VALUE"""),104.973810376497)</f>
        <v>104.973810376497</v>
      </c>
      <c r="G59" s="23">
        <f ca="1">IFERROR(__xludf.DUMMYFUNCTION("""COMPUTED_VALUE"""),143.244619898085)</f>
        <v>143.24461989808501</v>
      </c>
      <c r="H59" s="23">
        <f ca="1">IFERROR(__xludf.DUMMYFUNCTION("""COMPUTED_VALUE"""),113.841109573861)</f>
        <v>113.841109573861</v>
      </c>
      <c r="I59" s="23">
        <f ca="1">IFERROR(__xludf.DUMMYFUNCTION("""COMPUTED_VALUE"""),113.379393418838)</f>
        <v>113.37939341883801</v>
      </c>
      <c r="J59" s="23">
        <f ca="1">IFERROR(__xludf.DUMMYFUNCTION("""COMPUTED_VALUE"""),115.127888338328)</f>
        <v>115.12788833832801</v>
      </c>
      <c r="K59" s="23">
        <f ca="1">IFERROR(__xludf.DUMMYFUNCTION("""COMPUTED_VALUE"""),117.199476436479)</f>
        <v>117.199476436479</v>
      </c>
      <c r="L59" s="23">
        <f ca="1">IFERROR(__xludf.DUMMYFUNCTION("""COMPUTED_VALUE"""),85.7683544952812)</f>
        <v>85.768354495281201</v>
      </c>
      <c r="M59" s="23">
        <f ca="1">IFERROR(__xludf.DUMMYFUNCTION("""COMPUTED_VALUE"""),97.4546523269544)</f>
        <v>97.454652326954402</v>
      </c>
      <c r="N59" s="23">
        <f ca="1">IFERROR(__xludf.DUMMYFUNCTION("""COMPUTED_VALUE"""),126.117339304689)</f>
        <v>126.117339304689</v>
      </c>
      <c r="O59" s="23">
        <f ca="1">IFERROR(__xludf.DUMMYFUNCTION("""COMPUTED_VALUE"""),129.225569710392)</f>
        <v>129.22556971039199</v>
      </c>
      <c r="P59" s="23">
        <f ca="1">IFERROR(__xludf.DUMMYFUNCTION("""COMPUTED_VALUE"""),74.9299386156002)</f>
        <v>74.929938615600193</v>
      </c>
      <c r="Q59" s="24">
        <f ca="1">IFERROR(__xludf.DUMMYFUNCTION("""COMPUTED_VALUE"""),86.517832500333)</f>
        <v>86.517832500333</v>
      </c>
      <c r="R59" s="20"/>
    </row>
    <row r="60" spans="1:18" ht="13.2" hidden="1" outlineLevel="1" x14ac:dyDescent="0.25">
      <c r="A60" s="1"/>
      <c r="B60" s="21" t="str">
        <f ca="1">IFERROR(__xludf.DUMMYFUNCTION("""COMPUTED_VALUE"""),"Geoenergía")</f>
        <v>Geoenergía</v>
      </c>
      <c r="C60" s="22">
        <f ca="1">IFERROR(__xludf.DUMMYFUNCTION("""COMPUTED_VALUE"""),28.762373781417)</f>
        <v>28.762373781417001</v>
      </c>
      <c r="D60" s="23">
        <f ca="1">IFERROR(__xludf.DUMMYFUNCTION("""COMPUTED_VALUE"""),27.4176420837335)</f>
        <v>27.417642083733501</v>
      </c>
      <c r="E60" s="23">
        <f ca="1">IFERROR(__xludf.DUMMYFUNCTION("""COMPUTED_VALUE"""),24.5599069913274)</f>
        <v>24.559906991327399</v>
      </c>
      <c r="F60" s="23">
        <f ca="1">IFERROR(__xludf.DUMMYFUNCTION("""COMPUTED_VALUE"""),25.4932891196797)</f>
        <v>25.493289119679702</v>
      </c>
      <c r="G60" s="23">
        <f ca="1">IFERROR(__xludf.DUMMYFUNCTION("""COMPUTED_VALUE"""),25.326716568116)</f>
        <v>25.326716568116002</v>
      </c>
      <c r="H60" s="23">
        <f ca="1">IFERROR(__xludf.DUMMYFUNCTION("""COMPUTED_VALUE"""),26.5306410704584)</f>
        <v>26.530641070458401</v>
      </c>
      <c r="I60" s="23">
        <f ca="1">IFERROR(__xludf.DUMMYFUNCTION("""COMPUTED_VALUE"""),25.7432810093918)</f>
        <v>25.743281009391801</v>
      </c>
      <c r="J60" s="23">
        <f ca="1">IFERROR(__xludf.DUMMYFUNCTION("""COMPUTED_VALUE"""),23.7316824624317)</f>
        <v>23.731682462431699</v>
      </c>
      <c r="K60" s="23">
        <f ca="1">IFERROR(__xludf.DUMMYFUNCTION("""COMPUTED_VALUE"""),21.1555305711881)</f>
        <v>21.155530571188098</v>
      </c>
      <c r="L60" s="23">
        <f ca="1">IFERROR(__xludf.DUMMYFUNCTION("""COMPUTED_VALUE"""),20.9378103741678)</f>
        <v>20.9378103741678</v>
      </c>
      <c r="M60" s="23">
        <f ca="1">IFERROR(__xludf.DUMMYFUNCTION("""COMPUTED_VALUE"""),19.1204715569663)</f>
        <v>19.120471556966301</v>
      </c>
      <c r="N60" s="23">
        <f ca="1">IFERROR(__xludf.DUMMYFUNCTION("""COMPUTED_VALUE"""),17.5980014093371)</f>
        <v>17.598001409337101</v>
      </c>
      <c r="O60" s="23">
        <f ca="1">IFERROR(__xludf.DUMMYFUNCTION("""COMPUTED_VALUE"""),18.4614130254254)</f>
        <v>18.461413025425401</v>
      </c>
      <c r="P60" s="23">
        <f ca="1">IFERROR(__xludf.DUMMYFUNCTION("""COMPUTED_VALUE"""),17.2933047562122)</f>
        <v>17.293304756212201</v>
      </c>
      <c r="Q60" s="24">
        <f ca="1">IFERROR(__xludf.DUMMYFUNCTION("""COMPUTED_VALUE"""),14.775345960735)</f>
        <v>14.775345960735001</v>
      </c>
      <c r="R60" s="20"/>
    </row>
    <row r="61" spans="1:18" ht="13.2" hidden="1" outlineLevel="1" x14ac:dyDescent="0.25">
      <c r="A61" s="1"/>
      <c r="B61" s="21" t="str">
        <f ca="1">IFERROR(__xludf.DUMMYFUNCTION("""COMPUTED_VALUE"""),"Energía solar")</f>
        <v>Energía solar</v>
      </c>
      <c r="C61" s="22">
        <f ca="1">IFERROR(__xludf.DUMMYFUNCTION("""COMPUTED_VALUE"""),14.7103973843924)</f>
        <v>14.710397384392399</v>
      </c>
      <c r="D61" s="23">
        <f ca="1">IFERROR(__xludf.DUMMYFUNCTION("""COMPUTED_VALUE"""),17.150396878777)</f>
        <v>17.150396878776998</v>
      </c>
      <c r="E61" s="23">
        <f ca="1">IFERROR(__xludf.DUMMYFUNCTION("""COMPUTED_VALUE"""),18.7506455052817)</f>
        <v>18.7506455052817</v>
      </c>
      <c r="F61" s="23">
        <f ca="1">IFERROR(__xludf.DUMMYFUNCTION("""COMPUTED_VALUE"""),19.682269780926)</f>
        <v>19.682269780925999</v>
      </c>
      <c r="G61" s="23">
        <f ca="1">IFERROR(__xludf.DUMMYFUNCTION("""COMPUTED_VALUE"""),22.8847322256601)</f>
        <v>22.884732225660098</v>
      </c>
      <c r="H61" s="23">
        <f ca="1">IFERROR(__xludf.DUMMYFUNCTION("""COMPUTED_VALUE"""),25.1986118401864)</f>
        <v>25.198611840186398</v>
      </c>
      <c r="I61" s="23">
        <f ca="1">IFERROR(__xludf.DUMMYFUNCTION("""COMPUTED_VALUE"""),27.7085304782755)</f>
        <v>27.708530478275499</v>
      </c>
      <c r="J61" s="23">
        <f ca="1">IFERROR(__xludf.DUMMYFUNCTION("""COMPUTED_VALUE"""),31.0225739086554)</f>
        <v>31.022573908655399</v>
      </c>
      <c r="K61" s="23">
        <f ca="1">IFERROR(__xludf.DUMMYFUNCTION("""COMPUTED_VALUE"""),39.937431288956)</f>
        <v>39.937431288955999</v>
      </c>
      <c r="L61" s="23">
        <f ca="1">IFERROR(__xludf.DUMMYFUNCTION("""COMPUTED_VALUE"""),64.5222560465888)</f>
        <v>64.522256046588794</v>
      </c>
      <c r="M61" s="23">
        <f ca="1">IFERROR(__xludf.DUMMYFUNCTION("""COMPUTED_VALUE"""),83.87516431347)</f>
        <v>83.875164313469995</v>
      </c>
      <c r="N61" s="23">
        <f ca="1">IFERROR(__xludf.DUMMYFUNCTION("""COMPUTED_VALUE"""),99.3877737831912)</f>
        <v>99.387773783191193</v>
      </c>
      <c r="O61" s="23">
        <f ca="1">IFERROR(__xludf.DUMMYFUNCTION("""COMPUTED_VALUE"""),98.8626296193328)</f>
        <v>98.862629619332793</v>
      </c>
      <c r="P61" s="23">
        <f ca="1">IFERROR(__xludf.DUMMYFUNCTION("""COMPUTED_VALUE"""),108.606391481994)</f>
        <v>108.606391481994</v>
      </c>
      <c r="Q61" s="24">
        <f ca="1">IFERROR(__xludf.DUMMYFUNCTION("""COMPUTED_VALUE"""),114.36026615905)</f>
        <v>114.36026615905</v>
      </c>
      <c r="R61" s="20"/>
    </row>
    <row r="62" spans="1:18" ht="13.2" hidden="1" outlineLevel="1" x14ac:dyDescent="0.25">
      <c r="A62" s="1"/>
      <c r="B62" s="21" t="str">
        <f ca="1">IFERROR(__xludf.DUMMYFUNCTION("""COMPUTED_VALUE"""),"Energía eólica")</f>
        <v>Energía eólica</v>
      </c>
      <c r="C62" s="22">
        <f ca="1">IFERROR(__xludf.DUMMYFUNCTION("""COMPUTED_VALUE"""),4.72015574438388)</f>
        <v>4.72015574438388</v>
      </c>
      <c r="D62" s="23">
        <f ca="1">IFERROR(__xludf.DUMMYFUNCTION("""COMPUTED_VALUE"""),6.09270561652387)</f>
        <v>6.0927056165238698</v>
      </c>
      <c r="E62" s="23">
        <f ca="1">IFERROR(__xludf.DUMMYFUNCTION("""COMPUTED_VALUE"""),13.4182747539153)</f>
        <v>13.4182747539153</v>
      </c>
      <c r="F62" s="23">
        <f ca="1">IFERROR(__xludf.DUMMYFUNCTION("""COMPUTED_VALUE"""),15.4326807263786)</f>
        <v>15.432680726378599</v>
      </c>
      <c r="G62" s="23">
        <f ca="1">IFERROR(__xludf.DUMMYFUNCTION("""COMPUTED_VALUE"""),23.6933194550924)</f>
        <v>23.6933194550924</v>
      </c>
      <c r="H62" s="23">
        <f ca="1">IFERROR(__xludf.DUMMYFUNCTION("""COMPUTED_VALUE"""),32.2266686190985)</f>
        <v>32.226668619098497</v>
      </c>
      <c r="I62" s="23">
        <f ca="1">IFERROR(__xludf.DUMMYFUNCTION("""COMPUTED_VALUE"""),38.4244589107372)</f>
        <v>38.424458910737201</v>
      </c>
      <c r="J62" s="23">
        <f ca="1">IFERROR(__xludf.DUMMYFUNCTION("""COMPUTED_VALUE"""),38.0122580222196)</f>
        <v>38.012258022219598</v>
      </c>
      <c r="K62" s="23">
        <f ca="1">IFERROR(__xludf.DUMMYFUNCTION("""COMPUTED_VALUE"""),45.2287222480656)</f>
        <v>45.228722248065601</v>
      </c>
      <c r="L62" s="23">
        <f ca="1">IFERROR(__xludf.DUMMYFUNCTION("""COMPUTED_VALUE"""),60.8230933995897)</f>
        <v>60.823093399589702</v>
      </c>
      <c r="M62" s="23">
        <f ca="1">IFERROR(__xludf.DUMMYFUNCTION("""COMPUTED_VALUE"""),71.6722117329134)</f>
        <v>71.672211732913397</v>
      </c>
      <c r="N62" s="23">
        <f ca="1">IFERROR(__xludf.DUMMYFUNCTION("""COMPUTED_VALUE"""),76.6530766316587)</f>
        <v>76.653076631658706</v>
      </c>
      <c r="O62" s="23">
        <f ca="1">IFERROR(__xludf.DUMMYFUNCTION("""COMPUTED_VALUE"""),73.9145440149017)</f>
        <v>73.914544014901693</v>
      </c>
      <c r="P62" s="23">
        <f ca="1">IFERROR(__xludf.DUMMYFUNCTION("""COMPUTED_VALUE"""),75.2858005595479)</f>
        <v>75.285800559547894</v>
      </c>
      <c r="Q62" s="24">
        <f ca="1">IFERROR(__xludf.DUMMYFUNCTION("""COMPUTED_VALUE"""),72.6585248964424)</f>
        <v>72.658524896442401</v>
      </c>
      <c r="R62" s="20"/>
    </row>
    <row r="63" spans="1:18" ht="13.2" hidden="1" outlineLevel="1" x14ac:dyDescent="0.25">
      <c r="A63" s="1"/>
      <c r="B63" s="21" t="str">
        <f ca="1">IFERROR(__xludf.DUMMYFUNCTION("""COMPUTED_VALUE"""),"Bagazo de caña")</f>
        <v>Bagazo de caña</v>
      </c>
      <c r="C63" s="22">
        <f ca="1">IFERROR(__xludf.DUMMYFUNCTION("""COMPUTED_VALUE"""),99.0825)</f>
        <v>99.082499999999996</v>
      </c>
      <c r="D63" s="23">
        <f ca="1">IFERROR(__xludf.DUMMYFUNCTION("""COMPUTED_VALUE"""),99.1724999999999)</f>
        <v>99.1724999999999</v>
      </c>
      <c r="E63" s="23">
        <f ca="1">IFERROR(__xludf.DUMMYFUNCTION("""COMPUTED_VALUE"""),101.7582)</f>
        <v>101.7582</v>
      </c>
      <c r="F63" s="23">
        <f ca="1">IFERROR(__xludf.DUMMYFUNCTION("""COMPUTED_VALUE"""),140.345475)</f>
        <v>140.34547499999999</v>
      </c>
      <c r="G63" s="23">
        <f ca="1">IFERROR(__xludf.DUMMYFUNCTION("""COMPUTED_VALUE"""),111.269025)</f>
        <v>111.269025</v>
      </c>
      <c r="H63" s="23">
        <f ca="1">IFERROR(__xludf.DUMMYFUNCTION("""COMPUTED_VALUE"""),107.002387785)</f>
        <v>107.002387785</v>
      </c>
      <c r="I63" s="23">
        <f ca="1">IFERROR(__xludf.DUMMYFUNCTION("""COMPUTED_VALUE"""),107.9035441)</f>
        <v>107.9035441</v>
      </c>
      <c r="J63" s="23">
        <f ca="1">IFERROR(__xludf.DUMMYFUNCTION("""COMPUTED_VALUE"""),107.394532905)</f>
        <v>107.39453290500001</v>
      </c>
      <c r="K63" s="23">
        <f ca="1">IFERROR(__xludf.DUMMYFUNCTION("""COMPUTED_VALUE"""),107.146182795)</f>
        <v>107.146182795</v>
      </c>
      <c r="L63" s="23">
        <f ca="1">IFERROR(__xludf.DUMMYFUNCTION("""COMPUTED_VALUE"""),113.248673135)</f>
        <v>113.248673135</v>
      </c>
      <c r="M63" s="23">
        <f ca="1">IFERROR(__xludf.DUMMYFUNCTION("""COMPUTED_VALUE"""),99.65643253)</f>
        <v>99.656432530000004</v>
      </c>
      <c r="N63" s="23">
        <f ca="1">IFERROR(__xludf.DUMMYFUNCTION("""COMPUTED_VALUE"""),103.95377413)</f>
        <v>103.95377413</v>
      </c>
      <c r="O63" s="23">
        <f ca="1">IFERROR(__xludf.DUMMYFUNCTION("""COMPUTED_VALUE"""),111.59383117)</f>
        <v>111.59383117</v>
      </c>
      <c r="P63" s="23">
        <f ca="1">IFERROR(__xludf.DUMMYFUNCTION("""COMPUTED_VALUE"""),97.381611275)</f>
        <v>97.381611274999997</v>
      </c>
      <c r="Q63" s="24">
        <f ca="1">IFERROR(__xludf.DUMMYFUNCTION("""COMPUTED_VALUE"""),95.77065141)</f>
        <v>95.770651409999999</v>
      </c>
      <c r="R63" s="20"/>
    </row>
    <row r="64" spans="1:18" ht="13.2" hidden="1" outlineLevel="1" x14ac:dyDescent="0.25">
      <c r="A64" s="1"/>
      <c r="B64" s="21" t="str">
        <f ca="1">IFERROR(__xludf.DUMMYFUNCTION("""COMPUTED_VALUE"""),"Leña")</f>
        <v>Leña</v>
      </c>
      <c r="C64" s="22">
        <f ca="1">IFERROR(__xludf.DUMMYFUNCTION("""COMPUTED_VALUE"""),138.367582101017)</f>
        <v>138.36758210101701</v>
      </c>
      <c r="D64" s="23">
        <f ca="1">IFERROR(__xludf.DUMMYFUNCTION("""COMPUTED_VALUE"""),137.696178221624)</f>
        <v>137.696178221624</v>
      </c>
      <c r="E64" s="23">
        <f ca="1">IFERROR(__xludf.DUMMYFUNCTION("""COMPUTED_VALUE"""),137.024774342231)</f>
        <v>137.02477434223101</v>
      </c>
      <c r="F64" s="23">
        <f ca="1">IFERROR(__xludf.DUMMYFUNCTION("""COMPUTED_VALUE"""),136.357019396965)</f>
        <v>136.357019396965</v>
      </c>
      <c r="G64" s="23">
        <f ca="1">IFERROR(__xludf.DUMMYFUNCTION("""COMPUTED_VALUE"""),135.685615517572)</f>
        <v>135.68561551757199</v>
      </c>
      <c r="H64" s="23">
        <f ca="1">IFERROR(__xludf.DUMMYFUNCTION("""COMPUTED_VALUE"""),135.010562704052)</f>
        <v>135.01056270405201</v>
      </c>
      <c r="I64" s="23">
        <f ca="1">IFERROR(__xludf.DUMMYFUNCTION("""COMPUTED_VALUE"""),134.339158824659)</f>
        <v>134.33915882465899</v>
      </c>
      <c r="J64" s="23">
        <f ca="1">IFERROR(__xludf.DUMMYFUNCTION("""COMPUTED_VALUE"""),133.667754945265)</f>
        <v>133.66775494526499</v>
      </c>
      <c r="K64" s="23">
        <f ca="1">IFERROR(__xludf.DUMMYFUNCTION("""COMPUTED_VALUE"""),132.999999999999)</f>
        <v>132.99999999999901</v>
      </c>
      <c r="L64" s="23">
        <f ca="1">IFERROR(__xludf.DUMMYFUNCTION("""COMPUTED_VALUE"""),132.324947186479)</f>
        <v>132.32494718647899</v>
      </c>
      <c r="M64" s="23">
        <f ca="1">IFERROR(__xludf.DUMMYFUNCTION("""COMPUTED_VALUE"""),131.653543307086)</f>
        <v>131.65354330708601</v>
      </c>
      <c r="N64" s="23">
        <f ca="1">IFERROR(__xludf.DUMMYFUNCTION("""COMPUTED_VALUE"""),131.095256385634)</f>
        <v>131.095256385634</v>
      </c>
      <c r="O64" s="23">
        <f ca="1">IFERROR(__xludf.DUMMYFUNCTION("""COMPUTED_VALUE"""),130.536969464182)</f>
        <v>130.53696946418199</v>
      </c>
      <c r="P64" s="23">
        <f ca="1">IFERROR(__xludf.DUMMYFUNCTION("""COMPUTED_VALUE"""),129.97868254273)</f>
        <v>129.97868254273001</v>
      </c>
      <c r="Q64" s="24">
        <f ca="1">IFERROR(__xludf.DUMMYFUNCTION("""COMPUTED_VALUE"""),129.420395621279)</f>
        <v>129.420395621279</v>
      </c>
      <c r="R64" s="20"/>
    </row>
    <row r="65" spans="1:18" ht="13.2" hidden="1" outlineLevel="1" x14ac:dyDescent="0.25">
      <c r="A65" s="1"/>
      <c r="B65" s="21" t="str">
        <f ca="1">IFERROR(__xludf.DUMMYFUNCTION("""COMPUTED_VALUE"""),"Biogás")</f>
        <v>Biogás</v>
      </c>
      <c r="C65" s="22">
        <f ca="1">IFERROR(__xludf.DUMMYFUNCTION("""COMPUTED_VALUE"""),1.3)</f>
        <v>1.3</v>
      </c>
      <c r="D65" s="23">
        <f ca="1">IFERROR(__xludf.DUMMYFUNCTION("""COMPUTED_VALUE"""),1.47)</f>
        <v>1.47</v>
      </c>
      <c r="E65" s="23">
        <f ca="1">IFERROR(__xludf.DUMMYFUNCTION("""COMPUTED_VALUE"""),1.82)</f>
        <v>1.82</v>
      </c>
      <c r="F65" s="23">
        <f ca="1">IFERROR(__xludf.DUMMYFUNCTION("""COMPUTED_VALUE"""),1.97)</f>
        <v>1.97</v>
      </c>
      <c r="G65" s="23">
        <f ca="1">IFERROR(__xludf.DUMMYFUNCTION("""COMPUTED_VALUE"""),1.94)</f>
        <v>1.94</v>
      </c>
      <c r="H65" s="23">
        <f ca="1">IFERROR(__xludf.DUMMYFUNCTION("""COMPUTED_VALUE"""),1.87)</f>
        <v>1.87</v>
      </c>
      <c r="I65" s="23">
        <f ca="1">IFERROR(__xludf.DUMMYFUNCTION("""COMPUTED_VALUE"""),1.91)</f>
        <v>1.91</v>
      </c>
      <c r="J65" s="23">
        <f ca="1">IFERROR(__xludf.DUMMYFUNCTION("""COMPUTED_VALUE"""),2.52)</f>
        <v>2.52</v>
      </c>
      <c r="K65" s="23">
        <f ca="1">IFERROR(__xludf.DUMMYFUNCTION("""COMPUTED_VALUE"""),2.84)</f>
        <v>2.84</v>
      </c>
      <c r="L65" s="23">
        <f ca="1">IFERROR(__xludf.DUMMYFUNCTION("""COMPUTED_VALUE"""),2.8)</f>
        <v>2.8</v>
      </c>
      <c r="M65" s="23">
        <f ca="1">IFERROR(__xludf.DUMMYFUNCTION("""COMPUTED_VALUE"""),2.53)</f>
        <v>2.5299999999999998</v>
      </c>
      <c r="N65" s="23">
        <f ca="1">IFERROR(__xludf.DUMMYFUNCTION("""COMPUTED_VALUE"""),2.71)</f>
        <v>2.71</v>
      </c>
      <c r="O65" s="23">
        <f ca="1">IFERROR(__xludf.DUMMYFUNCTION("""COMPUTED_VALUE"""),2.89)</f>
        <v>2.89</v>
      </c>
      <c r="P65" s="23">
        <f ca="1">IFERROR(__xludf.DUMMYFUNCTION("""COMPUTED_VALUE"""),3.07)</f>
        <v>3.07</v>
      </c>
      <c r="Q65" s="24">
        <f ca="1">IFERROR(__xludf.DUMMYFUNCTION("""COMPUTED_VALUE"""),3.25)</f>
        <v>3.25</v>
      </c>
      <c r="R65" s="20"/>
    </row>
    <row r="66" spans="1:18" ht="13.2" hidden="1" outlineLevel="1" x14ac:dyDescent="0.25">
      <c r="A66" s="1"/>
      <c r="B66" s="21" t="str">
        <f ca="1">IFERROR(__xludf.DUMMYFUNCTION("""COMPUTED_VALUE"""),"Coque de carbón")</f>
        <v>Coque de carbón</v>
      </c>
      <c r="C66" s="22">
        <f ca="1">IFERROR(__xludf.DUMMYFUNCTION("""COMPUTED_VALUE"""),0)</f>
        <v>0</v>
      </c>
      <c r="D66" s="23">
        <f ca="1">IFERROR(__xludf.DUMMYFUNCTION("""COMPUTED_VALUE"""),0)</f>
        <v>0</v>
      </c>
      <c r="E66" s="23">
        <f ca="1">IFERROR(__xludf.DUMMYFUNCTION("""COMPUTED_VALUE"""),0)</f>
        <v>0</v>
      </c>
      <c r="F66" s="23">
        <f ca="1">IFERROR(__xludf.DUMMYFUNCTION("""COMPUTED_VALUE"""),0)</f>
        <v>0</v>
      </c>
      <c r="G66" s="23">
        <f ca="1">IFERROR(__xludf.DUMMYFUNCTION("""COMPUTED_VALUE"""),0)</f>
        <v>0</v>
      </c>
      <c r="H66" s="23">
        <f ca="1">IFERROR(__xludf.DUMMYFUNCTION("""COMPUTED_VALUE"""),0)</f>
        <v>0</v>
      </c>
      <c r="I66" s="23">
        <f ca="1">IFERROR(__xludf.DUMMYFUNCTION("""COMPUTED_VALUE"""),0)</f>
        <v>0</v>
      </c>
      <c r="J66" s="23">
        <f ca="1">IFERROR(__xludf.DUMMYFUNCTION("""COMPUTED_VALUE"""),0)</f>
        <v>0</v>
      </c>
      <c r="K66" s="23">
        <f ca="1">IFERROR(__xludf.DUMMYFUNCTION("""COMPUTED_VALUE"""),0)</f>
        <v>0</v>
      </c>
      <c r="L66" s="23">
        <f ca="1">IFERROR(__xludf.DUMMYFUNCTION("""COMPUTED_VALUE"""),0)</f>
        <v>0</v>
      </c>
      <c r="M66" s="23">
        <f ca="1">IFERROR(__xludf.DUMMYFUNCTION("""COMPUTED_VALUE"""),0)</f>
        <v>0</v>
      </c>
      <c r="N66" s="23">
        <f ca="1">IFERROR(__xludf.DUMMYFUNCTION("""COMPUTED_VALUE"""),0)</f>
        <v>0</v>
      </c>
      <c r="O66" s="23">
        <f ca="1">IFERROR(__xludf.DUMMYFUNCTION("""COMPUTED_VALUE"""),0)</f>
        <v>0</v>
      </c>
      <c r="P66" s="23">
        <f ca="1">IFERROR(__xludf.DUMMYFUNCTION("""COMPUTED_VALUE"""),0)</f>
        <v>0</v>
      </c>
      <c r="Q66" s="24">
        <f ca="1">IFERROR(__xludf.DUMMYFUNCTION("""COMPUTED_VALUE"""),0)</f>
        <v>0</v>
      </c>
      <c r="R66" s="20"/>
    </row>
    <row r="67" spans="1:18" ht="13.2" hidden="1" outlineLevel="1" x14ac:dyDescent="0.25">
      <c r="A67" s="1"/>
      <c r="B67" s="21" t="str">
        <f ca="1">IFERROR(__xludf.DUMMYFUNCTION("""COMPUTED_VALUE"""),"Coque de petróleo")</f>
        <v>Coque de petróleo</v>
      </c>
      <c r="C67" s="22">
        <f ca="1">IFERROR(__xludf.DUMMYFUNCTION("""COMPUTED_VALUE"""),0)</f>
        <v>0</v>
      </c>
      <c r="D67" s="23">
        <f ca="1">IFERROR(__xludf.DUMMYFUNCTION("""COMPUTED_VALUE"""),0)</f>
        <v>0</v>
      </c>
      <c r="E67" s="23">
        <f ca="1">IFERROR(__xludf.DUMMYFUNCTION("""COMPUTED_VALUE"""),0)</f>
        <v>0</v>
      </c>
      <c r="F67" s="23">
        <f ca="1">IFERROR(__xludf.DUMMYFUNCTION("""COMPUTED_VALUE"""),0)</f>
        <v>0</v>
      </c>
      <c r="G67" s="23">
        <f ca="1">IFERROR(__xludf.DUMMYFUNCTION("""COMPUTED_VALUE"""),0)</f>
        <v>0</v>
      </c>
      <c r="H67" s="23">
        <f ca="1">IFERROR(__xludf.DUMMYFUNCTION("""COMPUTED_VALUE"""),0)</f>
        <v>0</v>
      </c>
      <c r="I67" s="23">
        <f ca="1">IFERROR(__xludf.DUMMYFUNCTION("""COMPUTED_VALUE"""),0)</f>
        <v>0</v>
      </c>
      <c r="J67" s="23">
        <f ca="1">IFERROR(__xludf.DUMMYFUNCTION("""COMPUTED_VALUE"""),0)</f>
        <v>0</v>
      </c>
      <c r="K67" s="23">
        <f ca="1">IFERROR(__xludf.DUMMYFUNCTION("""COMPUTED_VALUE"""),0)</f>
        <v>0</v>
      </c>
      <c r="L67" s="23">
        <f ca="1">IFERROR(__xludf.DUMMYFUNCTION("""COMPUTED_VALUE"""),0)</f>
        <v>0</v>
      </c>
      <c r="M67" s="23">
        <f ca="1">IFERROR(__xludf.DUMMYFUNCTION("""COMPUTED_VALUE"""),0)</f>
        <v>0</v>
      </c>
      <c r="N67" s="23">
        <f ca="1">IFERROR(__xludf.DUMMYFUNCTION("""COMPUTED_VALUE"""),0)</f>
        <v>0</v>
      </c>
      <c r="O67" s="23">
        <f ca="1">IFERROR(__xludf.DUMMYFUNCTION("""COMPUTED_VALUE"""),0)</f>
        <v>0</v>
      </c>
      <c r="P67" s="23">
        <f ca="1">IFERROR(__xludf.DUMMYFUNCTION("""COMPUTED_VALUE"""),0)</f>
        <v>0</v>
      </c>
      <c r="Q67" s="24">
        <f ca="1">IFERROR(__xludf.DUMMYFUNCTION("""COMPUTED_VALUE"""),0)</f>
        <v>0</v>
      </c>
      <c r="R67" s="20"/>
    </row>
    <row r="68" spans="1:18" ht="13.2" hidden="1" outlineLevel="1" x14ac:dyDescent="0.25">
      <c r="A68" s="1"/>
      <c r="B68" s="21" t="str">
        <f ca="1">IFERROR(__xludf.DUMMYFUNCTION("""COMPUTED_VALUE"""),"Gas licuado de petróleo")</f>
        <v>Gas licuado de petróleo</v>
      </c>
      <c r="C68" s="22">
        <f ca="1">IFERROR(__xludf.DUMMYFUNCTION("""COMPUTED_VALUE"""),0)</f>
        <v>0</v>
      </c>
      <c r="D68" s="23">
        <f ca="1">IFERROR(__xludf.DUMMYFUNCTION("""COMPUTED_VALUE"""),0)</f>
        <v>0</v>
      </c>
      <c r="E68" s="23">
        <f ca="1">IFERROR(__xludf.DUMMYFUNCTION("""COMPUTED_VALUE"""),0)</f>
        <v>0</v>
      </c>
      <c r="F68" s="23">
        <f ca="1">IFERROR(__xludf.DUMMYFUNCTION("""COMPUTED_VALUE"""),0)</f>
        <v>0</v>
      </c>
      <c r="G68" s="23">
        <f ca="1">IFERROR(__xludf.DUMMYFUNCTION("""COMPUTED_VALUE"""),0)</f>
        <v>0</v>
      </c>
      <c r="H68" s="23">
        <f ca="1">IFERROR(__xludf.DUMMYFUNCTION("""COMPUTED_VALUE"""),0)</f>
        <v>0</v>
      </c>
      <c r="I68" s="23">
        <f ca="1">IFERROR(__xludf.DUMMYFUNCTION("""COMPUTED_VALUE"""),0)</f>
        <v>0</v>
      </c>
      <c r="J68" s="23">
        <f ca="1">IFERROR(__xludf.DUMMYFUNCTION("""COMPUTED_VALUE"""),0)</f>
        <v>0</v>
      </c>
      <c r="K68" s="23">
        <f ca="1">IFERROR(__xludf.DUMMYFUNCTION("""COMPUTED_VALUE"""),0)</f>
        <v>0</v>
      </c>
      <c r="L68" s="23">
        <f ca="1">IFERROR(__xludf.DUMMYFUNCTION("""COMPUTED_VALUE"""),0)</f>
        <v>0</v>
      </c>
      <c r="M68" s="23">
        <f ca="1">IFERROR(__xludf.DUMMYFUNCTION("""COMPUTED_VALUE"""),0)</f>
        <v>0</v>
      </c>
      <c r="N68" s="23">
        <f ca="1">IFERROR(__xludf.DUMMYFUNCTION("""COMPUTED_VALUE"""),0)</f>
        <v>0</v>
      </c>
      <c r="O68" s="23">
        <f ca="1">IFERROR(__xludf.DUMMYFUNCTION("""COMPUTED_VALUE"""),0)</f>
        <v>0</v>
      </c>
      <c r="P68" s="23">
        <f ca="1">IFERROR(__xludf.DUMMYFUNCTION("""COMPUTED_VALUE"""),0)</f>
        <v>0</v>
      </c>
      <c r="Q68" s="24">
        <f ca="1">IFERROR(__xludf.DUMMYFUNCTION("""COMPUTED_VALUE"""),0)</f>
        <v>0</v>
      </c>
      <c r="R68" s="20"/>
    </row>
    <row r="69" spans="1:18" ht="13.2" hidden="1" outlineLevel="1" x14ac:dyDescent="0.25">
      <c r="A69" s="1"/>
      <c r="B69" s="21" t="str">
        <f ca="1">IFERROR(__xludf.DUMMYFUNCTION("""COMPUTED_VALUE"""),"Gasolinas y naftas")</f>
        <v>Gasolinas y naftas</v>
      </c>
      <c r="C69" s="22">
        <f ca="1">IFERROR(__xludf.DUMMYFUNCTION("""COMPUTED_VALUE"""),0)</f>
        <v>0</v>
      </c>
      <c r="D69" s="23">
        <f ca="1">IFERROR(__xludf.DUMMYFUNCTION("""COMPUTED_VALUE"""),0)</f>
        <v>0</v>
      </c>
      <c r="E69" s="23">
        <f ca="1">IFERROR(__xludf.DUMMYFUNCTION("""COMPUTED_VALUE"""),0)</f>
        <v>0</v>
      </c>
      <c r="F69" s="23">
        <f ca="1">IFERROR(__xludf.DUMMYFUNCTION("""COMPUTED_VALUE"""),0)</f>
        <v>0</v>
      </c>
      <c r="G69" s="23">
        <f ca="1">IFERROR(__xludf.DUMMYFUNCTION("""COMPUTED_VALUE"""),0)</f>
        <v>0</v>
      </c>
      <c r="H69" s="23">
        <f ca="1">IFERROR(__xludf.DUMMYFUNCTION("""COMPUTED_VALUE"""),0)</f>
        <v>0</v>
      </c>
      <c r="I69" s="23">
        <f ca="1">IFERROR(__xludf.DUMMYFUNCTION("""COMPUTED_VALUE"""),0)</f>
        <v>0</v>
      </c>
      <c r="J69" s="23">
        <f ca="1">IFERROR(__xludf.DUMMYFUNCTION("""COMPUTED_VALUE"""),0)</f>
        <v>0</v>
      </c>
      <c r="K69" s="23">
        <f ca="1">IFERROR(__xludf.DUMMYFUNCTION("""COMPUTED_VALUE"""),0)</f>
        <v>0</v>
      </c>
      <c r="L69" s="23">
        <f ca="1">IFERROR(__xludf.DUMMYFUNCTION("""COMPUTED_VALUE"""),0)</f>
        <v>0</v>
      </c>
      <c r="M69" s="23">
        <f ca="1">IFERROR(__xludf.DUMMYFUNCTION("""COMPUTED_VALUE"""),0)</f>
        <v>0</v>
      </c>
      <c r="N69" s="23">
        <f ca="1">IFERROR(__xludf.DUMMYFUNCTION("""COMPUTED_VALUE"""),0)</f>
        <v>0</v>
      </c>
      <c r="O69" s="23">
        <f ca="1">IFERROR(__xludf.DUMMYFUNCTION("""COMPUTED_VALUE"""),0)</f>
        <v>0</v>
      </c>
      <c r="P69" s="23">
        <f ca="1">IFERROR(__xludf.DUMMYFUNCTION("""COMPUTED_VALUE"""),0)</f>
        <v>0</v>
      </c>
      <c r="Q69" s="24">
        <f ca="1">IFERROR(__xludf.DUMMYFUNCTION("""COMPUTED_VALUE"""),0)</f>
        <v>0</v>
      </c>
      <c r="R69" s="20"/>
    </row>
    <row r="70" spans="1:18" ht="13.2" hidden="1" outlineLevel="1" x14ac:dyDescent="0.25">
      <c r="A70" s="1"/>
      <c r="B70" s="21" t="str">
        <f ca="1">IFERROR(__xludf.DUMMYFUNCTION("""COMPUTED_VALUE"""),"Querosenos")</f>
        <v>Querosenos</v>
      </c>
      <c r="C70" s="22">
        <f ca="1">IFERROR(__xludf.DUMMYFUNCTION("""COMPUTED_VALUE"""),0)</f>
        <v>0</v>
      </c>
      <c r="D70" s="23">
        <f ca="1">IFERROR(__xludf.DUMMYFUNCTION("""COMPUTED_VALUE"""),0)</f>
        <v>0</v>
      </c>
      <c r="E70" s="23">
        <f ca="1">IFERROR(__xludf.DUMMYFUNCTION("""COMPUTED_VALUE"""),0)</f>
        <v>0</v>
      </c>
      <c r="F70" s="23">
        <f ca="1">IFERROR(__xludf.DUMMYFUNCTION("""COMPUTED_VALUE"""),0)</f>
        <v>0</v>
      </c>
      <c r="G70" s="23">
        <f ca="1">IFERROR(__xludf.DUMMYFUNCTION("""COMPUTED_VALUE"""),0)</f>
        <v>0</v>
      </c>
      <c r="H70" s="23">
        <f ca="1">IFERROR(__xludf.DUMMYFUNCTION("""COMPUTED_VALUE"""),0)</f>
        <v>0</v>
      </c>
      <c r="I70" s="23">
        <f ca="1">IFERROR(__xludf.DUMMYFUNCTION("""COMPUTED_VALUE"""),0)</f>
        <v>0</v>
      </c>
      <c r="J70" s="23">
        <f ca="1">IFERROR(__xludf.DUMMYFUNCTION("""COMPUTED_VALUE"""),0)</f>
        <v>0</v>
      </c>
      <c r="K70" s="23">
        <f ca="1">IFERROR(__xludf.DUMMYFUNCTION("""COMPUTED_VALUE"""),0)</f>
        <v>0</v>
      </c>
      <c r="L70" s="23">
        <f ca="1">IFERROR(__xludf.DUMMYFUNCTION("""COMPUTED_VALUE"""),0)</f>
        <v>0</v>
      </c>
      <c r="M70" s="23">
        <f ca="1">IFERROR(__xludf.DUMMYFUNCTION("""COMPUTED_VALUE"""),0)</f>
        <v>0</v>
      </c>
      <c r="N70" s="23">
        <f ca="1">IFERROR(__xludf.DUMMYFUNCTION("""COMPUTED_VALUE"""),0)</f>
        <v>0</v>
      </c>
      <c r="O70" s="23">
        <f ca="1">IFERROR(__xludf.DUMMYFUNCTION("""COMPUTED_VALUE"""),0)</f>
        <v>0</v>
      </c>
      <c r="P70" s="23">
        <f ca="1">IFERROR(__xludf.DUMMYFUNCTION("""COMPUTED_VALUE"""),0)</f>
        <v>0</v>
      </c>
      <c r="Q70" s="24">
        <f ca="1">IFERROR(__xludf.DUMMYFUNCTION("""COMPUTED_VALUE"""),0)</f>
        <v>0</v>
      </c>
      <c r="R70" s="20"/>
    </row>
    <row r="71" spans="1:18" ht="13.2" hidden="1" outlineLevel="1" x14ac:dyDescent="0.25">
      <c r="A71" s="1"/>
      <c r="B71" s="21" t="str">
        <f ca="1">IFERROR(__xludf.DUMMYFUNCTION("""COMPUTED_VALUE"""),"Diesel")</f>
        <v>Diesel</v>
      </c>
      <c r="C71" s="22">
        <f ca="1">IFERROR(__xludf.DUMMYFUNCTION("""COMPUTED_VALUE"""),0)</f>
        <v>0</v>
      </c>
      <c r="D71" s="23">
        <f ca="1">IFERROR(__xludf.DUMMYFUNCTION("""COMPUTED_VALUE"""),0)</f>
        <v>0</v>
      </c>
      <c r="E71" s="23">
        <f ca="1">IFERROR(__xludf.DUMMYFUNCTION("""COMPUTED_VALUE"""),0)</f>
        <v>0</v>
      </c>
      <c r="F71" s="23">
        <f ca="1">IFERROR(__xludf.DUMMYFUNCTION("""COMPUTED_VALUE"""),0)</f>
        <v>0</v>
      </c>
      <c r="G71" s="23">
        <f ca="1">IFERROR(__xludf.DUMMYFUNCTION("""COMPUTED_VALUE"""),0)</f>
        <v>0</v>
      </c>
      <c r="H71" s="23">
        <f ca="1">IFERROR(__xludf.DUMMYFUNCTION("""COMPUTED_VALUE"""),0)</f>
        <v>0</v>
      </c>
      <c r="I71" s="23">
        <f ca="1">IFERROR(__xludf.DUMMYFUNCTION("""COMPUTED_VALUE"""),0)</f>
        <v>0</v>
      </c>
      <c r="J71" s="23">
        <f ca="1">IFERROR(__xludf.DUMMYFUNCTION("""COMPUTED_VALUE"""),0)</f>
        <v>0</v>
      </c>
      <c r="K71" s="23">
        <f ca="1">IFERROR(__xludf.DUMMYFUNCTION("""COMPUTED_VALUE"""),0)</f>
        <v>0</v>
      </c>
      <c r="L71" s="23">
        <f ca="1">IFERROR(__xludf.DUMMYFUNCTION("""COMPUTED_VALUE"""),0)</f>
        <v>0</v>
      </c>
      <c r="M71" s="23">
        <f ca="1">IFERROR(__xludf.DUMMYFUNCTION("""COMPUTED_VALUE"""),0)</f>
        <v>0</v>
      </c>
      <c r="N71" s="23">
        <f ca="1">IFERROR(__xludf.DUMMYFUNCTION("""COMPUTED_VALUE"""),0)</f>
        <v>0</v>
      </c>
      <c r="O71" s="23">
        <f ca="1">IFERROR(__xludf.DUMMYFUNCTION("""COMPUTED_VALUE"""),0)</f>
        <v>0</v>
      </c>
      <c r="P71" s="23">
        <f ca="1">IFERROR(__xludf.DUMMYFUNCTION("""COMPUTED_VALUE"""),0)</f>
        <v>0</v>
      </c>
      <c r="Q71" s="24">
        <f ca="1">IFERROR(__xludf.DUMMYFUNCTION("""COMPUTED_VALUE"""),0)</f>
        <v>0</v>
      </c>
      <c r="R71" s="20"/>
    </row>
    <row r="72" spans="1:18" ht="13.2" hidden="1" outlineLevel="1" x14ac:dyDescent="0.25">
      <c r="A72" s="1"/>
      <c r="B72" s="21" t="str">
        <f ca="1">IFERROR(__xludf.DUMMYFUNCTION("""COMPUTED_VALUE"""),"Combustóleo")</f>
        <v>Combustóleo</v>
      </c>
      <c r="C72" s="22">
        <f ca="1">IFERROR(__xludf.DUMMYFUNCTION("""COMPUTED_VALUE"""),0)</f>
        <v>0</v>
      </c>
      <c r="D72" s="23">
        <f ca="1">IFERROR(__xludf.DUMMYFUNCTION("""COMPUTED_VALUE"""),0)</f>
        <v>0</v>
      </c>
      <c r="E72" s="23">
        <f ca="1">IFERROR(__xludf.DUMMYFUNCTION("""COMPUTED_VALUE"""),0)</f>
        <v>0</v>
      </c>
      <c r="F72" s="23">
        <f ca="1">IFERROR(__xludf.DUMMYFUNCTION("""COMPUTED_VALUE"""),0)</f>
        <v>0</v>
      </c>
      <c r="G72" s="23">
        <f ca="1">IFERROR(__xludf.DUMMYFUNCTION("""COMPUTED_VALUE"""),0)</f>
        <v>0</v>
      </c>
      <c r="H72" s="23">
        <f ca="1">IFERROR(__xludf.DUMMYFUNCTION("""COMPUTED_VALUE"""),0)</f>
        <v>0</v>
      </c>
      <c r="I72" s="23">
        <f ca="1">IFERROR(__xludf.DUMMYFUNCTION("""COMPUTED_VALUE"""),0)</f>
        <v>0</v>
      </c>
      <c r="J72" s="23">
        <f ca="1">IFERROR(__xludf.DUMMYFUNCTION("""COMPUTED_VALUE"""),0)</f>
        <v>0</v>
      </c>
      <c r="K72" s="23">
        <f ca="1">IFERROR(__xludf.DUMMYFUNCTION("""COMPUTED_VALUE"""),0)</f>
        <v>0</v>
      </c>
      <c r="L72" s="23">
        <f ca="1">IFERROR(__xludf.DUMMYFUNCTION("""COMPUTED_VALUE"""),0)</f>
        <v>0</v>
      </c>
      <c r="M72" s="23">
        <f ca="1">IFERROR(__xludf.DUMMYFUNCTION("""COMPUTED_VALUE"""),0)</f>
        <v>0</v>
      </c>
      <c r="N72" s="23">
        <f ca="1">IFERROR(__xludf.DUMMYFUNCTION("""COMPUTED_VALUE"""),0)</f>
        <v>0</v>
      </c>
      <c r="O72" s="23">
        <f ca="1">IFERROR(__xludf.DUMMYFUNCTION("""COMPUTED_VALUE"""),0)</f>
        <v>0</v>
      </c>
      <c r="P72" s="23">
        <f ca="1">IFERROR(__xludf.DUMMYFUNCTION("""COMPUTED_VALUE"""),0)</f>
        <v>0</v>
      </c>
      <c r="Q72" s="24">
        <f ca="1">IFERROR(__xludf.DUMMYFUNCTION("""COMPUTED_VALUE"""),0)</f>
        <v>0</v>
      </c>
      <c r="R72" s="20"/>
    </row>
    <row r="73" spans="1:18" ht="13.2" hidden="1" outlineLevel="1" x14ac:dyDescent="0.25">
      <c r="A73" s="1"/>
      <c r="B73" s="21" t="str">
        <f ca="1">IFERROR(__xludf.DUMMYFUNCTION("""COMPUTED_VALUE"""),"Otros energéticos")</f>
        <v>Otros energéticos</v>
      </c>
      <c r="C73" s="22">
        <f ca="1">IFERROR(__xludf.DUMMYFUNCTION("""COMPUTED_VALUE"""),0)</f>
        <v>0</v>
      </c>
      <c r="D73" s="23">
        <f ca="1">IFERROR(__xludf.DUMMYFUNCTION("""COMPUTED_VALUE"""),0)</f>
        <v>0</v>
      </c>
      <c r="E73" s="23">
        <f ca="1">IFERROR(__xludf.DUMMYFUNCTION("""COMPUTED_VALUE"""),0)</f>
        <v>0</v>
      </c>
      <c r="F73" s="23">
        <f ca="1">IFERROR(__xludf.DUMMYFUNCTION("""COMPUTED_VALUE"""),0)</f>
        <v>0</v>
      </c>
      <c r="G73" s="23">
        <f ca="1">IFERROR(__xludf.DUMMYFUNCTION("""COMPUTED_VALUE"""),0)</f>
        <v>0</v>
      </c>
      <c r="H73" s="23">
        <f ca="1">IFERROR(__xludf.DUMMYFUNCTION("""COMPUTED_VALUE"""),0)</f>
        <v>0</v>
      </c>
      <c r="I73" s="23">
        <f ca="1">IFERROR(__xludf.DUMMYFUNCTION("""COMPUTED_VALUE"""),0)</f>
        <v>0</v>
      </c>
      <c r="J73" s="23">
        <f ca="1">IFERROR(__xludf.DUMMYFUNCTION("""COMPUTED_VALUE"""),0)</f>
        <v>0</v>
      </c>
      <c r="K73" s="23">
        <f ca="1">IFERROR(__xludf.DUMMYFUNCTION("""COMPUTED_VALUE"""),0)</f>
        <v>0</v>
      </c>
      <c r="L73" s="23">
        <f ca="1">IFERROR(__xludf.DUMMYFUNCTION("""COMPUTED_VALUE"""),0)</f>
        <v>0</v>
      </c>
      <c r="M73" s="23">
        <f ca="1">IFERROR(__xludf.DUMMYFUNCTION("""COMPUTED_VALUE"""),0)</f>
        <v>0</v>
      </c>
      <c r="N73" s="23">
        <f ca="1">IFERROR(__xludf.DUMMYFUNCTION("""COMPUTED_VALUE"""),0)</f>
        <v>0</v>
      </c>
      <c r="O73" s="23">
        <f ca="1">IFERROR(__xludf.DUMMYFUNCTION("""COMPUTED_VALUE"""),0)</f>
        <v>0</v>
      </c>
      <c r="P73" s="23">
        <f ca="1">IFERROR(__xludf.DUMMYFUNCTION("""COMPUTED_VALUE"""),0)</f>
        <v>0</v>
      </c>
      <c r="Q73" s="24">
        <f ca="1">IFERROR(__xludf.DUMMYFUNCTION("""COMPUTED_VALUE"""),0)</f>
        <v>0</v>
      </c>
      <c r="R73" s="20"/>
    </row>
    <row r="74" spans="1:18" ht="13.2" hidden="1" outlineLevel="1" x14ac:dyDescent="0.25">
      <c r="A74" s="1"/>
      <c r="B74" s="21" t="str">
        <f ca="1">IFERROR(__xludf.DUMMYFUNCTION("""COMPUTED_VALUE"""),"Gas natural seco")</f>
        <v>Gas natural seco</v>
      </c>
      <c r="C74" s="22">
        <f ca="1">IFERROR(__xludf.DUMMYFUNCTION("""COMPUTED_VALUE"""),0)</f>
        <v>0</v>
      </c>
      <c r="D74" s="23">
        <f ca="1">IFERROR(__xludf.DUMMYFUNCTION("""COMPUTED_VALUE"""),0)</f>
        <v>0</v>
      </c>
      <c r="E74" s="23">
        <f ca="1">IFERROR(__xludf.DUMMYFUNCTION("""COMPUTED_VALUE"""),0)</f>
        <v>0</v>
      </c>
      <c r="F74" s="23">
        <f ca="1">IFERROR(__xludf.DUMMYFUNCTION("""COMPUTED_VALUE"""),0)</f>
        <v>0</v>
      </c>
      <c r="G74" s="23">
        <f ca="1">IFERROR(__xludf.DUMMYFUNCTION("""COMPUTED_VALUE"""),0)</f>
        <v>0</v>
      </c>
      <c r="H74" s="23">
        <f ca="1">IFERROR(__xludf.DUMMYFUNCTION("""COMPUTED_VALUE"""),0)</f>
        <v>0</v>
      </c>
      <c r="I74" s="23">
        <f ca="1">IFERROR(__xludf.DUMMYFUNCTION("""COMPUTED_VALUE"""),0)</f>
        <v>0</v>
      </c>
      <c r="J74" s="23">
        <f ca="1">IFERROR(__xludf.DUMMYFUNCTION("""COMPUTED_VALUE"""),0)</f>
        <v>0</v>
      </c>
      <c r="K74" s="23">
        <f ca="1">IFERROR(__xludf.DUMMYFUNCTION("""COMPUTED_VALUE"""),0)</f>
        <v>0</v>
      </c>
      <c r="L74" s="23">
        <f ca="1">IFERROR(__xludf.DUMMYFUNCTION("""COMPUTED_VALUE"""),0)</f>
        <v>0</v>
      </c>
      <c r="M74" s="23">
        <f ca="1">IFERROR(__xludf.DUMMYFUNCTION("""COMPUTED_VALUE"""),0)</f>
        <v>0</v>
      </c>
      <c r="N74" s="23">
        <f ca="1">IFERROR(__xludf.DUMMYFUNCTION("""COMPUTED_VALUE"""),0)</f>
        <v>0</v>
      </c>
      <c r="O74" s="23">
        <f ca="1">IFERROR(__xludf.DUMMYFUNCTION("""COMPUTED_VALUE"""),0)</f>
        <v>0</v>
      </c>
      <c r="P74" s="23">
        <f ca="1">IFERROR(__xludf.DUMMYFUNCTION("""COMPUTED_VALUE"""),0)</f>
        <v>0</v>
      </c>
      <c r="Q74" s="24">
        <f ca="1">IFERROR(__xludf.DUMMYFUNCTION("""COMPUTED_VALUE"""),0)</f>
        <v>0</v>
      </c>
      <c r="R74" s="20"/>
    </row>
    <row r="75" spans="1:18" ht="13.2" hidden="1" outlineLevel="1" x14ac:dyDescent="0.25">
      <c r="A75" s="1"/>
      <c r="B75" s="25" t="str">
        <f ca="1">IFERROR(__xludf.DUMMYFUNCTION("""COMPUTED_VALUE"""),"Energía eléctrica")</f>
        <v>Energía eléctrica</v>
      </c>
      <c r="C75" s="26">
        <f ca="1">IFERROR(__xludf.DUMMYFUNCTION("""COMPUTED_VALUE"""),0)</f>
        <v>0</v>
      </c>
      <c r="D75" s="27">
        <f ca="1">IFERROR(__xludf.DUMMYFUNCTION("""COMPUTED_VALUE"""),0)</f>
        <v>0</v>
      </c>
      <c r="E75" s="27">
        <f ca="1">IFERROR(__xludf.DUMMYFUNCTION("""COMPUTED_VALUE"""),0)</f>
        <v>0</v>
      </c>
      <c r="F75" s="27">
        <f ca="1">IFERROR(__xludf.DUMMYFUNCTION("""COMPUTED_VALUE"""),0)</f>
        <v>0</v>
      </c>
      <c r="G75" s="27">
        <f ca="1">IFERROR(__xludf.DUMMYFUNCTION("""COMPUTED_VALUE"""),0)</f>
        <v>0</v>
      </c>
      <c r="H75" s="27">
        <f ca="1">IFERROR(__xludf.DUMMYFUNCTION("""COMPUTED_VALUE"""),0)</f>
        <v>0</v>
      </c>
      <c r="I75" s="27">
        <f ca="1">IFERROR(__xludf.DUMMYFUNCTION("""COMPUTED_VALUE"""),0)</f>
        <v>0</v>
      </c>
      <c r="J75" s="27">
        <f ca="1">IFERROR(__xludf.DUMMYFUNCTION("""COMPUTED_VALUE"""),0)</f>
        <v>0</v>
      </c>
      <c r="K75" s="27">
        <f ca="1">IFERROR(__xludf.DUMMYFUNCTION("""COMPUTED_VALUE"""),0)</f>
        <v>0</v>
      </c>
      <c r="L75" s="27">
        <f ca="1">IFERROR(__xludf.DUMMYFUNCTION("""COMPUTED_VALUE"""),0)</f>
        <v>0</v>
      </c>
      <c r="M75" s="27">
        <f ca="1">IFERROR(__xludf.DUMMYFUNCTION("""COMPUTED_VALUE"""),0)</f>
        <v>0</v>
      </c>
      <c r="N75" s="27">
        <f ca="1">IFERROR(__xludf.DUMMYFUNCTION("""COMPUTED_VALUE"""),0)</f>
        <v>0</v>
      </c>
      <c r="O75" s="27">
        <f ca="1">IFERROR(__xludf.DUMMYFUNCTION("""COMPUTED_VALUE"""),0)</f>
        <v>0</v>
      </c>
      <c r="P75" s="27">
        <f ca="1">IFERROR(__xludf.DUMMYFUNCTION("""COMPUTED_VALUE"""),0)</f>
        <v>0</v>
      </c>
      <c r="Q75" s="28">
        <f ca="1">IFERROR(__xludf.DUMMYFUNCTION("""COMPUTED_VALUE"""),0)</f>
        <v>0</v>
      </c>
      <c r="R75" s="20"/>
    </row>
    <row r="76" spans="1:18" ht="13.2" hidden="1" outlineLevel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0"/>
    </row>
    <row r="77" spans="1:18" ht="13.2" x14ac:dyDescent="0.25">
      <c r="A77" s="29"/>
      <c r="B77" s="5" t="str">
        <f ca="1">IFERROR(__xludf.DUMMYFUNCTION("""COMPUTED_VALUE"""),"Imp(e,a)")</f>
        <v>Imp(e,a)</v>
      </c>
      <c r="C77" s="6" t="str">
        <f ca="1">IFERROR(__xludf.DUMMYFUNCTION("""COMPUTED_VALUE"""),"/+")</f>
        <v>/+</v>
      </c>
      <c r="D77" s="7" t="str">
        <f ca="1">IFERROR(__xludf.DUMMYFUNCTION("""COMPUTED_VALUE"""),"Importación por energético e y año a.")</f>
        <v>Importación por energético e y año a.</v>
      </c>
      <c r="E77" s="6" t="str">
        <f ca="1">IFERROR(__xludf.DUMMYFUNCTION("""COMPUTED_VALUE"""),"cbne")</f>
        <v>cbne</v>
      </c>
      <c r="F77" s="6" t="str">
        <f ca="1">IFERROR(__xludf.DUMMYFUNCTION("""COMPUTED_VALUE"""),"a")</f>
        <v>a</v>
      </c>
      <c r="G77" s="8" t="str">
        <f ca="1">IFERROR(__xludf.DUMMYFUNCTION("""COMPUTED_VALUE"""),"PJ")</f>
        <v>PJ</v>
      </c>
      <c r="H77" s="9"/>
      <c r="I77" s="1"/>
      <c r="J77" s="1"/>
      <c r="K77" s="1"/>
      <c r="L77" s="1"/>
      <c r="M77" s="1"/>
      <c r="N77" s="1"/>
      <c r="O77" s="1"/>
      <c r="P77" s="1"/>
      <c r="Q77" s="1"/>
      <c r="R77" s="10"/>
    </row>
    <row r="78" spans="1:18" ht="13.2" outlineLevel="1" x14ac:dyDescent="0.25">
      <c r="A78" s="1"/>
      <c r="B78" s="11"/>
      <c r="C78" s="12">
        <f ca="1">IFERROR(__xludf.DUMMYFUNCTION("""COMPUTED_VALUE"""),2010)</f>
        <v>2010</v>
      </c>
      <c r="D78" s="13">
        <f ca="1">IFERROR(__xludf.DUMMYFUNCTION("""COMPUTED_VALUE"""),2011)</f>
        <v>2011</v>
      </c>
      <c r="E78" s="13">
        <f ca="1">IFERROR(__xludf.DUMMYFUNCTION("""COMPUTED_VALUE"""),2012)</f>
        <v>2012</v>
      </c>
      <c r="F78" s="13">
        <f ca="1">IFERROR(__xludf.DUMMYFUNCTION("""COMPUTED_VALUE"""),2013)</f>
        <v>2013</v>
      </c>
      <c r="G78" s="13">
        <f ca="1">IFERROR(__xludf.DUMMYFUNCTION("""COMPUTED_VALUE"""),2014)</f>
        <v>2014</v>
      </c>
      <c r="H78" s="13">
        <f ca="1">IFERROR(__xludf.DUMMYFUNCTION("""COMPUTED_VALUE"""),2015)</f>
        <v>2015</v>
      </c>
      <c r="I78" s="13">
        <f ca="1">IFERROR(__xludf.DUMMYFUNCTION("""COMPUTED_VALUE"""),2016)</f>
        <v>2016</v>
      </c>
      <c r="J78" s="13">
        <f ca="1">IFERROR(__xludf.DUMMYFUNCTION("""COMPUTED_VALUE"""),2017)</f>
        <v>2017</v>
      </c>
      <c r="K78" s="13">
        <f ca="1">IFERROR(__xludf.DUMMYFUNCTION("""COMPUTED_VALUE"""),2018)</f>
        <v>2018</v>
      </c>
      <c r="L78" s="13">
        <f ca="1">IFERROR(__xludf.DUMMYFUNCTION("""COMPUTED_VALUE"""),2019)</f>
        <v>2019</v>
      </c>
      <c r="M78" s="13">
        <f ca="1">IFERROR(__xludf.DUMMYFUNCTION("""COMPUTED_VALUE"""),2020)</f>
        <v>2020</v>
      </c>
      <c r="N78" s="13">
        <f ca="1">IFERROR(__xludf.DUMMYFUNCTION("""COMPUTED_VALUE"""),2021)</f>
        <v>2021</v>
      </c>
      <c r="O78" s="13">
        <f ca="1">IFERROR(__xludf.DUMMYFUNCTION("""COMPUTED_VALUE"""),2022)</f>
        <v>2022</v>
      </c>
      <c r="P78" s="13">
        <f ca="1">IFERROR(__xludf.DUMMYFUNCTION("""COMPUTED_VALUE"""),2023)</f>
        <v>2023</v>
      </c>
      <c r="Q78" s="14">
        <f ca="1">IFERROR(__xludf.DUMMYFUNCTION("""COMPUTED_VALUE"""),2024)</f>
        <v>2024</v>
      </c>
      <c r="R78" s="15"/>
    </row>
    <row r="79" spans="1:18" ht="13.2" outlineLevel="1" x14ac:dyDescent="0.25">
      <c r="A79" s="1"/>
      <c r="B79" s="16" t="str">
        <f ca="1">IFERROR(__xludf.DUMMYFUNCTION("""COMPUTED_VALUE"""),"Carbón mineral")</f>
        <v>Carbón mineral</v>
      </c>
      <c r="C79" s="17">
        <f ca="1">IFERROR(__xludf.DUMMYFUNCTION("""COMPUTED_VALUE"""),222.9)</f>
        <v>222.9</v>
      </c>
      <c r="D79" s="18">
        <f ca="1">IFERROR(__xludf.DUMMYFUNCTION("""COMPUTED_VALUE"""),219.49)</f>
        <v>219.49</v>
      </c>
      <c r="E79" s="18">
        <f ca="1">IFERROR(__xludf.DUMMYFUNCTION("""COMPUTED_VALUE"""),215.31)</f>
        <v>215.31</v>
      </c>
      <c r="F79" s="18">
        <f ca="1">IFERROR(__xludf.DUMMYFUNCTION("""COMPUTED_VALUE"""),216.97)</f>
        <v>216.97</v>
      </c>
      <c r="G79" s="18">
        <f ca="1">IFERROR(__xludf.DUMMYFUNCTION("""COMPUTED_VALUE"""),210.827975816784)</f>
        <v>210.827975816784</v>
      </c>
      <c r="H79" s="18">
        <f ca="1">IFERROR(__xludf.DUMMYFUNCTION("""COMPUTED_VALUE"""),223.230395690582)</f>
        <v>223.23039569058199</v>
      </c>
      <c r="I79" s="18">
        <f ca="1">IFERROR(__xludf.DUMMYFUNCTION("""COMPUTED_VALUE"""),216.741552601034)</f>
        <v>216.74155260103399</v>
      </c>
      <c r="J79" s="18">
        <f ca="1">IFERROR(__xludf.DUMMYFUNCTION("""COMPUTED_VALUE"""),220.94011539335)</f>
        <v>220.94011539335</v>
      </c>
      <c r="K79" s="18">
        <f ca="1">IFERROR(__xludf.DUMMYFUNCTION("""COMPUTED_VALUE"""),208.424170910283)</f>
        <v>208.42417091028301</v>
      </c>
      <c r="L79" s="18">
        <f ca="1">IFERROR(__xludf.DUMMYFUNCTION("""COMPUTED_VALUE"""),204.903811563412)</f>
        <v>204.90381156341201</v>
      </c>
      <c r="M79" s="18">
        <f ca="1">IFERROR(__xludf.DUMMYFUNCTION("""COMPUTED_VALUE"""),203.661224171646)</f>
        <v>203.66122417164601</v>
      </c>
      <c r="N79" s="18">
        <f ca="1">IFERROR(__xludf.DUMMYFUNCTION("""COMPUTED_VALUE"""),197.943678966589)</f>
        <v>197.943678966589</v>
      </c>
      <c r="O79" s="18">
        <f ca="1">IFERROR(__xludf.DUMMYFUNCTION("""COMPUTED_VALUE"""),197.40597871332)</f>
        <v>197.40597871332</v>
      </c>
      <c r="P79" s="18">
        <f ca="1">IFERROR(__xludf.DUMMYFUNCTION("""COMPUTED_VALUE"""),202.851863945233)</f>
        <v>202.85186394523299</v>
      </c>
      <c r="Q79" s="19">
        <f ca="1">IFERROR(__xludf.DUMMYFUNCTION("""COMPUTED_VALUE"""),206.145348735685)</f>
        <v>206.14534873568499</v>
      </c>
      <c r="R79" s="20"/>
    </row>
    <row r="80" spans="1:18" ht="13.2" outlineLevel="1" x14ac:dyDescent="0.25">
      <c r="A80" s="1"/>
      <c r="B80" s="21" t="str">
        <f ca="1">IFERROR(__xludf.DUMMYFUNCTION("""COMPUTED_VALUE"""),"Petróleo crudo")</f>
        <v>Petróleo crudo</v>
      </c>
      <c r="C80" s="22">
        <f ca="1">IFERROR(__xludf.DUMMYFUNCTION("""COMPUTED_VALUE"""),0)</f>
        <v>0</v>
      </c>
      <c r="D80" s="23">
        <f ca="1">IFERROR(__xludf.DUMMYFUNCTION("""COMPUTED_VALUE"""),0)</f>
        <v>0</v>
      </c>
      <c r="E80" s="23">
        <f ca="1">IFERROR(__xludf.DUMMYFUNCTION("""COMPUTED_VALUE"""),0)</f>
        <v>0</v>
      </c>
      <c r="F80" s="23">
        <f ca="1">IFERROR(__xludf.DUMMYFUNCTION("""COMPUTED_VALUE"""),0)</f>
        <v>0</v>
      </c>
      <c r="G80" s="23">
        <f ca="1">IFERROR(__xludf.DUMMYFUNCTION("""COMPUTED_VALUE"""),0)</f>
        <v>0</v>
      </c>
      <c r="H80" s="23">
        <f ca="1">IFERROR(__xludf.DUMMYFUNCTION("""COMPUTED_VALUE"""),0)</f>
        <v>0</v>
      </c>
      <c r="I80" s="23">
        <f ca="1">IFERROR(__xludf.DUMMYFUNCTION("""COMPUTED_VALUE"""),0)</f>
        <v>0</v>
      </c>
      <c r="J80" s="23">
        <f ca="1">IFERROR(__xludf.DUMMYFUNCTION("""COMPUTED_VALUE"""),0)</f>
        <v>0</v>
      </c>
      <c r="K80" s="23">
        <f ca="1">IFERROR(__xludf.DUMMYFUNCTION("""COMPUTED_VALUE"""),0)</f>
        <v>0</v>
      </c>
      <c r="L80" s="23">
        <f ca="1">IFERROR(__xludf.DUMMYFUNCTION("""COMPUTED_VALUE"""),0)</f>
        <v>0</v>
      </c>
      <c r="M80" s="23">
        <f ca="1">IFERROR(__xludf.DUMMYFUNCTION("""COMPUTED_VALUE"""),35.0309879613647)</f>
        <v>35.030987961364701</v>
      </c>
      <c r="N80" s="23">
        <f ca="1">IFERROR(__xludf.DUMMYFUNCTION("""COMPUTED_VALUE"""),2.53592907854998)</f>
        <v>2.5359290785499802</v>
      </c>
      <c r="O80" s="23">
        <f ca="1">IFERROR(__xludf.DUMMYFUNCTION("""COMPUTED_VALUE"""),2.68708107949229)</f>
        <v>2.6870810794922901</v>
      </c>
      <c r="P80" s="23">
        <f ca="1">IFERROR(__xludf.DUMMYFUNCTION("""COMPUTED_VALUE"""),70.2369184366896)</f>
        <v>70.236918436689606</v>
      </c>
      <c r="Q80" s="24">
        <f ca="1">IFERROR(__xludf.DUMMYFUNCTION("""COMPUTED_VALUE"""),13.2036691549583)</f>
        <v>13.2036691549583</v>
      </c>
      <c r="R80" s="20"/>
    </row>
    <row r="81" spans="1:18" ht="13.2" outlineLevel="1" x14ac:dyDescent="0.25">
      <c r="A81" s="1"/>
      <c r="B81" s="21" t="str">
        <f ca="1">IFERROR(__xludf.DUMMYFUNCTION("""COMPUTED_VALUE"""),"Condensados")</f>
        <v>Condensados</v>
      </c>
      <c r="C81" s="22">
        <f ca="1">IFERROR(__xludf.DUMMYFUNCTION("""COMPUTED_VALUE"""),0)</f>
        <v>0</v>
      </c>
      <c r="D81" s="23">
        <f ca="1">IFERROR(__xludf.DUMMYFUNCTION("""COMPUTED_VALUE"""),0)</f>
        <v>0</v>
      </c>
      <c r="E81" s="23">
        <f ca="1">IFERROR(__xludf.DUMMYFUNCTION("""COMPUTED_VALUE"""),0)</f>
        <v>0</v>
      </c>
      <c r="F81" s="23">
        <f ca="1">IFERROR(__xludf.DUMMYFUNCTION("""COMPUTED_VALUE"""),0)</f>
        <v>0</v>
      </c>
      <c r="G81" s="23">
        <f ca="1">IFERROR(__xludf.DUMMYFUNCTION("""COMPUTED_VALUE"""),0)</f>
        <v>0</v>
      </c>
      <c r="H81" s="23">
        <f ca="1">IFERROR(__xludf.DUMMYFUNCTION("""COMPUTED_VALUE"""),0)</f>
        <v>0</v>
      </c>
      <c r="I81" s="23">
        <f ca="1">IFERROR(__xludf.DUMMYFUNCTION("""COMPUTED_VALUE"""),0)</f>
        <v>0</v>
      </c>
      <c r="J81" s="23">
        <f ca="1">IFERROR(__xludf.DUMMYFUNCTION("""COMPUTED_VALUE"""),0)</f>
        <v>0</v>
      </c>
      <c r="K81" s="23">
        <f ca="1">IFERROR(__xludf.DUMMYFUNCTION("""COMPUTED_VALUE"""),0)</f>
        <v>0</v>
      </c>
      <c r="L81" s="23">
        <f ca="1">IFERROR(__xludf.DUMMYFUNCTION("""COMPUTED_VALUE"""),0)</f>
        <v>0</v>
      </c>
      <c r="M81" s="23">
        <f ca="1">IFERROR(__xludf.DUMMYFUNCTION("""COMPUTED_VALUE"""),0)</f>
        <v>0</v>
      </c>
      <c r="N81" s="23">
        <f ca="1">IFERROR(__xludf.DUMMYFUNCTION("""COMPUTED_VALUE"""),0)</f>
        <v>0</v>
      </c>
      <c r="O81" s="23">
        <f ca="1">IFERROR(__xludf.DUMMYFUNCTION("""COMPUTED_VALUE"""),0)</f>
        <v>0</v>
      </c>
      <c r="P81" s="23">
        <f ca="1">IFERROR(__xludf.DUMMYFUNCTION("""COMPUTED_VALUE"""),0)</f>
        <v>0</v>
      </c>
      <c r="Q81" s="24">
        <f ca="1">IFERROR(__xludf.DUMMYFUNCTION("""COMPUTED_VALUE"""),0)</f>
        <v>0</v>
      </c>
      <c r="R81" s="20"/>
    </row>
    <row r="82" spans="1:18" ht="13.2" outlineLevel="1" x14ac:dyDescent="0.25">
      <c r="A82" s="1"/>
      <c r="B82" s="21" t="str">
        <f ca="1">IFERROR(__xludf.DUMMYFUNCTION("""COMPUTED_VALUE"""),"Gas natural")</f>
        <v>Gas natural</v>
      </c>
      <c r="C82" s="22">
        <f ca="1">IFERROR(__xludf.DUMMYFUNCTION("""COMPUTED_VALUE"""),0)</f>
        <v>0</v>
      </c>
      <c r="D82" s="23">
        <f ca="1">IFERROR(__xludf.DUMMYFUNCTION("""COMPUTED_VALUE"""),0)</f>
        <v>0</v>
      </c>
      <c r="E82" s="23">
        <f ca="1">IFERROR(__xludf.DUMMYFUNCTION("""COMPUTED_VALUE"""),0)</f>
        <v>0</v>
      </c>
      <c r="F82" s="23">
        <f ca="1">IFERROR(__xludf.DUMMYFUNCTION("""COMPUTED_VALUE"""),0)</f>
        <v>0</v>
      </c>
      <c r="G82" s="23">
        <f ca="1">IFERROR(__xludf.DUMMYFUNCTION("""COMPUTED_VALUE"""),0)</f>
        <v>0</v>
      </c>
      <c r="H82" s="23">
        <f ca="1">IFERROR(__xludf.DUMMYFUNCTION("""COMPUTED_VALUE"""),0)</f>
        <v>0</v>
      </c>
      <c r="I82" s="23">
        <f ca="1">IFERROR(__xludf.DUMMYFUNCTION("""COMPUTED_VALUE"""),0)</f>
        <v>0</v>
      </c>
      <c r="J82" s="23">
        <f ca="1">IFERROR(__xludf.DUMMYFUNCTION("""COMPUTED_VALUE"""),0)</f>
        <v>0</v>
      </c>
      <c r="K82" s="23">
        <f ca="1">IFERROR(__xludf.DUMMYFUNCTION("""COMPUTED_VALUE"""),0)</f>
        <v>0</v>
      </c>
      <c r="L82" s="23">
        <f ca="1">IFERROR(__xludf.DUMMYFUNCTION("""COMPUTED_VALUE"""),0)</f>
        <v>0</v>
      </c>
      <c r="M82" s="23">
        <f ca="1">IFERROR(__xludf.DUMMYFUNCTION("""COMPUTED_VALUE"""),0)</f>
        <v>0</v>
      </c>
      <c r="N82" s="23">
        <f ca="1">IFERROR(__xludf.DUMMYFUNCTION("""COMPUTED_VALUE"""),0)</f>
        <v>0</v>
      </c>
      <c r="O82" s="23">
        <f ca="1">IFERROR(__xludf.DUMMYFUNCTION("""COMPUTED_VALUE"""),0)</f>
        <v>0</v>
      </c>
      <c r="P82" s="23">
        <f ca="1">IFERROR(__xludf.DUMMYFUNCTION("""COMPUTED_VALUE"""),0)</f>
        <v>0</v>
      </c>
      <c r="Q82" s="24">
        <f ca="1">IFERROR(__xludf.DUMMYFUNCTION("""COMPUTED_VALUE"""),0)</f>
        <v>0</v>
      </c>
      <c r="R82" s="20"/>
    </row>
    <row r="83" spans="1:18" ht="13.2" outlineLevel="1" x14ac:dyDescent="0.25">
      <c r="A83" s="1"/>
      <c r="B83" s="21" t="str">
        <f ca="1">IFERROR(__xludf.DUMMYFUNCTION("""COMPUTED_VALUE"""),"Energía Nuclear")</f>
        <v>Energía Nuclear</v>
      </c>
      <c r="C83" s="22">
        <f ca="1">IFERROR(__xludf.DUMMYFUNCTION("""COMPUTED_VALUE"""),0)</f>
        <v>0</v>
      </c>
      <c r="D83" s="23">
        <f ca="1">IFERROR(__xludf.DUMMYFUNCTION("""COMPUTED_VALUE"""),0)</f>
        <v>0</v>
      </c>
      <c r="E83" s="23">
        <f ca="1">IFERROR(__xludf.DUMMYFUNCTION("""COMPUTED_VALUE"""),0)</f>
        <v>0</v>
      </c>
      <c r="F83" s="23">
        <f ca="1">IFERROR(__xludf.DUMMYFUNCTION("""COMPUTED_VALUE"""),0)</f>
        <v>0</v>
      </c>
      <c r="G83" s="23">
        <f ca="1">IFERROR(__xludf.DUMMYFUNCTION("""COMPUTED_VALUE"""),0)</f>
        <v>0</v>
      </c>
      <c r="H83" s="23">
        <f ca="1">IFERROR(__xludf.DUMMYFUNCTION("""COMPUTED_VALUE"""),0)</f>
        <v>0</v>
      </c>
      <c r="I83" s="23">
        <f ca="1">IFERROR(__xludf.DUMMYFUNCTION("""COMPUTED_VALUE"""),0)</f>
        <v>0</v>
      </c>
      <c r="J83" s="23">
        <f ca="1">IFERROR(__xludf.DUMMYFUNCTION("""COMPUTED_VALUE"""),0)</f>
        <v>0</v>
      </c>
      <c r="K83" s="23">
        <f ca="1">IFERROR(__xludf.DUMMYFUNCTION("""COMPUTED_VALUE"""),0)</f>
        <v>0</v>
      </c>
      <c r="L83" s="23">
        <f ca="1">IFERROR(__xludf.DUMMYFUNCTION("""COMPUTED_VALUE"""),0)</f>
        <v>0</v>
      </c>
      <c r="M83" s="23">
        <f ca="1">IFERROR(__xludf.DUMMYFUNCTION("""COMPUTED_VALUE"""),0)</f>
        <v>0</v>
      </c>
      <c r="N83" s="23">
        <f ca="1">IFERROR(__xludf.DUMMYFUNCTION("""COMPUTED_VALUE"""),0)</f>
        <v>0</v>
      </c>
      <c r="O83" s="23">
        <f ca="1">IFERROR(__xludf.DUMMYFUNCTION("""COMPUTED_VALUE"""),0)</f>
        <v>0</v>
      </c>
      <c r="P83" s="23">
        <f ca="1">IFERROR(__xludf.DUMMYFUNCTION("""COMPUTED_VALUE"""),0)</f>
        <v>0</v>
      </c>
      <c r="Q83" s="24">
        <f ca="1">IFERROR(__xludf.DUMMYFUNCTION("""COMPUTED_VALUE"""),0)</f>
        <v>0</v>
      </c>
      <c r="R83" s="20"/>
    </row>
    <row r="84" spans="1:18" ht="13.2" outlineLevel="1" x14ac:dyDescent="0.25">
      <c r="A84" s="1"/>
      <c r="B84" s="21" t="str">
        <f ca="1">IFERROR(__xludf.DUMMYFUNCTION("""COMPUTED_VALUE"""),"Energia Hidraúlica")</f>
        <v>Energia Hidraúlica</v>
      </c>
      <c r="C84" s="22">
        <f ca="1">IFERROR(__xludf.DUMMYFUNCTION("""COMPUTED_VALUE"""),0)</f>
        <v>0</v>
      </c>
      <c r="D84" s="23">
        <f ca="1">IFERROR(__xludf.DUMMYFUNCTION("""COMPUTED_VALUE"""),0)</f>
        <v>0</v>
      </c>
      <c r="E84" s="23">
        <f ca="1">IFERROR(__xludf.DUMMYFUNCTION("""COMPUTED_VALUE"""),0)</f>
        <v>0</v>
      </c>
      <c r="F84" s="23">
        <f ca="1">IFERROR(__xludf.DUMMYFUNCTION("""COMPUTED_VALUE"""),0)</f>
        <v>0</v>
      </c>
      <c r="G84" s="23">
        <f ca="1">IFERROR(__xludf.DUMMYFUNCTION("""COMPUTED_VALUE"""),0)</f>
        <v>0</v>
      </c>
      <c r="H84" s="23">
        <f ca="1">IFERROR(__xludf.DUMMYFUNCTION("""COMPUTED_VALUE"""),0)</f>
        <v>0</v>
      </c>
      <c r="I84" s="23">
        <f ca="1">IFERROR(__xludf.DUMMYFUNCTION("""COMPUTED_VALUE"""),0)</f>
        <v>0</v>
      </c>
      <c r="J84" s="23">
        <f ca="1">IFERROR(__xludf.DUMMYFUNCTION("""COMPUTED_VALUE"""),0)</f>
        <v>0</v>
      </c>
      <c r="K84" s="23">
        <f ca="1">IFERROR(__xludf.DUMMYFUNCTION("""COMPUTED_VALUE"""),0)</f>
        <v>0</v>
      </c>
      <c r="L84" s="23">
        <f ca="1">IFERROR(__xludf.DUMMYFUNCTION("""COMPUTED_VALUE"""),0)</f>
        <v>0</v>
      </c>
      <c r="M84" s="23">
        <f ca="1">IFERROR(__xludf.DUMMYFUNCTION("""COMPUTED_VALUE"""),0)</f>
        <v>0</v>
      </c>
      <c r="N84" s="23">
        <f ca="1">IFERROR(__xludf.DUMMYFUNCTION("""COMPUTED_VALUE"""),0)</f>
        <v>0</v>
      </c>
      <c r="O84" s="23">
        <f ca="1">IFERROR(__xludf.DUMMYFUNCTION("""COMPUTED_VALUE"""),0)</f>
        <v>0</v>
      </c>
      <c r="P84" s="23">
        <f ca="1">IFERROR(__xludf.DUMMYFUNCTION("""COMPUTED_VALUE"""),0)</f>
        <v>0</v>
      </c>
      <c r="Q84" s="24">
        <f ca="1">IFERROR(__xludf.DUMMYFUNCTION("""COMPUTED_VALUE"""),0)</f>
        <v>0</v>
      </c>
      <c r="R84" s="20"/>
    </row>
    <row r="85" spans="1:18" ht="13.2" outlineLevel="1" x14ac:dyDescent="0.25">
      <c r="A85" s="1"/>
      <c r="B85" s="21" t="str">
        <f ca="1">IFERROR(__xludf.DUMMYFUNCTION("""COMPUTED_VALUE"""),"Geoenergía")</f>
        <v>Geoenergía</v>
      </c>
      <c r="C85" s="22">
        <f ca="1">IFERROR(__xludf.DUMMYFUNCTION("""COMPUTED_VALUE"""),0)</f>
        <v>0</v>
      </c>
      <c r="D85" s="23">
        <f ca="1">IFERROR(__xludf.DUMMYFUNCTION("""COMPUTED_VALUE"""),0)</f>
        <v>0</v>
      </c>
      <c r="E85" s="23">
        <f ca="1">IFERROR(__xludf.DUMMYFUNCTION("""COMPUTED_VALUE"""),0)</f>
        <v>0</v>
      </c>
      <c r="F85" s="23">
        <f ca="1">IFERROR(__xludf.DUMMYFUNCTION("""COMPUTED_VALUE"""),0)</f>
        <v>0</v>
      </c>
      <c r="G85" s="23">
        <f ca="1">IFERROR(__xludf.DUMMYFUNCTION("""COMPUTED_VALUE"""),0)</f>
        <v>0</v>
      </c>
      <c r="H85" s="23">
        <f ca="1">IFERROR(__xludf.DUMMYFUNCTION("""COMPUTED_VALUE"""),0)</f>
        <v>0</v>
      </c>
      <c r="I85" s="23">
        <f ca="1">IFERROR(__xludf.DUMMYFUNCTION("""COMPUTED_VALUE"""),0)</f>
        <v>0</v>
      </c>
      <c r="J85" s="23">
        <f ca="1">IFERROR(__xludf.DUMMYFUNCTION("""COMPUTED_VALUE"""),0)</f>
        <v>0</v>
      </c>
      <c r="K85" s="23">
        <f ca="1">IFERROR(__xludf.DUMMYFUNCTION("""COMPUTED_VALUE"""),0)</f>
        <v>0</v>
      </c>
      <c r="L85" s="23">
        <f ca="1">IFERROR(__xludf.DUMMYFUNCTION("""COMPUTED_VALUE"""),0)</f>
        <v>0</v>
      </c>
      <c r="M85" s="23">
        <f ca="1">IFERROR(__xludf.DUMMYFUNCTION("""COMPUTED_VALUE"""),0)</f>
        <v>0</v>
      </c>
      <c r="N85" s="23">
        <f ca="1">IFERROR(__xludf.DUMMYFUNCTION("""COMPUTED_VALUE"""),0)</f>
        <v>0</v>
      </c>
      <c r="O85" s="23">
        <f ca="1">IFERROR(__xludf.DUMMYFUNCTION("""COMPUTED_VALUE"""),0)</f>
        <v>0</v>
      </c>
      <c r="P85" s="23">
        <f ca="1">IFERROR(__xludf.DUMMYFUNCTION("""COMPUTED_VALUE"""),0)</f>
        <v>0</v>
      </c>
      <c r="Q85" s="24">
        <f ca="1">IFERROR(__xludf.DUMMYFUNCTION("""COMPUTED_VALUE"""),0)</f>
        <v>0</v>
      </c>
      <c r="R85" s="20"/>
    </row>
    <row r="86" spans="1:18" ht="13.2" outlineLevel="1" x14ac:dyDescent="0.25">
      <c r="A86" s="1"/>
      <c r="B86" s="21" t="str">
        <f ca="1">IFERROR(__xludf.DUMMYFUNCTION("""COMPUTED_VALUE"""),"Energía solar")</f>
        <v>Energía solar</v>
      </c>
      <c r="C86" s="22">
        <f ca="1">IFERROR(__xludf.DUMMYFUNCTION("""COMPUTED_VALUE"""),0)</f>
        <v>0</v>
      </c>
      <c r="D86" s="23">
        <f ca="1">IFERROR(__xludf.DUMMYFUNCTION("""COMPUTED_VALUE"""),0)</f>
        <v>0</v>
      </c>
      <c r="E86" s="23">
        <f ca="1">IFERROR(__xludf.DUMMYFUNCTION("""COMPUTED_VALUE"""),0)</f>
        <v>0</v>
      </c>
      <c r="F86" s="23">
        <f ca="1">IFERROR(__xludf.DUMMYFUNCTION("""COMPUTED_VALUE"""),0)</f>
        <v>0</v>
      </c>
      <c r="G86" s="23">
        <f ca="1">IFERROR(__xludf.DUMMYFUNCTION("""COMPUTED_VALUE"""),0)</f>
        <v>0</v>
      </c>
      <c r="H86" s="23">
        <f ca="1">IFERROR(__xludf.DUMMYFUNCTION("""COMPUTED_VALUE"""),0)</f>
        <v>0</v>
      </c>
      <c r="I86" s="23">
        <f ca="1">IFERROR(__xludf.DUMMYFUNCTION("""COMPUTED_VALUE"""),0)</f>
        <v>0</v>
      </c>
      <c r="J86" s="23">
        <f ca="1">IFERROR(__xludf.DUMMYFUNCTION("""COMPUTED_VALUE"""),0)</f>
        <v>0</v>
      </c>
      <c r="K86" s="23">
        <f ca="1">IFERROR(__xludf.DUMMYFUNCTION("""COMPUTED_VALUE"""),0)</f>
        <v>0</v>
      </c>
      <c r="L86" s="23">
        <f ca="1">IFERROR(__xludf.DUMMYFUNCTION("""COMPUTED_VALUE"""),0)</f>
        <v>0</v>
      </c>
      <c r="M86" s="23">
        <f ca="1">IFERROR(__xludf.DUMMYFUNCTION("""COMPUTED_VALUE"""),0)</f>
        <v>0</v>
      </c>
      <c r="N86" s="23">
        <f ca="1">IFERROR(__xludf.DUMMYFUNCTION("""COMPUTED_VALUE"""),0)</f>
        <v>0</v>
      </c>
      <c r="O86" s="23">
        <f ca="1">IFERROR(__xludf.DUMMYFUNCTION("""COMPUTED_VALUE"""),0)</f>
        <v>0</v>
      </c>
      <c r="P86" s="23">
        <f ca="1">IFERROR(__xludf.DUMMYFUNCTION("""COMPUTED_VALUE"""),0)</f>
        <v>0</v>
      </c>
      <c r="Q86" s="24">
        <f ca="1">IFERROR(__xludf.DUMMYFUNCTION("""COMPUTED_VALUE"""),0)</f>
        <v>0</v>
      </c>
      <c r="R86" s="20"/>
    </row>
    <row r="87" spans="1:18" ht="13.2" outlineLevel="1" x14ac:dyDescent="0.25">
      <c r="A87" s="1"/>
      <c r="B87" s="21" t="str">
        <f ca="1">IFERROR(__xludf.DUMMYFUNCTION("""COMPUTED_VALUE"""),"Energía eólica")</f>
        <v>Energía eólica</v>
      </c>
      <c r="C87" s="22">
        <f ca="1">IFERROR(__xludf.DUMMYFUNCTION("""COMPUTED_VALUE"""),0)</f>
        <v>0</v>
      </c>
      <c r="D87" s="23">
        <f ca="1">IFERROR(__xludf.DUMMYFUNCTION("""COMPUTED_VALUE"""),0)</f>
        <v>0</v>
      </c>
      <c r="E87" s="23">
        <f ca="1">IFERROR(__xludf.DUMMYFUNCTION("""COMPUTED_VALUE"""),0)</f>
        <v>0</v>
      </c>
      <c r="F87" s="23">
        <f ca="1">IFERROR(__xludf.DUMMYFUNCTION("""COMPUTED_VALUE"""),0)</f>
        <v>0</v>
      </c>
      <c r="G87" s="23">
        <f ca="1">IFERROR(__xludf.DUMMYFUNCTION("""COMPUTED_VALUE"""),0)</f>
        <v>0</v>
      </c>
      <c r="H87" s="23">
        <f ca="1">IFERROR(__xludf.DUMMYFUNCTION("""COMPUTED_VALUE"""),0)</f>
        <v>0</v>
      </c>
      <c r="I87" s="23">
        <f ca="1">IFERROR(__xludf.DUMMYFUNCTION("""COMPUTED_VALUE"""),0)</f>
        <v>0</v>
      </c>
      <c r="J87" s="23">
        <f ca="1">IFERROR(__xludf.DUMMYFUNCTION("""COMPUTED_VALUE"""),0)</f>
        <v>0</v>
      </c>
      <c r="K87" s="23">
        <f ca="1">IFERROR(__xludf.DUMMYFUNCTION("""COMPUTED_VALUE"""),0)</f>
        <v>0</v>
      </c>
      <c r="L87" s="23">
        <f ca="1">IFERROR(__xludf.DUMMYFUNCTION("""COMPUTED_VALUE"""),0)</f>
        <v>0</v>
      </c>
      <c r="M87" s="23">
        <f ca="1">IFERROR(__xludf.DUMMYFUNCTION("""COMPUTED_VALUE"""),0)</f>
        <v>0</v>
      </c>
      <c r="N87" s="23">
        <f ca="1">IFERROR(__xludf.DUMMYFUNCTION("""COMPUTED_VALUE"""),0)</f>
        <v>0</v>
      </c>
      <c r="O87" s="23">
        <f ca="1">IFERROR(__xludf.DUMMYFUNCTION("""COMPUTED_VALUE"""),0)</f>
        <v>0</v>
      </c>
      <c r="P87" s="23">
        <f ca="1">IFERROR(__xludf.DUMMYFUNCTION("""COMPUTED_VALUE"""),0)</f>
        <v>0</v>
      </c>
      <c r="Q87" s="24">
        <f ca="1">IFERROR(__xludf.DUMMYFUNCTION("""COMPUTED_VALUE"""),0)</f>
        <v>0</v>
      </c>
      <c r="R87" s="20"/>
    </row>
    <row r="88" spans="1:18" ht="13.2" outlineLevel="1" x14ac:dyDescent="0.25">
      <c r="A88" s="1"/>
      <c r="B88" s="21" t="str">
        <f ca="1">IFERROR(__xludf.DUMMYFUNCTION("""COMPUTED_VALUE"""),"Bagazo de caña")</f>
        <v>Bagazo de caña</v>
      </c>
      <c r="C88" s="22">
        <f ca="1">IFERROR(__xludf.DUMMYFUNCTION("""COMPUTED_VALUE"""),0)</f>
        <v>0</v>
      </c>
      <c r="D88" s="23">
        <f ca="1">IFERROR(__xludf.DUMMYFUNCTION("""COMPUTED_VALUE"""),0)</f>
        <v>0</v>
      </c>
      <c r="E88" s="23">
        <f ca="1">IFERROR(__xludf.DUMMYFUNCTION("""COMPUTED_VALUE"""),0)</f>
        <v>0</v>
      </c>
      <c r="F88" s="23">
        <f ca="1">IFERROR(__xludf.DUMMYFUNCTION("""COMPUTED_VALUE"""),0)</f>
        <v>0</v>
      </c>
      <c r="G88" s="23">
        <f ca="1">IFERROR(__xludf.DUMMYFUNCTION("""COMPUTED_VALUE"""),0)</f>
        <v>0</v>
      </c>
      <c r="H88" s="23">
        <f ca="1">IFERROR(__xludf.DUMMYFUNCTION("""COMPUTED_VALUE"""),0)</f>
        <v>0</v>
      </c>
      <c r="I88" s="23">
        <f ca="1">IFERROR(__xludf.DUMMYFUNCTION("""COMPUTED_VALUE"""),0)</f>
        <v>0</v>
      </c>
      <c r="J88" s="23">
        <f ca="1">IFERROR(__xludf.DUMMYFUNCTION("""COMPUTED_VALUE"""),0)</f>
        <v>0</v>
      </c>
      <c r="K88" s="23">
        <f ca="1">IFERROR(__xludf.DUMMYFUNCTION("""COMPUTED_VALUE"""),0)</f>
        <v>0</v>
      </c>
      <c r="L88" s="23">
        <f ca="1">IFERROR(__xludf.DUMMYFUNCTION("""COMPUTED_VALUE"""),0)</f>
        <v>0</v>
      </c>
      <c r="M88" s="23">
        <f ca="1">IFERROR(__xludf.DUMMYFUNCTION("""COMPUTED_VALUE"""),0)</f>
        <v>0</v>
      </c>
      <c r="N88" s="23">
        <f ca="1">IFERROR(__xludf.DUMMYFUNCTION("""COMPUTED_VALUE"""),0)</f>
        <v>0</v>
      </c>
      <c r="O88" s="23">
        <f ca="1">IFERROR(__xludf.DUMMYFUNCTION("""COMPUTED_VALUE"""),0)</f>
        <v>0</v>
      </c>
      <c r="P88" s="23">
        <f ca="1">IFERROR(__xludf.DUMMYFUNCTION("""COMPUTED_VALUE"""),0)</f>
        <v>0</v>
      </c>
      <c r="Q88" s="24">
        <f ca="1">IFERROR(__xludf.DUMMYFUNCTION("""COMPUTED_VALUE"""),0)</f>
        <v>0</v>
      </c>
      <c r="R88" s="20"/>
    </row>
    <row r="89" spans="1:18" ht="13.2" outlineLevel="1" x14ac:dyDescent="0.25">
      <c r="A89" s="1"/>
      <c r="B89" s="21" t="str">
        <f ca="1">IFERROR(__xludf.DUMMYFUNCTION("""COMPUTED_VALUE"""),"Leña")</f>
        <v>Leña</v>
      </c>
      <c r="C89" s="22">
        <f ca="1">IFERROR(__xludf.DUMMYFUNCTION("""COMPUTED_VALUE"""),0)</f>
        <v>0</v>
      </c>
      <c r="D89" s="23">
        <f ca="1">IFERROR(__xludf.DUMMYFUNCTION("""COMPUTED_VALUE"""),0)</f>
        <v>0</v>
      </c>
      <c r="E89" s="23">
        <f ca="1">IFERROR(__xludf.DUMMYFUNCTION("""COMPUTED_VALUE"""),0)</f>
        <v>0</v>
      </c>
      <c r="F89" s="23">
        <f ca="1">IFERROR(__xludf.DUMMYFUNCTION("""COMPUTED_VALUE"""),0)</f>
        <v>0</v>
      </c>
      <c r="G89" s="23">
        <f ca="1">IFERROR(__xludf.DUMMYFUNCTION("""COMPUTED_VALUE"""),0)</f>
        <v>0</v>
      </c>
      <c r="H89" s="23">
        <f ca="1">IFERROR(__xludf.DUMMYFUNCTION("""COMPUTED_VALUE"""),0)</f>
        <v>0</v>
      </c>
      <c r="I89" s="23">
        <f ca="1">IFERROR(__xludf.DUMMYFUNCTION("""COMPUTED_VALUE"""),0)</f>
        <v>0</v>
      </c>
      <c r="J89" s="23">
        <f ca="1">IFERROR(__xludf.DUMMYFUNCTION("""COMPUTED_VALUE"""),0)</f>
        <v>0</v>
      </c>
      <c r="K89" s="23">
        <f ca="1">IFERROR(__xludf.DUMMYFUNCTION("""COMPUTED_VALUE"""),0)</f>
        <v>0</v>
      </c>
      <c r="L89" s="23">
        <f ca="1">IFERROR(__xludf.DUMMYFUNCTION("""COMPUTED_VALUE"""),0)</f>
        <v>0</v>
      </c>
      <c r="M89" s="23">
        <f ca="1">IFERROR(__xludf.DUMMYFUNCTION("""COMPUTED_VALUE"""),0)</f>
        <v>0</v>
      </c>
      <c r="N89" s="23">
        <f ca="1">IFERROR(__xludf.DUMMYFUNCTION("""COMPUTED_VALUE"""),0)</f>
        <v>0</v>
      </c>
      <c r="O89" s="23">
        <f ca="1">IFERROR(__xludf.DUMMYFUNCTION("""COMPUTED_VALUE"""),0)</f>
        <v>0</v>
      </c>
      <c r="P89" s="23">
        <f ca="1">IFERROR(__xludf.DUMMYFUNCTION("""COMPUTED_VALUE"""),0)</f>
        <v>0</v>
      </c>
      <c r="Q89" s="24">
        <f ca="1">IFERROR(__xludf.DUMMYFUNCTION("""COMPUTED_VALUE"""),0)</f>
        <v>0</v>
      </c>
      <c r="R89" s="20"/>
    </row>
    <row r="90" spans="1:18" ht="13.2" outlineLevel="1" x14ac:dyDescent="0.25">
      <c r="A90" s="1"/>
      <c r="B90" s="21" t="str">
        <f ca="1">IFERROR(__xludf.DUMMYFUNCTION("""COMPUTED_VALUE"""),"Biogás")</f>
        <v>Biogás</v>
      </c>
      <c r="C90" s="22">
        <f ca="1">IFERROR(__xludf.DUMMYFUNCTION("""COMPUTED_VALUE"""),0)</f>
        <v>0</v>
      </c>
      <c r="D90" s="23">
        <f ca="1">IFERROR(__xludf.DUMMYFUNCTION("""COMPUTED_VALUE"""),0)</f>
        <v>0</v>
      </c>
      <c r="E90" s="23">
        <f ca="1">IFERROR(__xludf.DUMMYFUNCTION("""COMPUTED_VALUE"""),0)</f>
        <v>0</v>
      </c>
      <c r="F90" s="23">
        <f ca="1">IFERROR(__xludf.DUMMYFUNCTION("""COMPUTED_VALUE"""),0)</f>
        <v>0</v>
      </c>
      <c r="G90" s="23">
        <f ca="1">IFERROR(__xludf.DUMMYFUNCTION("""COMPUTED_VALUE"""),0)</f>
        <v>0</v>
      </c>
      <c r="H90" s="23">
        <f ca="1">IFERROR(__xludf.DUMMYFUNCTION("""COMPUTED_VALUE"""),0)</f>
        <v>0</v>
      </c>
      <c r="I90" s="23">
        <f ca="1">IFERROR(__xludf.DUMMYFUNCTION("""COMPUTED_VALUE"""),0)</f>
        <v>0</v>
      </c>
      <c r="J90" s="23">
        <f ca="1">IFERROR(__xludf.DUMMYFUNCTION("""COMPUTED_VALUE"""),0)</f>
        <v>0</v>
      </c>
      <c r="K90" s="23">
        <f ca="1">IFERROR(__xludf.DUMMYFUNCTION("""COMPUTED_VALUE"""),0)</f>
        <v>0</v>
      </c>
      <c r="L90" s="23">
        <f ca="1">IFERROR(__xludf.DUMMYFUNCTION("""COMPUTED_VALUE"""),0)</f>
        <v>0</v>
      </c>
      <c r="M90" s="23">
        <f ca="1">IFERROR(__xludf.DUMMYFUNCTION("""COMPUTED_VALUE"""),0)</f>
        <v>0</v>
      </c>
      <c r="N90" s="23">
        <f ca="1">IFERROR(__xludf.DUMMYFUNCTION("""COMPUTED_VALUE"""),0)</f>
        <v>0</v>
      </c>
      <c r="O90" s="23">
        <f ca="1">IFERROR(__xludf.DUMMYFUNCTION("""COMPUTED_VALUE"""),0)</f>
        <v>0</v>
      </c>
      <c r="P90" s="23">
        <f ca="1">IFERROR(__xludf.DUMMYFUNCTION("""COMPUTED_VALUE"""),0)</f>
        <v>0</v>
      </c>
      <c r="Q90" s="24">
        <f ca="1">IFERROR(__xludf.DUMMYFUNCTION("""COMPUTED_VALUE"""),0)</f>
        <v>0</v>
      </c>
      <c r="R90" s="20"/>
    </row>
    <row r="91" spans="1:18" ht="13.2" outlineLevel="1" x14ac:dyDescent="0.25">
      <c r="A91" s="1"/>
      <c r="B91" s="21" t="str">
        <f ca="1">IFERROR(__xludf.DUMMYFUNCTION("""COMPUTED_VALUE"""),"Coque de carbón")</f>
        <v>Coque de carbón</v>
      </c>
      <c r="C91" s="22">
        <f ca="1">IFERROR(__xludf.DUMMYFUNCTION("""COMPUTED_VALUE"""),20.795)</f>
        <v>20.795000000000002</v>
      </c>
      <c r="D91" s="23">
        <f ca="1">IFERROR(__xludf.DUMMYFUNCTION("""COMPUTED_VALUE"""),23.5475)</f>
        <v>23.547499999999999</v>
      </c>
      <c r="E91" s="23">
        <f ca="1">IFERROR(__xludf.DUMMYFUNCTION("""COMPUTED_VALUE"""),25.805)</f>
        <v>25.805</v>
      </c>
      <c r="F91" s="23">
        <f ca="1">IFERROR(__xludf.DUMMYFUNCTION("""COMPUTED_VALUE"""),21.4125)</f>
        <v>21.412500000000001</v>
      </c>
      <c r="G91" s="23">
        <f ca="1">IFERROR(__xludf.DUMMYFUNCTION("""COMPUTED_VALUE"""),13.286949366779)</f>
        <v>13.286949366779</v>
      </c>
      <c r="H91" s="23">
        <f ca="1">IFERROR(__xludf.DUMMYFUNCTION("""COMPUTED_VALUE"""),18.5814378804779)</f>
        <v>18.5814378804779</v>
      </c>
      <c r="I91" s="23">
        <f ca="1">IFERROR(__xludf.DUMMYFUNCTION("""COMPUTED_VALUE"""),29.4136074919279)</f>
        <v>29.413607491927898</v>
      </c>
      <c r="J91" s="23">
        <f ca="1">IFERROR(__xludf.DUMMYFUNCTION("""COMPUTED_VALUE"""),31.5266496022279)</f>
        <v>31.526649602227899</v>
      </c>
      <c r="K91" s="23">
        <f ca="1">IFERROR(__xludf.DUMMYFUNCTION("""COMPUTED_VALUE"""),31.986450676873)</f>
        <v>31.986450676873002</v>
      </c>
      <c r="L91" s="23">
        <f ca="1">IFERROR(__xludf.DUMMYFUNCTION("""COMPUTED_VALUE"""),32.333129502454)</f>
        <v>32.333129502454</v>
      </c>
      <c r="M91" s="23">
        <f ca="1">IFERROR(__xludf.DUMMYFUNCTION("""COMPUTED_VALUE"""),27.196725482564)</f>
        <v>27.196725482563998</v>
      </c>
      <c r="N91" s="23">
        <f ca="1">IFERROR(__xludf.DUMMYFUNCTION("""COMPUTED_VALUE"""),36.351981546364)</f>
        <v>36.351981546364001</v>
      </c>
      <c r="O91" s="23">
        <f ca="1">IFERROR(__xludf.DUMMYFUNCTION("""COMPUTED_VALUE"""),30.92023213851)</f>
        <v>30.920232138509999</v>
      </c>
      <c r="P91" s="23">
        <f ca="1">IFERROR(__xludf.DUMMYFUNCTION("""COMPUTED_VALUE"""),19.0062680197499)</f>
        <v>19.0062680197499</v>
      </c>
      <c r="Q91" s="24">
        <f ca="1">IFERROR(__xludf.DUMMYFUNCTION("""COMPUTED_VALUE"""),16.821395027437)</f>
        <v>16.821395027436999</v>
      </c>
      <c r="R91" s="20"/>
    </row>
    <row r="92" spans="1:18" ht="13.2" outlineLevel="1" x14ac:dyDescent="0.25">
      <c r="A92" s="1"/>
      <c r="B92" s="21" t="str">
        <f ca="1">IFERROR(__xludf.DUMMYFUNCTION("""COMPUTED_VALUE"""),"Coque de petróleo")</f>
        <v>Coque de petróleo</v>
      </c>
      <c r="C92" s="22">
        <f ca="1">IFERROR(__xludf.DUMMYFUNCTION("""COMPUTED_VALUE"""),95.36)</f>
        <v>95.36</v>
      </c>
      <c r="D92" s="23">
        <f ca="1">IFERROR(__xludf.DUMMYFUNCTION("""COMPUTED_VALUE"""),161.88)</f>
        <v>161.88</v>
      </c>
      <c r="E92" s="23">
        <f ca="1">IFERROR(__xludf.DUMMYFUNCTION("""COMPUTED_VALUE"""),133.11)</f>
        <v>133.11000000000001</v>
      </c>
      <c r="F92" s="23">
        <f ca="1">IFERROR(__xludf.DUMMYFUNCTION("""COMPUTED_VALUE"""),143.69)</f>
        <v>143.69</v>
      </c>
      <c r="G92" s="23">
        <f ca="1">IFERROR(__xludf.DUMMYFUNCTION("""COMPUTED_VALUE"""),31.74)</f>
        <v>31.74</v>
      </c>
      <c r="H92" s="23">
        <f ca="1">IFERROR(__xludf.DUMMYFUNCTION("""COMPUTED_VALUE"""),34.34)</f>
        <v>34.340000000000003</v>
      </c>
      <c r="I92" s="23">
        <f ca="1">IFERROR(__xludf.DUMMYFUNCTION("""COMPUTED_VALUE"""),18.29)</f>
        <v>18.29</v>
      </c>
      <c r="J92" s="23">
        <f ca="1">IFERROR(__xludf.DUMMYFUNCTION("""COMPUTED_VALUE"""),44.35)</f>
        <v>44.35</v>
      </c>
      <c r="K92" s="23">
        <f ca="1">IFERROR(__xludf.DUMMYFUNCTION("""COMPUTED_VALUE"""),81.66)</f>
        <v>81.66</v>
      </c>
      <c r="L92" s="23">
        <f ca="1">IFERROR(__xludf.DUMMYFUNCTION("""COMPUTED_VALUE"""),109.81)</f>
        <v>109.81</v>
      </c>
      <c r="M92" s="23">
        <f ca="1">IFERROR(__xludf.DUMMYFUNCTION("""COMPUTED_VALUE"""),129.93)</f>
        <v>129.93</v>
      </c>
      <c r="N92" s="23">
        <f ca="1">IFERROR(__xludf.DUMMYFUNCTION("""COMPUTED_VALUE"""),151.7)</f>
        <v>151.69999999999999</v>
      </c>
      <c r="O92" s="23">
        <f ca="1">IFERROR(__xludf.DUMMYFUNCTION("""COMPUTED_VALUE"""),170.37)</f>
        <v>170.37</v>
      </c>
      <c r="P92" s="23">
        <f ca="1">IFERROR(__xludf.DUMMYFUNCTION("""COMPUTED_VALUE"""),165.93)</f>
        <v>165.93</v>
      </c>
      <c r="Q92" s="24">
        <f ca="1">IFERROR(__xludf.DUMMYFUNCTION("""COMPUTED_VALUE"""),118.73)</f>
        <v>118.73</v>
      </c>
      <c r="R92" s="20"/>
    </row>
    <row r="93" spans="1:18" ht="13.2" outlineLevel="1" x14ac:dyDescent="0.25">
      <c r="A93" s="1"/>
      <c r="B93" s="21" t="str">
        <f ca="1">IFERROR(__xludf.DUMMYFUNCTION("""COMPUTED_VALUE"""),"Gas licuado de petróleo")</f>
        <v>Gas licuado de petróleo</v>
      </c>
      <c r="C93" s="22">
        <f ca="1">IFERROR(__xludf.DUMMYFUNCTION("""COMPUTED_VALUE"""),122.37)</f>
        <v>122.37</v>
      </c>
      <c r="D93" s="23">
        <f ca="1">IFERROR(__xludf.DUMMYFUNCTION("""COMPUTED_VALUE"""),126.42)</f>
        <v>126.42</v>
      </c>
      <c r="E93" s="23">
        <f ca="1">IFERROR(__xludf.DUMMYFUNCTION("""COMPUTED_VALUE"""),130.84)</f>
        <v>130.84</v>
      </c>
      <c r="F93" s="23">
        <f ca="1">IFERROR(__xludf.DUMMYFUNCTION("""COMPUTED_VALUE"""),119.61)</f>
        <v>119.61</v>
      </c>
      <c r="G93" s="23">
        <f ca="1">IFERROR(__xludf.DUMMYFUNCTION("""COMPUTED_VALUE"""),127.882487361772)</f>
        <v>127.88248736177199</v>
      </c>
      <c r="H93" s="23">
        <f ca="1">IFERROR(__xludf.DUMMYFUNCTION("""COMPUTED_VALUE"""),158.397084445833)</f>
        <v>158.397084445833</v>
      </c>
      <c r="I93" s="23">
        <f ca="1">IFERROR(__xludf.DUMMYFUNCTION("""COMPUTED_VALUE"""),206.48)</f>
        <v>206.48</v>
      </c>
      <c r="J93" s="23">
        <f ca="1">IFERROR(__xludf.DUMMYFUNCTION("""COMPUTED_VALUE"""),224.87)</f>
        <v>224.87</v>
      </c>
      <c r="K93" s="23">
        <f ca="1">IFERROR(__xludf.DUMMYFUNCTION("""COMPUTED_VALUE"""),248.94)</f>
        <v>248.94</v>
      </c>
      <c r="L93" s="23">
        <f ca="1">IFERROR(__xludf.DUMMYFUNCTION("""COMPUTED_VALUE"""),233.63)</f>
        <v>233.63</v>
      </c>
      <c r="M93" s="23">
        <f ca="1">IFERROR(__xludf.DUMMYFUNCTION("""COMPUTED_VALUE"""),283)</f>
        <v>283</v>
      </c>
      <c r="N93" s="23">
        <f ca="1">IFERROR(__xludf.DUMMYFUNCTION("""COMPUTED_VALUE"""),299.21)</f>
        <v>299.20999999999998</v>
      </c>
      <c r="O93" s="23">
        <f ca="1">IFERROR(__xludf.DUMMYFUNCTION("""COMPUTED_VALUE"""),288.82)</f>
        <v>288.82</v>
      </c>
      <c r="P93" s="23">
        <f ca="1">IFERROR(__xludf.DUMMYFUNCTION("""COMPUTED_VALUE"""),258.24)</f>
        <v>258.24</v>
      </c>
      <c r="Q93" s="24">
        <f ca="1">IFERROR(__xludf.DUMMYFUNCTION("""COMPUTED_VALUE"""),246.249)</f>
        <v>246.249</v>
      </c>
      <c r="R93" s="20"/>
    </row>
    <row r="94" spans="1:18" ht="13.2" outlineLevel="1" x14ac:dyDescent="0.25">
      <c r="A94" s="1"/>
      <c r="B94" s="21" t="str">
        <f ca="1">IFERROR(__xludf.DUMMYFUNCTION("""COMPUTED_VALUE"""),"Gasolinas y naftas")</f>
        <v>Gasolinas y naftas</v>
      </c>
      <c r="C94" s="22">
        <f ca="1">IFERROR(__xludf.DUMMYFUNCTION("""COMPUTED_VALUE"""),761.7)</f>
        <v>761.7</v>
      </c>
      <c r="D94" s="23">
        <f ca="1">IFERROR(__xludf.DUMMYFUNCTION("""COMPUTED_VALUE"""),815.73)</f>
        <v>815.73</v>
      </c>
      <c r="E94" s="23">
        <f ca="1">IFERROR(__xludf.DUMMYFUNCTION("""COMPUTED_VALUE"""),755.48)</f>
        <v>755.48</v>
      </c>
      <c r="F94" s="23">
        <f ca="1">IFERROR(__xludf.DUMMYFUNCTION("""COMPUTED_VALUE"""),713.79)</f>
        <v>713.79</v>
      </c>
      <c r="G94" s="23">
        <f ca="1">IFERROR(__xludf.DUMMYFUNCTION("""COMPUTED_VALUE"""),711.474027836719)</f>
        <v>711.47402783671896</v>
      </c>
      <c r="H94" s="23">
        <f ca="1">IFERROR(__xludf.DUMMYFUNCTION("""COMPUTED_VALUE"""),810.817350034412)</f>
        <v>810.81735003441202</v>
      </c>
      <c r="I94" s="23">
        <f ca="1">IFERROR(__xludf.DUMMYFUNCTION("""COMPUTED_VALUE"""),978.84)</f>
        <v>978.84</v>
      </c>
      <c r="J94" s="23">
        <f ca="1">IFERROR(__xludf.DUMMYFUNCTION("""COMPUTED_VALUE"""),1061.00258062428)</f>
        <v>1061.00258062428</v>
      </c>
      <c r="K94" s="23">
        <f ca="1">IFERROR(__xludf.DUMMYFUNCTION("""COMPUTED_VALUE"""),1130.75239523007)</f>
        <v>1130.7523952300701</v>
      </c>
      <c r="L94" s="23">
        <f ca="1">IFERROR(__xludf.DUMMYFUNCTION("""COMPUTED_VALUE"""),974.89324514164)</f>
        <v>974.89324514164002</v>
      </c>
      <c r="M94" s="23">
        <f ca="1">IFERROR(__xludf.DUMMYFUNCTION("""COMPUTED_VALUE"""),694.306148113038)</f>
        <v>694.30614811303803</v>
      </c>
      <c r="N94" s="23">
        <f ca="1">IFERROR(__xludf.DUMMYFUNCTION("""COMPUTED_VALUE"""),697.229848517042)</f>
        <v>697.229848517042</v>
      </c>
      <c r="O94" s="23">
        <f ca="1">IFERROR(__xludf.DUMMYFUNCTION("""COMPUTED_VALUE"""),806.589964254251)</f>
        <v>806.58996425425096</v>
      </c>
      <c r="P94" s="23">
        <f ca="1">IFERROR(__xludf.DUMMYFUNCTION("""COMPUTED_VALUE"""),806.095)</f>
        <v>806.09500000000003</v>
      </c>
      <c r="Q94" s="24">
        <f ca="1">IFERROR(__xludf.DUMMYFUNCTION("""COMPUTED_VALUE"""),779.679464279045)</f>
        <v>779.67946427904496</v>
      </c>
      <c r="R94" s="20"/>
    </row>
    <row r="95" spans="1:18" ht="13.2" outlineLevel="1" x14ac:dyDescent="0.25">
      <c r="A95" s="1"/>
      <c r="B95" s="21" t="str">
        <f ca="1">IFERROR(__xludf.DUMMYFUNCTION("""COMPUTED_VALUE"""),"Querosenos")</f>
        <v>Querosenos</v>
      </c>
      <c r="C95" s="22">
        <f ca="1">IFERROR(__xludf.DUMMYFUNCTION("""COMPUTED_VALUE"""),8.05)</f>
        <v>8.0500000000000007</v>
      </c>
      <c r="D95" s="23">
        <f ca="1">IFERROR(__xludf.DUMMYFUNCTION("""COMPUTED_VALUE"""),1.84)</f>
        <v>1.84</v>
      </c>
      <c r="E95" s="23">
        <f ca="1">IFERROR(__xludf.DUMMYFUNCTION("""COMPUTED_VALUE"""),6.61)</f>
        <v>6.61</v>
      </c>
      <c r="F95" s="23">
        <f ca="1">IFERROR(__xludf.DUMMYFUNCTION("""COMPUTED_VALUE"""),6.56)</f>
        <v>6.56</v>
      </c>
      <c r="G95" s="23">
        <f ca="1">IFERROR(__xludf.DUMMYFUNCTION("""COMPUTED_VALUE"""),24.126668888)</f>
        <v>24.126668888000001</v>
      </c>
      <c r="H95" s="23">
        <f ca="1">IFERROR(__xludf.DUMMYFUNCTION("""COMPUTED_VALUE"""),50.3479607670872)</f>
        <v>50.347960767087201</v>
      </c>
      <c r="I95" s="23">
        <f ca="1">IFERROR(__xludf.DUMMYFUNCTION("""COMPUTED_VALUE"""),72.326)</f>
        <v>72.325999999999993</v>
      </c>
      <c r="J95" s="23">
        <f ca="1">IFERROR(__xludf.DUMMYFUNCTION("""COMPUTED_VALUE"""),91.191091812)</f>
        <v>91.191091811999996</v>
      </c>
      <c r="K95" s="23">
        <f ca="1">IFERROR(__xludf.DUMMYFUNCTION("""COMPUTED_VALUE"""),122.26020199458)</f>
        <v>122.26020199458</v>
      </c>
      <c r="L95" s="23">
        <f ca="1">IFERROR(__xludf.DUMMYFUNCTION("""COMPUTED_VALUE"""),114.693422443199)</f>
        <v>114.693422443199</v>
      </c>
      <c r="M95" s="23">
        <f ca="1">IFERROR(__xludf.DUMMYFUNCTION("""COMPUTED_VALUE"""),45.8131327119999)</f>
        <v>45.813132711999899</v>
      </c>
      <c r="N95" s="23">
        <f ca="1">IFERROR(__xludf.DUMMYFUNCTION("""COMPUTED_VALUE"""),73.765976832)</f>
        <v>73.765976832000007</v>
      </c>
      <c r="O95" s="23">
        <f ca="1">IFERROR(__xludf.DUMMYFUNCTION("""COMPUTED_VALUE"""),115.39112928)</f>
        <v>115.39112928</v>
      </c>
      <c r="P95" s="23">
        <f ca="1">IFERROR(__xludf.DUMMYFUNCTION("""COMPUTED_VALUE"""),117.161)</f>
        <v>117.161</v>
      </c>
      <c r="Q95" s="24">
        <f ca="1">IFERROR(__xludf.DUMMYFUNCTION("""COMPUTED_VALUE"""),126.76025384)</f>
        <v>126.76025384</v>
      </c>
      <c r="R95" s="20"/>
    </row>
    <row r="96" spans="1:18" ht="13.2" outlineLevel="1" x14ac:dyDescent="0.25">
      <c r="A96" s="1"/>
      <c r="B96" s="21" t="str">
        <f ca="1">IFERROR(__xludf.DUMMYFUNCTION("""COMPUTED_VALUE"""),"Diesel")</f>
        <v>Diesel</v>
      </c>
      <c r="C96" s="22">
        <f ca="1">IFERROR(__xludf.DUMMYFUNCTION("""COMPUTED_VALUE"""),379.26)</f>
        <v>379.26</v>
      </c>
      <c r="D96" s="23">
        <f ca="1">IFERROR(__xludf.DUMMYFUNCTION("""COMPUTED_VALUE"""),444.14)</f>
        <v>444.14</v>
      </c>
      <c r="E96" s="23">
        <f ca="1">IFERROR(__xludf.DUMMYFUNCTION("""COMPUTED_VALUE"""),445.71)</f>
        <v>445.71</v>
      </c>
      <c r="F96" s="23">
        <f ca="1">IFERROR(__xludf.DUMMYFUNCTION("""COMPUTED_VALUE"""),354.8)</f>
        <v>354.8</v>
      </c>
      <c r="G96" s="23">
        <f ca="1">IFERROR(__xludf.DUMMYFUNCTION("""COMPUTED_VALUE"""),273.98)</f>
        <v>273.98</v>
      </c>
      <c r="H96" s="23">
        <f ca="1">IFERROR(__xludf.DUMMYFUNCTION("""COMPUTED_VALUE"""),339.39)</f>
        <v>339.39</v>
      </c>
      <c r="I96" s="23">
        <f ca="1">IFERROR(__xludf.DUMMYFUNCTION("""COMPUTED_VALUE"""),415.57)</f>
        <v>415.57</v>
      </c>
      <c r="J96" s="23">
        <f ca="1">IFERROR(__xludf.DUMMYFUNCTION("""COMPUTED_VALUE"""),559.83)</f>
        <v>559.83000000000004</v>
      </c>
      <c r="K96" s="23">
        <f ca="1">IFERROR(__xludf.DUMMYFUNCTION("""COMPUTED_VALUE"""),685.99)</f>
        <v>685.99</v>
      </c>
      <c r="L96" s="23">
        <f ca="1">IFERROR(__xludf.DUMMYFUNCTION("""COMPUTED_VALUE"""),541.23)</f>
        <v>541.23</v>
      </c>
      <c r="M96" s="23">
        <f ca="1">IFERROR(__xludf.DUMMYFUNCTION("""COMPUTED_VALUE"""),423.9)</f>
        <v>423.9</v>
      </c>
      <c r="N96" s="23">
        <f ca="1">IFERROR(__xludf.DUMMYFUNCTION("""COMPUTED_VALUE"""),616.35)</f>
        <v>616.35</v>
      </c>
      <c r="O96" s="23">
        <f ca="1">IFERROR(__xludf.DUMMYFUNCTION("""COMPUTED_VALUE"""),607.56)</f>
        <v>607.55999999999995</v>
      </c>
      <c r="P96" s="23">
        <f ca="1">IFERROR(__xludf.DUMMYFUNCTION("""COMPUTED_VALUE"""),577.88)</f>
        <v>577.88</v>
      </c>
      <c r="Q96" s="24">
        <f ca="1">IFERROR(__xludf.DUMMYFUNCTION("""COMPUTED_VALUE"""),543.51)</f>
        <v>543.51</v>
      </c>
      <c r="R96" s="20"/>
    </row>
    <row r="97" spans="1:18" ht="13.2" outlineLevel="1" x14ac:dyDescent="0.25">
      <c r="A97" s="1"/>
      <c r="B97" s="21" t="str">
        <f ca="1">IFERROR(__xludf.DUMMYFUNCTION("""COMPUTED_VALUE"""),"Combustóleo")</f>
        <v>Combustóleo</v>
      </c>
      <c r="C97" s="22">
        <f ca="1">IFERROR(__xludf.DUMMYFUNCTION("""COMPUTED_VALUE"""),25.55)</f>
        <v>25.55</v>
      </c>
      <c r="D97" s="23">
        <f ca="1">IFERROR(__xludf.DUMMYFUNCTION("""COMPUTED_VALUE"""),58.78)</f>
        <v>58.78</v>
      </c>
      <c r="E97" s="23">
        <f ca="1">IFERROR(__xludf.DUMMYFUNCTION("""COMPUTED_VALUE"""),103.29)</f>
        <v>103.29</v>
      </c>
      <c r="F97" s="23">
        <f ca="1">IFERROR(__xludf.DUMMYFUNCTION("""COMPUTED_VALUE"""),72.88)</f>
        <v>72.88</v>
      </c>
      <c r="G97" s="23">
        <f ca="1">IFERROR(__xludf.DUMMYFUNCTION("""COMPUTED_VALUE"""),29.8860160867599)</f>
        <v>29.886016086759899</v>
      </c>
      <c r="H97" s="23">
        <f ca="1">IFERROR(__xludf.DUMMYFUNCTION("""COMPUTED_VALUE"""),40.4269599795592)</f>
        <v>40.4269599795592</v>
      </c>
      <c r="I97" s="23">
        <f ca="1">IFERROR(__xludf.DUMMYFUNCTION("""COMPUTED_VALUE"""),25.684)</f>
        <v>25.684000000000001</v>
      </c>
      <c r="J97" s="23">
        <f ca="1">IFERROR(__xludf.DUMMYFUNCTION("""COMPUTED_VALUE"""),57.1415694696)</f>
        <v>57.1415694696</v>
      </c>
      <c r="K97" s="23">
        <f ca="1">IFERROR(__xludf.DUMMYFUNCTION("""COMPUTED_VALUE"""),38.4893161359699)</f>
        <v>38.489316135969901</v>
      </c>
      <c r="L97" s="23">
        <f ca="1">IFERROR(__xludf.DUMMYFUNCTION("""COMPUTED_VALUE"""),28.9528053150001)</f>
        <v>28.952805315000099</v>
      </c>
      <c r="M97" s="23">
        <f ca="1">IFERROR(__xludf.DUMMYFUNCTION("""COMPUTED_VALUE"""),10.10770508427)</f>
        <v>10.10770508427</v>
      </c>
      <c r="N97" s="23">
        <f ca="1">IFERROR(__xludf.DUMMYFUNCTION("""COMPUTED_VALUE"""),0)</f>
        <v>0</v>
      </c>
      <c r="O97" s="23">
        <f ca="1">IFERROR(__xludf.DUMMYFUNCTION("""COMPUTED_VALUE"""),0)</f>
        <v>0</v>
      </c>
      <c r="P97" s="23">
        <f ca="1">IFERROR(__xludf.DUMMYFUNCTION("""COMPUTED_VALUE"""),0.09)</f>
        <v>0.09</v>
      </c>
      <c r="Q97" s="24">
        <f ca="1">IFERROR(__xludf.DUMMYFUNCTION("""COMPUTED_VALUE"""),0.382622336)</f>
        <v>0.38262233600000001</v>
      </c>
      <c r="R97" s="20"/>
    </row>
    <row r="98" spans="1:18" ht="13.2" outlineLevel="1" x14ac:dyDescent="0.25">
      <c r="A98" s="1"/>
      <c r="B98" s="21" t="str">
        <f ca="1">IFERROR(__xludf.DUMMYFUNCTION("""COMPUTED_VALUE"""),"Otros energéticos")</f>
        <v>Otros energéticos</v>
      </c>
      <c r="C98" s="22">
        <f ca="1">IFERROR(__xludf.DUMMYFUNCTION("""COMPUTED_VALUE"""),0)</f>
        <v>0</v>
      </c>
      <c r="D98" s="23">
        <f ca="1">IFERROR(__xludf.DUMMYFUNCTION("""COMPUTED_VALUE"""),0)</f>
        <v>0</v>
      </c>
      <c r="E98" s="23">
        <f ca="1">IFERROR(__xludf.DUMMYFUNCTION("""COMPUTED_VALUE"""),0)</f>
        <v>0</v>
      </c>
      <c r="F98" s="23">
        <f ca="1">IFERROR(__xludf.DUMMYFUNCTION("""COMPUTED_VALUE"""),0)</f>
        <v>0</v>
      </c>
      <c r="G98" s="23">
        <f ca="1">IFERROR(__xludf.DUMMYFUNCTION("""COMPUTED_VALUE"""),0)</f>
        <v>0</v>
      </c>
      <c r="H98" s="23">
        <f ca="1">IFERROR(__xludf.DUMMYFUNCTION("""COMPUTED_VALUE"""),0)</f>
        <v>0</v>
      </c>
      <c r="I98" s="23">
        <f ca="1">IFERROR(__xludf.DUMMYFUNCTION("""COMPUTED_VALUE"""),0)</f>
        <v>0</v>
      </c>
      <c r="J98" s="23">
        <f ca="1">IFERROR(__xludf.DUMMYFUNCTION("""COMPUTED_VALUE"""),0)</f>
        <v>0</v>
      </c>
      <c r="K98" s="23">
        <f ca="1">IFERROR(__xludf.DUMMYFUNCTION("""COMPUTED_VALUE"""),0)</f>
        <v>0</v>
      </c>
      <c r="L98" s="23">
        <f ca="1">IFERROR(__xludf.DUMMYFUNCTION("""COMPUTED_VALUE"""),0)</f>
        <v>0</v>
      </c>
      <c r="M98" s="23">
        <f ca="1">IFERROR(__xludf.DUMMYFUNCTION("""COMPUTED_VALUE"""),0)</f>
        <v>0</v>
      </c>
      <c r="N98" s="23">
        <f ca="1">IFERROR(__xludf.DUMMYFUNCTION("""COMPUTED_VALUE"""),0)</f>
        <v>0</v>
      </c>
      <c r="O98" s="23">
        <f ca="1">IFERROR(__xludf.DUMMYFUNCTION("""COMPUTED_VALUE"""),0)</f>
        <v>0</v>
      </c>
      <c r="P98" s="23">
        <f ca="1">IFERROR(__xludf.DUMMYFUNCTION("""COMPUTED_VALUE"""),0)</f>
        <v>0</v>
      </c>
      <c r="Q98" s="24">
        <f ca="1">IFERROR(__xludf.DUMMYFUNCTION("""COMPUTED_VALUE"""),0)</f>
        <v>0</v>
      </c>
      <c r="R98" s="20"/>
    </row>
    <row r="99" spans="1:18" ht="13.2" outlineLevel="1" x14ac:dyDescent="0.25">
      <c r="A99" s="1"/>
      <c r="B99" s="21" t="str">
        <f ca="1">IFERROR(__xludf.DUMMYFUNCTION("""COMPUTED_VALUE"""),"Gas natural seco")</f>
        <v>Gas natural seco</v>
      </c>
      <c r="C99" s="22">
        <f ca="1">IFERROR(__xludf.DUMMYFUNCTION("""COMPUTED_VALUE"""),877.835564864)</f>
        <v>877.83556486400005</v>
      </c>
      <c r="D99" s="23">
        <f ca="1">IFERROR(__xludf.DUMMYFUNCTION("""COMPUTED_VALUE"""),1029.175019446)</f>
        <v>1029.1750194460001</v>
      </c>
      <c r="E99" s="23">
        <f ca="1">IFERROR(__xludf.DUMMYFUNCTION("""COMPUTED_VALUE"""),838.934554807999)</f>
        <v>838.93455480799901</v>
      </c>
      <c r="F99" s="23">
        <f ca="1">IFERROR(__xludf.DUMMYFUNCTION("""COMPUTED_VALUE"""),946.41)</f>
        <v>946.41</v>
      </c>
      <c r="G99" s="23">
        <f ca="1">IFERROR(__xludf.DUMMYFUNCTION("""COMPUTED_VALUE"""),1184.58999999999)</f>
        <v>1184.5899999999899</v>
      </c>
      <c r="H99" s="23">
        <f ca="1">IFERROR(__xludf.DUMMYFUNCTION("""COMPUTED_VALUE"""),1368.46)</f>
        <v>1368.46</v>
      </c>
      <c r="I99" s="23">
        <f ca="1">IFERROR(__xludf.DUMMYFUNCTION("""COMPUTED_VALUE"""),1855.21)</f>
        <v>1855.21</v>
      </c>
      <c r="J99" s="23">
        <f ca="1">IFERROR(__xludf.DUMMYFUNCTION("""COMPUTED_VALUE"""),1906.9)</f>
        <v>1906.9</v>
      </c>
      <c r="K99" s="23">
        <f ca="1">IFERROR(__xludf.DUMMYFUNCTION("""COMPUTED_VALUE"""),2417.93516245004)</f>
        <v>2417.93516245004</v>
      </c>
      <c r="L99" s="23">
        <f ca="1">IFERROR(__xludf.DUMMYFUNCTION("""COMPUTED_VALUE"""),2581.54208433995)</f>
        <v>2581.5420843399502</v>
      </c>
      <c r="M99" s="23">
        <f ca="1">IFERROR(__xludf.DUMMYFUNCTION("""COMPUTED_VALUE"""),2177.75565842397)</f>
        <v>2177.7556584239701</v>
      </c>
      <c r="N99" s="23">
        <f ca="1">IFERROR(__xludf.DUMMYFUNCTION("""COMPUTED_VALUE"""),2441.37181899966)</f>
        <v>2441.3718189996598</v>
      </c>
      <c r="O99" s="23">
        <f ca="1">IFERROR(__xludf.DUMMYFUNCTION("""COMPUTED_VALUE"""),2305.16327969298)</f>
        <v>2305.1632796929798</v>
      </c>
      <c r="P99" s="23">
        <f ca="1">IFERROR(__xludf.DUMMYFUNCTION("""COMPUTED_VALUE"""),2466.66406443439)</f>
        <v>2466.6640644343902</v>
      </c>
      <c r="Q99" s="24">
        <f ca="1">IFERROR(__xludf.DUMMYFUNCTION("""COMPUTED_VALUE"""),2669.33353936997)</f>
        <v>2669.3335393699699</v>
      </c>
      <c r="R99" s="20"/>
    </row>
    <row r="100" spans="1:18" ht="13.2" outlineLevel="1" x14ac:dyDescent="0.25">
      <c r="A100" s="1"/>
      <c r="B100" s="25" t="str">
        <f ca="1">IFERROR(__xludf.DUMMYFUNCTION("""COMPUTED_VALUE"""),"Energía eléctrica")</f>
        <v>Energía eléctrica</v>
      </c>
      <c r="C100" s="26">
        <f ca="1">IFERROR(__xludf.DUMMYFUNCTION("""COMPUTED_VALUE"""),1.57)</f>
        <v>1.57</v>
      </c>
      <c r="D100" s="27">
        <f ca="1">IFERROR(__xludf.DUMMYFUNCTION("""COMPUTED_VALUE"""),2.36)</f>
        <v>2.36</v>
      </c>
      <c r="E100" s="27">
        <f ca="1">IFERROR(__xludf.DUMMYFUNCTION("""COMPUTED_VALUE"""),8.43)</f>
        <v>8.43</v>
      </c>
      <c r="F100" s="27">
        <f ca="1">IFERROR(__xludf.DUMMYFUNCTION("""COMPUTED_VALUE"""),5.94)</f>
        <v>5.94</v>
      </c>
      <c r="G100" s="27">
        <f ca="1">IFERROR(__xludf.DUMMYFUNCTION("""COMPUTED_VALUE"""),9.14)</f>
        <v>9.14</v>
      </c>
      <c r="H100" s="27">
        <f ca="1">IFERROR(__xludf.DUMMYFUNCTION("""COMPUTED_VALUE"""),8.8)</f>
        <v>8.8000000000000007</v>
      </c>
      <c r="I100" s="27">
        <f ca="1">IFERROR(__xludf.DUMMYFUNCTION("""COMPUTED_VALUE"""),12.46)</f>
        <v>12.46</v>
      </c>
      <c r="J100" s="27">
        <f ca="1">IFERROR(__xludf.DUMMYFUNCTION("""COMPUTED_VALUE"""),14.7526111066229)</f>
        <v>14.752611106622901</v>
      </c>
      <c r="K100" s="27">
        <f ca="1">IFERROR(__xludf.DUMMYFUNCTION("""COMPUTED_VALUE"""),26.4803153382536)</f>
        <v>26.4803153382536</v>
      </c>
      <c r="L100" s="27">
        <f ca="1">IFERROR(__xludf.DUMMYFUNCTION("""COMPUTED_VALUE"""),27.1372324369992)</f>
        <v>27.137232436999199</v>
      </c>
      <c r="M100" s="27">
        <f ca="1">IFERROR(__xludf.DUMMYFUNCTION("""COMPUTED_VALUE"""),41.6479296177215)</f>
        <v>41.647929617721502</v>
      </c>
      <c r="N100" s="27">
        <f ca="1">IFERROR(__xludf.DUMMYFUNCTION("""COMPUTED_VALUE"""),11.5020170570267)</f>
        <v>11.5020170570267</v>
      </c>
      <c r="O100" s="27">
        <f ca="1">IFERROR(__xludf.DUMMYFUNCTION("""COMPUTED_VALUE"""),14.567254679722)</f>
        <v>14.567254679722</v>
      </c>
      <c r="P100" s="27">
        <f ca="1">IFERROR(__xludf.DUMMYFUNCTION("""COMPUTED_VALUE"""),21.0764125530835)</f>
        <v>21.0764125530835</v>
      </c>
      <c r="Q100" s="28">
        <f ca="1">IFERROR(__xludf.DUMMYFUNCTION("""COMPUTED_VALUE"""),23.5109453158926)</f>
        <v>23.510945315892599</v>
      </c>
      <c r="R100" s="20"/>
    </row>
    <row r="101" spans="1:18" ht="13.2" outlineLevel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0"/>
    </row>
    <row r="102" spans="1:18" ht="13.2" collapsed="1" x14ac:dyDescent="0.25">
      <c r="A102" s="29"/>
      <c r="B102" s="5" t="str">
        <f ca="1">IFERROR(__xludf.DUMMYFUNCTION("""COMPUTED_VALUE"""),"VarInv(e,a)")</f>
        <v>VarInv(e,a)</v>
      </c>
      <c r="C102" s="6" t="str">
        <f ca="1">IFERROR(__xludf.DUMMYFUNCTION("""COMPUTED_VALUE"""),"-/+")</f>
        <v>-/+</v>
      </c>
      <c r="D102" s="7" t="str">
        <f ca="1">IFERROR(__xludf.DUMMYFUNCTION("""COMPUTED_VALUE"""),"Variación de inventarios por energético e y año a.")</f>
        <v>Variación de inventarios por energético e y año a.</v>
      </c>
      <c r="E102" s="6" t="str">
        <f ca="1">IFERROR(__xludf.DUMMYFUNCTION("""COMPUTED_VALUE"""),"cbne")</f>
        <v>cbne</v>
      </c>
      <c r="F102" s="6" t="str">
        <f ca="1">IFERROR(__xludf.DUMMYFUNCTION("""COMPUTED_VALUE"""),"a")</f>
        <v>a</v>
      </c>
      <c r="G102" s="8" t="str">
        <f ca="1">IFERROR(__xludf.DUMMYFUNCTION("""COMPUTED_VALUE"""),"PJ")</f>
        <v>PJ</v>
      </c>
      <c r="H102" s="9"/>
      <c r="I102" s="1"/>
      <c r="J102" s="1"/>
      <c r="K102" s="1"/>
      <c r="L102" s="1"/>
      <c r="M102" s="1"/>
      <c r="N102" s="1"/>
      <c r="O102" s="1"/>
      <c r="P102" s="1"/>
      <c r="Q102" s="1"/>
      <c r="R102" s="10"/>
    </row>
    <row r="103" spans="1:18" ht="13.2" hidden="1" outlineLevel="1" x14ac:dyDescent="0.25">
      <c r="A103" s="1"/>
      <c r="B103" s="11"/>
      <c r="C103" s="12">
        <f ca="1">IFERROR(__xludf.DUMMYFUNCTION("""COMPUTED_VALUE"""),2010)</f>
        <v>2010</v>
      </c>
      <c r="D103" s="13">
        <f ca="1">IFERROR(__xludf.DUMMYFUNCTION("""COMPUTED_VALUE"""),2011)</f>
        <v>2011</v>
      </c>
      <c r="E103" s="13">
        <f ca="1">IFERROR(__xludf.DUMMYFUNCTION("""COMPUTED_VALUE"""),2012)</f>
        <v>2012</v>
      </c>
      <c r="F103" s="13">
        <f ca="1">IFERROR(__xludf.DUMMYFUNCTION("""COMPUTED_VALUE"""),2013)</f>
        <v>2013</v>
      </c>
      <c r="G103" s="13">
        <f ca="1">IFERROR(__xludf.DUMMYFUNCTION("""COMPUTED_VALUE"""),2014)</f>
        <v>2014</v>
      </c>
      <c r="H103" s="13">
        <f ca="1">IFERROR(__xludf.DUMMYFUNCTION("""COMPUTED_VALUE"""),2015)</f>
        <v>2015</v>
      </c>
      <c r="I103" s="13">
        <f ca="1">IFERROR(__xludf.DUMMYFUNCTION("""COMPUTED_VALUE"""),2016)</f>
        <v>2016</v>
      </c>
      <c r="J103" s="13">
        <f ca="1">IFERROR(__xludf.DUMMYFUNCTION("""COMPUTED_VALUE"""),2017)</f>
        <v>2017</v>
      </c>
      <c r="K103" s="13">
        <f ca="1">IFERROR(__xludf.DUMMYFUNCTION("""COMPUTED_VALUE"""),2018)</f>
        <v>2018</v>
      </c>
      <c r="L103" s="13">
        <f ca="1">IFERROR(__xludf.DUMMYFUNCTION("""COMPUTED_VALUE"""),2019)</f>
        <v>2019</v>
      </c>
      <c r="M103" s="13">
        <f ca="1">IFERROR(__xludf.DUMMYFUNCTION("""COMPUTED_VALUE"""),2020)</f>
        <v>2020</v>
      </c>
      <c r="N103" s="13">
        <f ca="1">IFERROR(__xludf.DUMMYFUNCTION("""COMPUTED_VALUE"""),2021)</f>
        <v>2021</v>
      </c>
      <c r="O103" s="13">
        <f ca="1">IFERROR(__xludf.DUMMYFUNCTION("""COMPUTED_VALUE"""),2022)</f>
        <v>2022</v>
      </c>
      <c r="P103" s="13">
        <f ca="1">IFERROR(__xludf.DUMMYFUNCTION("""COMPUTED_VALUE"""),2023)</f>
        <v>2023</v>
      </c>
      <c r="Q103" s="14">
        <f ca="1">IFERROR(__xludf.DUMMYFUNCTION("""COMPUTED_VALUE"""),2024)</f>
        <v>2024</v>
      </c>
      <c r="R103" s="15"/>
    </row>
    <row r="104" spans="1:18" ht="13.2" hidden="1" outlineLevel="1" x14ac:dyDescent="0.25">
      <c r="A104" s="1"/>
      <c r="B104" s="16" t="str">
        <f ca="1">IFERROR(__xludf.DUMMYFUNCTION("""COMPUTED_VALUE"""),"Carbón mineral")</f>
        <v>Carbón mineral</v>
      </c>
      <c r="C104" s="17">
        <f ca="1">IFERROR(__xludf.DUMMYFUNCTION("""COMPUTED_VALUE"""),-0.58912084525)</f>
        <v>-0.58912084524999997</v>
      </c>
      <c r="D104" s="18">
        <f ca="1">IFERROR(__xludf.DUMMYFUNCTION("""COMPUTED_VALUE"""),7.90236018479999)</f>
        <v>7.9023601847999903</v>
      </c>
      <c r="E104" s="18">
        <f ca="1">IFERROR(__xludf.DUMMYFUNCTION("""COMPUTED_VALUE"""),4.2676432849)</f>
        <v>4.2676432849000001</v>
      </c>
      <c r="F104" s="18">
        <f ca="1">IFERROR(__xludf.DUMMYFUNCTION("""COMPUTED_VALUE"""),4.9915618065)</f>
        <v>4.9915618065</v>
      </c>
      <c r="G104" s="18">
        <f ca="1">IFERROR(__xludf.DUMMYFUNCTION("""COMPUTED_VALUE"""),9.8052329086)</f>
        <v>9.8052329086000007</v>
      </c>
      <c r="H104" s="18">
        <f ca="1">IFERROR(__xludf.DUMMYFUNCTION("""COMPUTED_VALUE"""),-27.8586920194999)</f>
        <v>-27.858692019499902</v>
      </c>
      <c r="I104" s="18">
        <f ca="1">IFERROR(__xludf.DUMMYFUNCTION("""COMPUTED_VALUE"""),-8.6460884175)</f>
        <v>-8.6460884174999997</v>
      </c>
      <c r="J104" s="18">
        <f ca="1">IFERROR(__xludf.DUMMYFUNCTION("""COMPUTED_VALUE"""),0.2361396583)</f>
        <v>0.2361396583</v>
      </c>
      <c r="K104" s="18">
        <f ca="1">IFERROR(__xludf.DUMMYFUNCTION("""COMPUTED_VALUE"""),13.84567889855)</f>
        <v>13.84567889855</v>
      </c>
      <c r="L104" s="18">
        <f ca="1">IFERROR(__xludf.DUMMYFUNCTION("""COMPUTED_VALUE"""),-4.83190378339999)</f>
        <v>-4.8319037833999898</v>
      </c>
      <c r="M104" s="18">
        <f ca="1">IFERROR(__xludf.DUMMYFUNCTION("""COMPUTED_VALUE"""),-6.0995541592)</f>
        <v>-6.0995541592000002</v>
      </c>
      <c r="N104" s="18">
        <f ca="1">IFERROR(__xludf.DUMMYFUNCTION("""COMPUTED_VALUE"""),4.20277330755)</f>
        <v>4.2027733075500002</v>
      </c>
      <c r="O104" s="18">
        <f ca="1">IFERROR(__xludf.DUMMYFUNCTION("""COMPUTED_VALUE"""),-13.35906546975)</f>
        <v>-13.35906546975</v>
      </c>
      <c r="P104" s="18">
        <f ca="1">IFERROR(__xludf.DUMMYFUNCTION("""COMPUTED_VALUE"""),-2.41964)</f>
        <v>-2.4196399999999998</v>
      </c>
      <c r="Q104" s="19">
        <f ca="1">IFERROR(__xludf.DUMMYFUNCTION("""COMPUTED_VALUE"""),-1.5753091915)</f>
        <v>-1.5753091914999999</v>
      </c>
      <c r="R104" s="20"/>
    </row>
    <row r="105" spans="1:18" ht="13.2" hidden="1" outlineLevel="1" x14ac:dyDescent="0.25">
      <c r="A105" s="1"/>
      <c r="B105" s="21" t="str">
        <f ca="1">IFERROR(__xludf.DUMMYFUNCTION("""COMPUTED_VALUE"""),"Petróleo crudo")</f>
        <v>Petróleo crudo</v>
      </c>
      <c r="C105" s="22">
        <f ca="1">IFERROR(__xludf.DUMMYFUNCTION("""COMPUTED_VALUE"""),-13.2864099999999)</f>
        <v>-13.286409999999901</v>
      </c>
      <c r="D105" s="23">
        <f ca="1">IFERROR(__xludf.DUMMYFUNCTION("""COMPUTED_VALUE"""),3.18659000000036)</f>
        <v>3.18659000000036</v>
      </c>
      <c r="E105" s="23">
        <f ca="1">IFERROR(__xludf.DUMMYFUNCTION("""COMPUTED_VALUE"""),-7.75169799999963)</f>
        <v>-7.7516979999996298</v>
      </c>
      <c r="F105" s="23">
        <f ca="1">IFERROR(__xludf.DUMMYFUNCTION("""COMPUTED_VALUE"""),-21.0841690000002)</f>
        <v>-21.084169000000202</v>
      </c>
      <c r="G105" s="23">
        <f ca="1">IFERROR(__xludf.DUMMYFUNCTION("""COMPUTED_VALUE"""),-257.035834219696)</f>
        <v>-257.03583421969603</v>
      </c>
      <c r="H105" s="23">
        <f ca="1">IFERROR(__xludf.DUMMYFUNCTION("""COMPUTED_VALUE"""),-101.076474981279)</f>
        <v>-101.07647498127901</v>
      </c>
      <c r="I105" s="23">
        <f ca="1">IFERROR(__xludf.DUMMYFUNCTION("""COMPUTED_VALUE"""),-59.7126882360045)</f>
        <v>-59.712688236004503</v>
      </c>
      <c r="J105" s="23">
        <f ca="1">IFERROR(__xludf.DUMMYFUNCTION("""COMPUTED_VALUE"""),-17.4598019515466)</f>
        <v>-17.459801951546599</v>
      </c>
      <c r="K105" s="23">
        <f ca="1">IFERROR(__xludf.DUMMYFUNCTION("""COMPUTED_VALUE"""),-16.9259282371358)</f>
        <v>-16.9259282371358</v>
      </c>
      <c r="L105" s="23">
        <f ca="1">IFERROR(__xludf.DUMMYFUNCTION("""COMPUTED_VALUE"""),41.6235974097474)</f>
        <v>41.623597409747397</v>
      </c>
      <c r="M105" s="23">
        <f ca="1">IFERROR(__xludf.DUMMYFUNCTION("""COMPUTED_VALUE"""),15.0309639688965)</f>
        <v>15.030963968896501</v>
      </c>
      <c r="N105" s="23">
        <f ca="1">IFERROR(__xludf.DUMMYFUNCTION("""COMPUTED_VALUE"""),15.2956026206126)</f>
        <v>15.2956026206126</v>
      </c>
      <c r="O105" s="23">
        <f ca="1">IFERROR(__xludf.DUMMYFUNCTION("""COMPUTED_VALUE"""),-11.6468321730351)</f>
        <v>-11.646832173035101</v>
      </c>
      <c r="P105" s="23">
        <f ca="1">IFERROR(__xludf.DUMMYFUNCTION("""COMPUTED_VALUE"""),-12.2426241268847)</f>
        <v>-12.242624126884699</v>
      </c>
      <c r="Q105" s="24">
        <f ca="1">IFERROR(__xludf.DUMMYFUNCTION("""COMPUTED_VALUE"""),6.98348775278454)</f>
        <v>6.9834877527845398</v>
      </c>
      <c r="R105" s="20"/>
    </row>
    <row r="106" spans="1:18" ht="13.2" hidden="1" outlineLevel="1" x14ac:dyDescent="0.25">
      <c r="A106" s="1"/>
      <c r="B106" s="21" t="str">
        <f ca="1">IFERROR(__xludf.DUMMYFUNCTION("""COMPUTED_VALUE"""),"Condensados")</f>
        <v>Condensados</v>
      </c>
      <c r="C106" s="22">
        <f ca="1">IFERROR(__xludf.DUMMYFUNCTION("""COMPUTED_VALUE"""),0.37137)</f>
        <v>0.37136999999999998</v>
      </c>
      <c r="D106" s="23">
        <f ca="1">IFERROR(__xludf.DUMMYFUNCTION("""COMPUTED_VALUE"""),-0.292019999999999)</f>
        <v>-0.292019999999999</v>
      </c>
      <c r="E106" s="23">
        <f ca="1">IFERROR(__xludf.DUMMYFUNCTION("""COMPUTED_VALUE"""),0.06306)</f>
        <v>6.3060000000000005E-2</v>
      </c>
      <c r="F106" s="23">
        <f ca="1">IFERROR(__xludf.DUMMYFUNCTION("""COMPUTED_VALUE"""),0.4796)</f>
        <v>0.47960000000000003</v>
      </c>
      <c r="G106" s="23">
        <f ca="1">IFERROR(__xludf.DUMMYFUNCTION("""COMPUTED_VALUE"""),-0.46839178853241)</f>
        <v>-0.46839178853240998</v>
      </c>
      <c r="H106" s="23">
        <f ca="1">IFERROR(__xludf.DUMMYFUNCTION("""COMPUTED_VALUE"""),1.11581657973695)</f>
        <v>1.1158165797369499</v>
      </c>
      <c r="I106" s="23">
        <f ca="1">IFERROR(__xludf.DUMMYFUNCTION("""COMPUTED_VALUE"""),1.933)</f>
        <v>1.9330000000000001</v>
      </c>
      <c r="J106" s="23">
        <f ca="1">IFERROR(__xludf.DUMMYFUNCTION("""COMPUTED_VALUE"""),7.52765933512393)</f>
        <v>7.5276593351239303</v>
      </c>
      <c r="K106" s="23">
        <f ca="1">IFERROR(__xludf.DUMMYFUNCTION("""COMPUTED_VALUE"""),24.1697280199999)</f>
        <v>24.169728019999901</v>
      </c>
      <c r="L106" s="23">
        <f ca="1">IFERROR(__xludf.DUMMYFUNCTION("""COMPUTED_VALUE"""),19.53146456)</f>
        <v>19.53146456</v>
      </c>
      <c r="M106" s="23">
        <f ca="1">IFERROR(__xludf.DUMMYFUNCTION("""COMPUTED_VALUE"""),-77.82078564)</f>
        <v>-77.820785639999997</v>
      </c>
      <c r="N106" s="23">
        <f ca="1">IFERROR(__xludf.DUMMYFUNCTION("""COMPUTED_VALUE"""),-0.32232429)</f>
        <v>-0.32232429000000001</v>
      </c>
      <c r="O106" s="23">
        <f ca="1">IFERROR(__xludf.DUMMYFUNCTION("""COMPUTED_VALUE"""),-0.6548193)</f>
        <v>-0.65481929999999999</v>
      </c>
      <c r="P106" s="23">
        <f ca="1">IFERROR(__xludf.DUMMYFUNCTION("""COMPUTED_VALUE"""),-1.2702859)</f>
        <v>-1.2702859</v>
      </c>
      <c r="Q106" s="24">
        <f ca="1">IFERROR(__xludf.DUMMYFUNCTION("""COMPUTED_VALUE"""),-0.86153291)</f>
        <v>-0.86153290999999999</v>
      </c>
      <c r="R106" s="20"/>
    </row>
    <row r="107" spans="1:18" ht="13.2" hidden="1" outlineLevel="1" x14ac:dyDescent="0.25">
      <c r="A107" s="1"/>
      <c r="B107" s="21" t="str">
        <f ca="1">IFERROR(__xludf.DUMMYFUNCTION("""COMPUTED_VALUE"""),"Gas natural")</f>
        <v>Gas natural</v>
      </c>
      <c r="C107" s="22">
        <f ca="1">IFERROR(__xludf.DUMMYFUNCTION("""COMPUTED_VALUE"""),-13.86)</f>
        <v>-13.86</v>
      </c>
      <c r="D107" s="23">
        <f ca="1">IFERROR(__xludf.DUMMYFUNCTION("""COMPUTED_VALUE"""),7.28)</f>
        <v>7.28</v>
      </c>
      <c r="E107" s="23">
        <f ca="1">IFERROR(__xludf.DUMMYFUNCTION("""COMPUTED_VALUE"""),-3.48)</f>
        <v>-3.48</v>
      </c>
      <c r="F107" s="23">
        <f ca="1">IFERROR(__xludf.DUMMYFUNCTION("""COMPUTED_VALUE"""),13.574)</f>
        <v>13.574</v>
      </c>
      <c r="G107" s="23">
        <f ca="1">IFERROR(__xludf.DUMMYFUNCTION("""COMPUTED_VALUE"""),-10.3631669404114)</f>
        <v>-10.3631669404114</v>
      </c>
      <c r="H107" s="23">
        <f ca="1">IFERROR(__xludf.DUMMYFUNCTION("""COMPUTED_VALUE"""),3.1911987977017)</f>
        <v>3.1911987977016998</v>
      </c>
      <c r="I107" s="23">
        <f ca="1">IFERROR(__xludf.DUMMYFUNCTION("""COMPUTED_VALUE"""),10.826)</f>
        <v>10.826000000000001</v>
      </c>
      <c r="J107" s="23">
        <f ca="1">IFERROR(__xludf.DUMMYFUNCTION("""COMPUTED_VALUE"""),8.76173443935434)</f>
        <v>8.7617344393543402</v>
      </c>
      <c r="K107" s="23">
        <f ca="1">IFERROR(__xludf.DUMMYFUNCTION("""COMPUTED_VALUE"""),-3.18287892279851)</f>
        <v>-3.1828789227985101</v>
      </c>
      <c r="L107" s="23">
        <f ca="1">IFERROR(__xludf.DUMMYFUNCTION("""COMPUTED_VALUE"""),-20.5048852598495)</f>
        <v>-20.504885259849502</v>
      </c>
      <c r="M107" s="23">
        <f ca="1">IFERROR(__xludf.DUMMYFUNCTION("""COMPUTED_VALUE"""),7.8084650767901)</f>
        <v>7.8084650767900996</v>
      </c>
      <c r="N107" s="23">
        <f ca="1">IFERROR(__xludf.DUMMYFUNCTION("""COMPUTED_VALUE"""),13.0639677574031)</f>
        <v>13.0639677574031</v>
      </c>
      <c r="O107" s="23">
        <f ca="1">IFERROR(__xludf.DUMMYFUNCTION("""COMPUTED_VALUE"""),-3.69452763877396)</f>
        <v>-3.6945276387739598</v>
      </c>
      <c r="P107" s="23">
        <f ca="1">IFERROR(__xludf.DUMMYFUNCTION("""COMPUTED_VALUE"""),-13.7981606038249)</f>
        <v>-13.798160603824901</v>
      </c>
      <c r="Q107" s="24">
        <f ca="1">IFERROR(__xludf.DUMMYFUNCTION("""COMPUTED_VALUE"""),-14.0660936752505)</f>
        <v>-14.066093675250499</v>
      </c>
      <c r="R107" s="20"/>
    </row>
    <row r="108" spans="1:18" ht="13.2" hidden="1" outlineLevel="1" x14ac:dyDescent="0.25">
      <c r="A108" s="1"/>
      <c r="B108" s="21" t="str">
        <f ca="1">IFERROR(__xludf.DUMMYFUNCTION("""COMPUTED_VALUE"""),"Energía Nuclear")</f>
        <v>Energía Nuclear</v>
      </c>
      <c r="C108" s="22">
        <f ca="1">IFERROR(__xludf.DUMMYFUNCTION("""COMPUTED_VALUE"""),0)</f>
        <v>0</v>
      </c>
      <c r="D108" s="23">
        <f ca="1">IFERROR(__xludf.DUMMYFUNCTION("""COMPUTED_VALUE"""),0)</f>
        <v>0</v>
      </c>
      <c r="E108" s="23">
        <f ca="1">IFERROR(__xludf.DUMMYFUNCTION("""COMPUTED_VALUE"""),0)</f>
        <v>0</v>
      </c>
      <c r="F108" s="23">
        <f ca="1">IFERROR(__xludf.DUMMYFUNCTION("""COMPUTED_VALUE"""),0)</f>
        <v>0</v>
      </c>
      <c r="G108" s="23">
        <f ca="1">IFERROR(__xludf.DUMMYFUNCTION("""COMPUTED_VALUE"""),0)</f>
        <v>0</v>
      </c>
      <c r="H108" s="23">
        <f ca="1">IFERROR(__xludf.DUMMYFUNCTION("""COMPUTED_VALUE"""),0)</f>
        <v>0</v>
      </c>
      <c r="I108" s="23">
        <f ca="1">IFERROR(__xludf.DUMMYFUNCTION("""COMPUTED_VALUE"""),0)</f>
        <v>0</v>
      </c>
      <c r="J108" s="23">
        <f ca="1">IFERROR(__xludf.DUMMYFUNCTION("""COMPUTED_VALUE"""),0)</f>
        <v>0</v>
      </c>
      <c r="K108" s="23">
        <f ca="1">IFERROR(__xludf.DUMMYFUNCTION("""COMPUTED_VALUE"""),0)</f>
        <v>0</v>
      </c>
      <c r="L108" s="23">
        <f ca="1">IFERROR(__xludf.DUMMYFUNCTION("""COMPUTED_VALUE"""),0)</f>
        <v>0</v>
      </c>
      <c r="M108" s="23">
        <f ca="1">IFERROR(__xludf.DUMMYFUNCTION("""COMPUTED_VALUE"""),0)</f>
        <v>0</v>
      </c>
      <c r="N108" s="23">
        <f ca="1">IFERROR(__xludf.DUMMYFUNCTION("""COMPUTED_VALUE"""),0)</f>
        <v>0</v>
      </c>
      <c r="O108" s="23">
        <f ca="1">IFERROR(__xludf.DUMMYFUNCTION("""COMPUTED_VALUE"""),0)</f>
        <v>0</v>
      </c>
      <c r="P108" s="23">
        <f ca="1">IFERROR(__xludf.DUMMYFUNCTION("""COMPUTED_VALUE"""),0)</f>
        <v>0</v>
      </c>
      <c r="Q108" s="24">
        <f ca="1">IFERROR(__xludf.DUMMYFUNCTION("""COMPUTED_VALUE"""),0)</f>
        <v>0</v>
      </c>
      <c r="R108" s="20"/>
    </row>
    <row r="109" spans="1:18" ht="13.2" hidden="1" outlineLevel="1" x14ac:dyDescent="0.25">
      <c r="A109" s="1"/>
      <c r="B109" s="21" t="str">
        <f ca="1">IFERROR(__xludf.DUMMYFUNCTION("""COMPUTED_VALUE"""),"Energia Hidraúlica")</f>
        <v>Energia Hidraúlica</v>
      </c>
      <c r="C109" s="22">
        <f ca="1">IFERROR(__xludf.DUMMYFUNCTION("""COMPUTED_VALUE"""),0)</f>
        <v>0</v>
      </c>
      <c r="D109" s="23">
        <f ca="1">IFERROR(__xludf.DUMMYFUNCTION("""COMPUTED_VALUE"""),0)</f>
        <v>0</v>
      </c>
      <c r="E109" s="23">
        <f ca="1">IFERROR(__xludf.DUMMYFUNCTION("""COMPUTED_VALUE"""),0)</f>
        <v>0</v>
      </c>
      <c r="F109" s="23">
        <f ca="1">IFERROR(__xludf.DUMMYFUNCTION("""COMPUTED_VALUE"""),0)</f>
        <v>0</v>
      </c>
      <c r="G109" s="23">
        <f ca="1">IFERROR(__xludf.DUMMYFUNCTION("""COMPUTED_VALUE"""),0)</f>
        <v>0</v>
      </c>
      <c r="H109" s="23">
        <f ca="1">IFERROR(__xludf.DUMMYFUNCTION("""COMPUTED_VALUE"""),0)</f>
        <v>0</v>
      </c>
      <c r="I109" s="23">
        <f ca="1">IFERROR(__xludf.DUMMYFUNCTION("""COMPUTED_VALUE"""),0)</f>
        <v>0</v>
      </c>
      <c r="J109" s="23">
        <f ca="1">IFERROR(__xludf.DUMMYFUNCTION("""COMPUTED_VALUE"""),0)</f>
        <v>0</v>
      </c>
      <c r="K109" s="23">
        <f ca="1">IFERROR(__xludf.DUMMYFUNCTION("""COMPUTED_VALUE"""),0)</f>
        <v>0</v>
      </c>
      <c r="L109" s="23">
        <f ca="1">IFERROR(__xludf.DUMMYFUNCTION("""COMPUTED_VALUE"""),0)</f>
        <v>0</v>
      </c>
      <c r="M109" s="23">
        <f ca="1">IFERROR(__xludf.DUMMYFUNCTION("""COMPUTED_VALUE"""),0)</f>
        <v>0</v>
      </c>
      <c r="N109" s="23">
        <f ca="1">IFERROR(__xludf.DUMMYFUNCTION("""COMPUTED_VALUE"""),0)</f>
        <v>0</v>
      </c>
      <c r="O109" s="23">
        <f ca="1">IFERROR(__xludf.DUMMYFUNCTION("""COMPUTED_VALUE"""),0)</f>
        <v>0</v>
      </c>
      <c r="P109" s="23">
        <f ca="1">IFERROR(__xludf.DUMMYFUNCTION("""COMPUTED_VALUE"""),0)</f>
        <v>0</v>
      </c>
      <c r="Q109" s="24">
        <f ca="1">IFERROR(__xludf.DUMMYFUNCTION("""COMPUTED_VALUE"""),0)</f>
        <v>0</v>
      </c>
      <c r="R109" s="20"/>
    </row>
    <row r="110" spans="1:18" ht="13.2" hidden="1" outlineLevel="1" x14ac:dyDescent="0.25">
      <c r="A110" s="1"/>
      <c r="B110" s="21" t="str">
        <f ca="1">IFERROR(__xludf.DUMMYFUNCTION("""COMPUTED_VALUE"""),"Geoenergía")</f>
        <v>Geoenergía</v>
      </c>
      <c r="C110" s="22">
        <f ca="1">IFERROR(__xludf.DUMMYFUNCTION("""COMPUTED_VALUE"""),0)</f>
        <v>0</v>
      </c>
      <c r="D110" s="23">
        <f ca="1">IFERROR(__xludf.DUMMYFUNCTION("""COMPUTED_VALUE"""),0)</f>
        <v>0</v>
      </c>
      <c r="E110" s="23">
        <f ca="1">IFERROR(__xludf.DUMMYFUNCTION("""COMPUTED_VALUE"""),0)</f>
        <v>0</v>
      </c>
      <c r="F110" s="23">
        <f ca="1">IFERROR(__xludf.DUMMYFUNCTION("""COMPUTED_VALUE"""),0)</f>
        <v>0</v>
      </c>
      <c r="G110" s="23">
        <f ca="1">IFERROR(__xludf.DUMMYFUNCTION("""COMPUTED_VALUE"""),0)</f>
        <v>0</v>
      </c>
      <c r="H110" s="23">
        <f ca="1">IFERROR(__xludf.DUMMYFUNCTION("""COMPUTED_VALUE"""),0)</f>
        <v>0</v>
      </c>
      <c r="I110" s="23">
        <f ca="1">IFERROR(__xludf.DUMMYFUNCTION("""COMPUTED_VALUE"""),0)</f>
        <v>0</v>
      </c>
      <c r="J110" s="23">
        <f ca="1">IFERROR(__xludf.DUMMYFUNCTION("""COMPUTED_VALUE"""),0)</f>
        <v>0</v>
      </c>
      <c r="K110" s="23">
        <f ca="1">IFERROR(__xludf.DUMMYFUNCTION("""COMPUTED_VALUE"""),0)</f>
        <v>0</v>
      </c>
      <c r="L110" s="23">
        <f ca="1">IFERROR(__xludf.DUMMYFUNCTION("""COMPUTED_VALUE"""),0)</f>
        <v>0</v>
      </c>
      <c r="M110" s="23">
        <f ca="1">IFERROR(__xludf.DUMMYFUNCTION("""COMPUTED_VALUE"""),0)</f>
        <v>0</v>
      </c>
      <c r="N110" s="23">
        <f ca="1">IFERROR(__xludf.DUMMYFUNCTION("""COMPUTED_VALUE"""),0)</f>
        <v>0</v>
      </c>
      <c r="O110" s="23">
        <f ca="1">IFERROR(__xludf.DUMMYFUNCTION("""COMPUTED_VALUE"""),0)</f>
        <v>0</v>
      </c>
      <c r="P110" s="23">
        <f ca="1">IFERROR(__xludf.DUMMYFUNCTION("""COMPUTED_VALUE"""),0)</f>
        <v>0</v>
      </c>
      <c r="Q110" s="24">
        <f ca="1">IFERROR(__xludf.DUMMYFUNCTION("""COMPUTED_VALUE"""),0)</f>
        <v>0</v>
      </c>
      <c r="R110" s="20"/>
    </row>
    <row r="111" spans="1:18" ht="13.2" hidden="1" outlineLevel="1" x14ac:dyDescent="0.25">
      <c r="A111" s="1"/>
      <c r="B111" s="21" t="str">
        <f ca="1">IFERROR(__xludf.DUMMYFUNCTION("""COMPUTED_VALUE"""),"Energía solar")</f>
        <v>Energía solar</v>
      </c>
      <c r="C111" s="22">
        <f ca="1">IFERROR(__xludf.DUMMYFUNCTION("""COMPUTED_VALUE"""),0)</f>
        <v>0</v>
      </c>
      <c r="D111" s="23">
        <f ca="1">IFERROR(__xludf.DUMMYFUNCTION("""COMPUTED_VALUE"""),0)</f>
        <v>0</v>
      </c>
      <c r="E111" s="23">
        <f ca="1">IFERROR(__xludf.DUMMYFUNCTION("""COMPUTED_VALUE"""),0)</f>
        <v>0</v>
      </c>
      <c r="F111" s="23">
        <f ca="1">IFERROR(__xludf.DUMMYFUNCTION("""COMPUTED_VALUE"""),0)</f>
        <v>0</v>
      </c>
      <c r="G111" s="23">
        <f ca="1">IFERROR(__xludf.DUMMYFUNCTION("""COMPUTED_VALUE"""),0)</f>
        <v>0</v>
      </c>
      <c r="H111" s="23">
        <f ca="1">IFERROR(__xludf.DUMMYFUNCTION("""COMPUTED_VALUE"""),0)</f>
        <v>0</v>
      </c>
      <c r="I111" s="23">
        <f ca="1">IFERROR(__xludf.DUMMYFUNCTION("""COMPUTED_VALUE"""),0)</f>
        <v>0</v>
      </c>
      <c r="J111" s="23">
        <f ca="1">IFERROR(__xludf.DUMMYFUNCTION("""COMPUTED_VALUE"""),0)</f>
        <v>0</v>
      </c>
      <c r="K111" s="23">
        <f ca="1">IFERROR(__xludf.DUMMYFUNCTION("""COMPUTED_VALUE"""),0)</f>
        <v>0</v>
      </c>
      <c r="L111" s="23">
        <f ca="1">IFERROR(__xludf.DUMMYFUNCTION("""COMPUTED_VALUE"""),0)</f>
        <v>0</v>
      </c>
      <c r="M111" s="23">
        <f ca="1">IFERROR(__xludf.DUMMYFUNCTION("""COMPUTED_VALUE"""),0)</f>
        <v>0</v>
      </c>
      <c r="N111" s="23">
        <f ca="1">IFERROR(__xludf.DUMMYFUNCTION("""COMPUTED_VALUE"""),0)</f>
        <v>0</v>
      </c>
      <c r="O111" s="23">
        <f ca="1">IFERROR(__xludf.DUMMYFUNCTION("""COMPUTED_VALUE"""),0)</f>
        <v>0</v>
      </c>
      <c r="P111" s="23">
        <f ca="1">IFERROR(__xludf.DUMMYFUNCTION("""COMPUTED_VALUE"""),0)</f>
        <v>0</v>
      </c>
      <c r="Q111" s="24">
        <f ca="1">IFERROR(__xludf.DUMMYFUNCTION("""COMPUTED_VALUE"""),0)</f>
        <v>0</v>
      </c>
      <c r="R111" s="20"/>
    </row>
    <row r="112" spans="1:18" ht="13.2" hidden="1" outlineLevel="1" x14ac:dyDescent="0.25">
      <c r="A112" s="1"/>
      <c r="B112" s="21" t="str">
        <f ca="1">IFERROR(__xludf.DUMMYFUNCTION("""COMPUTED_VALUE"""),"Energía eólica")</f>
        <v>Energía eólica</v>
      </c>
      <c r="C112" s="22">
        <f ca="1">IFERROR(__xludf.DUMMYFUNCTION("""COMPUTED_VALUE"""),0)</f>
        <v>0</v>
      </c>
      <c r="D112" s="23">
        <f ca="1">IFERROR(__xludf.DUMMYFUNCTION("""COMPUTED_VALUE"""),0)</f>
        <v>0</v>
      </c>
      <c r="E112" s="23">
        <f ca="1">IFERROR(__xludf.DUMMYFUNCTION("""COMPUTED_VALUE"""),0)</f>
        <v>0</v>
      </c>
      <c r="F112" s="23">
        <f ca="1">IFERROR(__xludf.DUMMYFUNCTION("""COMPUTED_VALUE"""),0)</f>
        <v>0</v>
      </c>
      <c r="G112" s="23">
        <f ca="1">IFERROR(__xludf.DUMMYFUNCTION("""COMPUTED_VALUE"""),0)</f>
        <v>0</v>
      </c>
      <c r="H112" s="23">
        <f ca="1">IFERROR(__xludf.DUMMYFUNCTION("""COMPUTED_VALUE"""),0)</f>
        <v>0</v>
      </c>
      <c r="I112" s="23">
        <f ca="1">IFERROR(__xludf.DUMMYFUNCTION("""COMPUTED_VALUE"""),0)</f>
        <v>0</v>
      </c>
      <c r="J112" s="23">
        <f ca="1">IFERROR(__xludf.DUMMYFUNCTION("""COMPUTED_VALUE"""),0)</f>
        <v>0</v>
      </c>
      <c r="K112" s="23">
        <f ca="1">IFERROR(__xludf.DUMMYFUNCTION("""COMPUTED_VALUE"""),0)</f>
        <v>0</v>
      </c>
      <c r="L112" s="23">
        <f ca="1">IFERROR(__xludf.DUMMYFUNCTION("""COMPUTED_VALUE"""),0)</f>
        <v>0</v>
      </c>
      <c r="M112" s="23">
        <f ca="1">IFERROR(__xludf.DUMMYFUNCTION("""COMPUTED_VALUE"""),0)</f>
        <v>0</v>
      </c>
      <c r="N112" s="23">
        <f ca="1">IFERROR(__xludf.DUMMYFUNCTION("""COMPUTED_VALUE"""),0)</f>
        <v>0</v>
      </c>
      <c r="O112" s="23">
        <f ca="1">IFERROR(__xludf.DUMMYFUNCTION("""COMPUTED_VALUE"""),0)</f>
        <v>0</v>
      </c>
      <c r="P112" s="23">
        <f ca="1">IFERROR(__xludf.DUMMYFUNCTION("""COMPUTED_VALUE"""),0)</f>
        <v>0</v>
      </c>
      <c r="Q112" s="24">
        <f ca="1">IFERROR(__xludf.DUMMYFUNCTION("""COMPUTED_VALUE"""),0)</f>
        <v>0</v>
      </c>
      <c r="R112" s="20"/>
    </row>
    <row r="113" spans="1:18" ht="13.2" hidden="1" outlineLevel="1" x14ac:dyDescent="0.25">
      <c r="A113" s="1"/>
      <c r="B113" s="21" t="str">
        <f ca="1">IFERROR(__xludf.DUMMYFUNCTION("""COMPUTED_VALUE"""),"Bagazo de caña")</f>
        <v>Bagazo de caña</v>
      </c>
      <c r="C113" s="22">
        <f ca="1">IFERROR(__xludf.DUMMYFUNCTION("""COMPUTED_VALUE"""),0)</f>
        <v>0</v>
      </c>
      <c r="D113" s="23">
        <f ca="1">IFERROR(__xludf.DUMMYFUNCTION("""COMPUTED_VALUE"""),0)</f>
        <v>0</v>
      </c>
      <c r="E113" s="23">
        <f ca="1">IFERROR(__xludf.DUMMYFUNCTION("""COMPUTED_VALUE"""),0)</f>
        <v>0</v>
      </c>
      <c r="F113" s="23">
        <f ca="1">IFERROR(__xludf.DUMMYFUNCTION("""COMPUTED_VALUE"""),0)</f>
        <v>0</v>
      </c>
      <c r="G113" s="23">
        <f ca="1">IFERROR(__xludf.DUMMYFUNCTION("""COMPUTED_VALUE"""),0)</f>
        <v>0</v>
      </c>
      <c r="H113" s="23">
        <f ca="1">IFERROR(__xludf.DUMMYFUNCTION("""COMPUTED_VALUE"""),0)</f>
        <v>0</v>
      </c>
      <c r="I113" s="23">
        <f ca="1">IFERROR(__xludf.DUMMYFUNCTION("""COMPUTED_VALUE"""),0)</f>
        <v>0</v>
      </c>
      <c r="J113" s="23">
        <f ca="1">IFERROR(__xludf.DUMMYFUNCTION("""COMPUTED_VALUE"""),0)</f>
        <v>0</v>
      </c>
      <c r="K113" s="23">
        <f ca="1">IFERROR(__xludf.DUMMYFUNCTION("""COMPUTED_VALUE"""),0)</f>
        <v>0</v>
      </c>
      <c r="L113" s="23">
        <f ca="1">IFERROR(__xludf.DUMMYFUNCTION("""COMPUTED_VALUE"""),0)</f>
        <v>0</v>
      </c>
      <c r="M113" s="23">
        <f ca="1">IFERROR(__xludf.DUMMYFUNCTION("""COMPUTED_VALUE"""),0)</f>
        <v>0</v>
      </c>
      <c r="N113" s="23">
        <f ca="1">IFERROR(__xludf.DUMMYFUNCTION("""COMPUTED_VALUE"""),0)</f>
        <v>0</v>
      </c>
      <c r="O113" s="23">
        <f ca="1">IFERROR(__xludf.DUMMYFUNCTION("""COMPUTED_VALUE"""),0)</f>
        <v>0</v>
      </c>
      <c r="P113" s="23">
        <f ca="1">IFERROR(__xludf.DUMMYFUNCTION("""COMPUTED_VALUE"""),0)</f>
        <v>0</v>
      </c>
      <c r="Q113" s="24">
        <f ca="1">IFERROR(__xludf.DUMMYFUNCTION("""COMPUTED_VALUE"""),0)</f>
        <v>0</v>
      </c>
      <c r="R113" s="20"/>
    </row>
    <row r="114" spans="1:18" ht="13.2" hidden="1" outlineLevel="1" x14ac:dyDescent="0.25">
      <c r="A114" s="1"/>
      <c r="B114" s="21" t="str">
        <f ca="1">IFERROR(__xludf.DUMMYFUNCTION("""COMPUTED_VALUE"""),"Leña")</f>
        <v>Leña</v>
      </c>
      <c r="C114" s="22">
        <f ca="1">IFERROR(__xludf.DUMMYFUNCTION("""COMPUTED_VALUE"""),0)</f>
        <v>0</v>
      </c>
      <c r="D114" s="23">
        <f ca="1">IFERROR(__xludf.DUMMYFUNCTION("""COMPUTED_VALUE"""),0)</f>
        <v>0</v>
      </c>
      <c r="E114" s="23">
        <f ca="1">IFERROR(__xludf.DUMMYFUNCTION("""COMPUTED_VALUE"""),0)</f>
        <v>0</v>
      </c>
      <c r="F114" s="23">
        <f ca="1">IFERROR(__xludf.DUMMYFUNCTION("""COMPUTED_VALUE"""),0)</f>
        <v>0</v>
      </c>
      <c r="G114" s="23">
        <f ca="1">IFERROR(__xludf.DUMMYFUNCTION("""COMPUTED_VALUE"""),0)</f>
        <v>0</v>
      </c>
      <c r="H114" s="23">
        <f ca="1">IFERROR(__xludf.DUMMYFUNCTION("""COMPUTED_VALUE"""),0)</f>
        <v>0</v>
      </c>
      <c r="I114" s="23">
        <f ca="1">IFERROR(__xludf.DUMMYFUNCTION("""COMPUTED_VALUE"""),0)</f>
        <v>0</v>
      </c>
      <c r="J114" s="23">
        <f ca="1">IFERROR(__xludf.DUMMYFUNCTION("""COMPUTED_VALUE"""),0)</f>
        <v>0</v>
      </c>
      <c r="K114" s="23">
        <f ca="1">IFERROR(__xludf.DUMMYFUNCTION("""COMPUTED_VALUE"""),0)</f>
        <v>0</v>
      </c>
      <c r="L114" s="23">
        <f ca="1">IFERROR(__xludf.DUMMYFUNCTION("""COMPUTED_VALUE"""),0)</f>
        <v>0</v>
      </c>
      <c r="M114" s="23">
        <f ca="1">IFERROR(__xludf.DUMMYFUNCTION("""COMPUTED_VALUE"""),0)</f>
        <v>0</v>
      </c>
      <c r="N114" s="23">
        <f ca="1">IFERROR(__xludf.DUMMYFUNCTION("""COMPUTED_VALUE"""),0)</f>
        <v>0</v>
      </c>
      <c r="O114" s="23">
        <f ca="1">IFERROR(__xludf.DUMMYFUNCTION("""COMPUTED_VALUE"""),0)</f>
        <v>0</v>
      </c>
      <c r="P114" s="23">
        <f ca="1">IFERROR(__xludf.DUMMYFUNCTION("""COMPUTED_VALUE"""),0)</f>
        <v>0</v>
      </c>
      <c r="Q114" s="24">
        <f ca="1">IFERROR(__xludf.DUMMYFUNCTION("""COMPUTED_VALUE"""),0)</f>
        <v>0</v>
      </c>
      <c r="R114" s="20"/>
    </row>
    <row r="115" spans="1:18" ht="13.2" hidden="1" outlineLevel="1" x14ac:dyDescent="0.25">
      <c r="A115" s="1"/>
      <c r="B115" s="21" t="str">
        <f ca="1">IFERROR(__xludf.DUMMYFUNCTION("""COMPUTED_VALUE"""),"Biogás")</f>
        <v>Biogás</v>
      </c>
      <c r="C115" s="22">
        <f ca="1">IFERROR(__xludf.DUMMYFUNCTION("""COMPUTED_VALUE"""),0)</f>
        <v>0</v>
      </c>
      <c r="D115" s="23">
        <f ca="1">IFERROR(__xludf.DUMMYFUNCTION("""COMPUTED_VALUE"""),0)</f>
        <v>0</v>
      </c>
      <c r="E115" s="23">
        <f ca="1">IFERROR(__xludf.DUMMYFUNCTION("""COMPUTED_VALUE"""),0)</f>
        <v>0</v>
      </c>
      <c r="F115" s="23">
        <f ca="1">IFERROR(__xludf.DUMMYFUNCTION("""COMPUTED_VALUE"""),0)</f>
        <v>0</v>
      </c>
      <c r="G115" s="23">
        <f ca="1">IFERROR(__xludf.DUMMYFUNCTION("""COMPUTED_VALUE"""),0)</f>
        <v>0</v>
      </c>
      <c r="H115" s="23">
        <f ca="1">IFERROR(__xludf.DUMMYFUNCTION("""COMPUTED_VALUE"""),0)</f>
        <v>0</v>
      </c>
      <c r="I115" s="23">
        <f ca="1">IFERROR(__xludf.DUMMYFUNCTION("""COMPUTED_VALUE"""),0)</f>
        <v>0</v>
      </c>
      <c r="J115" s="23">
        <f ca="1">IFERROR(__xludf.DUMMYFUNCTION("""COMPUTED_VALUE"""),0)</f>
        <v>0</v>
      </c>
      <c r="K115" s="23">
        <f ca="1">IFERROR(__xludf.DUMMYFUNCTION("""COMPUTED_VALUE"""),0)</f>
        <v>0</v>
      </c>
      <c r="L115" s="23">
        <f ca="1">IFERROR(__xludf.DUMMYFUNCTION("""COMPUTED_VALUE"""),0)</f>
        <v>0</v>
      </c>
      <c r="M115" s="23">
        <f ca="1">IFERROR(__xludf.DUMMYFUNCTION("""COMPUTED_VALUE"""),0)</f>
        <v>0</v>
      </c>
      <c r="N115" s="23">
        <f ca="1">IFERROR(__xludf.DUMMYFUNCTION("""COMPUTED_VALUE"""),0)</f>
        <v>0</v>
      </c>
      <c r="O115" s="23">
        <f ca="1">IFERROR(__xludf.DUMMYFUNCTION("""COMPUTED_VALUE"""),0)</f>
        <v>0</v>
      </c>
      <c r="P115" s="23">
        <f ca="1">IFERROR(__xludf.DUMMYFUNCTION("""COMPUTED_VALUE"""),0)</f>
        <v>0</v>
      </c>
      <c r="Q115" s="24">
        <f ca="1">IFERROR(__xludf.DUMMYFUNCTION("""COMPUTED_VALUE"""),0)</f>
        <v>0</v>
      </c>
      <c r="R115" s="20"/>
    </row>
    <row r="116" spans="1:18" ht="13.2" hidden="1" outlineLevel="1" x14ac:dyDescent="0.25">
      <c r="A116" s="1"/>
      <c r="B116" s="21" t="str">
        <f ca="1">IFERROR(__xludf.DUMMYFUNCTION("""COMPUTED_VALUE"""),"Coque de carbón")</f>
        <v>Coque de carbón</v>
      </c>
      <c r="C116" s="22">
        <f ca="1">IFERROR(__xludf.DUMMYFUNCTION("""COMPUTED_VALUE"""),0)</f>
        <v>0</v>
      </c>
      <c r="D116" s="23">
        <f ca="1">IFERROR(__xludf.DUMMYFUNCTION("""COMPUTED_VALUE"""),0)</f>
        <v>0</v>
      </c>
      <c r="E116" s="23">
        <f ca="1">IFERROR(__xludf.DUMMYFUNCTION("""COMPUTED_VALUE"""),0)</f>
        <v>0</v>
      </c>
      <c r="F116" s="23">
        <f ca="1">IFERROR(__xludf.DUMMYFUNCTION("""COMPUTED_VALUE"""),0)</f>
        <v>0</v>
      </c>
      <c r="G116" s="23">
        <f ca="1">IFERROR(__xludf.DUMMYFUNCTION("""COMPUTED_VALUE"""),0)</f>
        <v>0</v>
      </c>
      <c r="H116" s="23">
        <f ca="1">IFERROR(__xludf.DUMMYFUNCTION("""COMPUTED_VALUE"""),0)</f>
        <v>0</v>
      </c>
      <c r="I116" s="23">
        <f ca="1">IFERROR(__xludf.DUMMYFUNCTION("""COMPUTED_VALUE"""),0)</f>
        <v>0</v>
      </c>
      <c r="J116" s="23">
        <f ca="1">IFERROR(__xludf.DUMMYFUNCTION("""COMPUTED_VALUE"""),0)</f>
        <v>0</v>
      </c>
      <c r="K116" s="23">
        <f ca="1">IFERROR(__xludf.DUMMYFUNCTION("""COMPUTED_VALUE"""),0)</f>
        <v>0</v>
      </c>
      <c r="L116" s="23">
        <f ca="1">IFERROR(__xludf.DUMMYFUNCTION("""COMPUTED_VALUE"""),0)</f>
        <v>0</v>
      </c>
      <c r="M116" s="23">
        <f ca="1">IFERROR(__xludf.DUMMYFUNCTION("""COMPUTED_VALUE"""),0)</f>
        <v>0</v>
      </c>
      <c r="N116" s="23">
        <f ca="1">IFERROR(__xludf.DUMMYFUNCTION("""COMPUTED_VALUE"""),0)</f>
        <v>0</v>
      </c>
      <c r="O116" s="23">
        <f ca="1">IFERROR(__xludf.DUMMYFUNCTION("""COMPUTED_VALUE"""),0)</f>
        <v>0</v>
      </c>
      <c r="P116" s="23">
        <f ca="1">IFERROR(__xludf.DUMMYFUNCTION("""COMPUTED_VALUE"""),0)</f>
        <v>0</v>
      </c>
      <c r="Q116" s="24">
        <f ca="1">IFERROR(__xludf.DUMMYFUNCTION("""COMPUTED_VALUE"""),0)</f>
        <v>0</v>
      </c>
      <c r="R116" s="20"/>
    </row>
    <row r="117" spans="1:18" ht="13.2" hidden="1" outlineLevel="1" x14ac:dyDescent="0.25">
      <c r="A117" s="1"/>
      <c r="B117" s="21" t="str">
        <f ca="1">IFERROR(__xludf.DUMMYFUNCTION("""COMPUTED_VALUE"""),"Coque de petróleo")</f>
        <v>Coque de petróleo</v>
      </c>
      <c r="C117" s="22">
        <f ca="1">IFERROR(__xludf.DUMMYFUNCTION("""COMPUTED_VALUE"""),-2.5805)</f>
        <v>-2.5804999999999998</v>
      </c>
      <c r="D117" s="23">
        <f ca="1">IFERROR(__xludf.DUMMYFUNCTION("""COMPUTED_VALUE"""),3.645)</f>
        <v>3.645</v>
      </c>
      <c r="E117" s="23">
        <f ca="1">IFERROR(__xludf.DUMMYFUNCTION("""COMPUTED_VALUE"""),7.7455)</f>
        <v>7.7454999999999998</v>
      </c>
      <c r="F117" s="23">
        <f ca="1">IFERROR(__xludf.DUMMYFUNCTION("""COMPUTED_VALUE"""),-0.7229)</f>
        <v>-0.72289999999999999</v>
      </c>
      <c r="G117" s="23">
        <f ca="1">IFERROR(__xludf.DUMMYFUNCTION("""COMPUTED_VALUE"""),-0.117449654929857)</f>
        <v>-0.117449654929857</v>
      </c>
      <c r="H117" s="23">
        <f ca="1">IFERROR(__xludf.DUMMYFUNCTION("""COMPUTED_VALUE"""),0.411136567405929)</f>
        <v>0.41113656740592902</v>
      </c>
      <c r="I117" s="23">
        <f ca="1">IFERROR(__xludf.DUMMYFUNCTION("""COMPUTED_VALUE"""),-0.186)</f>
        <v>-0.186</v>
      </c>
      <c r="J117" s="23">
        <f ca="1">IFERROR(__xludf.DUMMYFUNCTION("""COMPUTED_VALUE"""),2.56648392842758)</f>
        <v>2.56648392842758</v>
      </c>
      <c r="K117" s="23">
        <f ca="1">IFERROR(__xludf.DUMMYFUNCTION("""COMPUTED_VALUE"""),0.320921006601574)</f>
        <v>0.32092100660157402</v>
      </c>
      <c r="L117" s="23">
        <f ca="1">IFERROR(__xludf.DUMMYFUNCTION("""COMPUTED_VALUE"""),0.585244026346939)</f>
        <v>0.58524402634693895</v>
      </c>
      <c r="M117" s="23">
        <f ca="1">IFERROR(__xludf.DUMMYFUNCTION("""COMPUTED_VALUE"""),0.586847434638301)</f>
        <v>0.58684743463830102</v>
      </c>
      <c r="N117" s="23">
        <f ca="1">IFERROR(__xludf.DUMMYFUNCTION("""COMPUTED_VALUE"""),5.64262750644284)</f>
        <v>5.6426275064428397</v>
      </c>
      <c r="O117" s="23">
        <f ca="1">IFERROR(__xludf.DUMMYFUNCTION("""COMPUTED_VALUE"""),-0.0473370612267022)</f>
        <v>-4.7337061226702198E-2</v>
      </c>
      <c r="P117" s="23">
        <f ca="1">IFERROR(__xludf.DUMMYFUNCTION("""COMPUTED_VALUE"""),-1.9933)</f>
        <v>-1.9933000000000001</v>
      </c>
      <c r="Q117" s="24">
        <f ca="1">IFERROR(__xludf.DUMMYFUNCTION("""COMPUTED_VALUE"""),3.10547042513215)</f>
        <v>3.1054704251321499</v>
      </c>
      <c r="R117" s="20"/>
    </row>
    <row r="118" spans="1:18" ht="13.2" hidden="1" outlineLevel="1" x14ac:dyDescent="0.25">
      <c r="A118" s="1"/>
      <c r="B118" s="21" t="str">
        <f ca="1">IFERROR(__xludf.DUMMYFUNCTION("""COMPUTED_VALUE"""),"Gas licuado de petróleo")</f>
        <v>Gas licuado de petróleo</v>
      </c>
      <c r="C118" s="22">
        <f ca="1">IFERROR(__xludf.DUMMYFUNCTION("""COMPUTED_VALUE"""),0)</f>
        <v>0</v>
      </c>
      <c r="D118" s="23">
        <f ca="1">IFERROR(__xludf.DUMMYFUNCTION("""COMPUTED_VALUE"""),0)</f>
        <v>0</v>
      </c>
      <c r="E118" s="23">
        <f ca="1">IFERROR(__xludf.DUMMYFUNCTION("""COMPUTED_VALUE"""),0)</f>
        <v>0</v>
      </c>
      <c r="F118" s="23">
        <f ca="1">IFERROR(__xludf.DUMMYFUNCTION("""COMPUTED_VALUE"""),0)</f>
        <v>0</v>
      </c>
      <c r="G118" s="23">
        <f ca="1">IFERROR(__xludf.DUMMYFUNCTION("""COMPUTED_VALUE"""),0.198629807930617)</f>
        <v>0.19862980793061699</v>
      </c>
      <c r="H118" s="23">
        <f ca="1">IFERROR(__xludf.DUMMYFUNCTION("""COMPUTED_VALUE"""),0.943193396928349)</f>
        <v>0.94319339692834903</v>
      </c>
      <c r="I118" s="23">
        <f ca="1">IFERROR(__xludf.DUMMYFUNCTION("""COMPUTED_VALUE"""),-1.212)</f>
        <v>-1.212</v>
      </c>
      <c r="J118" s="23">
        <f ca="1">IFERROR(__xludf.DUMMYFUNCTION("""COMPUTED_VALUE"""),-2.61088722816758)</f>
        <v>-2.6108872281675799</v>
      </c>
      <c r="K118" s="23">
        <f ca="1">IFERROR(__xludf.DUMMYFUNCTION("""COMPUTED_VALUE"""),2.23427735629485)</f>
        <v>2.2342773562948501</v>
      </c>
      <c r="L118" s="23">
        <f ca="1">IFERROR(__xludf.DUMMYFUNCTION("""COMPUTED_VALUE"""),-0.690524217419853)</f>
        <v>-0.69052421741985304</v>
      </c>
      <c r="M118" s="23">
        <f ca="1">IFERROR(__xludf.DUMMYFUNCTION("""COMPUTED_VALUE"""),1.22170076634478)</f>
        <v>1.2217007663447801</v>
      </c>
      <c r="N118" s="23">
        <f ca="1">IFERROR(__xludf.DUMMYFUNCTION("""COMPUTED_VALUE"""),0.735031623772352)</f>
        <v>0.73503162377235198</v>
      </c>
      <c r="O118" s="23">
        <f ca="1">IFERROR(__xludf.DUMMYFUNCTION("""COMPUTED_VALUE"""),0.216059621510696)</f>
        <v>0.21605962151069599</v>
      </c>
      <c r="P118" s="23">
        <f ca="1">IFERROR(__xludf.DUMMYFUNCTION("""COMPUTED_VALUE"""),-0.53)</f>
        <v>-0.53</v>
      </c>
      <c r="Q118" s="24">
        <f ca="1">IFERROR(__xludf.DUMMYFUNCTION("""COMPUTED_VALUE"""),-0.169205145869771)</f>
        <v>-0.16920514586977101</v>
      </c>
      <c r="R118" s="20"/>
    </row>
    <row r="119" spans="1:18" ht="13.2" hidden="1" outlineLevel="1" x14ac:dyDescent="0.25">
      <c r="A119" s="1"/>
      <c r="B119" s="21" t="str">
        <f ca="1">IFERROR(__xludf.DUMMYFUNCTION("""COMPUTED_VALUE"""),"Gasolinas y naftas")</f>
        <v>Gasolinas y naftas</v>
      </c>
      <c r="C119" s="22">
        <f ca="1">IFERROR(__xludf.DUMMYFUNCTION("""COMPUTED_VALUE"""),0)</f>
        <v>0</v>
      </c>
      <c r="D119" s="23">
        <f ca="1">IFERROR(__xludf.DUMMYFUNCTION("""COMPUTED_VALUE"""),0)</f>
        <v>0</v>
      </c>
      <c r="E119" s="23">
        <f ca="1">IFERROR(__xludf.DUMMYFUNCTION("""COMPUTED_VALUE"""),0)</f>
        <v>0</v>
      </c>
      <c r="F119" s="23">
        <f ca="1">IFERROR(__xludf.DUMMYFUNCTION("""COMPUTED_VALUE"""),0)</f>
        <v>0</v>
      </c>
      <c r="G119" s="23">
        <f ca="1">IFERROR(__xludf.DUMMYFUNCTION("""COMPUTED_VALUE"""),-0.150985831670001)</f>
        <v>-0.15098583167000099</v>
      </c>
      <c r="H119" s="23">
        <f ca="1">IFERROR(__xludf.DUMMYFUNCTION("""COMPUTED_VALUE"""),6.28530870176447)</f>
        <v>6.2853087017644702</v>
      </c>
      <c r="I119" s="23">
        <f ca="1">IFERROR(__xludf.DUMMYFUNCTION("""COMPUTED_VALUE"""),3.676)</f>
        <v>3.6760000000000002</v>
      </c>
      <c r="J119" s="23">
        <f ca="1">IFERROR(__xludf.DUMMYFUNCTION("""COMPUTED_VALUE"""),-3.07802464172153)</f>
        <v>-3.0780246417215298</v>
      </c>
      <c r="K119" s="23">
        <f ca="1">IFERROR(__xludf.DUMMYFUNCTION("""COMPUTED_VALUE"""),60.4056924093321)</f>
        <v>60.405692409332097</v>
      </c>
      <c r="L119" s="23">
        <f ca="1">IFERROR(__xludf.DUMMYFUNCTION("""COMPUTED_VALUE"""),66.7343390537476)</f>
        <v>66.734339053747604</v>
      </c>
      <c r="M119" s="23">
        <f ca="1">IFERROR(__xludf.DUMMYFUNCTION("""COMPUTED_VALUE"""),34.8684694113182)</f>
        <v>34.868469411318202</v>
      </c>
      <c r="N119" s="23">
        <f ca="1">IFERROR(__xludf.DUMMYFUNCTION("""COMPUTED_VALUE"""),2.53327604390399)</f>
        <v>2.5332760439039901</v>
      </c>
      <c r="O119" s="23">
        <f ca="1">IFERROR(__xludf.DUMMYFUNCTION("""COMPUTED_VALUE"""),-0.0791783299439927)</f>
        <v>-7.9178329943992695E-2</v>
      </c>
      <c r="P119" s="23">
        <f ca="1">IFERROR(__xludf.DUMMYFUNCTION("""COMPUTED_VALUE"""),2.2)</f>
        <v>2.2000000000000002</v>
      </c>
      <c r="Q119" s="24">
        <f ca="1">IFERROR(__xludf.DUMMYFUNCTION("""COMPUTED_VALUE"""),-5.57783780568401)</f>
        <v>-5.5778378056840099</v>
      </c>
      <c r="R119" s="20"/>
    </row>
    <row r="120" spans="1:18" ht="13.2" hidden="1" outlineLevel="1" x14ac:dyDescent="0.25">
      <c r="A120" s="1"/>
      <c r="B120" s="21" t="str">
        <f ca="1">IFERROR(__xludf.DUMMYFUNCTION("""COMPUTED_VALUE"""),"Querosenos")</f>
        <v>Querosenos</v>
      </c>
      <c r="C120" s="22">
        <f ca="1">IFERROR(__xludf.DUMMYFUNCTION("""COMPUTED_VALUE"""),0)</f>
        <v>0</v>
      </c>
      <c r="D120" s="23">
        <f ca="1">IFERROR(__xludf.DUMMYFUNCTION("""COMPUTED_VALUE"""),0)</f>
        <v>0</v>
      </c>
      <c r="E120" s="23">
        <f ca="1">IFERROR(__xludf.DUMMYFUNCTION("""COMPUTED_VALUE"""),0)</f>
        <v>0</v>
      </c>
      <c r="F120" s="23">
        <f ca="1">IFERROR(__xludf.DUMMYFUNCTION("""COMPUTED_VALUE"""),0)</f>
        <v>0</v>
      </c>
      <c r="G120" s="23">
        <f ca="1">IFERROR(__xludf.DUMMYFUNCTION("""COMPUTED_VALUE"""),1.73167431663729)</f>
        <v>1.7316743166372901</v>
      </c>
      <c r="H120" s="23">
        <f ca="1">IFERROR(__xludf.DUMMYFUNCTION("""COMPUTED_VALUE"""),-1.79463739742579)</f>
        <v>-1.7946373974257901</v>
      </c>
      <c r="I120" s="23">
        <f ca="1">IFERROR(__xludf.DUMMYFUNCTION("""COMPUTED_VALUE"""),2.047)</f>
        <v>2.0470000000000002</v>
      </c>
      <c r="J120" s="23">
        <f ca="1">IFERROR(__xludf.DUMMYFUNCTION("""COMPUTED_VALUE"""),0.576009682562414)</f>
        <v>0.57600968256241403</v>
      </c>
      <c r="K120" s="23">
        <f ca="1">IFERROR(__xludf.DUMMYFUNCTION("""COMPUTED_VALUE"""),4.46590389382597)</f>
        <v>4.4659038938259696</v>
      </c>
      <c r="L120" s="23">
        <f ca="1">IFERROR(__xludf.DUMMYFUNCTION("""COMPUTED_VALUE"""),16.1571468068169)</f>
        <v>16.1571468068169</v>
      </c>
      <c r="M120" s="23">
        <f ca="1">IFERROR(__xludf.DUMMYFUNCTION("""COMPUTED_VALUE"""),1.24669515941221)</f>
        <v>1.24669515941221</v>
      </c>
      <c r="N120" s="23">
        <f ca="1">IFERROR(__xludf.DUMMYFUNCTION("""COMPUTED_VALUE"""),-1.35435170747162)</f>
        <v>-1.35435170747162</v>
      </c>
      <c r="O120" s="23">
        <f ca="1">IFERROR(__xludf.DUMMYFUNCTION("""COMPUTED_VALUE"""),1.02050350068116)</f>
        <v>1.02050350068116</v>
      </c>
      <c r="P120" s="23">
        <f ca="1">IFERROR(__xludf.DUMMYFUNCTION("""COMPUTED_VALUE"""),-0.376)</f>
        <v>-0.376</v>
      </c>
      <c r="Q120" s="24">
        <f ca="1">IFERROR(__xludf.DUMMYFUNCTION("""COMPUTED_VALUE"""),0.267199305267399)</f>
        <v>0.26719930526739899</v>
      </c>
      <c r="R120" s="20"/>
    </row>
    <row r="121" spans="1:18" ht="13.2" hidden="1" outlineLevel="1" x14ac:dyDescent="0.25">
      <c r="A121" s="1"/>
      <c r="B121" s="21" t="str">
        <f ca="1">IFERROR(__xludf.DUMMYFUNCTION("""COMPUTED_VALUE"""),"Diesel")</f>
        <v>Diesel</v>
      </c>
      <c r="C121" s="22">
        <f ca="1">IFERROR(__xludf.DUMMYFUNCTION("""COMPUTED_VALUE"""),16.1972)</f>
        <v>16.197199999999999</v>
      </c>
      <c r="D121" s="23">
        <f ca="1">IFERROR(__xludf.DUMMYFUNCTION("""COMPUTED_VALUE"""),-9.4415)</f>
        <v>-9.4414999999999996</v>
      </c>
      <c r="E121" s="23">
        <f ca="1">IFERROR(__xludf.DUMMYFUNCTION("""COMPUTED_VALUE"""),-6.6109)</f>
        <v>-6.6109</v>
      </c>
      <c r="F121" s="23">
        <f ca="1">IFERROR(__xludf.DUMMYFUNCTION("""COMPUTED_VALUE"""),3.125)</f>
        <v>3.125</v>
      </c>
      <c r="G121" s="23">
        <f ca="1">IFERROR(__xludf.DUMMYFUNCTION("""COMPUTED_VALUE"""),1.50409895920806)</f>
        <v>1.50409895920806</v>
      </c>
      <c r="H121" s="23">
        <f ca="1">IFERROR(__xludf.DUMMYFUNCTION("""COMPUTED_VALUE"""),-8.7106626655326)</f>
        <v>-8.7106626655326007</v>
      </c>
      <c r="I121" s="23">
        <f ca="1">IFERROR(__xludf.DUMMYFUNCTION("""COMPUTED_VALUE"""),13.461)</f>
        <v>13.461</v>
      </c>
      <c r="J121" s="23">
        <f ca="1">IFERROR(__xludf.DUMMYFUNCTION("""COMPUTED_VALUE"""),-8.1850636515349)</f>
        <v>-8.1850636515349002</v>
      </c>
      <c r="K121" s="23">
        <f ca="1">IFERROR(__xludf.DUMMYFUNCTION("""COMPUTED_VALUE"""),38.707168688354)</f>
        <v>38.707168688354002</v>
      </c>
      <c r="L121" s="23">
        <f ca="1">IFERROR(__xludf.DUMMYFUNCTION("""COMPUTED_VALUE"""),41.7226480633202)</f>
        <v>41.7226480633202</v>
      </c>
      <c r="M121" s="23">
        <f ca="1">IFERROR(__xludf.DUMMYFUNCTION("""COMPUTED_VALUE"""),-23.021348968309)</f>
        <v>-23.021348968308999</v>
      </c>
      <c r="N121" s="23">
        <f ca="1">IFERROR(__xludf.DUMMYFUNCTION("""COMPUTED_VALUE"""),3.91715495571635)</f>
        <v>3.9171549557163501</v>
      </c>
      <c r="O121" s="23">
        <f ca="1">IFERROR(__xludf.DUMMYFUNCTION("""COMPUTED_VALUE"""),-1.22932221574052)</f>
        <v>-1.2293222157405199</v>
      </c>
      <c r="P121" s="23">
        <f ca="1">IFERROR(__xludf.DUMMYFUNCTION("""COMPUTED_VALUE"""),4.282)</f>
        <v>4.282</v>
      </c>
      <c r="Q121" s="24">
        <f ca="1">IFERROR(__xludf.DUMMYFUNCTION("""COMPUTED_VALUE"""),-2.98427954298097)</f>
        <v>-2.9842795429809699</v>
      </c>
      <c r="R121" s="20"/>
    </row>
    <row r="122" spans="1:18" ht="13.2" hidden="1" outlineLevel="1" x14ac:dyDescent="0.25">
      <c r="A122" s="1"/>
      <c r="B122" s="21" t="str">
        <f ca="1">IFERROR(__xludf.DUMMYFUNCTION("""COMPUTED_VALUE"""),"Combustóleo")</f>
        <v>Combustóleo</v>
      </c>
      <c r="C122" s="22">
        <f ca="1">IFERROR(__xludf.DUMMYFUNCTION("""COMPUTED_VALUE"""),-3.7126)</f>
        <v>-3.7126000000000001</v>
      </c>
      <c r="D122" s="23">
        <f ca="1">IFERROR(__xludf.DUMMYFUNCTION("""COMPUTED_VALUE"""),11.9886)</f>
        <v>11.9886</v>
      </c>
      <c r="E122" s="23">
        <f ca="1">IFERROR(__xludf.DUMMYFUNCTION("""COMPUTED_VALUE"""),-0.7491)</f>
        <v>-0.74909999999999999</v>
      </c>
      <c r="F122" s="23">
        <f ca="1">IFERROR(__xludf.DUMMYFUNCTION("""COMPUTED_VALUE"""),9.7266)</f>
        <v>9.7265999999999995</v>
      </c>
      <c r="G122" s="23">
        <f ca="1">IFERROR(__xludf.DUMMYFUNCTION("""COMPUTED_VALUE"""),5.40738995315986)</f>
        <v>5.4073899531598597</v>
      </c>
      <c r="H122" s="23">
        <f ca="1">IFERROR(__xludf.DUMMYFUNCTION("""COMPUTED_VALUE"""),5.96528422933587)</f>
        <v>5.9652842293358699</v>
      </c>
      <c r="I122" s="23">
        <f ca="1">IFERROR(__xludf.DUMMYFUNCTION("""COMPUTED_VALUE"""),-3.734)</f>
        <v>-3.734</v>
      </c>
      <c r="J122" s="23">
        <f ca="1">IFERROR(__xludf.DUMMYFUNCTION("""COMPUTED_VALUE"""),6.68803928161652)</f>
        <v>6.6880392816165202</v>
      </c>
      <c r="K122" s="23">
        <f ca="1">IFERROR(__xludf.DUMMYFUNCTION("""COMPUTED_VALUE"""),14.4853125556661)</f>
        <v>14.4853125556661</v>
      </c>
      <c r="L122" s="23">
        <f ca="1">IFERROR(__xludf.DUMMYFUNCTION("""COMPUTED_VALUE"""),15.8889693203427)</f>
        <v>15.888969320342699</v>
      </c>
      <c r="M122" s="23">
        <f ca="1">IFERROR(__xludf.DUMMYFUNCTION("""COMPUTED_VALUE"""),13.1083327071631)</f>
        <v>13.1083327071631</v>
      </c>
      <c r="N122" s="23">
        <f ca="1">IFERROR(__xludf.DUMMYFUNCTION("""COMPUTED_VALUE"""),8.7680109189171)</f>
        <v>8.7680109189170992</v>
      </c>
      <c r="O122" s="23">
        <f ca="1">IFERROR(__xludf.DUMMYFUNCTION("""COMPUTED_VALUE"""),-1.03083779787429)</f>
        <v>-1.03083779787429</v>
      </c>
      <c r="P122" s="23">
        <f ca="1">IFERROR(__xludf.DUMMYFUNCTION("""COMPUTED_VALUE"""),-12.275)</f>
        <v>-12.275</v>
      </c>
      <c r="Q122" s="24">
        <f ca="1">IFERROR(__xludf.DUMMYFUNCTION("""COMPUTED_VALUE"""),-0.0641433424077715)</f>
        <v>-6.4143342407771503E-2</v>
      </c>
      <c r="R122" s="20"/>
    </row>
    <row r="123" spans="1:18" ht="13.2" hidden="1" outlineLevel="1" x14ac:dyDescent="0.25">
      <c r="A123" s="1"/>
      <c r="B123" s="21" t="str">
        <f ca="1">IFERROR(__xludf.DUMMYFUNCTION("""COMPUTED_VALUE"""),"Otros energéticos")</f>
        <v>Otros energéticos</v>
      </c>
      <c r="C123" s="22">
        <f ca="1">IFERROR(__xludf.DUMMYFUNCTION("""COMPUTED_VALUE"""),-0.1405)</f>
        <v>-0.14050000000000001</v>
      </c>
      <c r="D123" s="23">
        <f ca="1">IFERROR(__xludf.DUMMYFUNCTION("""COMPUTED_VALUE"""),-1.3201)</f>
        <v>-1.3201000000000001</v>
      </c>
      <c r="E123" s="23">
        <f ca="1">IFERROR(__xludf.DUMMYFUNCTION("""COMPUTED_VALUE"""),-0.0634)</f>
        <v>-6.3399999999999998E-2</v>
      </c>
      <c r="F123" s="23">
        <f ca="1">IFERROR(__xludf.DUMMYFUNCTION("""COMPUTED_VALUE"""),1.299)</f>
        <v>1.2989999999999999</v>
      </c>
      <c r="G123" s="23">
        <f ca="1">IFERROR(__xludf.DUMMYFUNCTION("""COMPUTED_VALUE"""),0.404578724106433)</f>
        <v>0.40457872410643297</v>
      </c>
      <c r="H123" s="23">
        <f ca="1">IFERROR(__xludf.DUMMYFUNCTION("""COMPUTED_VALUE"""),0.428747929012216)</f>
        <v>0.42874792901221598</v>
      </c>
      <c r="I123" s="23">
        <f ca="1">IFERROR(__xludf.DUMMYFUNCTION("""COMPUTED_VALUE"""),-1.776)</f>
        <v>-1.776</v>
      </c>
      <c r="J123" s="23">
        <f ca="1">IFERROR(__xludf.DUMMYFUNCTION("""COMPUTED_VALUE"""),-0.342286838556645)</f>
        <v>-0.34228683855664499</v>
      </c>
      <c r="K123" s="23">
        <f ca="1">IFERROR(__xludf.DUMMYFUNCTION("""COMPUTED_VALUE"""),-1.96530814836979)</f>
        <v>-1.9653081483697901</v>
      </c>
      <c r="L123" s="23">
        <f ca="1">IFERROR(__xludf.DUMMYFUNCTION("""COMPUTED_VALUE"""),-1.09574584427906)</f>
        <v>-1.09574584427906</v>
      </c>
      <c r="M123" s="23">
        <f ca="1">IFERROR(__xludf.DUMMYFUNCTION("""COMPUTED_VALUE"""),-1.84970149196441)</f>
        <v>-1.8497014919644099</v>
      </c>
      <c r="N123" s="23">
        <f ca="1">IFERROR(__xludf.DUMMYFUNCTION("""COMPUTED_VALUE"""),-0.331601504533668)</f>
        <v>-0.33160150453366799</v>
      </c>
      <c r="O123" s="23">
        <f ca="1">IFERROR(__xludf.DUMMYFUNCTION("""COMPUTED_VALUE"""),-0.00309156936371648)</f>
        <v>-3.0915693637164799E-3</v>
      </c>
      <c r="P123" s="23">
        <f ca="1">IFERROR(__xludf.DUMMYFUNCTION("""COMPUTED_VALUE"""),-1.567)</f>
        <v>-1.5669999999999999</v>
      </c>
      <c r="Q123" s="24">
        <f ca="1">IFERROR(__xludf.DUMMYFUNCTION("""COMPUTED_VALUE"""),-0.26536024544973)</f>
        <v>-0.26536024544973003</v>
      </c>
      <c r="R123" s="20"/>
    </row>
    <row r="124" spans="1:18" ht="13.2" hidden="1" outlineLevel="1" x14ac:dyDescent="0.25">
      <c r="A124" s="1"/>
      <c r="B124" s="21" t="str">
        <f ca="1">IFERROR(__xludf.DUMMYFUNCTION("""COMPUTED_VALUE"""),"Gas natural seco")</f>
        <v>Gas natural seco</v>
      </c>
      <c r="C124" s="22">
        <f ca="1">IFERROR(__xludf.DUMMYFUNCTION("""COMPUTED_VALUE"""),0.61805)</f>
        <v>0.61804999999999999</v>
      </c>
      <c r="D124" s="23">
        <f ca="1">IFERROR(__xludf.DUMMYFUNCTION("""COMPUTED_VALUE"""),-0.10324)</f>
        <v>-0.10324</v>
      </c>
      <c r="E124" s="23">
        <f ca="1">IFERROR(__xludf.DUMMYFUNCTION("""COMPUTED_VALUE"""),0.70251)</f>
        <v>0.70250999999999997</v>
      </c>
      <c r="F124" s="23">
        <f ca="1">IFERROR(__xludf.DUMMYFUNCTION("""COMPUTED_VALUE"""),1.12859)</f>
        <v>1.12859</v>
      </c>
      <c r="G124" s="23">
        <f ca="1">IFERROR(__xludf.DUMMYFUNCTION("""COMPUTED_VALUE"""),-0.328771395290524)</f>
        <v>-0.32877139529052402</v>
      </c>
      <c r="H124" s="23">
        <f ca="1">IFERROR(__xludf.DUMMYFUNCTION("""COMPUTED_VALUE"""),0.193838186916833)</f>
        <v>0.19383818691683299</v>
      </c>
      <c r="I124" s="23">
        <f ca="1">IFERROR(__xludf.DUMMYFUNCTION("""COMPUTED_VALUE"""),1.016)</f>
        <v>1.016</v>
      </c>
      <c r="J124" s="23">
        <f ca="1">IFERROR(__xludf.DUMMYFUNCTION("""COMPUTED_VALUE"""),2.44259976634474)</f>
        <v>2.4425997663447401</v>
      </c>
      <c r="K124" s="23">
        <f ca="1">IFERROR(__xludf.DUMMYFUNCTION("""COMPUTED_VALUE"""),0.551366574098917)</f>
        <v>0.55136657409891698</v>
      </c>
      <c r="L124" s="23">
        <f ca="1">IFERROR(__xludf.DUMMYFUNCTION("""COMPUTED_VALUE"""),-0.272097543470182)</f>
        <v>-0.272097543470182</v>
      </c>
      <c r="M124" s="23">
        <f ca="1">IFERROR(__xludf.DUMMYFUNCTION("""COMPUTED_VALUE"""),0.368317328227802)</f>
        <v>0.368317328227802</v>
      </c>
      <c r="N124" s="23">
        <f ca="1">IFERROR(__xludf.DUMMYFUNCTION("""COMPUTED_VALUE"""),0.488045817656258)</f>
        <v>0.48804581765625799</v>
      </c>
      <c r="O124" s="23">
        <f ca="1">IFERROR(__xludf.DUMMYFUNCTION("""COMPUTED_VALUE"""),0.230325145837905)</f>
        <v>0.230325145837905</v>
      </c>
      <c r="P124" s="23">
        <f ca="1">IFERROR(__xludf.DUMMYFUNCTION("""COMPUTED_VALUE"""),0.476)</f>
        <v>0.47599999999999998</v>
      </c>
      <c r="Q124" s="24">
        <f ca="1">IFERROR(__xludf.DUMMYFUNCTION("""COMPUTED_VALUE"""),0.492374144669125)</f>
        <v>0.49237414466912499</v>
      </c>
      <c r="R124" s="20"/>
    </row>
    <row r="125" spans="1:18" ht="13.2" hidden="1" outlineLevel="1" x14ac:dyDescent="0.25">
      <c r="A125" s="1"/>
      <c r="B125" s="25" t="str">
        <f ca="1">IFERROR(__xludf.DUMMYFUNCTION("""COMPUTED_VALUE"""),"Energía eléctrica")</f>
        <v>Energía eléctrica</v>
      </c>
      <c r="C125" s="26">
        <f ca="1">IFERROR(__xludf.DUMMYFUNCTION("""COMPUTED_VALUE"""),0)</f>
        <v>0</v>
      </c>
      <c r="D125" s="27">
        <f ca="1">IFERROR(__xludf.DUMMYFUNCTION("""COMPUTED_VALUE"""),0)</f>
        <v>0</v>
      </c>
      <c r="E125" s="27">
        <f ca="1">IFERROR(__xludf.DUMMYFUNCTION("""COMPUTED_VALUE"""),0)</f>
        <v>0</v>
      </c>
      <c r="F125" s="27">
        <f ca="1">IFERROR(__xludf.DUMMYFUNCTION("""COMPUTED_VALUE"""),0)</f>
        <v>0</v>
      </c>
      <c r="G125" s="27">
        <f ca="1">IFERROR(__xludf.DUMMYFUNCTION("""COMPUTED_VALUE"""),0)</f>
        <v>0</v>
      </c>
      <c r="H125" s="27">
        <f ca="1">IFERROR(__xludf.DUMMYFUNCTION("""COMPUTED_VALUE"""),0)</f>
        <v>0</v>
      </c>
      <c r="I125" s="27">
        <f ca="1">IFERROR(__xludf.DUMMYFUNCTION("""COMPUTED_VALUE"""),0)</f>
        <v>0</v>
      </c>
      <c r="J125" s="27">
        <f ca="1">IFERROR(__xludf.DUMMYFUNCTION("""COMPUTED_VALUE"""),0)</f>
        <v>0</v>
      </c>
      <c r="K125" s="27">
        <f ca="1">IFERROR(__xludf.DUMMYFUNCTION("""COMPUTED_VALUE"""),0)</f>
        <v>0</v>
      </c>
      <c r="L125" s="27">
        <f ca="1">IFERROR(__xludf.DUMMYFUNCTION("""COMPUTED_VALUE"""),0)</f>
        <v>0</v>
      </c>
      <c r="M125" s="27">
        <f ca="1">IFERROR(__xludf.DUMMYFUNCTION("""COMPUTED_VALUE"""),0)</f>
        <v>0</v>
      </c>
      <c r="N125" s="27">
        <f ca="1">IFERROR(__xludf.DUMMYFUNCTION("""COMPUTED_VALUE"""),0)</f>
        <v>0</v>
      </c>
      <c r="O125" s="27">
        <f ca="1">IFERROR(__xludf.DUMMYFUNCTION("""COMPUTED_VALUE"""),0)</f>
        <v>0</v>
      </c>
      <c r="P125" s="27">
        <f ca="1">IFERROR(__xludf.DUMMYFUNCTION("""COMPUTED_VALUE"""),0)</f>
        <v>0</v>
      </c>
      <c r="Q125" s="28">
        <f ca="1">IFERROR(__xludf.DUMMYFUNCTION("""COMPUTED_VALUE"""),0)</f>
        <v>0</v>
      </c>
      <c r="R125" s="20"/>
    </row>
    <row r="126" spans="1:18" ht="13.2" hidden="1" outlineLevel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0"/>
    </row>
    <row r="127" spans="1:18" ht="13.2" collapsed="1" x14ac:dyDescent="0.25">
      <c r="A127" s="29"/>
      <c r="B127" s="5" t="str">
        <f ca="1">IFERROR(__xludf.DUMMYFUNCTION("""COMPUTED_VALUE"""),"Exp(e,a)")</f>
        <v>Exp(e,a)</v>
      </c>
      <c r="C127" s="6" t="str">
        <f ca="1">IFERROR(__xludf.DUMMYFUNCTION("""COMPUTED_VALUE"""),"-/")</f>
        <v>-/</v>
      </c>
      <c r="D127" s="7" t="str">
        <f ca="1">IFERROR(__xludf.DUMMYFUNCTION("""COMPUTED_VALUE"""),"Exportación por energético e y año a.")</f>
        <v>Exportación por energético e y año a.</v>
      </c>
      <c r="E127" s="6" t="str">
        <f ca="1">IFERROR(__xludf.DUMMYFUNCTION("""COMPUTED_VALUE"""),"cbne")</f>
        <v>cbne</v>
      </c>
      <c r="F127" s="6" t="str">
        <f ca="1">IFERROR(__xludf.DUMMYFUNCTION("""COMPUTED_VALUE"""),"a")</f>
        <v>a</v>
      </c>
      <c r="G127" s="8" t="str">
        <f ca="1">IFERROR(__xludf.DUMMYFUNCTION("""COMPUTED_VALUE"""),"PJ")</f>
        <v>PJ</v>
      </c>
      <c r="H127" s="9"/>
      <c r="I127" s="1"/>
      <c r="J127" s="1"/>
      <c r="K127" s="1"/>
      <c r="L127" s="1"/>
      <c r="M127" s="1"/>
      <c r="N127" s="1"/>
      <c r="O127" s="1"/>
      <c r="P127" s="1"/>
      <c r="Q127" s="1"/>
      <c r="R127" s="10"/>
    </row>
    <row r="128" spans="1:18" ht="13.2" hidden="1" outlineLevel="1" x14ac:dyDescent="0.25">
      <c r="A128" s="1"/>
      <c r="B128" s="11"/>
      <c r="C128" s="12">
        <f ca="1">IFERROR(__xludf.DUMMYFUNCTION("""COMPUTED_VALUE"""),2010)</f>
        <v>2010</v>
      </c>
      <c r="D128" s="13">
        <f ca="1">IFERROR(__xludf.DUMMYFUNCTION("""COMPUTED_VALUE"""),2011)</f>
        <v>2011</v>
      </c>
      <c r="E128" s="13">
        <f ca="1">IFERROR(__xludf.DUMMYFUNCTION("""COMPUTED_VALUE"""),2012)</f>
        <v>2012</v>
      </c>
      <c r="F128" s="13">
        <f ca="1">IFERROR(__xludf.DUMMYFUNCTION("""COMPUTED_VALUE"""),2013)</f>
        <v>2013</v>
      </c>
      <c r="G128" s="13">
        <f ca="1">IFERROR(__xludf.DUMMYFUNCTION("""COMPUTED_VALUE"""),2014)</f>
        <v>2014</v>
      </c>
      <c r="H128" s="13">
        <f ca="1">IFERROR(__xludf.DUMMYFUNCTION("""COMPUTED_VALUE"""),2015)</f>
        <v>2015</v>
      </c>
      <c r="I128" s="13">
        <f ca="1">IFERROR(__xludf.DUMMYFUNCTION("""COMPUTED_VALUE"""),2016)</f>
        <v>2016</v>
      </c>
      <c r="J128" s="13">
        <f ca="1">IFERROR(__xludf.DUMMYFUNCTION("""COMPUTED_VALUE"""),2017)</f>
        <v>2017</v>
      </c>
      <c r="K128" s="13">
        <f ca="1">IFERROR(__xludf.DUMMYFUNCTION("""COMPUTED_VALUE"""),2018)</f>
        <v>2018</v>
      </c>
      <c r="L128" s="13">
        <f ca="1">IFERROR(__xludf.DUMMYFUNCTION("""COMPUTED_VALUE"""),2019)</f>
        <v>2019</v>
      </c>
      <c r="M128" s="13">
        <f ca="1">IFERROR(__xludf.DUMMYFUNCTION("""COMPUTED_VALUE"""),2020)</f>
        <v>2020</v>
      </c>
      <c r="N128" s="13">
        <f ca="1">IFERROR(__xludf.DUMMYFUNCTION("""COMPUTED_VALUE"""),2021)</f>
        <v>2021</v>
      </c>
      <c r="O128" s="13">
        <f ca="1">IFERROR(__xludf.DUMMYFUNCTION("""COMPUTED_VALUE"""),2022)</f>
        <v>2022</v>
      </c>
      <c r="P128" s="13">
        <f ca="1">IFERROR(__xludf.DUMMYFUNCTION("""COMPUTED_VALUE"""),2023)</f>
        <v>2023</v>
      </c>
      <c r="Q128" s="14">
        <f ca="1">IFERROR(__xludf.DUMMYFUNCTION("""COMPUTED_VALUE"""),2024)</f>
        <v>2024</v>
      </c>
      <c r="R128" s="15"/>
    </row>
    <row r="129" spans="1:18" ht="13.2" hidden="1" outlineLevel="1" x14ac:dyDescent="0.25">
      <c r="A129" s="1"/>
      <c r="B129" s="16" t="str">
        <f ca="1">IFERROR(__xludf.DUMMYFUNCTION("""COMPUTED_VALUE"""),"Carbón mineral")</f>
        <v>Carbón mineral</v>
      </c>
      <c r="C129" s="17">
        <f ca="1">IFERROR(__xludf.DUMMYFUNCTION("""COMPUTED_VALUE"""),-3.22)</f>
        <v>-3.22</v>
      </c>
      <c r="D129" s="18">
        <f ca="1">IFERROR(__xludf.DUMMYFUNCTION("""COMPUTED_VALUE"""),-7.1)</f>
        <v>-7.1</v>
      </c>
      <c r="E129" s="18">
        <f ca="1">IFERROR(__xludf.DUMMYFUNCTION("""COMPUTED_VALUE"""),-6.35)</f>
        <v>-6.35</v>
      </c>
      <c r="F129" s="18">
        <f ca="1">IFERROR(__xludf.DUMMYFUNCTION("""COMPUTED_VALUE"""),-0.14)</f>
        <v>-0.14000000000000001</v>
      </c>
      <c r="G129" s="18">
        <f ca="1">IFERROR(__xludf.DUMMYFUNCTION("""COMPUTED_VALUE"""),-0.1038318377943)</f>
        <v>-0.1038318377943</v>
      </c>
      <c r="H129" s="18">
        <f ca="1">IFERROR(__xludf.DUMMYFUNCTION("""COMPUTED_VALUE"""),-0.08431773578135)</f>
        <v>-8.4317735781350003E-2</v>
      </c>
      <c r="I129" s="18">
        <f ca="1">IFERROR(__xludf.DUMMYFUNCTION("""COMPUTED_VALUE"""),-0.0998971569609)</f>
        <v>-9.9897156960899999E-2</v>
      </c>
      <c r="J129" s="18">
        <f ca="1">IFERROR(__xludf.DUMMYFUNCTION("""COMPUTED_VALUE"""),-0.09924652715125)</f>
        <v>-9.924652715125E-2</v>
      </c>
      <c r="K129" s="18">
        <f ca="1">IFERROR(__xludf.DUMMYFUNCTION("""COMPUTED_VALUE"""),-0.09670567738515)</f>
        <v>-9.6705677385149999E-2</v>
      </c>
      <c r="L129" s="18">
        <f ca="1">IFERROR(__xludf.DUMMYFUNCTION("""COMPUTED_VALUE"""),-0.0968159007149999)</f>
        <v>-9.6815900714999903E-2</v>
      </c>
      <c r="M129" s="18">
        <f ca="1">IFERROR(__xludf.DUMMYFUNCTION("""COMPUTED_VALUE"""),-0.0985264767149999)</f>
        <v>-9.8526476714999894E-2</v>
      </c>
      <c r="N129" s="18">
        <f ca="1">IFERROR(__xludf.DUMMYFUNCTION("""COMPUTED_VALUE"""),-0.101408718865)</f>
        <v>-0.101408718865</v>
      </c>
      <c r="O129" s="18">
        <f ca="1">IFERROR(__xludf.DUMMYFUNCTION("""COMPUTED_VALUE"""),-0.103181726265)</f>
        <v>-0.103181726265</v>
      </c>
      <c r="P129" s="18">
        <f ca="1">IFERROR(__xludf.DUMMYFUNCTION("""COMPUTED_VALUE"""),-0.10791965145)</f>
        <v>-0.10791965145</v>
      </c>
      <c r="Q129" s="19">
        <f ca="1">IFERROR(__xludf.DUMMYFUNCTION("""COMPUTED_VALUE"""),-0.094934953725)</f>
        <v>-9.4934953724999993E-2</v>
      </c>
      <c r="R129" s="20"/>
    </row>
    <row r="130" spans="1:18" ht="13.2" hidden="1" outlineLevel="1" x14ac:dyDescent="0.25">
      <c r="A130" s="1"/>
      <c r="B130" s="21" t="str">
        <f ca="1">IFERROR(__xludf.DUMMYFUNCTION("""COMPUTED_VALUE"""),"Petróleo crudo")</f>
        <v>Petróleo crudo</v>
      </c>
      <c r="C130" s="22">
        <f ca="1">IFERROR(__xludf.DUMMYFUNCTION("""COMPUTED_VALUE"""),-3301)</f>
        <v>-3301</v>
      </c>
      <c r="D130" s="23">
        <f ca="1">IFERROR(__xludf.DUMMYFUNCTION("""COMPUTED_VALUE"""),-3251)</f>
        <v>-3251</v>
      </c>
      <c r="E130" s="23">
        <f ca="1">IFERROR(__xludf.DUMMYFUNCTION("""COMPUTED_VALUE"""),-3001)</f>
        <v>-3001</v>
      </c>
      <c r="F130" s="23">
        <f ca="1">IFERROR(__xludf.DUMMYFUNCTION("""COMPUTED_VALUE"""),-2742)</f>
        <v>-2742</v>
      </c>
      <c r="G130" s="23">
        <f ca="1">IFERROR(__xludf.DUMMYFUNCTION("""COMPUTED_VALUE"""),-2731)</f>
        <v>-2731</v>
      </c>
      <c r="H130" s="23">
        <f ca="1">IFERROR(__xludf.DUMMYFUNCTION("""COMPUTED_VALUE"""),-2633)</f>
        <v>-2633</v>
      </c>
      <c r="I130" s="23">
        <f ca="1">IFERROR(__xludf.DUMMYFUNCTION("""COMPUTED_VALUE"""),-2704)</f>
        <v>-2704</v>
      </c>
      <c r="J130" s="23">
        <f ca="1">IFERROR(__xludf.DUMMYFUNCTION("""COMPUTED_VALUE"""),-2620)</f>
        <v>-2620</v>
      </c>
      <c r="K130" s="23">
        <f ca="1">IFERROR(__xludf.DUMMYFUNCTION("""COMPUTED_VALUE"""),-2711)</f>
        <v>-2711</v>
      </c>
      <c r="L130" s="23">
        <f ca="1">IFERROR(__xludf.DUMMYFUNCTION("""COMPUTED_VALUE"""),-2413)</f>
        <v>-2413</v>
      </c>
      <c r="M130" s="23">
        <f ca="1">IFERROR(__xludf.DUMMYFUNCTION("""COMPUTED_VALUE"""),-2271)</f>
        <v>-2271</v>
      </c>
      <c r="N130" s="23">
        <f ca="1">IFERROR(__xludf.DUMMYFUNCTION("""COMPUTED_VALUE"""),-2057)</f>
        <v>-2057</v>
      </c>
      <c r="O130" s="23">
        <f ca="1">IFERROR(__xludf.DUMMYFUNCTION("""COMPUTED_VALUE"""),-2093)</f>
        <v>-2093</v>
      </c>
      <c r="P130" s="23">
        <f ca="1">IFERROR(__xludf.DUMMYFUNCTION("""COMPUTED_VALUE"""),-2248)</f>
        <v>-2248</v>
      </c>
      <c r="Q130" s="24">
        <f ca="1">IFERROR(__xludf.DUMMYFUNCTION("""COMPUTED_VALUE"""),-1708)</f>
        <v>-1708</v>
      </c>
      <c r="R130" s="20"/>
    </row>
    <row r="131" spans="1:18" ht="13.2" hidden="1" outlineLevel="1" x14ac:dyDescent="0.25">
      <c r="A131" s="1"/>
      <c r="B131" s="21" t="str">
        <f ca="1">IFERROR(__xludf.DUMMYFUNCTION("""COMPUTED_VALUE"""),"Condensados")</f>
        <v>Condensados</v>
      </c>
      <c r="C131" s="22">
        <f ca="1">IFERROR(__xludf.DUMMYFUNCTION("""COMPUTED_VALUE"""),0)</f>
        <v>0</v>
      </c>
      <c r="D131" s="23">
        <f ca="1">IFERROR(__xludf.DUMMYFUNCTION("""COMPUTED_VALUE"""),-1.28)</f>
        <v>-1.28</v>
      </c>
      <c r="E131" s="23">
        <f ca="1">IFERROR(__xludf.DUMMYFUNCTION("""COMPUTED_VALUE"""),-9.81)</f>
        <v>-9.81</v>
      </c>
      <c r="F131" s="23">
        <f ca="1">IFERROR(__xludf.DUMMYFUNCTION("""COMPUTED_VALUE"""),-12.01)</f>
        <v>-12.01</v>
      </c>
      <c r="G131" s="23">
        <f ca="1">IFERROR(__xludf.DUMMYFUNCTION("""COMPUTED_VALUE"""),-1.52237618351814)</f>
        <v>-1.52237618351814</v>
      </c>
      <c r="H131" s="23">
        <f ca="1">IFERROR(__xludf.DUMMYFUNCTION("""COMPUTED_VALUE"""),0)</f>
        <v>0</v>
      </c>
      <c r="I131" s="23">
        <f ca="1">IFERROR(__xludf.DUMMYFUNCTION("""COMPUTED_VALUE"""),0)</f>
        <v>0</v>
      </c>
      <c r="J131" s="23">
        <f ca="1">IFERROR(__xludf.DUMMYFUNCTION("""COMPUTED_VALUE"""),0)</f>
        <v>0</v>
      </c>
      <c r="K131" s="23">
        <f ca="1">IFERROR(__xludf.DUMMYFUNCTION("""COMPUTED_VALUE"""),0)</f>
        <v>0</v>
      </c>
      <c r="L131" s="23">
        <f ca="1">IFERROR(__xludf.DUMMYFUNCTION("""COMPUTED_VALUE"""),0)</f>
        <v>0</v>
      </c>
      <c r="M131" s="23">
        <f ca="1">IFERROR(__xludf.DUMMYFUNCTION("""COMPUTED_VALUE"""),0)</f>
        <v>0</v>
      </c>
      <c r="N131" s="23">
        <f ca="1">IFERROR(__xludf.DUMMYFUNCTION("""COMPUTED_VALUE"""),0)</f>
        <v>0</v>
      </c>
      <c r="O131" s="23">
        <f ca="1">IFERROR(__xludf.DUMMYFUNCTION("""COMPUTED_VALUE"""),0)</f>
        <v>0</v>
      </c>
      <c r="P131" s="23">
        <f ca="1">IFERROR(__xludf.DUMMYFUNCTION("""COMPUTED_VALUE"""),0)</f>
        <v>0</v>
      </c>
      <c r="Q131" s="24">
        <f ca="1">IFERROR(__xludf.DUMMYFUNCTION("""COMPUTED_VALUE"""),0)</f>
        <v>0</v>
      </c>
      <c r="R131" s="20"/>
    </row>
    <row r="132" spans="1:18" ht="13.2" hidden="1" outlineLevel="1" x14ac:dyDescent="0.25">
      <c r="A132" s="1"/>
      <c r="B132" s="21" t="str">
        <f ca="1">IFERROR(__xludf.DUMMYFUNCTION("""COMPUTED_VALUE"""),"Gas natural")</f>
        <v>Gas natural</v>
      </c>
      <c r="C132" s="22">
        <f ca="1">IFERROR(__xludf.DUMMYFUNCTION("""COMPUTED_VALUE"""),0)</f>
        <v>0</v>
      </c>
      <c r="D132" s="23">
        <f ca="1">IFERROR(__xludf.DUMMYFUNCTION("""COMPUTED_VALUE"""),0)</f>
        <v>0</v>
      </c>
      <c r="E132" s="23">
        <f ca="1">IFERROR(__xludf.DUMMYFUNCTION("""COMPUTED_VALUE"""),0)</f>
        <v>0</v>
      </c>
      <c r="F132" s="23">
        <f ca="1">IFERROR(__xludf.DUMMYFUNCTION("""COMPUTED_VALUE"""),0)</f>
        <v>0</v>
      </c>
      <c r="G132" s="23">
        <f ca="1">IFERROR(__xludf.DUMMYFUNCTION("""COMPUTED_VALUE"""),0)</f>
        <v>0</v>
      </c>
      <c r="H132" s="23">
        <f ca="1">IFERROR(__xludf.DUMMYFUNCTION("""COMPUTED_VALUE"""),0)</f>
        <v>0</v>
      </c>
      <c r="I132" s="23">
        <f ca="1">IFERROR(__xludf.DUMMYFUNCTION("""COMPUTED_VALUE"""),0)</f>
        <v>0</v>
      </c>
      <c r="J132" s="23">
        <f ca="1">IFERROR(__xludf.DUMMYFUNCTION("""COMPUTED_VALUE"""),0)</f>
        <v>0</v>
      </c>
      <c r="K132" s="23">
        <f ca="1">IFERROR(__xludf.DUMMYFUNCTION("""COMPUTED_VALUE"""),0)</f>
        <v>0</v>
      </c>
      <c r="L132" s="23">
        <f ca="1">IFERROR(__xludf.DUMMYFUNCTION("""COMPUTED_VALUE"""),0)</f>
        <v>0</v>
      </c>
      <c r="M132" s="23">
        <f ca="1">IFERROR(__xludf.DUMMYFUNCTION("""COMPUTED_VALUE"""),0)</f>
        <v>0</v>
      </c>
      <c r="N132" s="23">
        <f ca="1">IFERROR(__xludf.DUMMYFUNCTION("""COMPUTED_VALUE"""),0)</f>
        <v>0</v>
      </c>
      <c r="O132" s="23">
        <f ca="1">IFERROR(__xludf.DUMMYFUNCTION("""COMPUTED_VALUE"""),0)</f>
        <v>0</v>
      </c>
      <c r="P132" s="23">
        <f ca="1">IFERROR(__xludf.DUMMYFUNCTION("""COMPUTED_VALUE"""),0)</f>
        <v>0</v>
      </c>
      <c r="Q132" s="24">
        <f ca="1">IFERROR(__xludf.DUMMYFUNCTION("""COMPUTED_VALUE"""),0)</f>
        <v>0</v>
      </c>
      <c r="R132" s="20"/>
    </row>
    <row r="133" spans="1:18" ht="13.2" hidden="1" outlineLevel="1" x14ac:dyDescent="0.25">
      <c r="A133" s="1"/>
      <c r="B133" s="21" t="str">
        <f ca="1">IFERROR(__xludf.DUMMYFUNCTION("""COMPUTED_VALUE"""),"Energía Nuclear")</f>
        <v>Energía Nuclear</v>
      </c>
      <c r="C133" s="22">
        <f ca="1">IFERROR(__xludf.DUMMYFUNCTION("""COMPUTED_VALUE"""),0)</f>
        <v>0</v>
      </c>
      <c r="D133" s="23">
        <f ca="1">IFERROR(__xludf.DUMMYFUNCTION("""COMPUTED_VALUE"""),0)</f>
        <v>0</v>
      </c>
      <c r="E133" s="23">
        <f ca="1">IFERROR(__xludf.DUMMYFUNCTION("""COMPUTED_VALUE"""),0)</f>
        <v>0</v>
      </c>
      <c r="F133" s="23">
        <f ca="1">IFERROR(__xludf.DUMMYFUNCTION("""COMPUTED_VALUE"""),0)</f>
        <v>0</v>
      </c>
      <c r="G133" s="23">
        <f ca="1">IFERROR(__xludf.DUMMYFUNCTION("""COMPUTED_VALUE"""),0)</f>
        <v>0</v>
      </c>
      <c r="H133" s="23">
        <f ca="1">IFERROR(__xludf.DUMMYFUNCTION("""COMPUTED_VALUE"""),0)</f>
        <v>0</v>
      </c>
      <c r="I133" s="23">
        <f ca="1">IFERROR(__xludf.DUMMYFUNCTION("""COMPUTED_VALUE"""),0)</f>
        <v>0</v>
      </c>
      <c r="J133" s="23">
        <f ca="1">IFERROR(__xludf.DUMMYFUNCTION("""COMPUTED_VALUE"""),0)</f>
        <v>0</v>
      </c>
      <c r="K133" s="23">
        <f ca="1">IFERROR(__xludf.DUMMYFUNCTION("""COMPUTED_VALUE"""),0)</f>
        <v>0</v>
      </c>
      <c r="L133" s="23">
        <f ca="1">IFERROR(__xludf.DUMMYFUNCTION("""COMPUTED_VALUE"""),0)</f>
        <v>0</v>
      </c>
      <c r="M133" s="23">
        <f ca="1">IFERROR(__xludf.DUMMYFUNCTION("""COMPUTED_VALUE"""),0)</f>
        <v>0</v>
      </c>
      <c r="N133" s="23">
        <f ca="1">IFERROR(__xludf.DUMMYFUNCTION("""COMPUTED_VALUE"""),0)</f>
        <v>0</v>
      </c>
      <c r="O133" s="23">
        <f ca="1">IFERROR(__xludf.DUMMYFUNCTION("""COMPUTED_VALUE"""),0)</f>
        <v>0</v>
      </c>
      <c r="P133" s="23">
        <f ca="1">IFERROR(__xludf.DUMMYFUNCTION("""COMPUTED_VALUE"""),0)</f>
        <v>0</v>
      </c>
      <c r="Q133" s="24">
        <f ca="1">IFERROR(__xludf.DUMMYFUNCTION("""COMPUTED_VALUE"""),0)</f>
        <v>0</v>
      </c>
      <c r="R133" s="20"/>
    </row>
    <row r="134" spans="1:18" ht="13.2" hidden="1" outlineLevel="1" x14ac:dyDescent="0.25">
      <c r="A134" s="1"/>
      <c r="B134" s="21" t="str">
        <f ca="1">IFERROR(__xludf.DUMMYFUNCTION("""COMPUTED_VALUE"""),"Energia Hidraúlica")</f>
        <v>Energia Hidraúlica</v>
      </c>
      <c r="C134" s="22">
        <f ca="1">IFERROR(__xludf.DUMMYFUNCTION("""COMPUTED_VALUE"""),0)</f>
        <v>0</v>
      </c>
      <c r="D134" s="23">
        <f ca="1">IFERROR(__xludf.DUMMYFUNCTION("""COMPUTED_VALUE"""),0)</f>
        <v>0</v>
      </c>
      <c r="E134" s="23">
        <f ca="1">IFERROR(__xludf.DUMMYFUNCTION("""COMPUTED_VALUE"""),0)</f>
        <v>0</v>
      </c>
      <c r="F134" s="23">
        <f ca="1">IFERROR(__xludf.DUMMYFUNCTION("""COMPUTED_VALUE"""),0)</f>
        <v>0</v>
      </c>
      <c r="G134" s="23">
        <f ca="1">IFERROR(__xludf.DUMMYFUNCTION("""COMPUTED_VALUE"""),0)</f>
        <v>0</v>
      </c>
      <c r="H134" s="23">
        <f ca="1">IFERROR(__xludf.DUMMYFUNCTION("""COMPUTED_VALUE"""),0)</f>
        <v>0</v>
      </c>
      <c r="I134" s="23">
        <f ca="1">IFERROR(__xludf.DUMMYFUNCTION("""COMPUTED_VALUE"""),0)</f>
        <v>0</v>
      </c>
      <c r="J134" s="23">
        <f ca="1">IFERROR(__xludf.DUMMYFUNCTION("""COMPUTED_VALUE"""),0)</f>
        <v>0</v>
      </c>
      <c r="K134" s="23">
        <f ca="1">IFERROR(__xludf.DUMMYFUNCTION("""COMPUTED_VALUE"""),0)</f>
        <v>0</v>
      </c>
      <c r="L134" s="23">
        <f ca="1">IFERROR(__xludf.DUMMYFUNCTION("""COMPUTED_VALUE"""),0)</f>
        <v>0</v>
      </c>
      <c r="M134" s="23">
        <f ca="1">IFERROR(__xludf.DUMMYFUNCTION("""COMPUTED_VALUE"""),0)</f>
        <v>0</v>
      </c>
      <c r="N134" s="23">
        <f ca="1">IFERROR(__xludf.DUMMYFUNCTION("""COMPUTED_VALUE"""),0)</f>
        <v>0</v>
      </c>
      <c r="O134" s="23">
        <f ca="1">IFERROR(__xludf.DUMMYFUNCTION("""COMPUTED_VALUE"""),0)</f>
        <v>0</v>
      </c>
      <c r="P134" s="23">
        <f ca="1">IFERROR(__xludf.DUMMYFUNCTION("""COMPUTED_VALUE"""),0)</f>
        <v>0</v>
      </c>
      <c r="Q134" s="24">
        <f ca="1">IFERROR(__xludf.DUMMYFUNCTION("""COMPUTED_VALUE"""),0)</f>
        <v>0</v>
      </c>
      <c r="R134" s="20"/>
    </row>
    <row r="135" spans="1:18" ht="13.2" hidden="1" outlineLevel="1" x14ac:dyDescent="0.25">
      <c r="A135" s="1"/>
      <c r="B135" s="21" t="str">
        <f ca="1">IFERROR(__xludf.DUMMYFUNCTION("""COMPUTED_VALUE"""),"Geoenergía")</f>
        <v>Geoenergía</v>
      </c>
      <c r="C135" s="22">
        <f ca="1">IFERROR(__xludf.DUMMYFUNCTION("""COMPUTED_VALUE"""),0)</f>
        <v>0</v>
      </c>
      <c r="D135" s="23">
        <f ca="1">IFERROR(__xludf.DUMMYFUNCTION("""COMPUTED_VALUE"""),0)</f>
        <v>0</v>
      </c>
      <c r="E135" s="23">
        <f ca="1">IFERROR(__xludf.DUMMYFUNCTION("""COMPUTED_VALUE"""),0)</f>
        <v>0</v>
      </c>
      <c r="F135" s="23">
        <f ca="1">IFERROR(__xludf.DUMMYFUNCTION("""COMPUTED_VALUE"""),0)</f>
        <v>0</v>
      </c>
      <c r="G135" s="23">
        <f ca="1">IFERROR(__xludf.DUMMYFUNCTION("""COMPUTED_VALUE"""),0)</f>
        <v>0</v>
      </c>
      <c r="H135" s="23">
        <f ca="1">IFERROR(__xludf.DUMMYFUNCTION("""COMPUTED_VALUE"""),0)</f>
        <v>0</v>
      </c>
      <c r="I135" s="23">
        <f ca="1">IFERROR(__xludf.DUMMYFUNCTION("""COMPUTED_VALUE"""),0)</f>
        <v>0</v>
      </c>
      <c r="J135" s="23">
        <f ca="1">IFERROR(__xludf.DUMMYFUNCTION("""COMPUTED_VALUE"""),0)</f>
        <v>0</v>
      </c>
      <c r="K135" s="23">
        <f ca="1">IFERROR(__xludf.DUMMYFUNCTION("""COMPUTED_VALUE"""),0)</f>
        <v>0</v>
      </c>
      <c r="L135" s="23">
        <f ca="1">IFERROR(__xludf.DUMMYFUNCTION("""COMPUTED_VALUE"""),0)</f>
        <v>0</v>
      </c>
      <c r="M135" s="23">
        <f ca="1">IFERROR(__xludf.DUMMYFUNCTION("""COMPUTED_VALUE"""),0)</f>
        <v>0</v>
      </c>
      <c r="N135" s="23">
        <f ca="1">IFERROR(__xludf.DUMMYFUNCTION("""COMPUTED_VALUE"""),0)</f>
        <v>0</v>
      </c>
      <c r="O135" s="23">
        <f ca="1">IFERROR(__xludf.DUMMYFUNCTION("""COMPUTED_VALUE"""),0)</f>
        <v>0</v>
      </c>
      <c r="P135" s="23">
        <f ca="1">IFERROR(__xludf.DUMMYFUNCTION("""COMPUTED_VALUE"""),0)</f>
        <v>0</v>
      </c>
      <c r="Q135" s="24">
        <f ca="1">IFERROR(__xludf.DUMMYFUNCTION("""COMPUTED_VALUE"""),0)</f>
        <v>0</v>
      </c>
      <c r="R135" s="20"/>
    </row>
    <row r="136" spans="1:18" ht="13.2" hidden="1" outlineLevel="1" x14ac:dyDescent="0.25">
      <c r="A136" s="1"/>
      <c r="B136" s="21" t="str">
        <f ca="1">IFERROR(__xludf.DUMMYFUNCTION("""COMPUTED_VALUE"""),"Energía solar")</f>
        <v>Energía solar</v>
      </c>
      <c r="C136" s="22">
        <f ca="1">IFERROR(__xludf.DUMMYFUNCTION("""COMPUTED_VALUE"""),0)</f>
        <v>0</v>
      </c>
      <c r="D136" s="23">
        <f ca="1">IFERROR(__xludf.DUMMYFUNCTION("""COMPUTED_VALUE"""),0)</f>
        <v>0</v>
      </c>
      <c r="E136" s="23">
        <f ca="1">IFERROR(__xludf.DUMMYFUNCTION("""COMPUTED_VALUE"""),0)</f>
        <v>0</v>
      </c>
      <c r="F136" s="23">
        <f ca="1">IFERROR(__xludf.DUMMYFUNCTION("""COMPUTED_VALUE"""),0)</f>
        <v>0</v>
      </c>
      <c r="G136" s="23">
        <f ca="1">IFERROR(__xludf.DUMMYFUNCTION("""COMPUTED_VALUE"""),0)</f>
        <v>0</v>
      </c>
      <c r="H136" s="23">
        <f ca="1">IFERROR(__xludf.DUMMYFUNCTION("""COMPUTED_VALUE"""),0)</f>
        <v>0</v>
      </c>
      <c r="I136" s="23">
        <f ca="1">IFERROR(__xludf.DUMMYFUNCTION("""COMPUTED_VALUE"""),0)</f>
        <v>0</v>
      </c>
      <c r="J136" s="23">
        <f ca="1">IFERROR(__xludf.DUMMYFUNCTION("""COMPUTED_VALUE"""),0)</f>
        <v>0</v>
      </c>
      <c r="K136" s="23">
        <f ca="1">IFERROR(__xludf.DUMMYFUNCTION("""COMPUTED_VALUE"""),0)</f>
        <v>0</v>
      </c>
      <c r="L136" s="23">
        <f ca="1">IFERROR(__xludf.DUMMYFUNCTION("""COMPUTED_VALUE"""),0)</f>
        <v>0</v>
      </c>
      <c r="M136" s="23">
        <f ca="1">IFERROR(__xludf.DUMMYFUNCTION("""COMPUTED_VALUE"""),0)</f>
        <v>0</v>
      </c>
      <c r="N136" s="23">
        <f ca="1">IFERROR(__xludf.DUMMYFUNCTION("""COMPUTED_VALUE"""),0)</f>
        <v>0</v>
      </c>
      <c r="O136" s="23">
        <f ca="1">IFERROR(__xludf.DUMMYFUNCTION("""COMPUTED_VALUE"""),0)</f>
        <v>0</v>
      </c>
      <c r="P136" s="23">
        <f ca="1">IFERROR(__xludf.DUMMYFUNCTION("""COMPUTED_VALUE"""),0)</f>
        <v>0</v>
      </c>
      <c r="Q136" s="24">
        <f ca="1">IFERROR(__xludf.DUMMYFUNCTION("""COMPUTED_VALUE"""),0)</f>
        <v>0</v>
      </c>
      <c r="R136" s="20"/>
    </row>
    <row r="137" spans="1:18" ht="13.2" hidden="1" outlineLevel="1" x14ac:dyDescent="0.25">
      <c r="A137" s="1"/>
      <c r="B137" s="21" t="str">
        <f ca="1">IFERROR(__xludf.DUMMYFUNCTION("""COMPUTED_VALUE"""),"Energía eólica")</f>
        <v>Energía eólica</v>
      </c>
      <c r="C137" s="22">
        <f ca="1">IFERROR(__xludf.DUMMYFUNCTION("""COMPUTED_VALUE"""),0)</f>
        <v>0</v>
      </c>
      <c r="D137" s="23">
        <f ca="1">IFERROR(__xludf.DUMMYFUNCTION("""COMPUTED_VALUE"""),0)</f>
        <v>0</v>
      </c>
      <c r="E137" s="23">
        <f ca="1">IFERROR(__xludf.DUMMYFUNCTION("""COMPUTED_VALUE"""),0)</f>
        <v>0</v>
      </c>
      <c r="F137" s="23">
        <f ca="1">IFERROR(__xludf.DUMMYFUNCTION("""COMPUTED_VALUE"""),0)</f>
        <v>0</v>
      </c>
      <c r="G137" s="23">
        <f ca="1">IFERROR(__xludf.DUMMYFUNCTION("""COMPUTED_VALUE"""),0)</f>
        <v>0</v>
      </c>
      <c r="H137" s="23">
        <f ca="1">IFERROR(__xludf.DUMMYFUNCTION("""COMPUTED_VALUE"""),0)</f>
        <v>0</v>
      </c>
      <c r="I137" s="23">
        <f ca="1">IFERROR(__xludf.DUMMYFUNCTION("""COMPUTED_VALUE"""),0)</f>
        <v>0</v>
      </c>
      <c r="J137" s="23">
        <f ca="1">IFERROR(__xludf.DUMMYFUNCTION("""COMPUTED_VALUE"""),0)</f>
        <v>0</v>
      </c>
      <c r="K137" s="23">
        <f ca="1">IFERROR(__xludf.DUMMYFUNCTION("""COMPUTED_VALUE"""),0)</f>
        <v>0</v>
      </c>
      <c r="L137" s="23">
        <f ca="1">IFERROR(__xludf.DUMMYFUNCTION("""COMPUTED_VALUE"""),0)</f>
        <v>0</v>
      </c>
      <c r="M137" s="23">
        <f ca="1">IFERROR(__xludf.DUMMYFUNCTION("""COMPUTED_VALUE"""),0)</f>
        <v>0</v>
      </c>
      <c r="N137" s="23">
        <f ca="1">IFERROR(__xludf.DUMMYFUNCTION("""COMPUTED_VALUE"""),0)</f>
        <v>0</v>
      </c>
      <c r="O137" s="23">
        <f ca="1">IFERROR(__xludf.DUMMYFUNCTION("""COMPUTED_VALUE"""),0)</f>
        <v>0</v>
      </c>
      <c r="P137" s="23">
        <f ca="1">IFERROR(__xludf.DUMMYFUNCTION("""COMPUTED_VALUE"""),0)</f>
        <v>0</v>
      </c>
      <c r="Q137" s="24">
        <f ca="1">IFERROR(__xludf.DUMMYFUNCTION("""COMPUTED_VALUE"""),0)</f>
        <v>0</v>
      </c>
      <c r="R137" s="20"/>
    </row>
    <row r="138" spans="1:18" ht="13.2" hidden="1" outlineLevel="1" x14ac:dyDescent="0.25">
      <c r="A138" s="1"/>
      <c r="B138" s="21" t="str">
        <f ca="1">IFERROR(__xludf.DUMMYFUNCTION("""COMPUTED_VALUE"""),"Bagazo de caña")</f>
        <v>Bagazo de caña</v>
      </c>
      <c r="C138" s="22">
        <f ca="1">IFERROR(__xludf.DUMMYFUNCTION("""COMPUTED_VALUE"""),0)</f>
        <v>0</v>
      </c>
      <c r="D138" s="23">
        <f ca="1">IFERROR(__xludf.DUMMYFUNCTION("""COMPUTED_VALUE"""),0)</f>
        <v>0</v>
      </c>
      <c r="E138" s="23">
        <f ca="1">IFERROR(__xludf.DUMMYFUNCTION("""COMPUTED_VALUE"""),0)</f>
        <v>0</v>
      </c>
      <c r="F138" s="23">
        <f ca="1">IFERROR(__xludf.DUMMYFUNCTION("""COMPUTED_VALUE"""),0)</f>
        <v>0</v>
      </c>
      <c r="G138" s="23">
        <f ca="1">IFERROR(__xludf.DUMMYFUNCTION("""COMPUTED_VALUE"""),0)</f>
        <v>0</v>
      </c>
      <c r="H138" s="23">
        <f ca="1">IFERROR(__xludf.DUMMYFUNCTION("""COMPUTED_VALUE"""),0)</f>
        <v>0</v>
      </c>
      <c r="I138" s="23">
        <f ca="1">IFERROR(__xludf.DUMMYFUNCTION("""COMPUTED_VALUE"""),0)</f>
        <v>0</v>
      </c>
      <c r="J138" s="23">
        <f ca="1">IFERROR(__xludf.DUMMYFUNCTION("""COMPUTED_VALUE"""),0)</f>
        <v>0</v>
      </c>
      <c r="K138" s="23">
        <f ca="1">IFERROR(__xludf.DUMMYFUNCTION("""COMPUTED_VALUE"""),0)</f>
        <v>0</v>
      </c>
      <c r="L138" s="23">
        <f ca="1">IFERROR(__xludf.DUMMYFUNCTION("""COMPUTED_VALUE"""),0)</f>
        <v>0</v>
      </c>
      <c r="M138" s="23">
        <f ca="1">IFERROR(__xludf.DUMMYFUNCTION("""COMPUTED_VALUE"""),0)</f>
        <v>0</v>
      </c>
      <c r="N138" s="23">
        <f ca="1">IFERROR(__xludf.DUMMYFUNCTION("""COMPUTED_VALUE"""),0)</f>
        <v>0</v>
      </c>
      <c r="O138" s="23">
        <f ca="1">IFERROR(__xludf.DUMMYFUNCTION("""COMPUTED_VALUE"""),0)</f>
        <v>0</v>
      </c>
      <c r="P138" s="23">
        <f ca="1">IFERROR(__xludf.DUMMYFUNCTION("""COMPUTED_VALUE"""),0)</f>
        <v>0</v>
      </c>
      <c r="Q138" s="24">
        <f ca="1">IFERROR(__xludf.DUMMYFUNCTION("""COMPUTED_VALUE"""),0)</f>
        <v>0</v>
      </c>
      <c r="R138" s="20"/>
    </row>
    <row r="139" spans="1:18" ht="13.2" hidden="1" outlineLevel="1" x14ac:dyDescent="0.25">
      <c r="A139" s="1"/>
      <c r="B139" s="21" t="str">
        <f ca="1">IFERROR(__xludf.DUMMYFUNCTION("""COMPUTED_VALUE"""),"Leña")</f>
        <v>Leña</v>
      </c>
      <c r="C139" s="22">
        <f ca="1">IFERROR(__xludf.DUMMYFUNCTION("""COMPUTED_VALUE"""),0)</f>
        <v>0</v>
      </c>
      <c r="D139" s="23">
        <f ca="1">IFERROR(__xludf.DUMMYFUNCTION("""COMPUTED_VALUE"""),0)</f>
        <v>0</v>
      </c>
      <c r="E139" s="23">
        <f ca="1">IFERROR(__xludf.DUMMYFUNCTION("""COMPUTED_VALUE"""),0)</f>
        <v>0</v>
      </c>
      <c r="F139" s="23">
        <f ca="1">IFERROR(__xludf.DUMMYFUNCTION("""COMPUTED_VALUE"""),0)</f>
        <v>0</v>
      </c>
      <c r="G139" s="23">
        <f ca="1">IFERROR(__xludf.DUMMYFUNCTION("""COMPUTED_VALUE"""),0)</f>
        <v>0</v>
      </c>
      <c r="H139" s="23">
        <f ca="1">IFERROR(__xludf.DUMMYFUNCTION("""COMPUTED_VALUE"""),0)</f>
        <v>0</v>
      </c>
      <c r="I139" s="23">
        <f ca="1">IFERROR(__xludf.DUMMYFUNCTION("""COMPUTED_VALUE"""),0)</f>
        <v>0</v>
      </c>
      <c r="J139" s="23">
        <f ca="1">IFERROR(__xludf.DUMMYFUNCTION("""COMPUTED_VALUE"""),0)</f>
        <v>0</v>
      </c>
      <c r="K139" s="23">
        <f ca="1">IFERROR(__xludf.DUMMYFUNCTION("""COMPUTED_VALUE"""),0)</f>
        <v>0</v>
      </c>
      <c r="L139" s="23">
        <f ca="1">IFERROR(__xludf.DUMMYFUNCTION("""COMPUTED_VALUE"""),0)</f>
        <v>0</v>
      </c>
      <c r="M139" s="23">
        <f ca="1">IFERROR(__xludf.DUMMYFUNCTION("""COMPUTED_VALUE"""),0)</f>
        <v>0</v>
      </c>
      <c r="N139" s="23">
        <f ca="1">IFERROR(__xludf.DUMMYFUNCTION("""COMPUTED_VALUE"""),0)</f>
        <v>0</v>
      </c>
      <c r="O139" s="23">
        <f ca="1">IFERROR(__xludf.DUMMYFUNCTION("""COMPUTED_VALUE"""),0)</f>
        <v>0</v>
      </c>
      <c r="P139" s="23">
        <f ca="1">IFERROR(__xludf.DUMMYFUNCTION("""COMPUTED_VALUE"""),0)</f>
        <v>0</v>
      </c>
      <c r="Q139" s="24">
        <f ca="1">IFERROR(__xludf.DUMMYFUNCTION("""COMPUTED_VALUE"""),0)</f>
        <v>0</v>
      </c>
      <c r="R139" s="20"/>
    </row>
    <row r="140" spans="1:18" ht="13.2" hidden="1" outlineLevel="1" x14ac:dyDescent="0.25">
      <c r="A140" s="1"/>
      <c r="B140" s="21" t="str">
        <f ca="1">IFERROR(__xludf.DUMMYFUNCTION("""COMPUTED_VALUE"""),"Biogás")</f>
        <v>Biogás</v>
      </c>
      <c r="C140" s="22">
        <f ca="1">IFERROR(__xludf.DUMMYFUNCTION("""COMPUTED_VALUE"""),0)</f>
        <v>0</v>
      </c>
      <c r="D140" s="23">
        <f ca="1">IFERROR(__xludf.DUMMYFUNCTION("""COMPUTED_VALUE"""),0)</f>
        <v>0</v>
      </c>
      <c r="E140" s="23">
        <f ca="1">IFERROR(__xludf.DUMMYFUNCTION("""COMPUTED_VALUE"""),0)</f>
        <v>0</v>
      </c>
      <c r="F140" s="23">
        <f ca="1">IFERROR(__xludf.DUMMYFUNCTION("""COMPUTED_VALUE"""),0)</f>
        <v>0</v>
      </c>
      <c r="G140" s="23">
        <f ca="1">IFERROR(__xludf.DUMMYFUNCTION("""COMPUTED_VALUE"""),0)</f>
        <v>0</v>
      </c>
      <c r="H140" s="23">
        <f ca="1">IFERROR(__xludf.DUMMYFUNCTION("""COMPUTED_VALUE"""),0)</f>
        <v>0</v>
      </c>
      <c r="I140" s="23">
        <f ca="1">IFERROR(__xludf.DUMMYFUNCTION("""COMPUTED_VALUE"""),0)</f>
        <v>0</v>
      </c>
      <c r="J140" s="23">
        <f ca="1">IFERROR(__xludf.DUMMYFUNCTION("""COMPUTED_VALUE"""),0)</f>
        <v>0</v>
      </c>
      <c r="K140" s="23">
        <f ca="1">IFERROR(__xludf.DUMMYFUNCTION("""COMPUTED_VALUE"""),0)</f>
        <v>0</v>
      </c>
      <c r="L140" s="23">
        <f ca="1">IFERROR(__xludf.DUMMYFUNCTION("""COMPUTED_VALUE"""),0)</f>
        <v>0</v>
      </c>
      <c r="M140" s="23">
        <f ca="1">IFERROR(__xludf.DUMMYFUNCTION("""COMPUTED_VALUE"""),0)</f>
        <v>0</v>
      </c>
      <c r="N140" s="23">
        <f ca="1">IFERROR(__xludf.DUMMYFUNCTION("""COMPUTED_VALUE"""),0)</f>
        <v>0</v>
      </c>
      <c r="O140" s="23">
        <f ca="1">IFERROR(__xludf.DUMMYFUNCTION("""COMPUTED_VALUE"""),0)</f>
        <v>0</v>
      </c>
      <c r="P140" s="23">
        <f ca="1">IFERROR(__xludf.DUMMYFUNCTION("""COMPUTED_VALUE"""),0)</f>
        <v>0</v>
      </c>
      <c r="Q140" s="24">
        <f ca="1">IFERROR(__xludf.DUMMYFUNCTION("""COMPUTED_VALUE"""),0)</f>
        <v>0</v>
      </c>
      <c r="R140" s="20"/>
    </row>
    <row r="141" spans="1:18" ht="13.2" hidden="1" outlineLevel="1" x14ac:dyDescent="0.25">
      <c r="A141" s="1"/>
      <c r="B141" s="21" t="str">
        <f ca="1">IFERROR(__xludf.DUMMYFUNCTION("""COMPUTED_VALUE"""),"Coque de carbón")</f>
        <v>Coque de carbón</v>
      </c>
      <c r="C141" s="22">
        <f ca="1">IFERROR(__xludf.DUMMYFUNCTION("""COMPUTED_VALUE"""),-0.14)</f>
        <v>-0.14000000000000001</v>
      </c>
      <c r="D141" s="23">
        <f ca="1">IFERROR(__xludf.DUMMYFUNCTION("""COMPUTED_VALUE"""),-2.28)</f>
        <v>-2.2799999999999998</v>
      </c>
      <c r="E141" s="23">
        <f ca="1">IFERROR(__xludf.DUMMYFUNCTION("""COMPUTED_VALUE"""),-0.17)</f>
        <v>-0.17</v>
      </c>
      <c r="F141" s="23">
        <f ca="1">IFERROR(__xludf.DUMMYFUNCTION("""COMPUTED_VALUE"""),-0.27)</f>
        <v>-0.27</v>
      </c>
      <c r="G141" s="23">
        <f ca="1">IFERROR(__xludf.DUMMYFUNCTION("""COMPUTED_VALUE"""),-0.0155750141909999)</f>
        <v>-1.55750141909999E-2</v>
      </c>
      <c r="H141" s="23">
        <f ca="1">IFERROR(__xludf.DUMMYFUNCTION("""COMPUTED_VALUE"""),-0.00443730807299999)</f>
        <v>-4.4373080729999898E-3</v>
      </c>
      <c r="I141" s="23">
        <f ca="1">IFERROR(__xludf.DUMMYFUNCTION("""COMPUTED_VALUE"""),-0.004356763796)</f>
        <v>-4.3567637959999999E-3</v>
      </c>
      <c r="J141" s="23">
        <f ca="1">IFERROR(__xludf.DUMMYFUNCTION("""COMPUTED_VALUE"""),-2.62960886595)</f>
        <v>-2.6296088659499999</v>
      </c>
      <c r="K141" s="23">
        <f ca="1">IFERROR(__xludf.DUMMYFUNCTION("""COMPUTED_VALUE"""),-0.004269881)</f>
        <v>-4.2698809999999997E-3</v>
      </c>
      <c r="L141" s="23">
        <f ca="1">IFERROR(__xludf.DUMMYFUNCTION("""COMPUTED_VALUE"""),-0.005827220641)</f>
        <v>-5.8272206409999997E-3</v>
      </c>
      <c r="M141" s="23">
        <f ca="1">IFERROR(__xludf.DUMMYFUNCTION("""COMPUTED_VALUE"""),-0.00387063386599999)</f>
        <v>-3.8706338659999901E-3</v>
      </c>
      <c r="N141" s="23">
        <f ca="1">IFERROR(__xludf.DUMMYFUNCTION("""COMPUTED_VALUE"""),-0.0151677577149999)</f>
        <v>-1.51677577149999E-2</v>
      </c>
      <c r="O141" s="23">
        <f ca="1">IFERROR(__xludf.DUMMYFUNCTION("""COMPUTED_VALUE"""),-0.01300748966)</f>
        <v>-1.300748966E-2</v>
      </c>
      <c r="P141" s="23">
        <f ca="1">IFERROR(__xludf.DUMMYFUNCTION("""COMPUTED_VALUE"""),-0.024165802595)</f>
        <v>-2.4165802595000001E-2</v>
      </c>
      <c r="Q141" s="24">
        <f ca="1">IFERROR(__xludf.DUMMYFUNCTION("""COMPUTED_VALUE"""),-0.000929269319)</f>
        <v>-9.2926931899999995E-4</v>
      </c>
      <c r="R141" s="20"/>
    </row>
    <row r="142" spans="1:18" ht="13.2" hidden="1" outlineLevel="1" x14ac:dyDescent="0.25">
      <c r="A142" s="1"/>
      <c r="B142" s="21" t="str">
        <f ca="1">IFERROR(__xludf.DUMMYFUNCTION("""COMPUTED_VALUE"""),"Coque de petróleo")</f>
        <v>Coque de petróleo</v>
      </c>
      <c r="C142" s="22">
        <f ca="1">IFERROR(__xludf.DUMMYFUNCTION("""COMPUTED_VALUE"""),-0.0620921738876295)</f>
        <v>-6.2092173887629498E-2</v>
      </c>
      <c r="D142" s="23">
        <f ca="1">IFERROR(__xludf.DUMMYFUNCTION("""COMPUTED_VALUE"""),-0.0722315466996887)</f>
        <v>-7.2231546699688703E-2</v>
      </c>
      <c r="E142" s="23">
        <f ca="1">IFERROR(__xludf.DUMMYFUNCTION("""COMPUTED_VALUE"""),0)</f>
        <v>0</v>
      </c>
      <c r="F142" s="23">
        <f ca="1">IFERROR(__xludf.DUMMYFUNCTION("""COMPUTED_VALUE"""),-22.9141695332247)</f>
        <v>-22.914169533224701</v>
      </c>
      <c r="G142" s="23">
        <f ca="1">IFERROR(__xludf.DUMMYFUNCTION("""COMPUTED_VALUE"""),-0.881287535891311)</f>
        <v>-0.88128753589131104</v>
      </c>
      <c r="H142" s="23">
        <f ca="1">IFERROR(__xludf.DUMMYFUNCTION("""COMPUTED_VALUE"""),-0.00579863259639908)</f>
        <v>-5.79863259639908E-3</v>
      </c>
      <c r="I142" s="23">
        <f ca="1">IFERROR(__xludf.DUMMYFUNCTION("""COMPUTED_VALUE"""),0)</f>
        <v>0</v>
      </c>
      <c r="J142" s="23">
        <f ca="1">IFERROR(__xludf.DUMMYFUNCTION("""COMPUTED_VALUE"""),0)</f>
        <v>0</v>
      </c>
      <c r="K142" s="23">
        <f ca="1">IFERROR(__xludf.DUMMYFUNCTION("""COMPUTED_VALUE"""),-0.939651510402581)</f>
        <v>-0.93965151040258099</v>
      </c>
      <c r="L142" s="23">
        <f ca="1">IFERROR(__xludf.DUMMYFUNCTION("""COMPUTED_VALUE"""),0)</f>
        <v>0</v>
      </c>
      <c r="M142" s="23">
        <f ca="1">IFERROR(__xludf.DUMMYFUNCTION("""COMPUTED_VALUE"""),0)</f>
        <v>0</v>
      </c>
      <c r="N142" s="23">
        <f ca="1">IFERROR(__xludf.DUMMYFUNCTION("""COMPUTED_VALUE"""),0)</f>
        <v>0</v>
      </c>
      <c r="O142" s="23">
        <f ca="1">IFERROR(__xludf.DUMMYFUNCTION("""COMPUTED_VALUE"""),-0.0190514117292753)</f>
        <v>-1.9051411729275301E-2</v>
      </c>
      <c r="P142" s="23">
        <f ca="1">IFERROR(__xludf.DUMMYFUNCTION("""COMPUTED_VALUE"""),-0.0232456692978814)</f>
        <v>-2.32456692978814E-2</v>
      </c>
      <c r="Q142" s="24">
        <f ca="1">IFERROR(__xludf.DUMMYFUNCTION("""COMPUTED_VALUE"""),-2.58504717072918)</f>
        <v>-2.58504717072918</v>
      </c>
      <c r="R142" s="20"/>
    </row>
    <row r="143" spans="1:18" ht="13.2" hidden="1" outlineLevel="1" x14ac:dyDescent="0.25">
      <c r="A143" s="1"/>
      <c r="B143" s="21" t="str">
        <f ca="1">IFERROR(__xludf.DUMMYFUNCTION("""COMPUTED_VALUE"""),"Gas licuado de petróleo")</f>
        <v>Gas licuado de petróleo</v>
      </c>
      <c r="C143" s="22">
        <f ca="1">IFERROR(__xludf.DUMMYFUNCTION("""COMPUTED_VALUE"""),-0.14)</f>
        <v>-0.14000000000000001</v>
      </c>
      <c r="D143" s="23">
        <f ca="1">IFERROR(__xludf.DUMMYFUNCTION("""COMPUTED_VALUE"""),-2.28)</f>
        <v>-2.2799999999999998</v>
      </c>
      <c r="E143" s="23">
        <f ca="1">IFERROR(__xludf.DUMMYFUNCTION("""COMPUTED_VALUE"""),-0.17)</f>
        <v>-0.17</v>
      </c>
      <c r="F143" s="23">
        <f ca="1">IFERROR(__xludf.DUMMYFUNCTION("""COMPUTED_VALUE"""),-0.27)</f>
        <v>-0.27</v>
      </c>
      <c r="G143" s="23">
        <f ca="1">IFERROR(__xludf.DUMMYFUNCTION("""COMPUTED_VALUE"""),1.95976463084698)</f>
        <v>1.95976463084698</v>
      </c>
      <c r="H143" s="23">
        <f ca="1">IFERROR(__xludf.DUMMYFUNCTION("""COMPUTED_VALUE"""),0.0313559371996586)</f>
        <v>3.1355937199658603E-2</v>
      </c>
      <c r="I143" s="23">
        <f ca="1">IFERROR(__xludf.DUMMYFUNCTION("""COMPUTED_VALUE"""),6.76)</f>
        <v>6.76</v>
      </c>
      <c r="J143" s="23">
        <f ca="1">IFERROR(__xludf.DUMMYFUNCTION("""COMPUTED_VALUE"""),8.59601320030857)</f>
        <v>8.5960132003085707</v>
      </c>
      <c r="K143" s="23">
        <f ca="1">IFERROR(__xludf.DUMMYFUNCTION("""COMPUTED_VALUE"""),1.89408199326366)</f>
        <v>1.8940819932636599</v>
      </c>
      <c r="L143" s="23">
        <f ca="1">IFERROR(__xludf.DUMMYFUNCTION("""COMPUTED_VALUE"""),0.998794995191516)</f>
        <v>0.99879499519151604</v>
      </c>
      <c r="M143" s="23">
        <f ca="1">IFERROR(__xludf.DUMMYFUNCTION("""COMPUTED_VALUE"""),1.2004587843708)</f>
        <v>1.2004587843707999</v>
      </c>
      <c r="N143" s="23">
        <f ca="1">IFERROR(__xludf.DUMMYFUNCTION("""COMPUTED_VALUE"""),0)</f>
        <v>0</v>
      </c>
      <c r="O143" s="23">
        <f ca="1">IFERROR(__xludf.DUMMYFUNCTION("""COMPUTED_VALUE"""),0)</f>
        <v>0</v>
      </c>
      <c r="P143" s="23">
        <f ca="1">IFERROR(__xludf.DUMMYFUNCTION("""COMPUTED_VALUE"""),0)</f>
        <v>0</v>
      </c>
      <c r="Q143" s="24">
        <f ca="1">IFERROR(__xludf.DUMMYFUNCTION("""COMPUTED_VALUE"""),0)</f>
        <v>0</v>
      </c>
      <c r="R143" s="20"/>
    </row>
    <row r="144" spans="1:18" ht="13.2" hidden="1" outlineLevel="1" x14ac:dyDescent="0.25">
      <c r="A144" s="1"/>
      <c r="B144" s="21" t="str">
        <f ca="1">IFERROR(__xludf.DUMMYFUNCTION("""COMPUTED_VALUE"""),"Gasolinas y naftas")</f>
        <v>Gasolinas y naftas</v>
      </c>
      <c r="C144" s="22">
        <f ca="1">IFERROR(__xludf.DUMMYFUNCTION("""COMPUTED_VALUE"""),-125.95)</f>
        <v>-125.95</v>
      </c>
      <c r="D144" s="23">
        <f ca="1">IFERROR(__xludf.DUMMYFUNCTION("""COMPUTED_VALUE"""),-141.23)</f>
        <v>-141.22999999999999</v>
      </c>
      <c r="E144" s="23">
        <f ca="1">IFERROR(__xludf.DUMMYFUNCTION("""COMPUTED_VALUE"""),-130.07)</f>
        <v>-130.07</v>
      </c>
      <c r="F144" s="23">
        <f ca="1">IFERROR(__xludf.DUMMYFUNCTION("""COMPUTED_VALUE"""),-124.8)</f>
        <v>-124.8</v>
      </c>
      <c r="G144" s="23">
        <f ca="1">IFERROR(__xludf.DUMMYFUNCTION("""COMPUTED_VALUE"""),-123.619470001363)</f>
        <v>-123.619470001363</v>
      </c>
      <c r="H144" s="23">
        <f ca="1">IFERROR(__xludf.DUMMYFUNCTION("""COMPUTED_VALUE"""),-118.813708049423)</f>
        <v>-118.813708049423</v>
      </c>
      <c r="I144" s="23">
        <f ca="1">IFERROR(__xludf.DUMMYFUNCTION("""COMPUTED_VALUE"""),-103.404)</f>
        <v>-103.404</v>
      </c>
      <c r="J144" s="23">
        <f ca="1">IFERROR(__xludf.DUMMYFUNCTION("""COMPUTED_VALUE"""),-84.7401048959959)</f>
        <v>-84.740104895995898</v>
      </c>
      <c r="K144" s="23">
        <f ca="1">IFERROR(__xludf.DUMMYFUNCTION("""COMPUTED_VALUE"""),-77.0430121092939)</f>
        <v>-77.043012109293898</v>
      </c>
      <c r="L144" s="23">
        <f ca="1">IFERROR(__xludf.DUMMYFUNCTION("""COMPUTED_VALUE"""),-64.6778611931099)</f>
        <v>-64.677861193109905</v>
      </c>
      <c r="M144" s="23">
        <f ca="1">IFERROR(__xludf.DUMMYFUNCTION("""COMPUTED_VALUE"""),-23.48964069694)</f>
        <v>-23.48964069694</v>
      </c>
      <c r="N144" s="23">
        <f ca="1">IFERROR(__xludf.DUMMYFUNCTION("""COMPUTED_VALUE"""),-13.85946675801)</f>
        <v>-13.859466758010001</v>
      </c>
      <c r="O144" s="23">
        <f ca="1">IFERROR(__xludf.DUMMYFUNCTION("""COMPUTED_VALUE"""),-15.31199723832)</f>
        <v>-15.31199723832</v>
      </c>
      <c r="P144" s="23">
        <f ca="1">IFERROR(__xludf.DUMMYFUNCTION("""COMPUTED_VALUE"""),-10.681)</f>
        <v>-10.680999999999999</v>
      </c>
      <c r="Q144" s="24">
        <f ca="1">IFERROR(__xludf.DUMMYFUNCTION("""COMPUTED_VALUE"""),-4.48365118)</f>
        <v>-4.4836511799999998</v>
      </c>
      <c r="R144" s="20"/>
    </row>
    <row r="145" spans="1:18" ht="13.2" hidden="1" outlineLevel="1" x14ac:dyDescent="0.25">
      <c r="A145" s="1"/>
      <c r="B145" s="21" t="str">
        <f ca="1">IFERROR(__xludf.DUMMYFUNCTION("""COMPUTED_VALUE"""),"Querosenos")</f>
        <v>Querosenos</v>
      </c>
      <c r="C145" s="22">
        <f ca="1">IFERROR(__xludf.DUMMYFUNCTION("""COMPUTED_VALUE"""),-2.66)</f>
        <v>-2.66</v>
      </c>
      <c r="D145" s="23">
        <f ca="1">IFERROR(__xludf.DUMMYFUNCTION("""COMPUTED_VALUE"""),-3.58)</f>
        <v>-3.58</v>
      </c>
      <c r="E145" s="23">
        <f ca="1">IFERROR(__xludf.DUMMYFUNCTION("""COMPUTED_VALUE"""),0)</f>
        <v>0</v>
      </c>
      <c r="F145" s="23">
        <f ca="1">IFERROR(__xludf.DUMMYFUNCTION("""COMPUTED_VALUE"""),0)</f>
        <v>0</v>
      </c>
      <c r="G145" s="23">
        <f ca="1">IFERROR(__xludf.DUMMYFUNCTION("""COMPUTED_VALUE"""),0)</f>
        <v>0</v>
      </c>
      <c r="H145" s="23">
        <f ca="1">IFERROR(__xludf.DUMMYFUNCTION("""COMPUTED_VALUE"""),0)</f>
        <v>0</v>
      </c>
      <c r="I145" s="23">
        <f ca="1">IFERROR(__xludf.DUMMYFUNCTION("""COMPUTED_VALUE"""),0)</f>
        <v>0</v>
      </c>
      <c r="J145" s="23">
        <f ca="1">IFERROR(__xludf.DUMMYFUNCTION("""COMPUTED_VALUE"""),0)</f>
        <v>0</v>
      </c>
      <c r="K145" s="23">
        <f ca="1">IFERROR(__xludf.DUMMYFUNCTION("""COMPUTED_VALUE"""),0)</f>
        <v>0</v>
      </c>
      <c r="L145" s="23">
        <f ca="1">IFERROR(__xludf.DUMMYFUNCTION("""COMPUTED_VALUE"""),0)</f>
        <v>0</v>
      </c>
      <c r="M145" s="23">
        <f ca="1">IFERROR(__xludf.DUMMYFUNCTION("""COMPUTED_VALUE"""),0)</f>
        <v>0</v>
      </c>
      <c r="N145" s="23">
        <f ca="1">IFERROR(__xludf.DUMMYFUNCTION("""COMPUTED_VALUE"""),0)</f>
        <v>0</v>
      </c>
      <c r="O145" s="23">
        <f ca="1">IFERROR(__xludf.DUMMYFUNCTION("""COMPUTED_VALUE"""),0)</f>
        <v>0</v>
      </c>
      <c r="P145" s="23">
        <f ca="1">IFERROR(__xludf.DUMMYFUNCTION("""COMPUTED_VALUE"""),0)</f>
        <v>0</v>
      </c>
      <c r="Q145" s="24">
        <f ca="1">IFERROR(__xludf.DUMMYFUNCTION("""COMPUTED_VALUE"""),0)</f>
        <v>0</v>
      </c>
      <c r="R145" s="20"/>
    </row>
    <row r="146" spans="1:18" ht="13.2" hidden="1" outlineLevel="1" x14ac:dyDescent="0.25">
      <c r="A146" s="1"/>
      <c r="B146" s="21" t="str">
        <f ca="1">IFERROR(__xludf.DUMMYFUNCTION("""COMPUTED_VALUE"""),"Diesel")</f>
        <v>Diesel</v>
      </c>
      <c r="C146" s="22">
        <f ca="1">IFERROR(__xludf.DUMMYFUNCTION("""COMPUTED_VALUE"""),-2.87)</f>
        <v>-2.87</v>
      </c>
      <c r="D146" s="23">
        <f ca="1">IFERROR(__xludf.DUMMYFUNCTION("""COMPUTED_VALUE"""),-10.14)</f>
        <v>-10.14</v>
      </c>
      <c r="E146" s="23">
        <f ca="1">IFERROR(__xludf.DUMMYFUNCTION("""COMPUTED_VALUE"""),-5.42)</f>
        <v>-5.42</v>
      </c>
      <c r="F146" s="23">
        <f ca="1">IFERROR(__xludf.DUMMYFUNCTION("""COMPUTED_VALUE"""),-19.28)</f>
        <v>-19.28</v>
      </c>
      <c r="G146" s="23">
        <f ca="1">IFERROR(__xludf.DUMMYFUNCTION("""COMPUTED_VALUE"""),-4.44457634807999)</f>
        <v>-4.4445763480799902</v>
      </c>
      <c r="H146" s="23">
        <f ca="1">IFERROR(__xludf.DUMMYFUNCTION("""COMPUTED_VALUE"""),-15.7064195692094)</f>
        <v>-15.7064195692094</v>
      </c>
      <c r="I146" s="23">
        <f ca="1">IFERROR(__xludf.DUMMYFUNCTION("""COMPUTED_VALUE"""),-33.473)</f>
        <v>-33.472999999999999</v>
      </c>
      <c r="J146" s="23">
        <f ca="1">IFERROR(__xludf.DUMMYFUNCTION("""COMPUTED_VALUE"""),-8.50798051317499)</f>
        <v>-8.5079805131749904</v>
      </c>
      <c r="K146" s="23">
        <f ca="1">IFERROR(__xludf.DUMMYFUNCTION("""COMPUTED_VALUE"""),-8.94129622943998)</f>
        <v>-8.9412962294399794</v>
      </c>
      <c r="L146" s="23">
        <f ca="1">IFERROR(__xludf.DUMMYFUNCTION("""COMPUTED_VALUE"""),-27.1282948031499)</f>
        <v>-27.128294803149899</v>
      </c>
      <c r="M146" s="23">
        <f ca="1">IFERROR(__xludf.DUMMYFUNCTION("""COMPUTED_VALUE"""),-36.5980356789399)</f>
        <v>-36.598035678939901</v>
      </c>
      <c r="N146" s="23">
        <f ca="1">IFERROR(__xludf.DUMMYFUNCTION("""COMPUTED_VALUE"""),-8.29306076772)</f>
        <v>-8.2930607677200001</v>
      </c>
      <c r="O146" s="23">
        <f ca="1">IFERROR(__xludf.DUMMYFUNCTION("""COMPUTED_VALUE"""),-36.1645386656879)</f>
        <v>-36.1645386656879</v>
      </c>
      <c r="P146" s="23">
        <f ca="1">IFERROR(__xludf.DUMMYFUNCTION("""COMPUTED_VALUE"""),-34.071)</f>
        <v>-34.070999999999998</v>
      </c>
      <c r="Q146" s="24">
        <f ca="1">IFERROR(__xludf.DUMMYFUNCTION("""COMPUTED_VALUE"""),-34.418550647152)</f>
        <v>-34.418550647152003</v>
      </c>
      <c r="R146" s="20"/>
    </row>
    <row r="147" spans="1:18" ht="13.2" hidden="1" outlineLevel="1" x14ac:dyDescent="0.25">
      <c r="A147" s="1"/>
      <c r="B147" s="21" t="str">
        <f ca="1">IFERROR(__xludf.DUMMYFUNCTION("""COMPUTED_VALUE"""),"Combustóleo")</f>
        <v>Combustóleo</v>
      </c>
      <c r="C147" s="22">
        <f ca="1">IFERROR(__xludf.DUMMYFUNCTION("""COMPUTED_VALUE"""),-284.04)</f>
        <v>-284.04000000000002</v>
      </c>
      <c r="D147" s="23">
        <f ca="1">IFERROR(__xludf.DUMMYFUNCTION("""COMPUTED_VALUE"""),-236.99)</f>
        <v>-236.99</v>
      </c>
      <c r="E147" s="23">
        <f ca="1">IFERROR(__xludf.DUMMYFUNCTION("""COMPUTED_VALUE"""),-161.42)</f>
        <v>-161.41999999999999</v>
      </c>
      <c r="F147" s="23">
        <f ca="1">IFERROR(__xludf.DUMMYFUNCTION("""COMPUTED_VALUE"""),-221.48)</f>
        <v>-221.48</v>
      </c>
      <c r="G147" s="23">
        <f ca="1">IFERROR(__xludf.DUMMYFUNCTION("""COMPUTED_VALUE"""),-295.992708631767)</f>
        <v>-295.99270863176702</v>
      </c>
      <c r="H147" s="23">
        <f ca="1">IFERROR(__xludf.DUMMYFUNCTION("""COMPUTED_VALUE"""),-295.465062202573)</f>
        <v>-295.46506220257299</v>
      </c>
      <c r="I147" s="23">
        <f ca="1">IFERROR(__xludf.DUMMYFUNCTION("""COMPUTED_VALUE"""),-272.124)</f>
        <v>-272.12400000000002</v>
      </c>
      <c r="J147" s="23">
        <f ca="1">IFERROR(__xludf.DUMMYFUNCTION("""COMPUTED_VALUE"""),-242.108635322088)</f>
        <v>-242.10863532208799</v>
      </c>
      <c r="K147" s="23">
        <f ca="1">IFERROR(__xludf.DUMMYFUNCTION("""COMPUTED_VALUE"""),-209.635250880114)</f>
        <v>-209.635250880114</v>
      </c>
      <c r="L147" s="23">
        <f ca="1">IFERROR(__xludf.DUMMYFUNCTION("""COMPUTED_VALUE"""),-163.774640011914)</f>
        <v>-163.77464001191399</v>
      </c>
      <c r="M147" s="23">
        <f ca="1">IFERROR(__xludf.DUMMYFUNCTION("""COMPUTED_VALUE"""),-259.78575842249)</f>
        <v>-259.78575842249001</v>
      </c>
      <c r="N147" s="23">
        <f ca="1">IFERROR(__xludf.DUMMYFUNCTION("""COMPUTED_VALUE"""),-382.617505427455)</f>
        <v>-382.617505427455</v>
      </c>
      <c r="O147" s="23">
        <f ca="1">IFERROR(__xludf.DUMMYFUNCTION("""COMPUTED_VALUE"""),-407.156375691674)</f>
        <v>-407.15637569167399</v>
      </c>
      <c r="P147" s="23">
        <f ca="1">IFERROR(__xludf.DUMMYFUNCTION("""COMPUTED_VALUE"""),-424.17)</f>
        <v>-424.17</v>
      </c>
      <c r="Q147" s="24">
        <f ca="1">IFERROR(__xludf.DUMMYFUNCTION("""COMPUTED_VALUE"""),-488.184694073633)</f>
        <v>-488.18469407363301</v>
      </c>
      <c r="R147" s="20"/>
    </row>
    <row r="148" spans="1:18" ht="13.2" hidden="1" outlineLevel="1" x14ac:dyDescent="0.25">
      <c r="A148" s="1"/>
      <c r="B148" s="21" t="str">
        <f ca="1">IFERROR(__xludf.DUMMYFUNCTION("""COMPUTED_VALUE"""),"Otros energéticos")</f>
        <v>Otros energéticos</v>
      </c>
      <c r="C148" s="22">
        <f ca="1">IFERROR(__xludf.DUMMYFUNCTION("""COMPUTED_VALUE"""),-3.82)</f>
        <v>-3.82</v>
      </c>
      <c r="D148" s="23">
        <f ca="1">IFERROR(__xludf.DUMMYFUNCTION("""COMPUTED_VALUE"""),-2.74)</f>
        <v>-2.74</v>
      </c>
      <c r="E148" s="23">
        <f ca="1">IFERROR(__xludf.DUMMYFUNCTION("""COMPUTED_VALUE"""),-3.24)</f>
        <v>-3.24</v>
      </c>
      <c r="F148" s="23">
        <f ca="1">IFERROR(__xludf.DUMMYFUNCTION("""COMPUTED_VALUE"""),-9.31)</f>
        <v>-9.31</v>
      </c>
      <c r="G148" s="23">
        <f ca="1">IFERROR(__xludf.DUMMYFUNCTION("""COMPUTED_VALUE"""),-3.10708018179871)</f>
        <v>-3.1070801817987102</v>
      </c>
      <c r="H148" s="23">
        <f ca="1">IFERROR(__xludf.DUMMYFUNCTION("""COMPUTED_VALUE"""),-2.70834914156383)</f>
        <v>-2.7083491415638301</v>
      </c>
      <c r="I148" s="23">
        <f ca="1">IFERROR(__xludf.DUMMYFUNCTION("""COMPUTED_VALUE"""),-0.866)</f>
        <v>-0.86599999999999999</v>
      </c>
      <c r="J148" s="23">
        <f ca="1">IFERROR(__xludf.DUMMYFUNCTION("""COMPUTED_VALUE"""),-0.384501590082225)</f>
        <v>-0.38450159008222501</v>
      </c>
      <c r="K148" s="23">
        <f ca="1">IFERROR(__xludf.DUMMYFUNCTION("""COMPUTED_VALUE"""),0)</f>
        <v>0</v>
      </c>
      <c r="L148" s="23">
        <f ca="1">IFERROR(__xludf.DUMMYFUNCTION("""COMPUTED_VALUE"""),0)</f>
        <v>0</v>
      </c>
      <c r="M148" s="23">
        <f ca="1">IFERROR(__xludf.DUMMYFUNCTION("""COMPUTED_VALUE"""),0)</f>
        <v>0</v>
      </c>
      <c r="N148" s="23">
        <f ca="1">IFERROR(__xludf.DUMMYFUNCTION("""COMPUTED_VALUE"""),0)</f>
        <v>0</v>
      </c>
      <c r="O148" s="23">
        <f ca="1">IFERROR(__xludf.DUMMYFUNCTION("""COMPUTED_VALUE"""),0)</f>
        <v>0</v>
      </c>
      <c r="P148" s="23">
        <f ca="1">IFERROR(__xludf.DUMMYFUNCTION("""COMPUTED_VALUE"""),0)</f>
        <v>0</v>
      </c>
      <c r="Q148" s="24">
        <f ca="1">IFERROR(__xludf.DUMMYFUNCTION("""COMPUTED_VALUE"""),0)</f>
        <v>0</v>
      </c>
      <c r="R148" s="20"/>
    </row>
    <row r="149" spans="1:18" ht="13.2" hidden="1" outlineLevel="1" x14ac:dyDescent="0.25">
      <c r="A149" s="1"/>
      <c r="B149" s="21" t="str">
        <f ca="1">IFERROR(__xludf.DUMMYFUNCTION("""COMPUTED_VALUE"""),"Gas natural seco")</f>
        <v>Gas natural seco</v>
      </c>
      <c r="C149" s="22">
        <f ca="1">IFERROR(__xludf.DUMMYFUNCTION("""COMPUTED_VALUE"""),-30.68)</f>
        <v>-30.68</v>
      </c>
      <c r="D149" s="23">
        <f ca="1">IFERROR(__xludf.DUMMYFUNCTION("""COMPUTED_VALUE"""),-9.23)</f>
        <v>-9.23</v>
      </c>
      <c r="E149" s="23">
        <f ca="1">IFERROR(__xludf.DUMMYFUNCTION("""COMPUTED_VALUE"""),-2.97)</f>
        <v>-2.97</v>
      </c>
      <c r="F149" s="23">
        <f ca="1">IFERROR(__xludf.DUMMYFUNCTION("""COMPUTED_VALUE"""),-4.84)</f>
        <v>-4.84</v>
      </c>
      <c r="G149" s="23">
        <f ca="1">IFERROR(__xludf.DUMMYFUNCTION("""COMPUTED_VALUE"""),-1.5662422716831)</f>
        <v>-1.5662422716830999</v>
      </c>
      <c r="H149" s="23">
        <f ca="1">IFERROR(__xludf.DUMMYFUNCTION("""COMPUTED_VALUE"""),-1.03860015178639)</f>
        <v>-1.0386001517863901</v>
      </c>
      <c r="I149" s="23">
        <f ca="1">IFERROR(__xludf.DUMMYFUNCTION("""COMPUTED_VALUE"""),-0.821)</f>
        <v>-0.82099999999999995</v>
      </c>
      <c r="J149" s="23">
        <f ca="1">IFERROR(__xludf.DUMMYFUNCTION("""COMPUTED_VALUE"""),-0.647351002861645)</f>
        <v>-0.64735100286164504</v>
      </c>
      <c r="K149" s="23">
        <f ca="1">IFERROR(__xludf.DUMMYFUNCTION("""COMPUTED_VALUE"""),-5.71994026616)</f>
        <v>-5.7199402661600001</v>
      </c>
      <c r="L149" s="23">
        <f ca="1">IFERROR(__xludf.DUMMYFUNCTION("""COMPUTED_VALUE"""),-2.80526527207999)</f>
        <v>-2.80526527207999</v>
      </c>
      <c r="M149" s="23">
        <f ca="1">IFERROR(__xludf.DUMMYFUNCTION("""COMPUTED_VALUE"""),-1.96499860711999)</f>
        <v>-1.9649986071199901</v>
      </c>
      <c r="N149" s="23">
        <f ca="1">IFERROR(__xludf.DUMMYFUNCTION("""COMPUTED_VALUE"""),-2.34793263411999)</f>
        <v>-2.34793263411999</v>
      </c>
      <c r="O149" s="23">
        <f ca="1">IFERROR(__xludf.DUMMYFUNCTION("""COMPUTED_VALUE"""),-1.28775242793999)</f>
        <v>-1.2877524279399899</v>
      </c>
      <c r="P149" s="23">
        <f ca="1">IFERROR(__xludf.DUMMYFUNCTION("""COMPUTED_VALUE"""),-0.970464234139999)</f>
        <v>-0.97046423413999905</v>
      </c>
      <c r="Q149" s="24">
        <f ca="1">IFERROR(__xludf.DUMMYFUNCTION("""COMPUTED_VALUE"""),-9.00332602338)</f>
        <v>-9.0033260233799997</v>
      </c>
      <c r="R149" s="20"/>
    </row>
    <row r="150" spans="1:18" ht="13.2" hidden="1" outlineLevel="1" x14ac:dyDescent="0.25">
      <c r="A150" s="1"/>
      <c r="B150" s="25" t="str">
        <f ca="1">IFERROR(__xludf.DUMMYFUNCTION("""COMPUTED_VALUE"""),"Energía eléctrica")</f>
        <v>Energía eléctrica</v>
      </c>
      <c r="C150" s="26">
        <f ca="1">IFERROR(__xludf.DUMMYFUNCTION("""COMPUTED_VALUE"""),-21.82)</f>
        <v>-21.82</v>
      </c>
      <c r="D150" s="27">
        <f ca="1">IFERROR(__xludf.DUMMYFUNCTION("""COMPUTED_VALUE"""),-22.25)</f>
        <v>-22.25</v>
      </c>
      <c r="E150" s="27">
        <f ca="1">IFERROR(__xludf.DUMMYFUNCTION("""COMPUTED_VALUE"""),-23.69)</f>
        <v>-23.69</v>
      </c>
      <c r="F150" s="27">
        <f ca="1">IFERROR(__xludf.DUMMYFUNCTION("""COMPUTED_VALUE"""),-26.48)</f>
        <v>-26.48</v>
      </c>
      <c r="G150" s="27">
        <f ca="1">IFERROR(__xludf.DUMMYFUNCTION("""COMPUTED_VALUE"""),-33.85)</f>
        <v>-33.85</v>
      </c>
      <c r="H150" s="27">
        <f ca="1">IFERROR(__xludf.DUMMYFUNCTION("""COMPUTED_VALUE"""),-32.98)</f>
        <v>-32.979999999999997</v>
      </c>
      <c r="I150" s="27">
        <f ca="1">IFERROR(__xludf.DUMMYFUNCTION("""COMPUTED_VALUE"""),-31)</f>
        <v>-31</v>
      </c>
      <c r="J150" s="27">
        <f ca="1">IFERROR(__xludf.DUMMYFUNCTION("""COMPUTED_VALUE"""),-34.9803382363894)</f>
        <v>-34.9803382363894</v>
      </c>
      <c r="K150" s="27">
        <f ca="1">IFERROR(__xludf.DUMMYFUNCTION("""COMPUTED_VALUE"""),-35.7122936468904)</f>
        <v>-35.712293646890402</v>
      </c>
      <c r="L150" s="27">
        <f ca="1">IFERROR(__xludf.DUMMYFUNCTION("""COMPUTED_VALUE"""),-30.4558047494804)</f>
        <v>-30.4558047494804</v>
      </c>
      <c r="M150" s="27">
        <f ca="1">IFERROR(__xludf.DUMMYFUNCTION("""COMPUTED_VALUE"""),-30.0480232966992)</f>
        <v>-30.048023296699199</v>
      </c>
      <c r="N150" s="27">
        <f ca="1">IFERROR(__xludf.DUMMYFUNCTION("""COMPUTED_VALUE"""),-20.3951737732419)</f>
        <v>-20.395173773241901</v>
      </c>
      <c r="O150" s="27">
        <f ca="1">IFERROR(__xludf.DUMMYFUNCTION("""COMPUTED_VALUE"""),-30.2047437756955)</f>
        <v>-30.204743775695501</v>
      </c>
      <c r="P150" s="27">
        <f ca="1">IFERROR(__xludf.DUMMYFUNCTION("""COMPUTED_VALUE"""),-32.6903797202927)</f>
        <v>-32.690379720292697</v>
      </c>
      <c r="Q150" s="28">
        <f ca="1">IFERROR(__xludf.DUMMYFUNCTION("""COMPUTED_VALUE"""),-30.4499878603169)</f>
        <v>-30.449987860316899</v>
      </c>
      <c r="R150" s="20"/>
    </row>
    <row r="151" spans="1:18" ht="13.2" hidden="1" outlineLevel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0"/>
    </row>
    <row r="152" spans="1:18" ht="13.2" collapsed="1" x14ac:dyDescent="0.25">
      <c r="A152" s="29"/>
      <c r="B152" s="5" t="str">
        <f ca="1">IFERROR(__xludf.DUMMYFUNCTION("""COMPUTED_VALUE"""),"ENA(e,a)")</f>
        <v>ENA(e,a)</v>
      </c>
      <c r="C152" s="6" t="str">
        <f ca="1">IFERROR(__xludf.DUMMYFUNCTION("""COMPUTED_VALUE"""),"-/")</f>
        <v>-/</v>
      </c>
      <c r="D152" s="7" t="str">
        <f ca="1">IFERROR(__xludf.DUMMYFUNCTION("""COMPUTED_VALUE"""),"Energía no aprovechada por energético e y año a.")</f>
        <v>Energía no aprovechada por energético e y año a.</v>
      </c>
      <c r="E152" s="6" t="str">
        <f ca="1">IFERROR(__xludf.DUMMYFUNCTION("""COMPUTED_VALUE"""),"cbne")</f>
        <v>cbne</v>
      </c>
      <c r="F152" s="6" t="str">
        <f ca="1">IFERROR(__xludf.DUMMYFUNCTION("""COMPUTED_VALUE"""),"a")</f>
        <v>a</v>
      </c>
      <c r="G152" s="8" t="str">
        <f ca="1">IFERROR(__xludf.DUMMYFUNCTION("""COMPUTED_VALUE"""),"PJ")</f>
        <v>PJ</v>
      </c>
      <c r="H152" s="9"/>
      <c r="I152" s="1"/>
      <c r="J152" s="1"/>
      <c r="K152" s="1"/>
      <c r="L152" s="1"/>
      <c r="M152" s="1"/>
      <c r="N152" s="1"/>
      <c r="O152" s="1"/>
      <c r="P152" s="1"/>
      <c r="Q152" s="1"/>
      <c r="R152" s="10"/>
    </row>
    <row r="153" spans="1:18" ht="13.2" hidden="1" outlineLevel="1" x14ac:dyDescent="0.25">
      <c r="A153" s="1"/>
      <c r="B153" s="11"/>
      <c r="C153" s="12">
        <f ca="1">IFERROR(__xludf.DUMMYFUNCTION("""COMPUTED_VALUE"""),2010)</f>
        <v>2010</v>
      </c>
      <c r="D153" s="13">
        <f ca="1">IFERROR(__xludf.DUMMYFUNCTION("""COMPUTED_VALUE"""),2011)</f>
        <v>2011</v>
      </c>
      <c r="E153" s="13">
        <f ca="1">IFERROR(__xludf.DUMMYFUNCTION("""COMPUTED_VALUE"""),2012)</f>
        <v>2012</v>
      </c>
      <c r="F153" s="13">
        <f ca="1">IFERROR(__xludf.DUMMYFUNCTION("""COMPUTED_VALUE"""),2013)</f>
        <v>2013</v>
      </c>
      <c r="G153" s="13">
        <f ca="1">IFERROR(__xludf.DUMMYFUNCTION("""COMPUTED_VALUE"""),2014)</f>
        <v>2014</v>
      </c>
      <c r="H153" s="13">
        <f ca="1">IFERROR(__xludf.DUMMYFUNCTION("""COMPUTED_VALUE"""),2015)</f>
        <v>2015</v>
      </c>
      <c r="I153" s="13">
        <f ca="1">IFERROR(__xludf.DUMMYFUNCTION("""COMPUTED_VALUE"""),2016)</f>
        <v>2016</v>
      </c>
      <c r="J153" s="13">
        <f ca="1">IFERROR(__xludf.DUMMYFUNCTION("""COMPUTED_VALUE"""),2017)</f>
        <v>2017</v>
      </c>
      <c r="K153" s="13">
        <f ca="1">IFERROR(__xludf.DUMMYFUNCTION("""COMPUTED_VALUE"""),2018)</f>
        <v>2018</v>
      </c>
      <c r="L153" s="13">
        <f ca="1">IFERROR(__xludf.DUMMYFUNCTION("""COMPUTED_VALUE"""),2019)</f>
        <v>2019</v>
      </c>
      <c r="M153" s="13">
        <f ca="1">IFERROR(__xludf.DUMMYFUNCTION("""COMPUTED_VALUE"""),2020)</f>
        <v>2020</v>
      </c>
      <c r="N153" s="13">
        <f ca="1">IFERROR(__xludf.DUMMYFUNCTION("""COMPUTED_VALUE"""),2021)</f>
        <v>2021</v>
      </c>
      <c r="O153" s="13">
        <f ca="1">IFERROR(__xludf.DUMMYFUNCTION("""COMPUTED_VALUE"""),2022)</f>
        <v>2022</v>
      </c>
      <c r="P153" s="13">
        <f ca="1">IFERROR(__xludf.DUMMYFUNCTION("""COMPUTED_VALUE"""),2023)</f>
        <v>2023</v>
      </c>
      <c r="Q153" s="14">
        <f ca="1">IFERROR(__xludf.DUMMYFUNCTION("""COMPUTED_VALUE"""),2024)</f>
        <v>2024</v>
      </c>
      <c r="R153" s="15"/>
    </row>
    <row r="154" spans="1:18" ht="13.2" hidden="1" outlineLevel="1" x14ac:dyDescent="0.25">
      <c r="A154" s="1"/>
      <c r="B154" s="16" t="str">
        <f ca="1">IFERROR(__xludf.DUMMYFUNCTION("""COMPUTED_VALUE"""),"Carbón mineral")</f>
        <v>Carbón mineral</v>
      </c>
      <c r="C154" s="17">
        <f ca="1">IFERROR(__xludf.DUMMYFUNCTION("""COMPUTED_VALUE"""),0)</f>
        <v>0</v>
      </c>
      <c r="D154" s="18">
        <f ca="1">IFERROR(__xludf.DUMMYFUNCTION("""COMPUTED_VALUE"""),0)</f>
        <v>0</v>
      </c>
      <c r="E154" s="18">
        <f ca="1">IFERROR(__xludf.DUMMYFUNCTION("""COMPUTED_VALUE"""),0)</f>
        <v>0</v>
      </c>
      <c r="F154" s="18">
        <f ca="1">IFERROR(__xludf.DUMMYFUNCTION("""COMPUTED_VALUE"""),0)</f>
        <v>0</v>
      </c>
      <c r="G154" s="18">
        <f ca="1">IFERROR(__xludf.DUMMYFUNCTION("""COMPUTED_VALUE"""),0)</f>
        <v>0</v>
      </c>
      <c r="H154" s="18">
        <f ca="1">IFERROR(__xludf.DUMMYFUNCTION("""COMPUTED_VALUE"""),0)</f>
        <v>0</v>
      </c>
      <c r="I154" s="18">
        <f ca="1">IFERROR(__xludf.DUMMYFUNCTION("""COMPUTED_VALUE"""),0)</f>
        <v>0</v>
      </c>
      <c r="J154" s="18">
        <f ca="1">IFERROR(__xludf.DUMMYFUNCTION("""COMPUTED_VALUE"""),0)</f>
        <v>0</v>
      </c>
      <c r="K154" s="18">
        <f ca="1">IFERROR(__xludf.DUMMYFUNCTION("""COMPUTED_VALUE"""),0)</f>
        <v>0</v>
      </c>
      <c r="L154" s="18">
        <f ca="1">IFERROR(__xludf.DUMMYFUNCTION("""COMPUTED_VALUE"""),0)</f>
        <v>0</v>
      </c>
      <c r="M154" s="18">
        <f ca="1">IFERROR(__xludf.DUMMYFUNCTION("""COMPUTED_VALUE"""),0)</f>
        <v>0</v>
      </c>
      <c r="N154" s="18">
        <f ca="1">IFERROR(__xludf.DUMMYFUNCTION("""COMPUTED_VALUE"""),0)</f>
        <v>0</v>
      </c>
      <c r="O154" s="18">
        <f ca="1">IFERROR(__xludf.DUMMYFUNCTION("""COMPUTED_VALUE"""),0)</f>
        <v>0</v>
      </c>
      <c r="P154" s="18">
        <f ca="1">IFERROR(__xludf.DUMMYFUNCTION("""COMPUTED_VALUE"""),0)</f>
        <v>0</v>
      </c>
      <c r="Q154" s="19">
        <f ca="1">IFERROR(__xludf.DUMMYFUNCTION("""COMPUTED_VALUE"""),0)</f>
        <v>0</v>
      </c>
      <c r="R154" s="20"/>
    </row>
    <row r="155" spans="1:18" ht="13.2" hidden="1" outlineLevel="1" x14ac:dyDescent="0.25">
      <c r="A155" s="1"/>
      <c r="B155" s="21" t="str">
        <f ca="1">IFERROR(__xludf.DUMMYFUNCTION("""COMPUTED_VALUE"""),"Petróleo crudo")</f>
        <v>Petróleo crudo</v>
      </c>
      <c r="C155" s="22">
        <f ca="1">IFERROR(__xludf.DUMMYFUNCTION("""COMPUTED_VALUE"""),0)</f>
        <v>0</v>
      </c>
      <c r="D155" s="23">
        <f ca="1">IFERROR(__xludf.DUMMYFUNCTION("""COMPUTED_VALUE"""),0)</f>
        <v>0</v>
      </c>
      <c r="E155" s="23">
        <f ca="1">IFERROR(__xludf.DUMMYFUNCTION("""COMPUTED_VALUE"""),0)</f>
        <v>0</v>
      </c>
      <c r="F155" s="23">
        <f ca="1">IFERROR(__xludf.DUMMYFUNCTION("""COMPUTED_VALUE"""),0)</f>
        <v>0</v>
      </c>
      <c r="G155" s="23">
        <f ca="1">IFERROR(__xludf.DUMMYFUNCTION("""COMPUTED_VALUE"""),0)</f>
        <v>0</v>
      </c>
      <c r="H155" s="23">
        <f ca="1">IFERROR(__xludf.DUMMYFUNCTION("""COMPUTED_VALUE"""),0)</f>
        <v>0</v>
      </c>
      <c r="I155" s="23">
        <f ca="1">IFERROR(__xludf.DUMMYFUNCTION("""COMPUTED_VALUE"""),0)</f>
        <v>0</v>
      </c>
      <c r="J155" s="23">
        <f ca="1">IFERROR(__xludf.DUMMYFUNCTION("""COMPUTED_VALUE"""),-15.6236679226202)</f>
        <v>-15.6236679226202</v>
      </c>
      <c r="K155" s="23">
        <f ca="1">IFERROR(__xludf.DUMMYFUNCTION("""COMPUTED_VALUE"""),-7.7933433305878)</f>
        <v>-7.7933433305877999</v>
      </c>
      <c r="L155" s="23">
        <f ca="1">IFERROR(__xludf.DUMMYFUNCTION("""COMPUTED_VALUE"""),-0.877706237832015)</f>
        <v>-0.87770623783201496</v>
      </c>
      <c r="M155" s="23">
        <f ca="1">IFERROR(__xludf.DUMMYFUNCTION("""COMPUTED_VALUE"""),-6.91841016107425)</f>
        <v>-6.9184101610742497</v>
      </c>
      <c r="N155" s="23">
        <f ca="1">IFERROR(__xludf.DUMMYFUNCTION("""COMPUTED_VALUE"""),-7.04316692536419)</f>
        <v>-7.04316692536419</v>
      </c>
      <c r="O155" s="23">
        <f ca="1">IFERROR(__xludf.DUMMYFUNCTION("""COMPUTED_VALUE"""),-7.20774814721138)</f>
        <v>-7.2077481472113796</v>
      </c>
      <c r="P155" s="23">
        <f ca="1">IFERROR(__xludf.DUMMYFUNCTION("""COMPUTED_VALUE"""),-7.57446577687951)</f>
        <v>-7.5744657768795101</v>
      </c>
      <c r="Q155" s="24">
        <f ca="1">IFERROR(__xludf.DUMMYFUNCTION("""COMPUTED_VALUE"""),-53.515520503071)</f>
        <v>-53.515520503071002</v>
      </c>
      <c r="R155" s="20"/>
    </row>
    <row r="156" spans="1:18" ht="13.2" hidden="1" outlineLevel="1" x14ac:dyDescent="0.25">
      <c r="A156" s="1"/>
      <c r="B156" s="21" t="str">
        <f ca="1">IFERROR(__xludf.DUMMYFUNCTION("""COMPUTED_VALUE"""),"Condensados")</f>
        <v>Condensados</v>
      </c>
      <c r="C156" s="22">
        <f ca="1">IFERROR(__xludf.DUMMYFUNCTION("""COMPUTED_VALUE"""),-0.36)</f>
        <v>-0.36</v>
      </c>
      <c r="D156" s="23">
        <f ca="1">IFERROR(__xludf.DUMMYFUNCTION("""COMPUTED_VALUE"""),-0.24)</f>
        <v>-0.24</v>
      </c>
      <c r="E156" s="23">
        <f ca="1">IFERROR(__xludf.DUMMYFUNCTION("""COMPUTED_VALUE"""),-0.18)</f>
        <v>-0.18</v>
      </c>
      <c r="F156" s="23">
        <f ca="1">IFERROR(__xludf.DUMMYFUNCTION("""COMPUTED_VALUE"""),-0.08)</f>
        <v>-0.08</v>
      </c>
      <c r="G156" s="23">
        <f ca="1">IFERROR(__xludf.DUMMYFUNCTION("""COMPUTED_VALUE"""),-0.14)</f>
        <v>-0.14000000000000001</v>
      </c>
      <c r="H156" s="23">
        <f ca="1">IFERROR(__xludf.DUMMYFUNCTION("""COMPUTED_VALUE"""),-2.28)</f>
        <v>-2.2799999999999998</v>
      </c>
      <c r="I156" s="23">
        <f ca="1">IFERROR(__xludf.DUMMYFUNCTION("""COMPUTED_VALUE"""),-1.851)</f>
        <v>-1.851</v>
      </c>
      <c r="J156" s="23">
        <f ca="1">IFERROR(__xludf.DUMMYFUNCTION("""COMPUTED_VALUE"""),-3.72)</f>
        <v>-3.72</v>
      </c>
      <c r="K156" s="23">
        <f ca="1">IFERROR(__xludf.DUMMYFUNCTION("""COMPUTED_VALUE"""),-12.2)</f>
        <v>-12.2</v>
      </c>
      <c r="L156" s="23">
        <f ca="1">IFERROR(__xludf.DUMMYFUNCTION("""COMPUTED_VALUE"""),-9.85)</f>
        <v>-9.85</v>
      </c>
      <c r="M156" s="23">
        <f ca="1">IFERROR(__xludf.DUMMYFUNCTION("""COMPUTED_VALUE"""),-8.54)</f>
        <v>-8.5399999999999991</v>
      </c>
      <c r="N156" s="23">
        <f ca="1">IFERROR(__xludf.DUMMYFUNCTION("""COMPUTED_VALUE"""),-0.22)</f>
        <v>-0.22</v>
      </c>
      <c r="O156" s="23">
        <f ca="1">IFERROR(__xludf.DUMMYFUNCTION("""COMPUTED_VALUE"""),-0.3)</f>
        <v>-0.3</v>
      </c>
      <c r="P156" s="23">
        <f ca="1">IFERROR(__xludf.DUMMYFUNCTION("""COMPUTED_VALUE"""),-0.68)</f>
        <v>-0.68</v>
      </c>
      <c r="Q156" s="24">
        <f ca="1">IFERROR(__xludf.DUMMYFUNCTION("""COMPUTED_VALUE"""),-0.4)</f>
        <v>-0.4</v>
      </c>
      <c r="R156" s="20"/>
    </row>
    <row r="157" spans="1:18" ht="13.2" hidden="1" outlineLevel="1" x14ac:dyDescent="0.25">
      <c r="A157" s="1"/>
      <c r="B157" s="21" t="str">
        <f ca="1">IFERROR(__xludf.DUMMYFUNCTION("""COMPUTED_VALUE"""),"Gas natural")</f>
        <v>Gas natural</v>
      </c>
      <c r="C157" s="22">
        <f ca="1">IFERROR(__xludf.DUMMYFUNCTION("""COMPUTED_VALUE"""),-169.08)</f>
        <v>-169.08</v>
      </c>
      <c r="D157" s="23">
        <f ca="1">IFERROR(__xludf.DUMMYFUNCTION("""COMPUTED_VALUE"""),-103.04)</f>
        <v>-103.04</v>
      </c>
      <c r="E157" s="23">
        <f ca="1">IFERROR(__xludf.DUMMYFUNCTION("""COMPUTED_VALUE"""),-53.08)</f>
        <v>-53.08</v>
      </c>
      <c r="F157" s="23">
        <f ca="1">IFERROR(__xludf.DUMMYFUNCTION("""COMPUTED_VALUE"""),-52.64)</f>
        <v>-52.64</v>
      </c>
      <c r="G157" s="23">
        <f ca="1">IFERROR(__xludf.DUMMYFUNCTION("""COMPUTED_VALUE"""),-129.24526416889)</f>
        <v>-129.24526416889</v>
      </c>
      <c r="H157" s="23">
        <f ca="1">IFERROR(__xludf.DUMMYFUNCTION("""COMPUTED_VALUE"""),-252.585179750459)</f>
        <v>-252.58517975045899</v>
      </c>
      <c r="I157" s="23">
        <f ca="1">IFERROR(__xludf.DUMMYFUNCTION("""COMPUTED_VALUE"""),-315.388)</f>
        <v>-315.38799999999998</v>
      </c>
      <c r="J157" s="23">
        <f ca="1">IFERROR(__xludf.DUMMYFUNCTION("""COMPUTED_VALUE"""),-148.280563715799)</f>
        <v>-148.28056371579899</v>
      </c>
      <c r="K157" s="23">
        <f ca="1">IFERROR(__xludf.DUMMYFUNCTION("""COMPUTED_VALUE"""),-130.095877896822)</f>
        <v>-130.095877896822</v>
      </c>
      <c r="L157" s="23">
        <f ca="1">IFERROR(__xludf.DUMMYFUNCTION("""COMPUTED_VALUE"""),-215.223236527405)</f>
        <v>-215.22323652740499</v>
      </c>
      <c r="M157" s="23">
        <f ca="1">IFERROR(__xludf.DUMMYFUNCTION("""COMPUTED_VALUE"""),-213.49677884018)</f>
        <v>-213.49677884018001</v>
      </c>
      <c r="N157" s="23">
        <f ca="1">IFERROR(__xludf.DUMMYFUNCTION("""COMPUTED_VALUE"""),-382.253259608337)</f>
        <v>-382.25325960833698</v>
      </c>
      <c r="O157" s="23">
        <f ca="1">IFERROR(__xludf.DUMMYFUNCTION("""COMPUTED_VALUE"""),-265.976576861518)</f>
        <v>-265.97657686151803</v>
      </c>
      <c r="P157" s="23">
        <f ca="1">IFERROR(__xludf.DUMMYFUNCTION("""COMPUTED_VALUE"""),-379.571494064111)</f>
        <v>-379.57149406411099</v>
      </c>
      <c r="Q157" s="24">
        <f ca="1">IFERROR(__xludf.DUMMYFUNCTION("""COMPUTED_VALUE"""),-205.83905822658)</f>
        <v>-205.83905822657999</v>
      </c>
      <c r="R157" s="20"/>
    </row>
    <row r="158" spans="1:18" ht="13.2" hidden="1" outlineLevel="1" x14ac:dyDescent="0.25">
      <c r="A158" s="1"/>
      <c r="B158" s="21" t="str">
        <f ca="1">IFERROR(__xludf.DUMMYFUNCTION("""COMPUTED_VALUE"""),"Energía Nuclear")</f>
        <v>Energía Nuclear</v>
      </c>
      <c r="C158" s="22">
        <f ca="1">IFERROR(__xludf.DUMMYFUNCTION("""COMPUTED_VALUE"""),0)</f>
        <v>0</v>
      </c>
      <c r="D158" s="23">
        <f ca="1">IFERROR(__xludf.DUMMYFUNCTION("""COMPUTED_VALUE"""),0)</f>
        <v>0</v>
      </c>
      <c r="E158" s="23">
        <f ca="1">IFERROR(__xludf.DUMMYFUNCTION("""COMPUTED_VALUE"""),0)</f>
        <v>0</v>
      </c>
      <c r="F158" s="23">
        <f ca="1">IFERROR(__xludf.DUMMYFUNCTION("""COMPUTED_VALUE"""),0)</f>
        <v>0</v>
      </c>
      <c r="G158" s="23">
        <f ca="1">IFERROR(__xludf.DUMMYFUNCTION("""COMPUTED_VALUE"""),0)</f>
        <v>0</v>
      </c>
      <c r="H158" s="23">
        <f ca="1">IFERROR(__xludf.DUMMYFUNCTION("""COMPUTED_VALUE"""),0)</f>
        <v>0</v>
      </c>
      <c r="I158" s="23">
        <f ca="1">IFERROR(__xludf.DUMMYFUNCTION("""COMPUTED_VALUE"""),0)</f>
        <v>0</v>
      </c>
      <c r="J158" s="23">
        <f ca="1">IFERROR(__xludf.DUMMYFUNCTION("""COMPUTED_VALUE"""),0)</f>
        <v>0</v>
      </c>
      <c r="K158" s="23">
        <f ca="1">IFERROR(__xludf.DUMMYFUNCTION("""COMPUTED_VALUE"""),0)</f>
        <v>0</v>
      </c>
      <c r="L158" s="23">
        <f ca="1">IFERROR(__xludf.DUMMYFUNCTION("""COMPUTED_VALUE"""),0)</f>
        <v>0</v>
      </c>
      <c r="M158" s="23">
        <f ca="1">IFERROR(__xludf.DUMMYFUNCTION("""COMPUTED_VALUE"""),0)</f>
        <v>0</v>
      </c>
      <c r="N158" s="23">
        <f ca="1">IFERROR(__xludf.DUMMYFUNCTION("""COMPUTED_VALUE"""),0)</f>
        <v>0</v>
      </c>
      <c r="O158" s="23">
        <f ca="1">IFERROR(__xludf.DUMMYFUNCTION("""COMPUTED_VALUE"""),0)</f>
        <v>0</v>
      </c>
      <c r="P158" s="23">
        <f ca="1">IFERROR(__xludf.DUMMYFUNCTION("""COMPUTED_VALUE"""),0)</f>
        <v>0</v>
      </c>
      <c r="Q158" s="24">
        <f ca="1">IFERROR(__xludf.DUMMYFUNCTION("""COMPUTED_VALUE"""),0)</f>
        <v>0</v>
      </c>
      <c r="R158" s="20"/>
    </row>
    <row r="159" spans="1:18" ht="13.2" hidden="1" outlineLevel="1" x14ac:dyDescent="0.25">
      <c r="A159" s="1"/>
      <c r="B159" s="21" t="str">
        <f ca="1">IFERROR(__xludf.DUMMYFUNCTION("""COMPUTED_VALUE"""),"Energia Hidraúlica")</f>
        <v>Energia Hidraúlica</v>
      </c>
      <c r="C159" s="22">
        <f ca="1">IFERROR(__xludf.DUMMYFUNCTION("""COMPUTED_VALUE"""),0)</f>
        <v>0</v>
      </c>
      <c r="D159" s="23">
        <f ca="1">IFERROR(__xludf.DUMMYFUNCTION("""COMPUTED_VALUE"""),0)</f>
        <v>0</v>
      </c>
      <c r="E159" s="23">
        <f ca="1">IFERROR(__xludf.DUMMYFUNCTION("""COMPUTED_VALUE"""),0)</f>
        <v>0</v>
      </c>
      <c r="F159" s="23">
        <f ca="1">IFERROR(__xludf.DUMMYFUNCTION("""COMPUTED_VALUE"""),0)</f>
        <v>0</v>
      </c>
      <c r="G159" s="23">
        <f ca="1">IFERROR(__xludf.DUMMYFUNCTION("""COMPUTED_VALUE"""),0)</f>
        <v>0</v>
      </c>
      <c r="H159" s="23">
        <f ca="1">IFERROR(__xludf.DUMMYFUNCTION("""COMPUTED_VALUE"""),0)</f>
        <v>0</v>
      </c>
      <c r="I159" s="23">
        <f ca="1">IFERROR(__xludf.DUMMYFUNCTION("""COMPUTED_VALUE"""),0)</f>
        <v>0</v>
      </c>
      <c r="J159" s="23">
        <f ca="1">IFERROR(__xludf.DUMMYFUNCTION("""COMPUTED_VALUE"""),0)</f>
        <v>0</v>
      </c>
      <c r="K159" s="23">
        <f ca="1">IFERROR(__xludf.DUMMYFUNCTION("""COMPUTED_VALUE"""),0)</f>
        <v>0</v>
      </c>
      <c r="L159" s="23">
        <f ca="1">IFERROR(__xludf.DUMMYFUNCTION("""COMPUTED_VALUE"""),0)</f>
        <v>0</v>
      </c>
      <c r="M159" s="23">
        <f ca="1">IFERROR(__xludf.DUMMYFUNCTION("""COMPUTED_VALUE"""),0)</f>
        <v>0</v>
      </c>
      <c r="N159" s="23">
        <f ca="1">IFERROR(__xludf.DUMMYFUNCTION("""COMPUTED_VALUE"""),0)</f>
        <v>0</v>
      </c>
      <c r="O159" s="23">
        <f ca="1">IFERROR(__xludf.DUMMYFUNCTION("""COMPUTED_VALUE"""),0)</f>
        <v>0</v>
      </c>
      <c r="P159" s="23">
        <f ca="1">IFERROR(__xludf.DUMMYFUNCTION("""COMPUTED_VALUE"""),0)</f>
        <v>0</v>
      </c>
      <c r="Q159" s="24">
        <f ca="1">IFERROR(__xludf.DUMMYFUNCTION("""COMPUTED_VALUE"""),0)</f>
        <v>0</v>
      </c>
      <c r="R159" s="20"/>
    </row>
    <row r="160" spans="1:18" ht="13.2" hidden="1" outlineLevel="1" x14ac:dyDescent="0.25">
      <c r="A160" s="1"/>
      <c r="B160" s="21" t="str">
        <f ca="1">IFERROR(__xludf.DUMMYFUNCTION("""COMPUTED_VALUE"""),"Geoenergía")</f>
        <v>Geoenergía</v>
      </c>
      <c r="C160" s="22">
        <f ca="1">IFERROR(__xludf.DUMMYFUNCTION("""COMPUTED_VALUE"""),0)</f>
        <v>0</v>
      </c>
      <c r="D160" s="23">
        <f ca="1">IFERROR(__xludf.DUMMYFUNCTION("""COMPUTED_VALUE"""),0)</f>
        <v>0</v>
      </c>
      <c r="E160" s="23">
        <f ca="1">IFERROR(__xludf.DUMMYFUNCTION("""COMPUTED_VALUE"""),0)</f>
        <v>0</v>
      </c>
      <c r="F160" s="23">
        <f ca="1">IFERROR(__xludf.DUMMYFUNCTION("""COMPUTED_VALUE"""),0)</f>
        <v>0</v>
      </c>
      <c r="G160" s="23">
        <f ca="1">IFERROR(__xludf.DUMMYFUNCTION("""COMPUTED_VALUE"""),0)</f>
        <v>0</v>
      </c>
      <c r="H160" s="23">
        <f ca="1">IFERROR(__xludf.DUMMYFUNCTION("""COMPUTED_VALUE"""),0)</f>
        <v>0</v>
      </c>
      <c r="I160" s="23">
        <f ca="1">IFERROR(__xludf.DUMMYFUNCTION("""COMPUTED_VALUE"""),0)</f>
        <v>0</v>
      </c>
      <c r="J160" s="23">
        <f ca="1">IFERROR(__xludf.DUMMYFUNCTION("""COMPUTED_VALUE"""),0)</f>
        <v>0</v>
      </c>
      <c r="K160" s="23">
        <f ca="1">IFERROR(__xludf.DUMMYFUNCTION("""COMPUTED_VALUE"""),0)</f>
        <v>0</v>
      </c>
      <c r="L160" s="23">
        <f ca="1">IFERROR(__xludf.DUMMYFUNCTION("""COMPUTED_VALUE"""),0)</f>
        <v>0</v>
      </c>
      <c r="M160" s="23">
        <f ca="1">IFERROR(__xludf.DUMMYFUNCTION("""COMPUTED_VALUE"""),0)</f>
        <v>0</v>
      </c>
      <c r="N160" s="23">
        <f ca="1">IFERROR(__xludf.DUMMYFUNCTION("""COMPUTED_VALUE"""),0)</f>
        <v>0</v>
      </c>
      <c r="O160" s="23">
        <f ca="1">IFERROR(__xludf.DUMMYFUNCTION("""COMPUTED_VALUE"""),0)</f>
        <v>0</v>
      </c>
      <c r="P160" s="23">
        <f ca="1">IFERROR(__xludf.DUMMYFUNCTION("""COMPUTED_VALUE"""),0)</f>
        <v>0</v>
      </c>
      <c r="Q160" s="24">
        <f ca="1">IFERROR(__xludf.DUMMYFUNCTION("""COMPUTED_VALUE"""),0)</f>
        <v>0</v>
      </c>
      <c r="R160" s="20"/>
    </row>
    <row r="161" spans="1:18" ht="13.2" hidden="1" outlineLevel="1" x14ac:dyDescent="0.25">
      <c r="A161" s="1"/>
      <c r="B161" s="21" t="str">
        <f ca="1">IFERROR(__xludf.DUMMYFUNCTION("""COMPUTED_VALUE"""),"Energía solar")</f>
        <v>Energía solar</v>
      </c>
      <c r="C161" s="22">
        <f ca="1">IFERROR(__xludf.DUMMYFUNCTION("""COMPUTED_VALUE"""),0)</f>
        <v>0</v>
      </c>
      <c r="D161" s="23">
        <f ca="1">IFERROR(__xludf.DUMMYFUNCTION("""COMPUTED_VALUE"""),0)</f>
        <v>0</v>
      </c>
      <c r="E161" s="23">
        <f ca="1">IFERROR(__xludf.DUMMYFUNCTION("""COMPUTED_VALUE"""),0)</f>
        <v>0</v>
      </c>
      <c r="F161" s="23">
        <f ca="1">IFERROR(__xludf.DUMMYFUNCTION("""COMPUTED_VALUE"""),0)</f>
        <v>0</v>
      </c>
      <c r="G161" s="23">
        <f ca="1">IFERROR(__xludf.DUMMYFUNCTION("""COMPUTED_VALUE"""),0)</f>
        <v>0</v>
      </c>
      <c r="H161" s="23">
        <f ca="1">IFERROR(__xludf.DUMMYFUNCTION("""COMPUTED_VALUE"""),0)</f>
        <v>0</v>
      </c>
      <c r="I161" s="23">
        <f ca="1">IFERROR(__xludf.DUMMYFUNCTION("""COMPUTED_VALUE"""),0)</f>
        <v>0</v>
      </c>
      <c r="J161" s="23">
        <f ca="1">IFERROR(__xludf.DUMMYFUNCTION("""COMPUTED_VALUE"""),0)</f>
        <v>0</v>
      </c>
      <c r="K161" s="23">
        <f ca="1">IFERROR(__xludf.DUMMYFUNCTION("""COMPUTED_VALUE"""),0)</f>
        <v>0</v>
      </c>
      <c r="L161" s="23">
        <f ca="1">IFERROR(__xludf.DUMMYFUNCTION("""COMPUTED_VALUE"""),0)</f>
        <v>0</v>
      </c>
      <c r="M161" s="23">
        <f ca="1">IFERROR(__xludf.DUMMYFUNCTION("""COMPUTED_VALUE"""),0)</f>
        <v>0</v>
      </c>
      <c r="N161" s="23">
        <f ca="1">IFERROR(__xludf.DUMMYFUNCTION("""COMPUTED_VALUE"""),0)</f>
        <v>0</v>
      </c>
      <c r="O161" s="23">
        <f ca="1">IFERROR(__xludf.DUMMYFUNCTION("""COMPUTED_VALUE"""),0)</f>
        <v>0</v>
      </c>
      <c r="P161" s="23">
        <f ca="1">IFERROR(__xludf.DUMMYFUNCTION("""COMPUTED_VALUE"""),0)</f>
        <v>0</v>
      </c>
      <c r="Q161" s="24">
        <f ca="1">IFERROR(__xludf.DUMMYFUNCTION("""COMPUTED_VALUE"""),0)</f>
        <v>0</v>
      </c>
      <c r="R161" s="20"/>
    </row>
    <row r="162" spans="1:18" ht="13.2" hidden="1" outlineLevel="1" x14ac:dyDescent="0.25">
      <c r="A162" s="1"/>
      <c r="B162" s="21" t="str">
        <f ca="1">IFERROR(__xludf.DUMMYFUNCTION("""COMPUTED_VALUE"""),"Energía eólica")</f>
        <v>Energía eólica</v>
      </c>
      <c r="C162" s="22">
        <f ca="1">IFERROR(__xludf.DUMMYFUNCTION("""COMPUTED_VALUE"""),0)</f>
        <v>0</v>
      </c>
      <c r="D162" s="23">
        <f ca="1">IFERROR(__xludf.DUMMYFUNCTION("""COMPUTED_VALUE"""),0)</f>
        <v>0</v>
      </c>
      <c r="E162" s="23">
        <f ca="1">IFERROR(__xludf.DUMMYFUNCTION("""COMPUTED_VALUE"""),0)</f>
        <v>0</v>
      </c>
      <c r="F162" s="23">
        <f ca="1">IFERROR(__xludf.DUMMYFUNCTION("""COMPUTED_VALUE"""),0)</f>
        <v>0</v>
      </c>
      <c r="G162" s="23">
        <f ca="1">IFERROR(__xludf.DUMMYFUNCTION("""COMPUTED_VALUE"""),0)</f>
        <v>0</v>
      </c>
      <c r="H162" s="23">
        <f ca="1">IFERROR(__xludf.DUMMYFUNCTION("""COMPUTED_VALUE"""),0)</f>
        <v>0</v>
      </c>
      <c r="I162" s="23">
        <f ca="1">IFERROR(__xludf.DUMMYFUNCTION("""COMPUTED_VALUE"""),0)</f>
        <v>0</v>
      </c>
      <c r="J162" s="23">
        <f ca="1">IFERROR(__xludf.DUMMYFUNCTION("""COMPUTED_VALUE"""),0)</f>
        <v>0</v>
      </c>
      <c r="K162" s="23">
        <f ca="1">IFERROR(__xludf.DUMMYFUNCTION("""COMPUTED_VALUE"""),0)</f>
        <v>0</v>
      </c>
      <c r="L162" s="23">
        <f ca="1">IFERROR(__xludf.DUMMYFUNCTION("""COMPUTED_VALUE"""),0)</f>
        <v>0</v>
      </c>
      <c r="M162" s="23">
        <f ca="1">IFERROR(__xludf.DUMMYFUNCTION("""COMPUTED_VALUE"""),0)</f>
        <v>0</v>
      </c>
      <c r="N162" s="23">
        <f ca="1">IFERROR(__xludf.DUMMYFUNCTION("""COMPUTED_VALUE"""),0)</f>
        <v>0</v>
      </c>
      <c r="O162" s="23">
        <f ca="1">IFERROR(__xludf.DUMMYFUNCTION("""COMPUTED_VALUE"""),0)</f>
        <v>0</v>
      </c>
      <c r="P162" s="23">
        <f ca="1">IFERROR(__xludf.DUMMYFUNCTION("""COMPUTED_VALUE"""),0)</f>
        <v>0</v>
      </c>
      <c r="Q162" s="24">
        <f ca="1">IFERROR(__xludf.DUMMYFUNCTION("""COMPUTED_VALUE"""),0)</f>
        <v>0</v>
      </c>
      <c r="R162" s="20"/>
    </row>
    <row r="163" spans="1:18" ht="13.2" hidden="1" outlineLevel="1" x14ac:dyDescent="0.25">
      <c r="A163" s="1"/>
      <c r="B163" s="21" t="str">
        <f ca="1">IFERROR(__xludf.DUMMYFUNCTION("""COMPUTED_VALUE"""),"Bagazo de caña")</f>
        <v>Bagazo de caña</v>
      </c>
      <c r="C163" s="22">
        <f ca="1">IFERROR(__xludf.DUMMYFUNCTION("""COMPUTED_VALUE"""),-0.98)</f>
        <v>-0.98</v>
      </c>
      <c r="D163" s="23">
        <f ca="1">IFERROR(__xludf.DUMMYFUNCTION("""COMPUTED_VALUE"""),-1)</f>
        <v>-1</v>
      </c>
      <c r="E163" s="23">
        <f ca="1">IFERROR(__xludf.DUMMYFUNCTION("""COMPUTED_VALUE"""),-1.05)</f>
        <v>-1.05</v>
      </c>
      <c r="F163" s="23">
        <f ca="1">IFERROR(__xludf.DUMMYFUNCTION("""COMPUTED_VALUE"""),-1.36)</f>
        <v>-1.36</v>
      </c>
      <c r="G163" s="23">
        <f ca="1">IFERROR(__xludf.DUMMYFUNCTION("""COMPUTED_VALUE"""),-1.2)</f>
        <v>-1.2</v>
      </c>
      <c r="H163" s="23">
        <f ca="1">IFERROR(__xludf.DUMMYFUNCTION("""COMPUTED_VALUE"""),-1.177026265635)</f>
        <v>-1.1770262656349999</v>
      </c>
      <c r="I163" s="23">
        <f ca="1">IFERROR(__xludf.DUMMYFUNCTION("""COMPUTED_VALUE"""),-1.1869389851)</f>
        <v>-1.1869389851000001</v>
      </c>
      <c r="J163" s="23">
        <f ca="1">IFERROR(__xludf.DUMMYFUNCTION("""COMPUTED_VALUE"""),-1.181339861955)</f>
        <v>-1.181339861955</v>
      </c>
      <c r="K163" s="23">
        <f ca="1">IFERROR(__xludf.DUMMYFUNCTION("""COMPUTED_VALUE"""),-1.17860801074499)</f>
        <v>-1.1786080107449901</v>
      </c>
      <c r="L163" s="23">
        <f ca="1">IFERROR(__xludf.DUMMYFUNCTION("""COMPUTED_VALUE"""),-1.245735404485)</f>
        <v>-1.245735404485</v>
      </c>
      <c r="M163" s="23">
        <f ca="1">IFERROR(__xludf.DUMMYFUNCTION("""COMPUTED_VALUE"""),-1.09622075783)</f>
        <v>-1.0962207578300001</v>
      </c>
      <c r="N163" s="23">
        <f ca="1">IFERROR(__xludf.DUMMYFUNCTION("""COMPUTED_VALUE"""),-1.14349151542999)</f>
        <v>-1.1434915154299901</v>
      </c>
      <c r="O163" s="23">
        <f ca="1">IFERROR(__xludf.DUMMYFUNCTION("""COMPUTED_VALUE"""),-1.22753214287)</f>
        <v>-1.2275321428699999</v>
      </c>
      <c r="P163" s="23">
        <f ca="1">IFERROR(__xludf.DUMMYFUNCTION("""COMPUTED_VALUE"""),-1.071197724025)</f>
        <v>-1.0711977240249999</v>
      </c>
      <c r="Q163" s="24">
        <f ca="1">IFERROR(__xludf.DUMMYFUNCTION("""COMPUTED_VALUE"""),-1.05347716551)</f>
        <v>-1.0534771655099999</v>
      </c>
      <c r="R163" s="20"/>
    </row>
    <row r="164" spans="1:18" ht="13.2" hidden="1" outlineLevel="1" x14ac:dyDescent="0.25">
      <c r="A164" s="1"/>
      <c r="B164" s="21" t="str">
        <f ca="1">IFERROR(__xludf.DUMMYFUNCTION("""COMPUTED_VALUE"""),"Leña")</f>
        <v>Leña</v>
      </c>
      <c r="C164" s="22">
        <f ca="1">IFERROR(__xludf.DUMMYFUNCTION("""COMPUTED_VALUE"""),0)</f>
        <v>0</v>
      </c>
      <c r="D164" s="23">
        <f ca="1">IFERROR(__xludf.DUMMYFUNCTION("""COMPUTED_VALUE"""),0)</f>
        <v>0</v>
      </c>
      <c r="E164" s="23">
        <f ca="1">IFERROR(__xludf.DUMMYFUNCTION("""COMPUTED_VALUE"""),0)</f>
        <v>0</v>
      </c>
      <c r="F164" s="23">
        <f ca="1">IFERROR(__xludf.DUMMYFUNCTION("""COMPUTED_VALUE"""),0)</f>
        <v>0</v>
      </c>
      <c r="G164" s="23">
        <f ca="1">IFERROR(__xludf.DUMMYFUNCTION("""COMPUTED_VALUE"""),0)</f>
        <v>0</v>
      </c>
      <c r="H164" s="23">
        <f ca="1">IFERROR(__xludf.DUMMYFUNCTION("""COMPUTED_VALUE"""),0)</f>
        <v>0</v>
      </c>
      <c r="I164" s="23">
        <f ca="1">IFERROR(__xludf.DUMMYFUNCTION("""COMPUTED_VALUE"""),0)</f>
        <v>0</v>
      </c>
      <c r="J164" s="23">
        <f ca="1">IFERROR(__xludf.DUMMYFUNCTION("""COMPUTED_VALUE"""),0)</f>
        <v>0</v>
      </c>
      <c r="K164" s="23">
        <f ca="1">IFERROR(__xludf.DUMMYFUNCTION("""COMPUTED_VALUE"""),0)</f>
        <v>0</v>
      </c>
      <c r="L164" s="23">
        <f ca="1">IFERROR(__xludf.DUMMYFUNCTION("""COMPUTED_VALUE"""),0)</f>
        <v>0</v>
      </c>
      <c r="M164" s="23">
        <f ca="1">IFERROR(__xludf.DUMMYFUNCTION("""COMPUTED_VALUE"""),0)</f>
        <v>0</v>
      </c>
      <c r="N164" s="23">
        <f ca="1">IFERROR(__xludf.DUMMYFUNCTION("""COMPUTED_VALUE"""),0)</f>
        <v>0</v>
      </c>
      <c r="O164" s="23">
        <f ca="1">IFERROR(__xludf.DUMMYFUNCTION("""COMPUTED_VALUE"""),0)</f>
        <v>0</v>
      </c>
      <c r="P164" s="23">
        <f ca="1">IFERROR(__xludf.DUMMYFUNCTION("""COMPUTED_VALUE"""),0)</f>
        <v>0</v>
      </c>
      <c r="Q164" s="24">
        <f ca="1">IFERROR(__xludf.DUMMYFUNCTION("""COMPUTED_VALUE"""),0)</f>
        <v>0</v>
      </c>
      <c r="R164" s="20"/>
    </row>
    <row r="165" spans="1:18" ht="13.2" hidden="1" outlineLevel="1" x14ac:dyDescent="0.25">
      <c r="A165" s="1"/>
      <c r="B165" s="21" t="str">
        <f ca="1">IFERROR(__xludf.DUMMYFUNCTION("""COMPUTED_VALUE"""),"Biogás")</f>
        <v>Biogás</v>
      </c>
      <c r="C165" s="22">
        <f ca="1">IFERROR(__xludf.DUMMYFUNCTION("""COMPUTED_VALUE"""),0)</f>
        <v>0</v>
      </c>
      <c r="D165" s="23">
        <f ca="1">IFERROR(__xludf.DUMMYFUNCTION("""COMPUTED_VALUE"""),0)</f>
        <v>0</v>
      </c>
      <c r="E165" s="23">
        <f ca="1">IFERROR(__xludf.DUMMYFUNCTION("""COMPUTED_VALUE"""),0)</f>
        <v>0</v>
      </c>
      <c r="F165" s="23">
        <f ca="1">IFERROR(__xludf.DUMMYFUNCTION("""COMPUTED_VALUE"""),0)</f>
        <v>0</v>
      </c>
      <c r="G165" s="23">
        <f ca="1">IFERROR(__xludf.DUMMYFUNCTION("""COMPUTED_VALUE"""),0)</f>
        <v>0</v>
      </c>
      <c r="H165" s="23">
        <f ca="1">IFERROR(__xludf.DUMMYFUNCTION("""COMPUTED_VALUE"""),0)</f>
        <v>0</v>
      </c>
      <c r="I165" s="23">
        <f ca="1">IFERROR(__xludf.DUMMYFUNCTION("""COMPUTED_VALUE"""),0)</f>
        <v>0</v>
      </c>
      <c r="J165" s="23">
        <f ca="1">IFERROR(__xludf.DUMMYFUNCTION("""COMPUTED_VALUE"""),0)</f>
        <v>0</v>
      </c>
      <c r="K165" s="23">
        <f ca="1">IFERROR(__xludf.DUMMYFUNCTION("""COMPUTED_VALUE"""),0)</f>
        <v>0</v>
      </c>
      <c r="L165" s="23">
        <f ca="1">IFERROR(__xludf.DUMMYFUNCTION("""COMPUTED_VALUE"""),0)</f>
        <v>0</v>
      </c>
      <c r="M165" s="23">
        <f ca="1">IFERROR(__xludf.DUMMYFUNCTION("""COMPUTED_VALUE"""),0)</f>
        <v>0</v>
      </c>
      <c r="N165" s="23">
        <f ca="1">IFERROR(__xludf.DUMMYFUNCTION("""COMPUTED_VALUE"""),0)</f>
        <v>0</v>
      </c>
      <c r="O165" s="23">
        <f ca="1">IFERROR(__xludf.DUMMYFUNCTION("""COMPUTED_VALUE"""),0)</f>
        <v>0</v>
      </c>
      <c r="P165" s="23">
        <f ca="1">IFERROR(__xludf.DUMMYFUNCTION("""COMPUTED_VALUE"""),0)</f>
        <v>0</v>
      </c>
      <c r="Q165" s="24">
        <f ca="1">IFERROR(__xludf.DUMMYFUNCTION("""COMPUTED_VALUE"""),0)</f>
        <v>0</v>
      </c>
      <c r="R165" s="20"/>
    </row>
    <row r="166" spans="1:18" ht="13.2" hidden="1" outlineLevel="1" x14ac:dyDescent="0.25">
      <c r="A166" s="1"/>
      <c r="B166" s="21" t="str">
        <f ca="1">IFERROR(__xludf.DUMMYFUNCTION("""COMPUTED_VALUE"""),"Coque de carbón")</f>
        <v>Coque de carbón</v>
      </c>
      <c r="C166" s="22">
        <f ca="1">IFERROR(__xludf.DUMMYFUNCTION("""COMPUTED_VALUE"""),0)</f>
        <v>0</v>
      </c>
      <c r="D166" s="23">
        <f ca="1">IFERROR(__xludf.DUMMYFUNCTION("""COMPUTED_VALUE"""),0)</f>
        <v>0</v>
      </c>
      <c r="E166" s="23">
        <f ca="1">IFERROR(__xludf.DUMMYFUNCTION("""COMPUTED_VALUE"""),0)</f>
        <v>0</v>
      </c>
      <c r="F166" s="23">
        <f ca="1">IFERROR(__xludf.DUMMYFUNCTION("""COMPUTED_VALUE"""),0)</f>
        <v>0</v>
      </c>
      <c r="G166" s="23">
        <f ca="1">IFERROR(__xludf.DUMMYFUNCTION("""COMPUTED_VALUE"""),0)</f>
        <v>0</v>
      </c>
      <c r="H166" s="23">
        <f ca="1">IFERROR(__xludf.DUMMYFUNCTION("""COMPUTED_VALUE"""),0)</f>
        <v>0</v>
      </c>
      <c r="I166" s="23">
        <f ca="1">IFERROR(__xludf.DUMMYFUNCTION("""COMPUTED_VALUE"""),0)</f>
        <v>0</v>
      </c>
      <c r="J166" s="23">
        <f ca="1">IFERROR(__xludf.DUMMYFUNCTION("""COMPUTED_VALUE"""),0)</f>
        <v>0</v>
      </c>
      <c r="K166" s="23">
        <f ca="1">IFERROR(__xludf.DUMMYFUNCTION("""COMPUTED_VALUE"""),0)</f>
        <v>0</v>
      </c>
      <c r="L166" s="23">
        <f ca="1">IFERROR(__xludf.DUMMYFUNCTION("""COMPUTED_VALUE"""),0)</f>
        <v>0</v>
      </c>
      <c r="M166" s="23">
        <f ca="1">IFERROR(__xludf.DUMMYFUNCTION("""COMPUTED_VALUE"""),0)</f>
        <v>0</v>
      </c>
      <c r="N166" s="23">
        <f ca="1">IFERROR(__xludf.DUMMYFUNCTION("""COMPUTED_VALUE"""),0)</f>
        <v>0</v>
      </c>
      <c r="O166" s="23">
        <f ca="1">IFERROR(__xludf.DUMMYFUNCTION("""COMPUTED_VALUE"""),0)</f>
        <v>0</v>
      </c>
      <c r="P166" s="23">
        <f ca="1">IFERROR(__xludf.DUMMYFUNCTION("""COMPUTED_VALUE"""),0)</f>
        <v>0</v>
      </c>
      <c r="Q166" s="24">
        <f ca="1">IFERROR(__xludf.DUMMYFUNCTION("""COMPUTED_VALUE"""),0)</f>
        <v>0</v>
      </c>
      <c r="R166" s="20"/>
    </row>
    <row r="167" spans="1:18" ht="13.2" hidden="1" outlineLevel="1" x14ac:dyDescent="0.25">
      <c r="A167" s="1"/>
      <c r="B167" s="21" t="str">
        <f ca="1">IFERROR(__xludf.DUMMYFUNCTION("""COMPUTED_VALUE"""),"Coque de petróleo")</f>
        <v>Coque de petróleo</v>
      </c>
      <c r="C167" s="22">
        <f ca="1">IFERROR(__xludf.DUMMYFUNCTION("""COMPUTED_VALUE"""),0)</f>
        <v>0</v>
      </c>
      <c r="D167" s="23">
        <f ca="1">IFERROR(__xludf.DUMMYFUNCTION("""COMPUTED_VALUE"""),0)</f>
        <v>0</v>
      </c>
      <c r="E167" s="23">
        <f ca="1">IFERROR(__xludf.DUMMYFUNCTION("""COMPUTED_VALUE"""),0)</f>
        <v>0</v>
      </c>
      <c r="F167" s="23">
        <f ca="1">IFERROR(__xludf.DUMMYFUNCTION("""COMPUTED_VALUE"""),0)</f>
        <v>0</v>
      </c>
      <c r="G167" s="23">
        <f ca="1">IFERROR(__xludf.DUMMYFUNCTION("""COMPUTED_VALUE"""),0)</f>
        <v>0</v>
      </c>
      <c r="H167" s="23">
        <f ca="1">IFERROR(__xludf.DUMMYFUNCTION("""COMPUTED_VALUE"""),0)</f>
        <v>0</v>
      </c>
      <c r="I167" s="23">
        <f ca="1">IFERROR(__xludf.DUMMYFUNCTION("""COMPUTED_VALUE"""),0)</f>
        <v>0</v>
      </c>
      <c r="J167" s="23">
        <f ca="1">IFERROR(__xludf.DUMMYFUNCTION("""COMPUTED_VALUE"""),0)</f>
        <v>0</v>
      </c>
      <c r="K167" s="23">
        <f ca="1">IFERROR(__xludf.DUMMYFUNCTION("""COMPUTED_VALUE"""),0)</f>
        <v>0</v>
      </c>
      <c r="L167" s="23">
        <f ca="1">IFERROR(__xludf.DUMMYFUNCTION("""COMPUTED_VALUE"""),0)</f>
        <v>0</v>
      </c>
      <c r="M167" s="23">
        <f ca="1">IFERROR(__xludf.DUMMYFUNCTION("""COMPUTED_VALUE"""),0)</f>
        <v>0</v>
      </c>
      <c r="N167" s="23">
        <f ca="1">IFERROR(__xludf.DUMMYFUNCTION("""COMPUTED_VALUE"""),0)</f>
        <v>0</v>
      </c>
      <c r="O167" s="23">
        <f ca="1">IFERROR(__xludf.DUMMYFUNCTION("""COMPUTED_VALUE"""),0)</f>
        <v>0</v>
      </c>
      <c r="P167" s="23">
        <f ca="1">IFERROR(__xludf.DUMMYFUNCTION("""COMPUTED_VALUE"""),0)</f>
        <v>0</v>
      </c>
      <c r="Q167" s="24">
        <f ca="1">IFERROR(__xludf.DUMMYFUNCTION("""COMPUTED_VALUE"""),0)</f>
        <v>0</v>
      </c>
      <c r="R167" s="20"/>
    </row>
    <row r="168" spans="1:18" ht="13.2" hidden="1" outlineLevel="1" x14ac:dyDescent="0.25">
      <c r="A168" s="1"/>
      <c r="B168" s="21" t="str">
        <f ca="1">IFERROR(__xludf.DUMMYFUNCTION("""COMPUTED_VALUE"""),"Gas licuado de petróleo")</f>
        <v>Gas licuado de petróleo</v>
      </c>
      <c r="C168" s="22">
        <f ca="1">IFERROR(__xludf.DUMMYFUNCTION("""COMPUTED_VALUE"""),0)</f>
        <v>0</v>
      </c>
      <c r="D168" s="23">
        <f ca="1">IFERROR(__xludf.DUMMYFUNCTION("""COMPUTED_VALUE"""),0)</f>
        <v>0</v>
      </c>
      <c r="E168" s="23">
        <f ca="1">IFERROR(__xludf.DUMMYFUNCTION("""COMPUTED_VALUE"""),0)</f>
        <v>0</v>
      </c>
      <c r="F168" s="23">
        <f ca="1">IFERROR(__xludf.DUMMYFUNCTION("""COMPUTED_VALUE"""),0)</f>
        <v>0</v>
      </c>
      <c r="G168" s="23">
        <f ca="1">IFERROR(__xludf.DUMMYFUNCTION("""COMPUTED_VALUE"""),0)</f>
        <v>0</v>
      </c>
      <c r="H168" s="23">
        <f ca="1">IFERROR(__xludf.DUMMYFUNCTION("""COMPUTED_VALUE"""),0)</f>
        <v>0</v>
      </c>
      <c r="I168" s="23">
        <f ca="1">IFERROR(__xludf.DUMMYFUNCTION("""COMPUTED_VALUE"""),0)</f>
        <v>0</v>
      </c>
      <c r="J168" s="23">
        <f ca="1">IFERROR(__xludf.DUMMYFUNCTION("""COMPUTED_VALUE"""),0)</f>
        <v>0</v>
      </c>
      <c r="K168" s="23">
        <f ca="1">IFERROR(__xludf.DUMMYFUNCTION("""COMPUTED_VALUE"""),0)</f>
        <v>0</v>
      </c>
      <c r="L168" s="23">
        <f ca="1">IFERROR(__xludf.DUMMYFUNCTION("""COMPUTED_VALUE"""),0)</f>
        <v>0</v>
      </c>
      <c r="M168" s="23">
        <f ca="1">IFERROR(__xludf.DUMMYFUNCTION("""COMPUTED_VALUE"""),0)</f>
        <v>0</v>
      </c>
      <c r="N168" s="23">
        <f ca="1">IFERROR(__xludf.DUMMYFUNCTION("""COMPUTED_VALUE"""),0)</f>
        <v>0</v>
      </c>
      <c r="O168" s="23">
        <f ca="1">IFERROR(__xludf.DUMMYFUNCTION("""COMPUTED_VALUE"""),0)</f>
        <v>0</v>
      </c>
      <c r="P168" s="23">
        <f ca="1">IFERROR(__xludf.DUMMYFUNCTION("""COMPUTED_VALUE"""),0)</f>
        <v>0</v>
      </c>
      <c r="Q168" s="24">
        <f ca="1">IFERROR(__xludf.DUMMYFUNCTION("""COMPUTED_VALUE"""),0)</f>
        <v>0</v>
      </c>
      <c r="R168" s="20"/>
    </row>
    <row r="169" spans="1:18" ht="13.2" hidden="1" outlineLevel="1" x14ac:dyDescent="0.25">
      <c r="A169" s="1"/>
      <c r="B169" s="21" t="str">
        <f ca="1">IFERROR(__xludf.DUMMYFUNCTION("""COMPUTED_VALUE"""),"Gasolinas y naftas")</f>
        <v>Gasolinas y naftas</v>
      </c>
      <c r="C169" s="22">
        <f ca="1">IFERROR(__xludf.DUMMYFUNCTION("""COMPUTED_VALUE"""),0)</f>
        <v>0</v>
      </c>
      <c r="D169" s="23">
        <f ca="1">IFERROR(__xludf.DUMMYFUNCTION("""COMPUTED_VALUE"""),0)</f>
        <v>0</v>
      </c>
      <c r="E169" s="23">
        <f ca="1">IFERROR(__xludf.DUMMYFUNCTION("""COMPUTED_VALUE"""),0)</f>
        <v>0</v>
      </c>
      <c r="F169" s="23">
        <f ca="1">IFERROR(__xludf.DUMMYFUNCTION("""COMPUTED_VALUE"""),0)</f>
        <v>0</v>
      </c>
      <c r="G169" s="23">
        <f ca="1">IFERROR(__xludf.DUMMYFUNCTION("""COMPUTED_VALUE"""),0)</f>
        <v>0</v>
      </c>
      <c r="H169" s="23">
        <f ca="1">IFERROR(__xludf.DUMMYFUNCTION("""COMPUTED_VALUE"""),0)</f>
        <v>0</v>
      </c>
      <c r="I169" s="23">
        <f ca="1">IFERROR(__xludf.DUMMYFUNCTION("""COMPUTED_VALUE"""),0)</f>
        <v>0</v>
      </c>
      <c r="J169" s="23">
        <f ca="1">IFERROR(__xludf.DUMMYFUNCTION("""COMPUTED_VALUE"""),0)</f>
        <v>0</v>
      </c>
      <c r="K169" s="23">
        <f ca="1">IFERROR(__xludf.DUMMYFUNCTION("""COMPUTED_VALUE"""),0)</f>
        <v>0</v>
      </c>
      <c r="L169" s="23">
        <f ca="1">IFERROR(__xludf.DUMMYFUNCTION("""COMPUTED_VALUE"""),0)</f>
        <v>0</v>
      </c>
      <c r="M169" s="23">
        <f ca="1">IFERROR(__xludf.DUMMYFUNCTION("""COMPUTED_VALUE"""),0)</f>
        <v>0</v>
      </c>
      <c r="N169" s="23">
        <f ca="1">IFERROR(__xludf.DUMMYFUNCTION("""COMPUTED_VALUE"""),0)</f>
        <v>0</v>
      </c>
      <c r="O169" s="23">
        <f ca="1">IFERROR(__xludf.DUMMYFUNCTION("""COMPUTED_VALUE"""),0)</f>
        <v>0</v>
      </c>
      <c r="P169" s="23">
        <f ca="1">IFERROR(__xludf.DUMMYFUNCTION("""COMPUTED_VALUE"""),0)</f>
        <v>0</v>
      </c>
      <c r="Q169" s="24">
        <f ca="1">IFERROR(__xludf.DUMMYFUNCTION("""COMPUTED_VALUE"""),0)</f>
        <v>0</v>
      </c>
      <c r="R169" s="20"/>
    </row>
    <row r="170" spans="1:18" ht="13.2" hidden="1" outlineLevel="1" x14ac:dyDescent="0.25">
      <c r="A170" s="1"/>
      <c r="B170" s="21" t="str">
        <f ca="1">IFERROR(__xludf.DUMMYFUNCTION("""COMPUTED_VALUE"""),"Querosenos")</f>
        <v>Querosenos</v>
      </c>
      <c r="C170" s="22">
        <f ca="1">IFERROR(__xludf.DUMMYFUNCTION("""COMPUTED_VALUE"""),0)</f>
        <v>0</v>
      </c>
      <c r="D170" s="23">
        <f ca="1">IFERROR(__xludf.DUMMYFUNCTION("""COMPUTED_VALUE"""),0)</f>
        <v>0</v>
      </c>
      <c r="E170" s="23">
        <f ca="1">IFERROR(__xludf.DUMMYFUNCTION("""COMPUTED_VALUE"""),0)</f>
        <v>0</v>
      </c>
      <c r="F170" s="23">
        <f ca="1">IFERROR(__xludf.DUMMYFUNCTION("""COMPUTED_VALUE"""),0)</f>
        <v>0</v>
      </c>
      <c r="G170" s="23">
        <f ca="1">IFERROR(__xludf.DUMMYFUNCTION("""COMPUTED_VALUE"""),0)</f>
        <v>0</v>
      </c>
      <c r="H170" s="23">
        <f ca="1">IFERROR(__xludf.DUMMYFUNCTION("""COMPUTED_VALUE"""),0)</f>
        <v>0</v>
      </c>
      <c r="I170" s="23">
        <f ca="1">IFERROR(__xludf.DUMMYFUNCTION("""COMPUTED_VALUE"""),0)</f>
        <v>0</v>
      </c>
      <c r="J170" s="23">
        <f ca="1">IFERROR(__xludf.DUMMYFUNCTION("""COMPUTED_VALUE"""),0)</f>
        <v>0</v>
      </c>
      <c r="K170" s="23">
        <f ca="1">IFERROR(__xludf.DUMMYFUNCTION("""COMPUTED_VALUE"""),0)</f>
        <v>0</v>
      </c>
      <c r="L170" s="23">
        <f ca="1">IFERROR(__xludf.DUMMYFUNCTION("""COMPUTED_VALUE"""),0)</f>
        <v>0</v>
      </c>
      <c r="M170" s="23">
        <f ca="1">IFERROR(__xludf.DUMMYFUNCTION("""COMPUTED_VALUE"""),0)</f>
        <v>0</v>
      </c>
      <c r="N170" s="23">
        <f ca="1">IFERROR(__xludf.DUMMYFUNCTION("""COMPUTED_VALUE"""),0)</f>
        <v>0</v>
      </c>
      <c r="O170" s="23">
        <f ca="1">IFERROR(__xludf.DUMMYFUNCTION("""COMPUTED_VALUE"""),0)</f>
        <v>0</v>
      </c>
      <c r="P170" s="23">
        <f ca="1">IFERROR(__xludf.DUMMYFUNCTION("""COMPUTED_VALUE"""),0)</f>
        <v>0</v>
      </c>
      <c r="Q170" s="24">
        <f ca="1">IFERROR(__xludf.DUMMYFUNCTION("""COMPUTED_VALUE"""),0)</f>
        <v>0</v>
      </c>
      <c r="R170" s="20"/>
    </row>
    <row r="171" spans="1:18" ht="13.2" hidden="1" outlineLevel="1" x14ac:dyDescent="0.25">
      <c r="A171" s="1"/>
      <c r="B171" s="21" t="str">
        <f ca="1">IFERROR(__xludf.DUMMYFUNCTION("""COMPUTED_VALUE"""),"Diesel")</f>
        <v>Diesel</v>
      </c>
      <c r="C171" s="22">
        <f ca="1">IFERROR(__xludf.DUMMYFUNCTION("""COMPUTED_VALUE"""),0)</f>
        <v>0</v>
      </c>
      <c r="D171" s="23">
        <f ca="1">IFERROR(__xludf.DUMMYFUNCTION("""COMPUTED_VALUE"""),0)</f>
        <v>0</v>
      </c>
      <c r="E171" s="23">
        <f ca="1">IFERROR(__xludf.DUMMYFUNCTION("""COMPUTED_VALUE"""),0)</f>
        <v>0</v>
      </c>
      <c r="F171" s="23">
        <f ca="1">IFERROR(__xludf.DUMMYFUNCTION("""COMPUTED_VALUE"""),0)</f>
        <v>0</v>
      </c>
      <c r="G171" s="23">
        <f ca="1">IFERROR(__xludf.DUMMYFUNCTION("""COMPUTED_VALUE"""),0)</f>
        <v>0</v>
      </c>
      <c r="H171" s="23">
        <f ca="1">IFERROR(__xludf.DUMMYFUNCTION("""COMPUTED_VALUE"""),0)</f>
        <v>0</v>
      </c>
      <c r="I171" s="23">
        <f ca="1">IFERROR(__xludf.DUMMYFUNCTION("""COMPUTED_VALUE"""),0)</f>
        <v>0</v>
      </c>
      <c r="J171" s="23">
        <f ca="1">IFERROR(__xludf.DUMMYFUNCTION("""COMPUTED_VALUE"""),0)</f>
        <v>0</v>
      </c>
      <c r="K171" s="23">
        <f ca="1">IFERROR(__xludf.DUMMYFUNCTION("""COMPUTED_VALUE"""),0)</f>
        <v>0</v>
      </c>
      <c r="L171" s="23">
        <f ca="1">IFERROR(__xludf.DUMMYFUNCTION("""COMPUTED_VALUE"""),0)</f>
        <v>0</v>
      </c>
      <c r="M171" s="23">
        <f ca="1">IFERROR(__xludf.DUMMYFUNCTION("""COMPUTED_VALUE"""),0)</f>
        <v>0</v>
      </c>
      <c r="N171" s="23">
        <f ca="1">IFERROR(__xludf.DUMMYFUNCTION("""COMPUTED_VALUE"""),0)</f>
        <v>0</v>
      </c>
      <c r="O171" s="23">
        <f ca="1">IFERROR(__xludf.DUMMYFUNCTION("""COMPUTED_VALUE"""),0)</f>
        <v>0</v>
      </c>
      <c r="P171" s="23">
        <f ca="1">IFERROR(__xludf.DUMMYFUNCTION("""COMPUTED_VALUE"""),0)</f>
        <v>0</v>
      </c>
      <c r="Q171" s="24">
        <f ca="1">IFERROR(__xludf.DUMMYFUNCTION("""COMPUTED_VALUE"""),0)</f>
        <v>0</v>
      </c>
      <c r="R171" s="20"/>
    </row>
    <row r="172" spans="1:18" ht="13.2" hidden="1" outlineLevel="1" x14ac:dyDescent="0.25">
      <c r="A172" s="1"/>
      <c r="B172" s="21" t="str">
        <f ca="1">IFERROR(__xludf.DUMMYFUNCTION("""COMPUTED_VALUE"""),"Combustóleo")</f>
        <v>Combustóleo</v>
      </c>
      <c r="C172" s="22">
        <f ca="1">IFERROR(__xludf.DUMMYFUNCTION("""COMPUTED_VALUE"""),0)</f>
        <v>0</v>
      </c>
      <c r="D172" s="23">
        <f ca="1">IFERROR(__xludf.DUMMYFUNCTION("""COMPUTED_VALUE"""),0)</f>
        <v>0</v>
      </c>
      <c r="E172" s="23">
        <f ca="1">IFERROR(__xludf.DUMMYFUNCTION("""COMPUTED_VALUE"""),0)</f>
        <v>0</v>
      </c>
      <c r="F172" s="23">
        <f ca="1">IFERROR(__xludf.DUMMYFUNCTION("""COMPUTED_VALUE"""),0)</f>
        <v>0</v>
      </c>
      <c r="G172" s="23">
        <f ca="1">IFERROR(__xludf.DUMMYFUNCTION("""COMPUTED_VALUE"""),0)</f>
        <v>0</v>
      </c>
      <c r="H172" s="23">
        <f ca="1">IFERROR(__xludf.DUMMYFUNCTION("""COMPUTED_VALUE"""),0)</f>
        <v>0</v>
      </c>
      <c r="I172" s="23">
        <f ca="1">IFERROR(__xludf.DUMMYFUNCTION("""COMPUTED_VALUE"""),0)</f>
        <v>0</v>
      </c>
      <c r="J172" s="23">
        <f ca="1">IFERROR(__xludf.DUMMYFUNCTION("""COMPUTED_VALUE"""),0)</f>
        <v>0</v>
      </c>
      <c r="K172" s="23">
        <f ca="1">IFERROR(__xludf.DUMMYFUNCTION("""COMPUTED_VALUE"""),0)</f>
        <v>0</v>
      </c>
      <c r="L172" s="23">
        <f ca="1">IFERROR(__xludf.DUMMYFUNCTION("""COMPUTED_VALUE"""),0)</f>
        <v>0</v>
      </c>
      <c r="M172" s="23">
        <f ca="1">IFERROR(__xludf.DUMMYFUNCTION("""COMPUTED_VALUE"""),0)</f>
        <v>0</v>
      </c>
      <c r="N172" s="23">
        <f ca="1">IFERROR(__xludf.DUMMYFUNCTION("""COMPUTED_VALUE"""),0)</f>
        <v>0</v>
      </c>
      <c r="O172" s="23">
        <f ca="1">IFERROR(__xludf.DUMMYFUNCTION("""COMPUTED_VALUE"""),0)</f>
        <v>0</v>
      </c>
      <c r="P172" s="23">
        <f ca="1">IFERROR(__xludf.DUMMYFUNCTION("""COMPUTED_VALUE"""),0)</f>
        <v>0</v>
      </c>
      <c r="Q172" s="24">
        <f ca="1">IFERROR(__xludf.DUMMYFUNCTION("""COMPUTED_VALUE"""),0)</f>
        <v>0</v>
      </c>
      <c r="R172" s="20"/>
    </row>
    <row r="173" spans="1:18" ht="13.2" hidden="1" outlineLevel="1" x14ac:dyDescent="0.25">
      <c r="A173" s="1"/>
      <c r="B173" s="21" t="str">
        <f ca="1">IFERROR(__xludf.DUMMYFUNCTION("""COMPUTED_VALUE"""),"Otros energéticos")</f>
        <v>Otros energéticos</v>
      </c>
      <c r="C173" s="22">
        <f ca="1">IFERROR(__xludf.DUMMYFUNCTION("""COMPUTED_VALUE"""),0)</f>
        <v>0</v>
      </c>
      <c r="D173" s="23">
        <f ca="1">IFERROR(__xludf.DUMMYFUNCTION("""COMPUTED_VALUE"""),0)</f>
        <v>0</v>
      </c>
      <c r="E173" s="23">
        <f ca="1">IFERROR(__xludf.DUMMYFUNCTION("""COMPUTED_VALUE"""),0)</f>
        <v>0</v>
      </c>
      <c r="F173" s="23">
        <f ca="1">IFERROR(__xludf.DUMMYFUNCTION("""COMPUTED_VALUE"""),0)</f>
        <v>0</v>
      </c>
      <c r="G173" s="23">
        <f ca="1">IFERROR(__xludf.DUMMYFUNCTION("""COMPUTED_VALUE"""),0)</f>
        <v>0</v>
      </c>
      <c r="H173" s="23">
        <f ca="1">IFERROR(__xludf.DUMMYFUNCTION("""COMPUTED_VALUE"""),0)</f>
        <v>0</v>
      </c>
      <c r="I173" s="23">
        <f ca="1">IFERROR(__xludf.DUMMYFUNCTION("""COMPUTED_VALUE"""),0)</f>
        <v>0</v>
      </c>
      <c r="J173" s="23">
        <f ca="1">IFERROR(__xludf.DUMMYFUNCTION("""COMPUTED_VALUE"""),0)</f>
        <v>0</v>
      </c>
      <c r="K173" s="23">
        <f ca="1">IFERROR(__xludf.DUMMYFUNCTION("""COMPUTED_VALUE"""),0)</f>
        <v>0</v>
      </c>
      <c r="L173" s="23">
        <f ca="1">IFERROR(__xludf.DUMMYFUNCTION("""COMPUTED_VALUE"""),0)</f>
        <v>0</v>
      </c>
      <c r="M173" s="23">
        <f ca="1">IFERROR(__xludf.DUMMYFUNCTION("""COMPUTED_VALUE"""),0)</f>
        <v>0</v>
      </c>
      <c r="N173" s="23">
        <f ca="1">IFERROR(__xludf.DUMMYFUNCTION("""COMPUTED_VALUE"""),0)</f>
        <v>0</v>
      </c>
      <c r="O173" s="23">
        <f ca="1">IFERROR(__xludf.DUMMYFUNCTION("""COMPUTED_VALUE"""),0)</f>
        <v>0</v>
      </c>
      <c r="P173" s="23">
        <f ca="1">IFERROR(__xludf.DUMMYFUNCTION("""COMPUTED_VALUE"""),0)</f>
        <v>0</v>
      </c>
      <c r="Q173" s="24">
        <f ca="1">IFERROR(__xludf.DUMMYFUNCTION("""COMPUTED_VALUE"""),0)</f>
        <v>0</v>
      </c>
      <c r="R173" s="20"/>
    </row>
    <row r="174" spans="1:18" ht="13.2" hidden="1" outlineLevel="1" x14ac:dyDescent="0.25">
      <c r="A174" s="1"/>
      <c r="B174" s="21" t="str">
        <f ca="1">IFERROR(__xludf.DUMMYFUNCTION("""COMPUTED_VALUE"""),"Gas natural seco")</f>
        <v>Gas natural seco</v>
      </c>
      <c r="C174" s="22">
        <f ca="1">IFERROR(__xludf.DUMMYFUNCTION("""COMPUTED_VALUE"""),0)</f>
        <v>0</v>
      </c>
      <c r="D174" s="23">
        <f ca="1">IFERROR(__xludf.DUMMYFUNCTION("""COMPUTED_VALUE"""),0)</f>
        <v>0</v>
      </c>
      <c r="E174" s="23">
        <f ca="1">IFERROR(__xludf.DUMMYFUNCTION("""COMPUTED_VALUE"""),0)</f>
        <v>0</v>
      </c>
      <c r="F174" s="23">
        <f ca="1">IFERROR(__xludf.DUMMYFUNCTION("""COMPUTED_VALUE"""),0)</f>
        <v>0</v>
      </c>
      <c r="G174" s="23">
        <f ca="1">IFERROR(__xludf.DUMMYFUNCTION("""COMPUTED_VALUE"""),0)</f>
        <v>0</v>
      </c>
      <c r="H174" s="23">
        <f ca="1">IFERROR(__xludf.DUMMYFUNCTION("""COMPUTED_VALUE"""),0)</f>
        <v>0</v>
      </c>
      <c r="I174" s="23">
        <f ca="1">IFERROR(__xludf.DUMMYFUNCTION("""COMPUTED_VALUE"""),0)</f>
        <v>0</v>
      </c>
      <c r="J174" s="23">
        <f ca="1">IFERROR(__xludf.DUMMYFUNCTION("""COMPUTED_VALUE"""),0)</f>
        <v>0</v>
      </c>
      <c r="K174" s="23">
        <f ca="1">IFERROR(__xludf.DUMMYFUNCTION("""COMPUTED_VALUE"""),0)</f>
        <v>0</v>
      </c>
      <c r="L174" s="23">
        <f ca="1">IFERROR(__xludf.DUMMYFUNCTION("""COMPUTED_VALUE"""),0)</f>
        <v>0</v>
      </c>
      <c r="M174" s="23">
        <f ca="1">IFERROR(__xludf.DUMMYFUNCTION("""COMPUTED_VALUE"""),0)</f>
        <v>0</v>
      </c>
      <c r="N174" s="23">
        <f ca="1">IFERROR(__xludf.DUMMYFUNCTION("""COMPUTED_VALUE"""),0)</f>
        <v>0</v>
      </c>
      <c r="O174" s="23">
        <f ca="1">IFERROR(__xludf.DUMMYFUNCTION("""COMPUTED_VALUE"""),0)</f>
        <v>0</v>
      </c>
      <c r="P174" s="23">
        <f ca="1">IFERROR(__xludf.DUMMYFUNCTION("""COMPUTED_VALUE"""),0)</f>
        <v>0</v>
      </c>
      <c r="Q174" s="24">
        <f ca="1">IFERROR(__xludf.DUMMYFUNCTION("""COMPUTED_VALUE"""),0)</f>
        <v>0</v>
      </c>
      <c r="R174" s="20"/>
    </row>
    <row r="175" spans="1:18" ht="13.2" hidden="1" outlineLevel="1" x14ac:dyDescent="0.25">
      <c r="A175" s="1"/>
      <c r="B175" s="25" t="str">
        <f ca="1">IFERROR(__xludf.DUMMYFUNCTION("""COMPUTED_VALUE"""),"Energía eléctrica")</f>
        <v>Energía eléctrica</v>
      </c>
      <c r="C175" s="26">
        <f ca="1">IFERROR(__xludf.DUMMYFUNCTION("""COMPUTED_VALUE"""),0)</f>
        <v>0</v>
      </c>
      <c r="D175" s="27">
        <f ca="1">IFERROR(__xludf.DUMMYFUNCTION("""COMPUTED_VALUE"""),0)</f>
        <v>0</v>
      </c>
      <c r="E175" s="27">
        <f ca="1">IFERROR(__xludf.DUMMYFUNCTION("""COMPUTED_VALUE"""),0)</f>
        <v>0</v>
      </c>
      <c r="F175" s="27">
        <f ca="1">IFERROR(__xludf.DUMMYFUNCTION("""COMPUTED_VALUE"""),0)</f>
        <v>0</v>
      </c>
      <c r="G175" s="27">
        <f ca="1">IFERROR(__xludf.DUMMYFUNCTION("""COMPUTED_VALUE"""),0)</f>
        <v>0</v>
      </c>
      <c r="H175" s="27">
        <f ca="1">IFERROR(__xludf.DUMMYFUNCTION("""COMPUTED_VALUE"""),0)</f>
        <v>0</v>
      </c>
      <c r="I175" s="27">
        <f ca="1">IFERROR(__xludf.DUMMYFUNCTION("""COMPUTED_VALUE"""),0)</f>
        <v>0</v>
      </c>
      <c r="J175" s="27">
        <f ca="1">IFERROR(__xludf.DUMMYFUNCTION("""COMPUTED_VALUE"""),0)</f>
        <v>0</v>
      </c>
      <c r="K175" s="27">
        <f ca="1">IFERROR(__xludf.DUMMYFUNCTION("""COMPUTED_VALUE"""),0)</f>
        <v>0</v>
      </c>
      <c r="L175" s="27">
        <f ca="1">IFERROR(__xludf.DUMMYFUNCTION("""COMPUTED_VALUE"""),0)</f>
        <v>0</v>
      </c>
      <c r="M175" s="27">
        <f ca="1">IFERROR(__xludf.DUMMYFUNCTION("""COMPUTED_VALUE"""),0)</f>
        <v>0</v>
      </c>
      <c r="N175" s="27">
        <f ca="1">IFERROR(__xludf.DUMMYFUNCTION("""COMPUTED_VALUE"""),0)</f>
        <v>0</v>
      </c>
      <c r="O175" s="27">
        <f ca="1">IFERROR(__xludf.DUMMYFUNCTION("""COMPUTED_VALUE"""),0)</f>
        <v>0</v>
      </c>
      <c r="P175" s="27">
        <f ca="1">IFERROR(__xludf.DUMMYFUNCTION("""COMPUTED_VALUE"""),0)</f>
        <v>0</v>
      </c>
      <c r="Q175" s="28">
        <f ca="1">IFERROR(__xludf.DUMMYFUNCTION("""COMPUTED_VALUE"""),0)</f>
        <v>0</v>
      </c>
      <c r="R175" s="20"/>
    </row>
    <row r="176" spans="1:18" ht="13.2" hidden="1" outlineLevel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0"/>
    </row>
    <row r="177" spans="1:18" ht="13.2" collapsed="1" x14ac:dyDescent="0.25">
      <c r="A177" s="4"/>
      <c r="B177" s="5" t="str">
        <f ca="1">IFERROR(__xludf.DUMMYFUNCTION("""COMPUTED_VALUE"""),"TotTra(e,a)")</f>
        <v>TotTra(e,a)</v>
      </c>
      <c r="C177" s="6" t="str">
        <f ca="1">IFERROR(__xludf.DUMMYFUNCTION("""COMPUTED_VALUE"""),"-/+")</f>
        <v>-/+</v>
      </c>
      <c r="D177" s="7" t="str">
        <f ca="1">IFERROR(__xludf.DUMMYFUNCTION("""COMPUTED_VALUE"""),"Total transformación por energético e y año a.")</f>
        <v>Total transformación por energético e y año a.</v>
      </c>
      <c r="E177" s="6" t="str">
        <f ca="1">IFERROR(__xludf.DUMMYFUNCTION("""COMPUTED_VALUE"""),"cbne")</f>
        <v>cbne</v>
      </c>
      <c r="F177" s="6" t="str">
        <f ca="1">IFERROR(__xludf.DUMMYFUNCTION("""COMPUTED_VALUE"""),"a")</f>
        <v>a</v>
      </c>
      <c r="G177" s="8" t="str">
        <f ca="1">IFERROR(__xludf.DUMMYFUNCTION("""COMPUTED_VALUE"""),"PJ")</f>
        <v>PJ</v>
      </c>
      <c r="H177" s="9"/>
      <c r="I177" s="1"/>
      <c r="J177" s="1"/>
      <c r="K177" s="1"/>
      <c r="L177" s="1"/>
      <c r="M177" s="1"/>
      <c r="N177" s="1"/>
      <c r="O177" s="1"/>
      <c r="P177" s="1"/>
      <c r="Q177" s="1"/>
      <c r="R177" s="10"/>
    </row>
    <row r="178" spans="1:18" ht="13.2" hidden="1" outlineLevel="1" x14ac:dyDescent="0.25">
      <c r="A178" s="1"/>
      <c r="B178" s="11"/>
      <c r="C178" s="12">
        <f ca="1">IFERROR(__xludf.DUMMYFUNCTION("""COMPUTED_VALUE"""),2010)</f>
        <v>2010</v>
      </c>
      <c r="D178" s="13">
        <f ca="1">IFERROR(__xludf.DUMMYFUNCTION("""COMPUTED_VALUE"""),2011)</f>
        <v>2011</v>
      </c>
      <c r="E178" s="13">
        <f ca="1">IFERROR(__xludf.DUMMYFUNCTION("""COMPUTED_VALUE"""),2012)</f>
        <v>2012</v>
      </c>
      <c r="F178" s="13">
        <f ca="1">IFERROR(__xludf.DUMMYFUNCTION("""COMPUTED_VALUE"""),2013)</f>
        <v>2013</v>
      </c>
      <c r="G178" s="13">
        <f ca="1">IFERROR(__xludf.DUMMYFUNCTION("""COMPUTED_VALUE"""),2014)</f>
        <v>2014</v>
      </c>
      <c r="H178" s="13">
        <f ca="1">IFERROR(__xludf.DUMMYFUNCTION("""COMPUTED_VALUE"""),2015)</f>
        <v>2015</v>
      </c>
      <c r="I178" s="13">
        <f ca="1">IFERROR(__xludf.DUMMYFUNCTION("""COMPUTED_VALUE"""),2016)</f>
        <v>2016</v>
      </c>
      <c r="J178" s="13">
        <f ca="1">IFERROR(__xludf.DUMMYFUNCTION("""COMPUTED_VALUE"""),2017)</f>
        <v>2017</v>
      </c>
      <c r="K178" s="13">
        <f ca="1">IFERROR(__xludf.DUMMYFUNCTION("""COMPUTED_VALUE"""),2018)</f>
        <v>2018</v>
      </c>
      <c r="L178" s="13">
        <f ca="1">IFERROR(__xludf.DUMMYFUNCTION("""COMPUTED_VALUE"""),2019)</f>
        <v>2019</v>
      </c>
      <c r="M178" s="13">
        <f ca="1">IFERROR(__xludf.DUMMYFUNCTION("""COMPUTED_VALUE"""),2020)</f>
        <v>2020</v>
      </c>
      <c r="N178" s="13">
        <f ca="1">IFERROR(__xludf.DUMMYFUNCTION("""COMPUTED_VALUE"""),2021)</f>
        <v>2021</v>
      </c>
      <c r="O178" s="13">
        <f ca="1">IFERROR(__xludf.DUMMYFUNCTION("""COMPUTED_VALUE"""),2022)</f>
        <v>2022</v>
      </c>
      <c r="P178" s="13">
        <f ca="1">IFERROR(__xludf.DUMMYFUNCTION("""COMPUTED_VALUE"""),2023)</f>
        <v>2023</v>
      </c>
      <c r="Q178" s="14">
        <f ca="1">IFERROR(__xludf.DUMMYFUNCTION("""COMPUTED_VALUE"""),2024)</f>
        <v>2024</v>
      </c>
      <c r="R178" s="15"/>
    </row>
    <row r="179" spans="1:18" ht="13.2" hidden="1" outlineLevel="1" x14ac:dyDescent="0.25">
      <c r="A179" s="1"/>
      <c r="B179" s="16" t="str">
        <f ca="1">IFERROR(__xludf.DUMMYFUNCTION("""COMPUTED_VALUE"""),"Carbón mineral")</f>
        <v>Carbón mineral</v>
      </c>
      <c r="C179" s="17">
        <f ca="1">IFERROR(__xludf.DUMMYFUNCTION("""COMPUTED_VALUE"""),-426.12)</f>
        <v>-426.12</v>
      </c>
      <c r="D179" s="18">
        <f ca="1">IFERROR(__xludf.DUMMYFUNCTION("""COMPUTED_VALUE"""),-439.19)</f>
        <v>-439.19</v>
      </c>
      <c r="E179" s="18">
        <f ca="1">IFERROR(__xludf.DUMMYFUNCTION("""COMPUTED_VALUE"""),-432.56)</f>
        <v>-432.56</v>
      </c>
      <c r="F179" s="18">
        <f ca="1">IFERROR(__xludf.DUMMYFUNCTION("""COMPUTED_VALUE"""),-423.679999999999)</f>
        <v>-423.67999999999898</v>
      </c>
      <c r="G179" s="18">
        <f ca="1">IFERROR(__xludf.DUMMYFUNCTION("""COMPUTED_VALUE"""),-442.56)</f>
        <v>-442.56</v>
      </c>
      <c r="H179" s="18">
        <f ca="1">IFERROR(__xludf.DUMMYFUNCTION("""COMPUTED_VALUE"""),-426.17)</f>
        <v>-426.17</v>
      </c>
      <c r="I179" s="18">
        <f ca="1">IFERROR(__xludf.DUMMYFUNCTION("""COMPUTED_VALUE"""),-427.501)</f>
        <v>-427.50099999999998</v>
      </c>
      <c r="J179" s="18">
        <f ca="1">IFERROR(__xludf.DUMMYFUNCTION("""COMPUTED_VALUE"""),-367.419999999999)</f>
        <v>-367.41999999999899</v>
      </c>
      <c r="K179" s="18">
        <f ca="1">IFERROR(__xludf.DUMMYFUNCTION("""COMPUTED_VALUE"""),-362.219999999999)</f>
        <v>-362.219999999999</v>
      </c>
      <c r="L179" s="18">
        <f ca="1">IFERROR(__xludf.DUMMYFUNCTION("""COMPUTED_VALUE"""),-282.424)</f>
        <v>-282.42399999999998</v>
      </c>
      <c r="M179" s="18">
        <f ca="1">IFERROR(__xludf.DUMMYFUNCTION("""COMPUTED_VALUE"""),-191.24)</f>
        <v>-191.24</v>
      </c>
      <c r="N179" s="18">
        <f ca="1">IFERROR(__xludf.DUMMYFUNCTION("""COMPUTED_VALUE"""),-118.3)</f>
        <v>-118.3</v>
      </c>
      <c r="O179" s="18">
        <f ca="1">IFERROR(__xludf.DUMMYFUNCTION("""COMPUTED_VALUE"""),-168.581)</f>
        <v>-168.58099999999999</v>
      </c>
      <c r="P179" s="18">
        <f ca="1">IFERROR(__xludf.DUMMYFUNCTION("""COMPUTED_VALUE"""),-145.12)</f>
        <v>-145.12</v>
      </c>
      <c r="Q179" s="19">
        <f ca="1">IFERROR(__xludf.DUMMYFUNCTION("""COMPUTED_VALUE"""),-139.433428431925)</f>
        <v>-139.43342843192499</v>
      </c>
      <c r="R179" s="20"/>
    </row>
    <row r="180" spans="1:18" ht="13.2" hidden="1" outlineLevel="1" x14ac:dyDescent="0.25">
      <c r="A180" s="1"/>
      <c r="B180" s="21" t="str">
        <f ca="1">IFERROR(__xludf.DUMMYFUNCTION("""COMPUTED_VALUE"""),"Petróleo crudo")</f>
        <v>Petróleo crudo</v>
      </c>
      <c r="C180" s="22">
        <f ca="1">IFERROR(__xludf.DUMMYFUNCTION("""COMPUTED_VALUE"""),-2392.17)</f>
        <v>-2392.17</v>
      </c>
      <c r="D180" s="23">
        <f ca="1">IFERROR(__xludf.DUMMYFUNCTION("""COMPUTED_VALUE"""),-2373.85)</f>
        <v>-2373.85</v>
      </c>
      <c r="E180" s="23">
        <f ca="1">IFERROR(__xludf.DUMMYFUNCTION("""COMPUTED_VALUE"""),-2648.82)</f>
        <v>-2648.82</v>
      </c>
      <c r="F180" s="23">
        <f ca="1">IFERROR(__xludf.DUMMYFUNCTION("""COMPUTED_VALUE"""),-2839.43)</f>
        <v>-2839.43</v>
      </c>
      <c r="G180" s="23">
        <f ca="1">IFERROR(__xludf.DUMMYFUNCTION("""COMPUTED_VALUE"""),-2418.15)</f>
        <v>-2418.15</v>
      </c>
      <c r="H180" s="23">
        <f ca="1">IFERROR(__xludf.DUMMYFUNCTION("""COMPUTED_VALUE"""),-2371.72)</f>
        <v>-2371.7199999999998</v>
      </c>
      <c r="I180" s="23">
        <f ca="1">IFERROR(__xludf.DUMMYFUNCTION("""COMPUTED_VALUE"""),-2044.165)</f>
        <v>-2044.165</v>
      </c>
      <c r="J180" s="23">
        <f ca="1">IFERROR(__xludf.DUMMYFUNCTION("""COMPUTED_VALUE"""),-1689.82)</f>
        <v>-1689.82</v>
      </c>
      <c r="K180" s="23">
        <f ca="1">IFERROR(__xludf.DUMMYFUNCTION("""COMPUTED_VALUE"""),-1279.22)</f>
        <v>-1279.22</v>
      </c>
      <c r="L180" s="23">
        <f ca="1">IFERROR(__xludf.DUMMYFUNCTION("""COMPUTED_VALUE"""),-1424.49)</f>
        <v>-1424.49</v>
      </c>
      <c r="M180" s="23">
        <f ca="1">IFERROR(__xludf.DUMMYFUNCTION("""COMPUTED_VALUE"""),-1484.79)</f>
        <v>-1484.79</v>
      </c>
      <c r="N180" s="23">
        <f ca="1">IFERROR(__xludf.DUMMYFUNCTION("""COMPUTED_VALUE"""),-1701.71)</f>
        <v>-1701.71</v>
      </c>
      <c r="O180" s="23">
        <f ca="1">IFERROR(__xludf.DUMMYFUNCTION("""COMPUTED_VALUE"""),-1485.07)</f>
        <v>-1485.07</v>
      </c>
      <c r="P180" s="23">
        <f ca="1">IFERROR(__xludf.DUMMYFUNCTION("""COMPUTED_VALUE"""),-1509.73)</f>
        <v>-1509.73</v>
      </c>
      <c r="Q180" s="24">
        <f ca="1">IFERROR(__xludf.DUMMYFUNCTION("""COMPUTED_VALUE"""),-1774.26)</f>
        <v>-1774.26</v>
      </c>
      <c r="R180" s="20"/>
    </row>
    <row r="181" spans="1:18" ht="13.2" hidden="1" outlineLevel="1" x14ac:dyDescent="0.25">
      <c r="A181" s="1"/>
      <c r="B181" s="21" t="str">
        <f ca="1">IFERROR(__xludf.DUMMYFUNCTION("""COMPUTED_VALUE"""),"Condensados")</f>
        <v>Condensados</v>
      </c>
      <c r="C181" s="22">
        <f ca="1">IFERROR(__xludf.DUMMYFUNCTION("""COMPUTED_VALUE"""),-92.87)</f>
        <v>-92.87</v>
      </c>
      <c r="D181" s="23">
        <f ca="1">IFERROR(__xludf.DUMMYFUNCTION("""COMPUTED_VALUE"""),-98.86)</f>
        <v>-98.86</v>
      </c>
      <c r="E181" s="23">
        <f ca="1">IFERROR(__xludf.DUMMYFUNCTION("""COMPUTED_VALUE"""),-78.06)</f>
        <v>-78.06</v>
      </c>
      <c r="F181" s="23">
        <f ca="1">IFERROR(__xludf.DUMMYFUNCTION("""COMPUTED_VALUE"""),-122.02)</f>
        <v>-122.02</v>
      </c>
      <c r="G181" s="23">
        <f ca="1">IFERROR(__xludf.DUMMYFUNCTION("""COMPUTED_VALUE"""),-103.942392745385)</f>
        <v>-103.94239274538501</v>
      </c>
      <c r="H181" s="23">
        <f ca="1">IFERROR(__xludf.DUMMYFUNCTION("""COMPUTED_VALUE"""),-97.2656672098708)</f>
        <v>-97.265667209870799</v>
      </c>
      <c r="I181" s="23">
        <f ca="1">IFERROR(__xludf.DUMMYFUNCTION("""COMPUTED_VALUE"""),-87.647)</f>
        <v>-87.647000000000006</v>
      </c>
      <c r="J181" s="23">
        <f ca="1">IFERROR(__xludf.DUMMYFUNCTION("""COMPUTED_VALUE"""),-69.2289571626415)</f>
        <v>-69.228957162641507</v>
      </c>
      <c r="K181" s="23">
        <f ca="1">IFERROR(__xludf.DUMMYFUNCTION("""COMPUTED_VALUE"""),-54.119741821309)</f>
        <v>-54.119741821308999</v>
      </c>
      <c r="L181" s="23">
        <f ca="1">IFERROR(__xludf.DUMMYFUNCTION("""COMPUTED_VALUE"""),-62.6338640218808)</f>
        <v>-62.633864021880797</v>
      </c>
      <c r="M181" s="23">
        <f ca="1">IFERROR(__xludf.DUMMYFUNCTION("""COMPUTED_VALUE"""),-50.0846955498337)</f>
        <v>-50.084695549833697</v>
      </c>
      <c r="N181" s="23">
        <f ca="1">IFERROR(__xludf.DUMMYFUNCTION("""COMPUTED_VALUE"""),-257.576130400094)</f>
        <v>-257.57613040009397</v>
      </c>
      <c r="O181" s="23">
        <f ca="1">IFERROR(__xludf.DUMMYFUNCTION("""COMPUTED_VALUE"""),-501.0992807)</f>
        <v>-501.09928070000001</v>
      </c>
      <c r="P181" s="23">
        <f ca="1">IFERROR(__xludf.DUMMYFUNCTION("""COMPUTED_VALUE"""),-637.569814099999)</f>
        <v>-637.56981409999901</v>
      </c>
      <c r="Q181" s="24">
        <f ca="1">IFERROR(__xludf.DUMMYFUNCTION("""COMPUTED_VALUE"""),-604.81576709)</f>
        <v>-604.81576709000001</v>
      </c>
      <c r="R181" s="20"/>
    </row>
    <row r="182" spans="1:18" ht="13.2" hidden="1" outlineLevel="1" x14ac:dyDescent="0.25">
      <c r="A182" s="1"/>
      <c r="B182" s="21" t="str">
        <f ca="1">IFERROR(__xludf.DUMMYFUNCTION("""COMPUTED_VALUE"""),"Gas natural")</f>
        <v>Gas natural</v>
      </c>
      <c r="C182" s="22">
        <f ca="1">IFERROR(__xludf.DUMMYFUNCTION("""COMPUTED_VALUE"""),-1801.24)</f>
        <v>-1801.24</v>
      </c>
      <c r="D182" s="23">
        <f ca="1">IFERROR(__xludf.DUMMYFUNCTION("""COMPUTED_VALUE"""),-1876.01)</f>
        <v>-1876.01</v>
      </c>
      <c r="E182" s="23">
        <f ca="1">IFERROR(__xludf.DUMMYFUNCTION("""COMPUTED_VALUE"""),-1848.33)</f>
        <v>-1848.33</v>
      </c>
      <c r="F182" s="23">
        <f ca="1">IFERROR(__xludf.DUMMYFUNCTION("""COMPUTED_VALUE"""),-1892.16)</f>
        <v>-1892.16</v>
      </c>
      <c r="G182" s="23">
        <f ca="1">IFERROR(__xludf.DUMMYFUNCTION("""COMPUTED_VALUE"""),-1885.50652676888)</f>
        <v>-1885.5065267688799</v>
      </c>
      <c r="H182" s="23">
        <f ca="1">IFERROR(__xludf.DUMMYFUNCTION("""COMPUTED_VALUE"""),-1749.900897742)</f>
        <v>-1749.9008977420001</v>
      </c>
      <c r="I182" s="23">
        <f ca="1">IFERROR(__xludf.DUMMYFUNCTION("""COMPUTED_VALUE"""),-1579.27)</f>
        <v>-1579.27</v>
      </c>
      <c r="J182" s="23">
        <f ca="1">IFERROR(__xludf.DUMMYFUNCTION("""COMPUTED_VALUE"""),-1390.9438564458)</f>
        <v>-1390.9438564458001</v>
      </c>
      <c r="K182" s="23">
        <f ca="1">IFERROR(__xludf.DUMMYFUNCTION("""COMPUTED_VALUE"""),-1272.42781910441)</f>
        <v>-1272.42781910441</v>
      </c>
      <c r="L182" s="23">
        <f ca="1">IFERROR(__xludf.DUMMYFUNCTION("""COMPUTED_VALUE"""),-1026.136806156)</f>
        <v>-1026.1368061559999</v>
      </c>
      <c r="M182" s="23">
        <f ca="1">IFERROR(__xludf.DUMMYFUNCTION("""COMPUTED_VALUE"""),-926.391238350457)</f>
        <v>-926.391238350457</v>
      </c>
      <c r="N182" s="23">
        <f ca="1">IFERROR(__xludf.DUMMYFUNCTION("""COMPUTED_VALUE"""),-1052.76871408886)</f>
        <v>-1052.76871408886</v>
      </c>
      <c r="O182" s="23">
        <f ca="1">IFERROR(__xludf.DUMMYFUNCTION("""COMPUTED_VALUE"""),-1119.53806343378)</f>
        <v>-1119.5380634337801</v>
      </c>
      <c r="P182" s="23">
        <f ca="1">IFERROR(__xludf.DUMMYFUNCTION("""COMPUTED_VALUE"""),-1130.44368423618)</f>
        <v>-1130.4436842361799</v>
      </c>
      <c r="Q182" s="24">
        <f ca="1">IFERROR(__xludf.DUMMYFUNCTION("""COMPUTED_VALUE"""),-1015.84067448879)</f>
        <v>-1015.84067448879</v>
      </c>
      <c r="R182" s="20"/>
    </row>
    <row r="183" spans="1:18" ht="13.2" hidden="1" outlineLevel="1" x14ac:dyDescent="0.25">
      <c r="A183" s="1"/>
      <c r="B183" s="21" t="str">
        <f ca="1">IFERROR(__xludf.DUMMYFUNCTION("""COMPUTED_VALUE"""),"Energía Nuclear")</f>
        <v>Energía Nuclear</v>
      </c>
      <c r="C183" s="22">
        <f ca="1">IFERROR(__xludf.DUMMYFUNCTION("""COMPUTED_VALUE"""),-63.94)</f>
        <v>-63.94</v>
      </c>
      <c r="D183" s="23">
        <f ca="1">IFERROR(__xludf.DUMMYFUNCTION("""COMPUTED_VALUE"""),-106.39)</f>
        <v>-106.39</v>
      </c>
      <c r="E183" s="23">
        <f ca="1">IFERROR(__xludf.DUMMYFUNCTION("""COMPUTED_VALUE"""),-91.32)</f>
        <v>-91.32</v>
      </c>
      <c r="F183" s="23">
        <f ca="1">IFERROR(__xludf.DUMMYFUNCTION("""COMPUTED_VALUE"""),-122.6)</f>
        <v>-122.6</v>
      </c>
      <c r="G183" s="23">
        <f ca="1">IFERROR(__xludf.DUMMYFUNCTION("""COMPUTED_VALUE"""),-112.6)</f>
        <v>-112.6</v>
      </c>
      <c r="H183" s="23">
        <f ca="1">IFERROR(__xludf.DUMMYFUNCTION("""COMPUTED_VALUE"""),-130.41)</f>
        <v>-130.41</v>
      </c>
      <c r="I183" s="23">
        <f ca="1">IFERROR(__xludf.DUMMYFUNCTION("""COMPUTED_VALUE"""),-109.95)</f>
        <v>-109.95</v>
      </c>
      <c r="J183" s="23">
        <f ca="1">IFERROR(__xludf.DUMMYFUNCTION("""COMPUTED_VALUE"""),-113.22)</f>
        <v>-113.22</v>
      </c>
      <c r="K183" s="23">
        <f ca="1">IFERROR(__xludf.DUMMYFUNCTION("""COMPUTED_VALUE"""),-141.649958844)</f>
        <v>-141.649958844</v>
      </c>
      <c r="L183" s="23">
        <f ca="1">IFERROR(__xludf.DUMMYFUNCTION("""COMPUTED_VALUE"""),-116.482347758)</f>
        <v>-116.482347758</v>
      </c>
      <c r="M183" s="23">
        <f ca="1">IFERROR(__xludf.DUMMYFUNCTION("""COMPUTED_VALUE"""),-117.464405187)</f>
        <v>-117.464405187</v>
      </c>
      <c r="N183" s="23">
        <f ca="1">IFERROR(__xludf.DUMMYFUNCTION("""COMPUTED_VALUE"""),-124.986917246)</f>
        <v>-124.986917246</v>
      </c>
      <c r="O183" s="23">
        <f ca="1">IFERROR(__xludf.DUMMYFUNCTION("""COMPUTED_VALUE"""),-114.174258473606)</f>
        <v>-114.174258473606</v>
      </c>
      <c r="P183" s="23">
        <f ca="1">IFERROR(__xludf.DUMMYFUNCTION("""COMPUTED_VALUE"""),-130.343389429)</f>
        <v>-130.34338942900001</v>
      </c>
      <c r="Q183" s="24">
        <f ca="1">IFERROR(__xludf.DUMMYFUNCTION("""COMPUTED_VALUE"""),-129.506482099619)</f>
        <v>-129.50648209961901</v>
      </c>
      <c r="R183" s="20"/>
    </row>
    <row r="184" spans="1:18" ht="13.2" hidden="1" outlineLevel="1" x14ac:dyDescent="0.25">
      <c r="A184" s="1"/>
      <c r="B184" s="21" t="str">
        <f ca="1">IFERROR(__xludf.DUMMYFUNCTION("""COMPUTED_VALUE"""),"Energia Hidraúlica")</f>
        <v>Energia Hidraúlica</v>
      </c>
      <c r="C184" s="22">
        <f ca="1">IFERROR(__xludf.DUMMYFUNCTION("""COMPUTED_VALUE"""),-140.650755235208)</f>
        <v>-140.65075523520801</v>
      </c>
      <c r="D184" s="23">
        <f ca="1">IFERROR(__xludf.DUMMYFUNCTION("""COMPUTED_VALUE"""),-136.794558672405)</f>
        <v>-136.794558672405</v>
      </c>
      <c r="E184" s="23">
        <f ca="1">IFERROR(__xludf.DUMMYFUNCTION("""COMPUTED_VALUE"""),-119.376356904078)</f>
        <v>-119.37635690407799</v>
      </c>
      <c r="F184" s="23">
        <f ca="1">IFERROR(__xludf.DUMMYFUNCTION("""COMPUTED_VALUE"""),-104.973810376497)</f>
        <v>-104.973810376497</v>
      </c>
      <c r="G184" s="23">
        <f ca="1">IFERROR(__xludf.DUMMYFUNCTION("""COMPUTED_VALUE"""),-143.244619898085)</f>
        <v>-143.24461989808501</v>
      </c>
      <c r="H184" s="23">
        <f ca="1">IFERROR(__xludf.DUMMYFUNCTION("""COMPUTED_VALUE"""),-113.841109573861)</f>
        <v>-113.841109573861</v>
      </c>
      <c r="I184" s="23">
        <f ca="1">IFERROR(__xludf.DUMMYFUNCTION("""COMPUTED_VALUE"""),-113.379393418838)</f>
        <v>-113.37939341883801</v>
      </c>
      <c r="J184" s="23">
        <f ca="1">IFERROR(__xludf.DUMMYFUNCTION("""COMPUTED_VALUE"""),-115.127888338328)</f>
        <v>-115.12788833832801</v>
      </c>
      <c r="K184" s="23">
        <f ca="1">IFERROR(__xludf.DUMMYFUNCTION("""COMPUTED_VALUE"""),-117.199476436479)</f>
        <v>-117.199476436479</v>
      </c>
      <c r="L184" s="23">
        <f ca="1">IFERROR(__xludf.DUMMYFUNCTION("""COMPUTED_VALUE"""),-85.7683544952812)</f>
        <v>-85.768354495281201</v>
      </c>
      <c r="M184" s="23">
        <f ca="1">IFERROR(__xludf.DUMMYFUNCTION("""COMPUTED_VALUE"""),-97.4546523269544)</f>
        <v>-97.454652326954402</v>
      </c>
      <c r="N184" s="23">
        <f ca="1">IFERROR(__xludf.DUMMYFUNCTION("""COMPUTED_VALUE"""),-126.117339304689)</f>
        <v>-126.117339304689</v>
      </c>
      <c r="O184" s="23">
        <f ca="1">IFERROR(__xludf.DUMMYFUNCTION("""COMPUTED_VALUE"""),-129.225569710392)</f>
        <v>-129.22556971039199</v>
      </c>
      <c r="P184" s="23">
        <f ca="1">IFERROR(__xludf.DUMMYFUNCTION("""COMPUTED_VALUE"""),-74.9299386156002)</f>
        <v>-74.929938615600193</v>
      </c>
      <c r="Q184" s="24">
        <f ca="1">IFERROR(__xludf.DUMMYFUNCTION("""COMPUTED_VALUE"""),-86.517832500333)</f>
        <v>-86.517832500333</v>
      </c>
      <c r="R184" s="20"/>
    </row>
    <row r="185" spans="1:18" ht="13.2" hidden="1" outlineLevel="1" x14ac:dyDescent="0.25">
      <c r="A185" s="1"/>
      <c r="B185" s="21" t="str">
        <f ca="1">IFERROR(__xludf.DUMMYFUNCTION("""COMPUTED_VALUE"""),"Geoenergía")</f>
        <v>Geoenergía</v>
      </c>
      <c r="C185" s="22">
        <f ca="1">IFERROR(__xludf.DUMMYFUNCTION("""COMPUTED_VALUE"""),-28.762373781417)</f>
        <v>-28.762373781417001</v>
      </c>
      <c r="D185" s="23">
        <f ca="1">IFERROR(__xludf.DUMMYFUNCTION("""COMPUTED_VALUE"""),-27.4176420837335)</f>
        <v>-27.417642083733501</v>
      </c>
      <c r="E185" s="23">
        <f ca="1">IFERROR(__xludf.DUMMYFUNCTION("""COMPUTED_VALUE"""),-24.5599069913274)</f>
        <v>-24.559906991327399</v>
      </c>
      <c r="F185" s="23">
        <f ca="1">IFERROR(__xludf.DUMMYFUNCTION("""COMPUTED_VALUE"""),-25.4932891196797)</f>
        <v>-25.493289119679702</v>
      </c>
      <c r="G185" s="23">
        <f ca="1">IFERROR(__xludf.DUMMYFUNCTION("""COMPUTED_VALUE"""),-25.326716568116)</f>
        <v>-25.326716568116002</v>
      </c>
      <c r="H185" s="23">
        <f ca="1">IFERROR(__xludf.DUMMYFUNCTION("""COMPUTED_VALUE"""),-26.5306410704584)</f>
        <v>-26.530641070458401</v>
      </c>
      <c r="I185" s="23">
        <f ca="1">IFERROR(__xludf.DUMMYFUNCTION("""COMPUTED_VALUE"""),-25.7432810093918)</f>
        <v>-25.743281009391801</v>
      </c>
      <c r="J185" s="23">
        <f ca="1">IFERROR(__xludf.DUMMYFUNCTION("""COMPUTED_VALUE"""),-23.7316824624317)</f>
        <v>-23.731682462431699</v>
      </c>
      <c r="K185" s="23">
        <f ca="1">IFERROR(__xludf.DUMMYFUNCTION("""COMPUTED_VALUE"""),-21.1555305711881)</f>
        <v>-21.155530571188098</v>
      </c>
      <c r="L185" s="23">
        <f ca="1">IFERROR(__xludf.DUMMYFUNCTION("""COMPUTED_VALUE"""),-20.9378103741678)</f>
        <v>-20.9378103741678</v>
      </c>
      <c r="M185" s="23">
        <f ca="1">IFERROR(__xludf.DUMMYFUNCTION("""COMPUTED_VALUE"""),-19.1204715569663)</f>
        <v>-19.120471556966301</v>
      </c>
      <c r="N185" s="23">
        <f ca="1">IFERROR(__xludf.DUMMYFUNCTION("""COMPUTED_VALUE"""),-17.5980014093371)</f>
        <v>-17.598001409337101</v>
      </c>
      <c r="O185" s="23">
        <f ca="1">IFERROR(__xludf.DUMMYFUNCTION("""COMPUTED_VALUE"""),-18.4614130254254)</f>
        <v>-18.461413025425401</v>
      </c>
      <c r="P185" s="23">
        <f ca="1">IFERROR(__xludf.DUMMYFUNCTION("""COMPUTED_VALUE"""),-17.2933047562122)</f>
        <v>-17.293304756212201</v>
      </c>
      <c r="Q185" s="24">
        <f ca="1">IFERROR(__xludf.DUMMYFUNCTION("""COMPUTED_VALUE"""),-14.775345960735)</f>
        <v>-14.775345960735001</v>
      </c>
      <c r="R185" s="20"/>
    </row>
    <row r="186" spans="1:18" ht="13.2" hidden="1" outlineLevel="1" x14ac:dyDescent="0.25">
      <c r="A186" s="1"/>
      <c r="B186" s="21" t="str">
        <f ca="1">IFERROR(__xludf.DUMMYFUNCTION("""COMPUTED_VALUE"""),"Energía solar")</f>
        <v>Energía solar</v>
      </c>
      <c r="C186" s="22">
        <f ca="1">IFERROR(__xludf.DUMMYFUNCTION("""COMPUTED_VALUE"""),-0.000397384392433985)</f>
        <v>-3.9738439243398502E-4</v>
      </c>
      <c r="D186" s="23">
        <f ca="1">IFERROR(__xludf.DUMMYFUNCTION("""COMPUTED_VALUE"""),-0.000396878776998109)</f>
        <v>-3.9687877699810901E-4</v>
      </c>
      <c r="E186" s="23">
        <f ca="1">IFERROR(__xludf.DUMMYFUNCTION("""COMPUTED_VALUE"""),-0.0106455052817297)</f>
        <v>-1.06455052817297E-2</v>
      </c>
      <c r="F186" s="23">
        <f ca="1">IFERROR(__xludf.DUMMYFUNCTION("""COMPUTED_VALUE"""),-0.0722697809260149)</f>
        <v>-7.2269780926014895E-2</v>
      </c>
      <c r="G186" s="23">
        <f ca="1">IFERROR(__xludf.DUMMYFUNCTION("""COMPUTED_VALUE"""),-0.31473222566015)</f>
        <v>-0.31473222566015002</v>
      </c>
      <c r="H186" s="23">
        <f ca="1">IFERROR(__xludf.DUMMYFUNCTION("""COMPUTED_VALUE"""),-0.288611840186412)</f>
        <v>-0.28861184018641201</v>
      </c>
      <c r="I186" s="23">
        <f ca="1">IFERROR(__xludf.DUMMYFUNCTION("""COMPUTED_VALUE"""),-0.58853047827557)</f>
        <v>-0.58853047827557003</v>
      </c>
      <c r="J186" s="23">
        <f ca="1">IFERROR(__xludf.DUMMYFUNCTION("""COMPUTED_VALUE"""),-1.27257390865549)</f>
        <v>-1.2725739086554899</v>
      </c>
      <c r="K186" s="23">
        <f ca="1">IFERROR(__xludf.DUMMYFUNCTION("""COMPUTED_VALUE"""),-7.92743128895603)</f>
        <v>-7.9274312889560301</v>
      </c>
      <c r="L186" s="23">
        <f ca="1">IFERROR(__xludf.DUMMYFUNCTION("""COMPUTED_VALUE"""),-30.6022560465888)</f>
        <v>-30.602256046588799</v>
      </c>
      <c r="M186" s="23">
        <f ca="1">IFERROR(__xludf.DUMMYFUNCTION("""COMPUTED_VALUE"""),-49.25516431347)</f>
        <v>-49.255164313469997</v>
      </c>
      <c r="N186" s="23">
        <f ca="1">IFERROR(__xludf.DUMMYFUNCTION("""COMPUTED_VALUE"""),-62.2277737831912)</f>
        <v>-62.227773783191203</v>
      </c>
      <c r="O186" s="23">
        <f ca="1">IFERROR(__xludf.DUMMYFUNCTION("""COMPUTED_VALUE"""),-59.3126296193328)</f>
        <v>-59.312629619332803</v>
      </c>
      <c r="P186" s="23">
        <f ca="1">IFERROR(__xludf.DUMMYFUNCTION("""COMPUTED_VALUE"""),-66.3463914819941)</f>
        <v>-66.346391481994104</v>
      </c>
      <c r="Q186" s="24">
        <f ca="1">IFERROR(__xludf.DUMMYFUNCTION("""COMPUTED_VALUE"""),-67.8802661590502)</f>
        <v>-67.880266159050194</v>
      </c>
      <c r="R186" s="20"/>
    </row>
    <row r="187" spans="1:18" ht="13.2" hidden="1" outlineLevel="1" x14ac:dyDescent="0.25">
      <c r="A187" s="1"/>
      <c r="B187" s="21" t="str">
        <f ca="1">IFERROR(__xludf.DUMMYFUNCTION("""COMPUTED_VALUE"""),"Energía eólica")</f>
        <v>Energía eólica</v>
      </c>
      <c r="C187" s="22">
        <f ca="1">IFERROR(__xludf.DUMMYFUNCTION("""COMPUTED_VALUE"""),-4.72015574438388)</f>
        <v>-4.72015574438388</v>
      </c>
      <c r="D187" s="23">
        <f ca="1">IFERROR(__xludf.DUMMYFUNCTION("""COMPUTED_VALUE"""),-6.09270561652387)</f>
        <v>-6.0927056165238698</v>
      </c>
      <c r="E187" s="23">
        <f ca="1">IFERROR(__xludf.DUMMYFUNCTION("""COMPUTED_VALUE"""),-13.4182747539153)</f>
        <v>-13.4182747539153</v>
      </c>
      <c r="F187" s="23">
        <f ca="1">IFERROR(__xludf.DUMMYFUNCTION("""COMPUTED_VALUE"""),-15.4326807263786)</f>
        <v>-15.432680726378599</v>
      </c>
      <c r="G187" s="23">
        <f ca="1">IFERROR(__xludf.DUMMYFUNCTION("""COMPUTED_VALUE"""),-23.6933194550924)</f>
        <v>-23.6933194550924</v>
      </c>
      <c r="H187" s="23">
        <f ca="1">IFERROR(__xludf.DUMMYFUNCTION("""COMPUTED_VALUE"""),-32.2266686190985)</f>
        <v>-32.226668619098497</v>
      </c>
      <c r="I187" s="23">
        <f ca="1">IFERROR(__xludf.DUMMYFUNCTION("""COMPUTED_VALUE"""),-38.4244589107372)</f>
        <v>-38.424458910737201</v>
      </c>
      <c r="J187" s="23">
        <f ca="1">IFERROR(__xludf.DUMMYFUNCTION("""COMPUTED_VALUE"""),-38.0122580222196)</f>
        <v>-38.012258022219598</v>
      </c>
      <c r="K187" s="23">
        <f ca="1">IFERROR(__xludf.DUMMYFUNCTION("""COMPUTED_VALUE"""),-45.2287222480656)</f>
        <v>-45.228722248065601</v>
      </c>
      <c r="L187" s="23">
        <f ca="1">IFERROR(__xludf.DUMMYFUNCTION("""COMPUTED_VALUE"""),-60.8230933995897)</f>
        <v>-60.823093399589702</v>
      </c>
      <c r="M187" s="23">
        <f ca="1">IFERROR(__xludf.DUMMYFUNCTION("""COMPUTED_VALUE"""),-71.6722117329134)</f>
        <v>-71.672211732913397</v>
      </c>
      <c r="N187" s="23">
        <f ca="1">IFERROR(__xludf.DUMMYFUNCTION("""COMPUTED_VALUE"""),-76.6530766316587)</f>
        <v>-76.653076631658706</v>
      </c>
      <c r="O187" s="23">
        <f ca="1">IFERROR(__xludf.DUMMYFUNCTION("""COMPUTED_VALUE"""),-73.9145440149017)</f>
        <v>-73.914544014901693</v>
      </c>
      <c r="P187" s="23">
        <f ca="1">IFERROR(__xludf.DUMMYFUNCTION("""COMPUTED_VALUE"""),-75.2858005595479)</f>
        <v>-75.285800559547894</v>
      </c>
      <c r="Q187" s="24">
        <f ca="1">IFERROR(__xludf.DUMMYFUNCTION("""COMPUTED_VALUE"""),-72.6585248964424)</f>
        <v>-72.658524896442401</v>
      </c>
      <c r="R187" s="20"/>
    </row>
    <row r="188" spans="1:18" ht="13.2" hidden="1" outlineLevel="1" x14ac:dyDescent="0.25">
      <c r="A188" s="1"/>
      <c r="B188" s="21" t="str">
        <f ca="1">IFERROR(__xludf.DUMMYFUNCTION("""COMPUTED_VALUE"""),"Bagazo de caña")</f>
        <v>Bagazo de caña</v>
      </c>
      <c r="C188" s="22">
        <f ca="1">IFERROR(__xludf.DUMMYFUNCTION("""COMPUTED_VALUE"""),-46.25)</f>
        <v>-46.25</v>
      </c>
      <c r="D188" s="23">
        <f ca="1">IFERROR(__xludf.DUMMYFUNCTION("""COMPUTED_VALUE"""),-47.78)</f>
        <v>-47.78</v>
      </c>
      <c r="E188" s="23">
        <f ca="1">IFERROR(__xludf.DUMMYFUNCTION("""COMPUTED_VALUE"""),-51.6499999999999)</f>
        <v>-51.649999999999899</v>
      </c>
      <c r="F188" s="23">
        <f ca="1">IFERROR(__xludf.DUMMYFUNCTION("""COMPUTED_VALUE"""),-62.62)</f>
        <v>-62.62</v>
      </c>
      <c r="G188" s="23">
        <f ca="1">IFERROR(__xludf.DUMMYFUNCTION("""COMPUTED_VALUE"""),-62.54)</f>
        <v>-62.54</v>
      </c>
      <c r="H188" s="23">
        <f ca="1">IFERROR(__xludf.DUMMYFUNCTION("""COMPUTED_VALUE"""),-63.33)</f>
        <v>-63.33</v>
      </c>
      <c r="I188" s="23">
        <f ca="1">IFERROR(__xludf.DUMMYFUNCTION("""COMPUTED_VALUE"""),-63.35)</f>
        <v>-63.35</v>
      </c>
      <c r="J188" s="23">
        <f ca="1">IFERROR(__xludf.DUMMYFUNCTION("""COMPUTED_VALUE"""),-63.74)</f>
        <v>-63.74</v>
      </c>
      <c r="K188" s="23">
        <f ca="1">IFERROR(__xludf.DUMMYFUNCTION("""COMPUTED_VALUE"""),-63.5)</f>
        <v>-63.5</v>
      </c>
      <c r="L188" s="23">
        <f ca="1">IFERROR(__xludf.DUMMYFUNCTION("""COMPUTED_VALUE"""),-66.59)</f>
        <v>-66.59</v>
      </c>
      <c r="M188" s="23">
        <f ca="1">IFERROR(__xludf.DUMMYFUNCTION("""COMPUTED_VALUE"""),-61.19)</f>
        <v>-61.19</v>
      </c>
      <c r="N188" s="23">
        <f ca="1">IFERROR(__xludf.DUMMYFUNCTION("""COMPUTED_VALUE"""),-62.3899999999999)</f>
        <v>-62.389999999999901</v>
      </c>
      <c r="O188" s="23">
        <f ca="1">IFERROR(__xludf.DUMMYFUNCTION("""COMPUTED_VALUE"""),-66.62)</f>
        <v>-66.62</v>
      </c>
      <c r="P188" s="23">
        <f ca="1">IFERROR(__xludf.DUMMYFUNCTION("""COMPUTED_VALUE"""),-59.34)</f>
        <v>-59.34</v>
      </c>
      <c r="Q188" s="24">
        <f ca="1">IFERROR(__xludf.DUMMYFUNCTION("""COMPUTED_VALUE"""),-61.5)</f>
        <v>-61.5</v>
      </c>
      <c r="R188" s="20"/>
    </row>
    <row r="189" spans="1:18" ht="13.2" hidden="1" outlineLevel="1" x14ac:dyDescent="0.25">
      <c r="A189" s="1"/>
      <c r="B189" s="21" t="str">
        <f ca="1">IFERROR(__xludf.DUMMYFUNCTION("""COMPUTED_VALUE"""),"Leña")</f>
        <v>Leña</v>
      </c>
      <c r="C189" s="22">
        <f ca="1">IFERROR(__xludf.DUMMYFUNCTION("""COMPUTED_VALUE"""),0)</f>
        <v>0</v>
      </c>
      <c r="D189" s="23">
        <f ca="1">IFERROR(__xludf.DUMMYFUNCTION("""COMPUTED_VALUE"""),0)</f>
        <v>0</v>
      </c>
      <c r="E189" s="23">
        <f ca="1">IFERROR(__xludf.DUMMYFUNCTION("""COMPUTED_VALUE"""),0)</f>
        <v>0</v>
      </c>
      <c r="F189" s="23">
        <f ca="1">IFERROR(__xludf.DUMMYFUNCTION("""COMPUTED_VALUE"""),0)</f>
        <v>0</v>
      </c>
      <c r="G189" s="23">
        <f ca="1">IFERROR(__xludf.DUMMYFUNCTION("""COMPUTED_VALUE"""),0)</f>
        <v>0</v>
      </c>
      <c r="H189" s="23">
        <f ca="1">IFERROR(__xludf.DUMMYFUNCTION("""COMPUTED_VALUE"""),0)</f>
        <v>0</v>
      </c>
      <c r="I189" s="23">
        <f ca="1">IFERROR(__xludf.DUMMYFUNCTION("""COMPUTED_VALUE"""),0)</f>
        <v>0</v>
      </c>
      <c r="J189" s="23">
        <f ca="1">IFERROR(__xludf.DUMMYFUNCTION("""COMPUTED_VALUE"""),0)</f>
        <v>0</v>
      </c>
      <c r="K189" s="23">
        <f ca="1">IFERROR(__xludf.DUMMYFUNCTION("""COMPUTED_VALUE"""),0)</f>
        <v>0</v>
      </c>
      <c r="L189" s="23">
        <f ca="1">IFERROR(__xludf.DUMMYFUNCTION("""COMPUTED_VALUE"""),0)</f>
        <v>0</v>
      </c>
      <c r="M189" s="23">
        <f ca="1">IFERROR(__xludf.DUMMYFUNCTION("""COMPUTED_VALUE"""),0)</f>
        <v>0</v>
      </c>
      <c r="N189" s="23">
        <f ca="1">IFERROR(__xludf.DUMMYFUNCTION("""COMPUTED_VALUE"""),0)</f>
        <v>0</v>
      </c>
      <c r="O189" s="23">
        <f ca="1">IFERROR(__xludf.DUMMYFUNCTION("""COMPUTED_VALUE"""),0)</f>
        <v>0</v>
      </c>
      <c r="P189" s="23">
        <f ca="1">IFERROR(__xludf.DUMMYFUNCTION("""COMPUTED_VALUE"""),0)</f>
        <v>0</v>
      </c>
      <c r="Q189" s="24">
        <f ca="1">IFERROR(__xludf.DUMMYFUNCTION("""COMPUTED_VALUE"""),0)</f>
        <v>0</v>
      </c>
      <c r="R189" s="20"/>
    </row>
    <row r="190" spans="1:18" ht="13.2" hidden="1" outlineLevel="1" x14ac:dyDescent="0.25">
      <c r="A190" s="1"/>
      <c r="B190" s="21" t="str">
        <f ca="1">IFERROR(__xludf.DUMMYFUNCTION("""COMPUTED_VALUE"""),"Biogás")</f>
        <v>Biogás</v>
      </c>
      <c r="C190" s="22">
        <f ca="1">IFERROR(__xludf.DUMMYFUNCTION("""COMPUTED_VALUE"""),-1.3)</f>
        <v>-1.3</v>
      </c>
      <c r="D190" s="23">
        <f ca="1">IFERROR(__xludf.DUMMYFUNCTION("""COMPUTED_VALUE"""),-1.47)</f>
        <v>-1.47</v>
      </c>
      <c r="E190" s="23">
        <f ca="1">IFERROR(__xludf.DUMMYFUNCTION("""COMPUTED_VALUE"""),-1.82)</f>
        <v>-1.82</v>
      </c>
      <c r="F190" s="23">
        <f ca="1">IFERROR(__xludf.DUMMYFUNCTION("""COMPUTED_VALUE"""),-1.96999999999999)</f>
        <v>-1.96999999999999</v>
      </c>
      <c r="G190" s="23">
        <f ca="1">IFERROR(__xludf.DUMMYFUNCTION("""COMPUTED_VALUE"""),-1.94)</f>
        <v>-1.94</v>
      </c>
      <c r="H190" s="23">
        <f ca="1">IFERROR(__xludf.DUMMYFUNCTION("""COMPUTED_VALUE"""),-1.87)</f>
        <v>-1.87</v>
      </c>
      <c r="I190" s="23">
        <f ca="1">IFERROR(__xludf.DUMMYFUNCTION("""COMPUTED_VALUE"""),-1.91)</f>
        <v>-1.91</v>
      </c>
      <c r="J190" s="23">
        <f ca="1">IFERROR(__xludf.DUMMYFUNCTION("""COMPUTED_VALUE"""),-2.52)</f>
        <v>-2.52</v>
      </c>
      <c r="K190" s="23">
        <f ca="1">IFERROR(__xludf.DUMMYFUNCTION("""COMPUTED_VALUE"""),-2.84)</f>
        <v>-2.84</v>
      </c>
      <c r="L190" s="23">
        <f ca="1">IFERROR(__xludf.DUMMYFUNCTION("""COMPUTED_VALUE"""),-2.8)</f>
        <v>-2.8</v>
      </c>
      <c r="M190" s="23">
        <f ca="1">IFERROR(__xludf.DUMMYFUNCTION("""COMPUTED_VALUE"""),-2.53)</f>
        <v>-2.5299999999999998</v>
      </c>
      <c r="N190" s="23">
        <f ca="1">IFERROR(__xludf.DUMMYFUNCTION("""COMPUTED_VALUE"""),-2.71)</f>
        <v>-2.71</v>
      </c>
      <c r="O190" s="23">
        <f ca="1">IFERROR(__xludf.DUMMYFUNCTION("""COMPUTED_VALUE"""),-2.89)</f>
        <v>-2.89</v>
      </c>
      <c r="P190" s="23">
        <f ca="1">IFERROR(__xludf.DUMMYFUNCTION("""COMPUTED_VALUE"""),-3.07)</f>
        <v>-3.07</v>
      </c>
      <c r="Q190" s="24">
        <f ca="1">IFERROR(__xludf.DUMMYFUNCTION("""COMPUTED_VALUE"""),-3.25)</f>
        <v>-3.25</v>
      </c>
      <c r="R190" s="20"/>
    </row>
    <row r="191" spans="1:18" ht="13.2" hidden="1" outlineLevel="1" x14ac:dyDescent="0.25">
      <c r="A191" s="1"/>
      <c r="B191" s="21" t="str">
        <f ca="1">IFERROR(__xludf.DUMMYFUNCTION("""COMPUTED_VALUE"""),"Coque de carbón")</f>
        <v>Coque de carbón</v>
      </c>
      <c r="C191" s="22">
        <f ca="1">IFERROR(__xludf.DUMMYFUNCTION("""COMPUTED_VALUE"""),55.83)</f>
        <v>55.83</v>
      </c>
      <c r="D191" s="23">
        <f ca="1">IFERROR(__xludf.DUMMYFUNCTION("""COMPUTED_VALUE"""),56.27)</f>
        <v>56.27</v>
      </c>
      <c r="E191" s="23">
        <f ca="1">IFERROR(__xludf.DUMMYFUNCTION("""COMPUTED_VALUE"""),57.45)</f>
        <v>57.45</v>
      </c>
      <c r="F191" s="23">
        <f ca="1">IFERROR(__xludf.DUMMYFUNCTION("""COMPUTED_VALUE"""),58.78)</f>
        <v>58.78</v>
      </c>
      <c r="G191" s="23">
        <f ca="1">IFERROR(__xludf.DUMMYFUNCTION("""COMPUTED_VALUE"""),59.14)</f>
        <v>59.14</v>
      </c>
      <c r="H191" s="23">
        <f ca="1">IFERROR(__xludf.DUMMYFUNCTION("""COMPUTED_VALUE"""),47.17)</f>
        <v>47.17</v>
      </c>
      <c r="I191" s="23">
        <f ca="1">IFERROR(__xludf.DUMMYFUNCTION("""COMPUTED_VALUE"""),36.28)</f>
        <v>36.28</v>
      </c>
      <c r="J191" s="23">
        <f ca="1">IFERROR(__xludf.DUMMYFUNCTION("""COMPUTED_VALUE"""),34.35)</f>
        <v>34.35</v>
      </c>
      <c r="K191" s="23">
        <f ca="1">IFERROR(__xludf.DUMMYFUNCTION("""COMPUTED_VALUE"""),31.31)</f>
        <v>31.31</v>
      </c>
      <c r="L191" s="23">
        <f ca="1">IFERROR(__xludf.DUMMYFUNCTION("""COMPUTED_VALUE"""),26.28)</f>
        <v>26.28</v>
      </c>
      <c r="M191" s="23">
        <f ca="1">IFERROR(__xludf.DUMMYFUNCTION("""COMPUTED_VALUE"""),18.47)</f>
        <v>18.47</v>
      </c>
      <c r="N191" s="23">
        <f ca="1">IFERROR(__xludf.DUMMYFUNCTION("""COMPUTED_VALUE"""),12.84)</f>
        <v>12.84</v>
      </c>
      <c r="O191" s="23">
        <f ca="1">IFERROR(__xludf.DUMMYFUNCTION("""COMPUTED_VALUE"""),12.72)</f>
        <v>12.72</v>
      </c>
      <c r="P191" s="23">
        <f ca="1">IFERROR(__xludf.DUMMYFUNCTION("""COMPUTED_VALUE"""),0)</f>
        <v>0</v>
      </c>
      <c r="Q191" s="24">
        <f ca="1">IFERROR(__xludf.DUMMYFUNCTION("""COMPUTED_VALUE"""),0)</f>
        <v>0</v>
      </c>
      <c r="R191" s="20"/>
    </row>
    <row r="192" spans="1:18" ht="13.2" hidden="1" outlineLevel="1" x14ac:dyDescent="0.25">
      <c r="A192" s="1"/>
      <c r="B192" s="21" t="str">
        <f ca="1">IFERROR(__xludf.DUMMYFUNCTION("""COMPUTED_VALUE"""),"Coque de petróleo")</f>
        <v>Coque de petróleo</v>
      </c>
      <c r="C192" s="22">
        <f ca="1">IFERROR(__xludf.DUMMYFUNCTION("""COMPUTED_VALUE"""),-4.21449192328738)</f>
        <v>-4.2144919232873796</v>
      </c>
      <c r="D192" s="23">
        <f ca="1">IFERROR(__xludf.DUMMYFUNCTION("""COMPUTED_VALUE"""),-36.3066200324227)</f>
        <v>-36.3066200324227</v>
      </c>
      <c r="E192" s="23">
        <f ca="1">IFERROR(__xludf.DUMMYFUNCTION("""COMPUTED_VALUE"""),-30.4554854894318)</f>
        <v>-30.455485489431801</v>
      </c>
      <c r="F192" s="23">
        <f ca="1">IFERROR(__xludf.DUMMYFUNCTION("""COMPUTED_VALUE"""),-11.2008818953699)</f>
        <v>-11.2008818953699</v>
      </c>
      <c r="G192" s="23">
        <f ca="1">IFERROR(__xludf.DUMMYFUNCTION("""COMPUTED_VALUE"""),28.7253222019306)</f>
        <v>28.725322201930599</v>
      </c>
      <c r="H192" s="23">
        <f ca="1">IFERROR(__xludf.DUMMYFUNCTION("""COMPUTED_VALUE"""),31.1489805507642)</f>
        <v>31.1489805507642</v>
      </c>
      <c r="I192" s="23">
        <f ca="1">IFERROR(__xludf.DUMMYFUNCTION("""COMPUTED_VALUE"""),34.9112020447062)</f>
        <v>34.911202044706201</v>
      </c>
      <c r="J192" s="23">
        <f ca="1">IFERROR(__xludf.DUMMYFUNCTION("""COMPUTED_VALUE"""),12.9713866312821)</f>
        <v>12.971386631282099</v>
      </c>
      <c r="K192" s="23">
        <f ca="1">IFERROR(__xludf.DUMMYFUNCTION("""COMPUTED_VALUE"""),-3.82534745070115)</f>
        <v>-3.82534745070115</v>
      </c>
      <c r="L192" s="23">
        <f ca="1">IFERROR(__xludf.DUMMYFUNCTION("""COMPUTED_VALUE"""),1.42581288450554)</f>
        <v>1.42581288450554</v>
      </c>
      <c r="M192" s="23">
        <f ca="1">IFERROR(__xludf.DUMMYFUNCTION("""COMPUTED_VALUE"""),-7.66727943682875)</f>
        <v>-7.6672794368287498</v>
      </c>
      <c r="N192" s="23">
        <f ca="1">IFERROR(__xludf.DUMMYFUNCTION("""COMPUTED_VALUE"""),-19.2329069535798)</f>
        <v>-19.2329069535798</v>
      </c>
      <c r="O192" s="23">
        <f ca="1">IFERROR(__xludf.DUMMYFUNCTION("""COMPUTED_VALUE"""),-19.8380872408192)</f>
        <v>-19.838087240819199</v>
      </c>
      <c r="P192" s="23">
        <f ca="1">IFERROR(__xludf.DUMMYFUNCTION("""COMPUTED_VALUE"""),-18.7529536082866)</f>
        <v>-18.7529536082866</v>
      </c>
      <c r="Q192" s="24">
        <f ca="1">IFERROR(__xludf.DUMMYFUNCTION("""COMPUTED_VALUE"""),12.8233061833553)</f>
        <v>12.823306183355299</v>
      </c>
      <c r="R192" s="20"/>
    </row>
    <row r="193" spans="1:18" ht="13.2" hidden="1" outlineLevel="1" x14ac:dyDescent="0.25">
      <c r="A193" s="1"/>
      <c r="B193" s="21" t="str">
        <f ca="1">IFERROR(__xludf.DUMMYFUNCTION("""COMPUTED_VALUE"""),"Gas licuado de petróleo")</f>
        <v>Gas licuado de petróleo</v>
      </c>
      <c r="C193" s="22">
        <f ca="1">IFERROR(__xludf.DUMMYFUNCTION("""COMPUTED_VALUE"""),320.795226447659)</f>
        <v>320.79522644765899</v>
      </c>
      <c r="D193" s="23">
        <f ca="1">IFERROR(__xludf.DUMMYFUNCTION("""COMPUTED_VALUE"""),312.643520971549)</f>
        <v>312.64352097154898</v>
      </c>
      <c r="E193" s="23">
        <f ca="1">IFERROR(__xludf.DUMMYFUNCTION("""COMPUTED_VALUE"""),302.593601003202)</f>
        <v>302.59360100320202</v>
      </c>
      <c r="F193" s="23">
        <f ca="1">IFERROR(__xludf.DUMMYFUNCTION("""COMPUTED_VALUE"""),302.854333506711)</f>
        <v>302.85433350671099</v>
      </c>
      <c r="G193" s="23">
        <f ca="1">IFERROR(__xludf.DUMMYFUNCTION("""COMPUTED_VALUE"""),309.163172989087)</f>
        <v>309.163172989087</v>
      </c>
      <c r="H193" s="23">
        <f ca="1">IFERROR(__xludf.DUMMYFUNCTION("""COMPUTED_VALUE"""),264.868675888813)</f>
        <v>264.86867588881302</v>
      </c>
      <c r="I193" s="23">
        <f ca="1">IFERROR(__xludf.DUMMYFUNCTION("""COMPUTED_VALUE"""),242.374)</f>
        <v>242.374</v>
      </c>
      <c r="J193" s="23">
        <f ca="1">IFERROR(__xludf.DUMMYFUNCTION("""COMPUTED_VALUE"""),207.3082988363)</f>
        <v>207.3082988363</v>
      </c>
      <c r="K193" s="23">
        <f ca="1">IFERROR(__xludf.DUMMYFUNCTION("""COMPUTED_VALUE"""),171.453784307125)</f>
        <v>171.45378430712501</v>
      </c>
      <c r="L193" s="23">
        <f ca="1">IFERROR(__xludf.DUMMYFUNCTION("""COMPUTED_VALUE"""),137.947755354143)</f>
        <v>137.947755354143</v>
      </c>
      <c r="M193" s="23">
        <f ca="1">IFERROR(__xludf.DUMMYFUNCTION("""COMPUTED_VALUE"""),119.678047825155)</f>
        <v>119.67804782515501</v>
      </c>
      <c r="N193" s="23">
        <f ca="1">IFERROR(__xludf.DUMMYFUNCTION("""COMPUTED_VALUE"""),160.80767092851)</f>
        <v>160.80767092850999</v>
      </c>
      <c r="O193" s="23">
        <f ca="1">IFERROR(__xludf.DUMMYFUNCTION("""COMPUTED_VALUE"""),177.221952420741)</f>
        <v>177.22195242074099</v>
      </c>
      <c r="P193" s="23">
        <f ca="1">IFERROR(__xludf.DUMMYFUNCTION("""COMPUTED_VALUE"""),211.220615740835)</f>
        <v>211.220615740835</v>
      </c>
      <c r="Q193" s="24">
        <f ca="1">IFERROR(__xludf.DUMMYFUNCTION("""COMPUTED_VALUE"""),171.695941826798)</f>
        <v>171.69594182679799</v>
      </c>
      <c r="R193" s="20"/>
    </row>
    <row r="194" spans="1:18" ht="13.2" hidden="1" outlineLevel="1" x14ac:dyDescent="0.25">
      <c r="A194" s="1"/>
      <c r="B194" s="21" t="str">
        <f ca="1">IFERROR(__xludf.DUMMYFUNCTION("""COMPUTED_VALUE"""),"Gasolinas y naftas")</f>
        <v>Gasolinas y naftas</v>
      </c>
      <c r="C194" s="22">
        <f ca="1">IFERROR(__xludf.DUMMYFUNCTION("""COMPUTED_VALUE"""),761.332651474454)</f>
        <v>761.332651474454</v>
      </c>
      <c r="D194" s="23">
        <f ca="1">IFERROR(__xludf.DUMMYFUNCTION("""COMPUTED_VALUE"""),703.200479609763)</f>
        <v>703.20047960976297</v>
      </c>
      <c r="E194" s="23">
        <f ca="1">IFERROR(__xludf.DUMMYFUNCTION("""COMPUTED_VALUE"""),703.117416947419)</f>
        <v>703.11741694741897</v>
      </c>
      <c r="F194" s="23">
        <f ca="1">IFERROR(__xludf.DUMMYFUNCTION("""COMPUTED_VALUE"""),792.278064701486)</f>
        <v>792.27806470148596</v>
      </c>
      <c r="G194" s="23">
        <f ca="1">IFERROR(__xludf.DUMMYFUNCTION("""COMPUTED_VALUE"""),937.058430047391)</f>
        <v>937.05843004739097</v>
      </c>
      <c r="H194" s="23">
        <f ca="1">IFERROR(__xludf.DUMMYFUNCTION("""COMPUTED_VALUE"""),855.309394381602)</f>
        <v>855.30939438160203</v>
      </c>
      <c r="I194" s="23">
        <f ca="1">IFERROR(__xludf.DUMMYFUNCTION("""COMPUTED_VALUE"""),763.595)</f>
        <v>763.59500000000003</v>
      </c>
      <c r="J194" s="23">
        <f ca="1">IFERROR(__xludf.DUMMYFUNCTION("""COMPUTED_VALUE"""),578.438180917186)</f>
        <v>578.43818091718595</v>
      </c>
      <c r="K194" s="23">
        <f ca="1">IFERROR(__xludf.DUMMYFUNCTION("""COMPUTED_VALUE"""),462.728423440053)</f>
        <v>462.72842344005301</v>
      </c>
      <c r="L194" s="23">
        <f ca="1">IFERROR(__xludf.DUMMYFUNCTION("""COMPUTED_VALUE"""),500.249139263171)</f>
        <v>500.249139263171</v>
      </c>
      <c r="M194" s="23">
        <f ca="1">IFERROR(__xludf.DUMMYFUNCTION("""COMPUTED_VALUE"""),434.438111755868)</f>
        <v>434.43811175586802</v>
      </c>
      <c r="N194" s="23">
        <f ca="1">IFERROR(__xludf.DUMMYFUNCTION("""COMPUTED_VALUE"""),610.249562785542)</f>
        <v>610.24956278554203</v>
      </c>
      <c r="O194" s="23">
        <f ca="1">IFERROR(__xludf.DUMMYFUNCTION("""COMPUTED_VALUE"""),574.400132578993)</f>
        <v>574.40013257899295</v>
      </c>
      <c r="P194" s="23">
        <f ca="1">IFERROR(__xludf.DUMMYFUNCTION("""COMPUTED_VALUE"""),587.470737574249)</f>
        <v>587.47073757424903</v>
      </c>
      <c r="Q194" s="24">
        <f ca="1">IFERROR(__xludf.DUMMYFUNCTION("""COMPUTED_VALUE"""),687.258103204972)</f>
        <v>687.25810320497203</v>
      </c>
      <c r="R194" s="20"/>
    </row>
    <row r="195" spans="1:18" ht="13.2" hidden="1" outlineLevel="1" x14ac:dyDescent="0.25">
      <c r="A195" s="1"/>
      <c r="B195" s="21" t="str">
        <f ca="1">IFERROR(__xludf.DUMMYFUNCTION("""COMPUTED_VALUE"""),"Querosenos")</f>
        <v>Querosenos</v>
      </c>
      <c r="C195" s="22">
        <f ca="1">IFERROR(__xludf.DUMMYFUNCTION("""COMPUTED_VALUE"""),85.0887909972004)</f>
        <v>85.088790997200405</v>
      </c>
      <c r="D195" s="23">
        <f ca="1">IFERROR(__xludf.DUMMYFUNCTION("""COMPUTED_VALUE"""),85.7317438842414)</f>
        <v>85.731743884241396</v>
      </c>
      <c r="E195" s="23">
        <f ca="1">IFERROR(__xludf.DUMMYFUNCTION("""COMPUTED_VALUE"""),83.209322484872)</f>
        <v>83.209322484872004</v>
      </c>
      <c r="F195" s="23">
        <f ca="1">IFERROR(__xludf.DUMMYFUNCTION("""COMPUTED_VALUE"""),97.0966180797629)</f>
        <v>97.096618079762905</v>
      </c>
      <c r="G195" s="23">
        <f ca="1">IFERROR(__xludf.DUMMYFUNCTION("""COMPUTED_VALUE"""),107.79)</f>
        <v>107.79</v>
      </c>
      <c r="H195" s="23">
        <f ca="1">IFERROR(__xludf.DUMMYFUNCTION("""COMPUTED_VALUE"""),102.69)</f>
        <v>102.69</v>
      </c>
      <c r="I195" s="23">
        <f ca="1">IFERROR(__xludf.DUMMYFUNCTION("""COMPUTED_VALUE"""),92.61)</f>
        <v>92.61</v>
      </c>
      <c r="J195" s="23">
        <f ca="1">IFERROR(__xludf.DUMMYFUNCTION("""COMPUTED_VALUE"""),85.56)</f>
        <v>85.56</v>
      </c>
      <c r="K195" s="23">
        <f ca="1">IFERROR(__xludf.DUMMYFUNCTION("""COMPUTED_VALUE"""),68.7693417390638)</f>
        <v>68.769341739063805</v>
      </c>
      <c r="L195" s="23">
        <f ca="1">IFERROR(__xludf.DUMMYFUNCTION("""COMPUTED_VALUE"""),66.8981366545138)</f>
        <v>66.898136654513806</v>
      </c>
      <c r="M195" s="23">
        <f ca="1">IFERROR(__xludf.DUMMYFUNCTION("""COMPUTED_VALUE"""),38.4241791734595)</f>
        <v>38.4241791734595</v>
      </c>
      <c r="N195" s="23">
        <f ca="1">IFERROR(__xludf.DUMMYFUNCTION("""COMPUTED_VALUE"""),68.1581390949941)</f>
        <v>68.158139094994098</v>
      </c>
      <c r="O195" s="23">
        <f ca="1">IFERROR(__xludf.DUMMYFUNCTION("""COMPUTED_VALUE"""),66.1230470815817)</f>
        <v>66.123047081581703</v>
      </c>
      <c r="P195" s="23">
        <f ca="1">IFERROR(__xludf.DUMMYFUNCTION("""COMPUTED_VALUE"""),77.5630842929536)</f>
        <v>77.563084292953604</v>
      </c>
      <c r="Q195" s="24">
        <f ca="1">IFERROR(__xludf.DUMMYFUNCTION("""COMPUTED_VALUE"""),76.2456103397362)</f>
        <v>76.245610339736203</v>
      </c>
      <c r="R195" s="20"/>
    </row>
    <row r="196" spans="1:18" ht="13.2" hidden="1" outlineLevel="1" x14ac:dyDescent="0.25">
      <c r="A196" s="1"/>
      <c r="B196" s="21" t="str">
        <f ca="1">IFERROR(__xludf.DUMMYFUNCTION("""COMPUTED_VALUE"""),"Diesel")</f>
        <v>Diesel</v>
      </c>
      <c r="C196" s="22">
        <f ca="1">IFERROR(__xludf.DUMMYFUNCTION("""COMPUTED_VALUE"""),442.895154936685)</f>
        <v>442.895154936685</v>
      </c>
      <c r="D196" s="23">
        <f ca="1">IFERROR(__xludf.DUMMYFUNCTION("""COMPUTED_VALUE"""),403.018195802681)</f>
        <v>403.01819580268102</v>
      </c>
      <c r="E196" s="23">
        <f ca="1">IFERROR(__xludf.DUMMYFUNCTION("""COMPUTED_VALUE"""),415.344068852558)</f>
        <v>415.344068852558</v>
      </c>
      <c r="F196" s="23">
        <f ca="1">IFERROR(__xludf.DUMMYFUNCTION("""COMPUTED_VALUE"""),502.441871657214)</f>
        <v>502.44187165721399</v>
      </c>
      <c r="G196" s="23">
        <f ca="1">IFERROR(__xludf.DUMMYFUNCTION("""COMPUTED_VALUE"""),587.837109159347)</f>
        <v>587.83710915934705</v>
      </c>
      <c r="H196" s="23">
        <f ca="1">IFERROR(__xludf.DUMMYFUNCTION("""COMPUTED_VALUE"""),634.026027046167)</f>
        <v>634.02602704616697</v>
      </c>
      <c r="I196" s="23">
        <f ca="1">IFERROR(__xludf.DUMMYFUNCTION("""COMPUTED_VALUE"""),487.694145349362)</f>
        <v>487.69414534936197</v>
      </c>
      <c r="J196" s="23">
        <f ca="1">IFERROR(__xludf.DUMMYFUNCTION("""COMPUTED_VALUE"""),312.286441425862)</f>
        <v>312.28644142586199</v>
      </c>
      <c r="K196" s="23">
        <f ca="1">IFERROR(__xludf.DUMMYFUNCTION("""COMPUTED_VALUE"""),195.399233679847)</f>
        <v>195.39923367984699</v>
      </c>
      <c r="L196" s="23">
        <f ca="1">IFERROR(__xludf.DUMMYFUNCTION("""COMPUTED_VALUE"""),289.113694839705)</f>
        <v>289.11369483970498</v>
      </c>
      <c r="M196" s="23">
        <f ca="1">IFERROR(__xludf.DUMMYFUNCTION("""COMPUTED_VALUE"""),263.276134330029)</f>
        <v>263.27613433002898</v>
      </c>
      <c r="N196" s="23">
        <f ca="1">IFERROR(__xludf.DUMMYFUNCTION("""COMPUTED_VALUE"""),267.897140317167)</f>
        <v>267.89714031716699</v>
      </c>
      <c r="O196" s="23">
        <f ca="1">IFERROR(__xludf.DUMMYFUNCTION("""COMPUTED_VALUE"""),296.139142696335)</f>
        <v>296.139142696335</v>
      </c>
      <c r="P196" s="23">
        <f ca="1">IFERROR(__xludf.DUMMYFUNCTION("""COMPUTED_VALUE"""),302.963646286741)</f>
        <v>302.96364628674098</v>
      </c>
      <c r="Q196" s="24">
        <f ca="1">IFERROR(__xludf.DUMMYFUNCTION("""COMPUTED_VALUE"""),406.702722529422)</f>
        <v>406.70272252942198</v>
      </c>
      <c r="R196" s="20"/>
    </row>
    <row r="197" spans="1:18" ht="13.2" hidden="1" outlineLevel="1" x14ac:dyDescent="0.25">
      <c r="A197" s="1"/>
      <c r="B197" s="21" t="str">
        <f ca="1">IFERROR(__xludf.DUMMYFUNCTION("""COMPUTED_VALUE"""),"Combustóleo")</f>
        <v>Combustóleo</v>
      </c>
      <c r="C197" s="22">
        <f ca="1">IFERROR(__xludf.DUMMYFUNCTION("""COMPUTED_VALUE"""),379.846807346687)</f>
        <v>379.846807346687</v>
      </c>
      <c r="D197" s="23">
        <f ca="1">IFERROR(__xludf.DUMMYFUNCTION("""COMPUTED_VALUE"""),302.087321711807)</f>
        <v>302.08732171180702</v>
      </c>
      <c r="E197" s="23">
        <f ca="1">IFERROR(__xludf.DUMMYFUNCTION("""COMPUTED_VALUE"""),167.622997042799)</f>
        <v>167.622997042799</v>
      </c>
      <c r="F197" s="23">
        <f ca="1">IFERROR(__xludf.DUMMYFUNCTION("""COMPUTED_VALUE"""),199.917643895033)</f>
        <v>199.917643895033</v>
      </c>
      <c r="G197" s="23">
        <f ca="1">IFERROR(__xludf.DUMMYFUNCTION("""COMPUTED_VALUE"""),341.990197165903)</f>
        <v>341.990197165903</v>
      </c>
      <c r="H197" s="23">
        <f ca="1">IFERROR(__xludf.DUMMYFUNCTION("""COMPUTED_VALUE"""),336.276721018972)</f>
        <v>336.27672101897201</v>
      </c>
      <c r="I197" s="23">
        <f ca="1">IFERROR(__xludf.DUMMYFUNCTION("""COMPUTED_VALUE"""),329.623113572355)</f>
        <v>329.62311357235501</v>
      </c>
      <c r="J197" s="23">
        <f ca="1">IFERROR(__xludf.DUMMYFUNCTION("""COMPUTED_VALUE"""),238.902025279401)</f>
        <v>238.90202527940099</v>
      </c>
      <c r="K197" s="23">
        <f ca="1">IFERROR(__xludf.DUMMYFUNCTION("""COMPUTED_VALUE"""),224.052611176803)</f>
        <v>224.052611176803</v>
      </c>
      <c r="L197" s="23">
        <f ca="1">IFERROR(__xludf.DUMMYFUNCTION("""COMPUTED_VALUE"""),152.184026286971)</f>
        <v>152.184026286971</v>
      </c>
      <c r="M197" s="23">
        <f ca="1">IFERROR(__xludf.DUMMYFUNCTION("""COMPUTED_VALUE"""),254.798573546845)</f>
        <v>254.79857354684501</v>
      </c>
      <c r="N197" s="23">
        <f ca="1">IFERROR(__xludf.DUMMYFUNCTION("""COMPUTED_VALUE"""),422.831328964255)</f>
        <v>422.83132896425502</v>
      </c>
      <c r="O197" s="23">
        <f ca="1">IFERROR(__xludf.DUMMYFUNCTION("""COMPUTED_VALUE"""),452.975746467929)</f>
        <v>452.97574646792901</v>
      </c>
      <c r="P197" s="23">
        <f ca="1">IFERROR(__xludf.DUMMYFUNCTION("""COMPUTED_VALUE"""),490.786423009295)</f>
        <v>490.78642300929499</v>
      </c>
      <c r="Q197" s="24">
        <f ca="1">IFERROR(__xludf.DUMMYFUNCTION("""COMPUTED_VALUE"""),544.201092590806)</f>
        <v>544.20109259080596</v>
      </c>
      <c r="R197" s="20"/>
    </row>
    <row r="198" spans="1:18" ht="13.2" hidden="1" outlineLevel="1" x14ac:dyDescent="0.25">
      <c r="A198" s="1"/>
      <c r="B198" s="21" t="str">
        <f ca="1">IFERROR(__xludf.DUMMYFUNCTION("""COMPUTED_VALUE"""),"Otros energéticos")</f>
        <v>Otros energéticos</v>
      </c>
      <c r="C198" s="22">
        <f ca="1">IFERROR(__xludf.DUMMYFUNCTION("""COMPUTED_VALUE"""),156.204538072811)</f>
        <v>156.204538072811</v>
      </c>
      <c r="D198" s="23">
        <f ca="1">IFERROR(__xludf.DUMMYFUNCTION("""COMPUTED_VALUE"""),153.362870233669)</f>
        <v>153.36287023366901</v>
      </c>
      <c r="E198" s="23">
        <f ca="1">IFERROR(__xludf.DUMMYFUNCTION("""COMPUTED_VALUE"""),147.082121775711)</f>
        <v>147.08212177571099</v>
      </c>
      <c r="F198" s="23">
        <f ca="1">IFERROR(__xludf.DUMMYFUNCTION("""COMPUTED_VALUE"""),152.139353613701)</f>
        <v>152.13935361370099</v>
      </c>
      <c r="G198" s="23">
        <f ca="1">IFERROR(__xludf.DUMMYFUNCTION("""COMPUTED_VALUE"""),158.527237764762)</f>
        <v>158.52723776476199</v>
      </c>
      <c r="H198" s="23">
        <f ca="1">IFERROR(__xludf.DUMMYFUNCTION("""COMPUTED_VALUE"""),133.492020867275)</f>
        <v>133.49202086727499</v>
      </c>
      <c r="I198" s="23">
        <f ca="1">IFERROR(__xludf.DUMMYFUNCTION("""COMPUTED_VALUE"""),159.88)</f>
        <v>159.88</v>
      </c>
      <c r="J198" s="23">
        <f ca="1">IFERROR(__xludf.DUMMYFUNCTION("""COMPUTED_VALUE"""),300.820353219634)</f>
        <v>300.820353219634</v>
      </c>
      <c r="K198" s="23">
        <f ca="1">IFERROR(__xludf.DUMMYFUNCTION("""COMPUTED_VALUE"""),230.75059307209)</f>
        <v>230.75059307209</v>
      </c>
      <c r="L198" s="23">
        <f ca="1">IFERROR(__xludf.DUMMYFUNCTION("""COMPUTED_VALUE"""),195.047712966946)</f>
        <v>195.04771296694599</v>
      </c>
      <c r="M198" s="23">
        <f ca="1">IFERROR(__xludf.DUMMYFUNCTION("""COMPUTED_VALUE"""),156.79699973844)</f>
        <v>156.79699973844001</v>
      </c>
      <c r="N198" s="23">
        <f ca="1">IFERROR(__xludf.DUMMYFUNCTION("""COMPUTED_VALUE"""),66.082956112541)</f>
        <v>66.082956112540998</v>
      </c>
      <c r="O198" s="23">
        <f ca="1">IFERROR(__xludf.DUMMYFUNCTION("""COMPUTED_VALUE"""),59.3112373204046)</f>
        <v>59.311237320404601</v>
      </c>
      <c r="P198" s="23">
        <f ca="1">IFERROR(__xludf.DUMMYFUNCTION("""COMPUTED_VALUE"""),100.276414874262)</f>
        <v>100.276414874262</v>
      </c>
      <c r="Q198" s="24">
        <f ca="1">IFERROR(__xludf.DUMMYFUNCTION("""COMPUTED_VALUE"""),88.9025914646853)</f>
        <v>88.902591464685301</v>
      </c>
      <c r="R198" s="20"/>
    </row>
    <row r="199" spans="1:18" ht="13.2" hidden="1" outlineLevel="1" x14ac:dyDescent="0.25">
      <c r="A199" s="1"/>
      <c r="B199" s="21" t="str">
        <f ca="1">IFERROR(__xludf.DUMMYFUNCTION("""COMPUTED_VALUE"""),"Gas natural seco")</f>
        <v>Gas natural seco</v>
      </c>
      <c r="C199" s="22">
        <f ca="1">IFERROR(__xludf.DUMMYFUNCTION("""COMPUTED_VALUE"""),380.940987180088)</f>
        <v>380.94098718008797</v>
      </c>
      <c r="D199" s="23">
        <f ca="1">IFERROR(__xludf.DUMMYFUNCTION("""COMPUTED_VALUE"""),436.917284324401)</f>
        <v>436.91728432440101</v>
      </c>
      <c r="E199" s="23">
        <f ca="1">IFERROR(__xludf.DUMMYFUNCTION("""COMPUTED_VALUE"""),499.410288678212)</f>
        <v>499.410288678212</v>
      </c>
      <c r="F199" s="23">
        <f ca="1">IFERROR(__xludf.DUMMYFUNCTION("""COMPUTED_VALUE"""),592.299097221616)</f>
        <v>592.29909722161597</v>
      </c>
      <c r="G199" s="23">
        <f ca="1">IFERROR(__xludf.DUMMYFUNCTION("""COMPUTED_VALUE"""),344.862131832564)</f>
        <v>344.86213183256399</v>
      </c>
      <c r="H199" s="23">
        <f ca="1">IFERROR(__xludf.DUMMYFUNCTION("""COMPUTED_VALUE"""),163.130390287002)</f>
        <v>163.130390287002</v>
      </c>
      <c r="I199" s="23">
        <f ca="1">IFERROR(__xludf.DUMMYFUNCTION("""COMPUTED_VALUE"""),-181.072462894182)</f>
        <v>-181.072462894182</v>
      </c>
      <c r="J199" s="23">
        <f ca="1">IFERROR(__xludf.DUMMYFUNCTION("""COMPUTED_VALUE"""),-389.963078852661)</f>
        <v>-389.963078852661</v>
      </c>
      <c r="K199" s="23">
        <f ca="1">IFERROR(__xludf.DUMMYFUNCTION("""COMPUTED_VALUE"""),-1101.79692117567)</f>
        <v>-1101.7969211756699</v>
      </c>
      <c r="L199" s="23">
        <f ca="1">IFERROR(__xludf.DUMMYFUNCTION("""COMPUTED_VALUE"""),-1194.42503262358)</f>
        <v>-1194.4250326235799</v>
      </c>
      <c r="M199" s="23">
        <f ca="1">IFERROR(__xludf.DUMMYFUNCTION("""COMPUTED_VALUE"""),-964.671401055924)</f>
        <v>-964.67140105592398</v>
      </c>
      <c r="N199" s="23">
        <f ca="1">IFERROR(__xludf.DUMMYFUNCTION("""COMPUTED_VALUE"""),-1175.00754516785)</f>
        <v>-1175.0075451678499</v>
      </c>
      <c r="O199" s="23">
        <f ca="1">IFERROR(__xludf.DUMMYFUNCTION("""COMPUTED_VALUE"""),-861.743552844483)</f>
        <v>-861.74355284448302</v>
      </c>
      <c r="P199" s="23">
        <f ca="1">IFERROR(__xludf.DUMMYFUNCTION("""COMPUTED_VALUE"""),-1058.99160660961)</f>
        <v>-1058.99160660961</v>
      </c>
      <c r="Q199" s="24">
        <f ca="1">IFERROR(__xludf.DUMMYFUNCTION("""COMPUTED_VALUE"""),-1270.226343436)</f>
        <v>-1270.226343436</v>
      </c>
      <c r="R199" s="20"/>
    </row>
    <row r="200" spans="1:18" ht="13.2" hidden="1" outlineLevel="1" x14ac:dyDescent="0.25">
      <c r="A200" s="1"/>
      <c r="B200" s="25" t="str">
        <f ca="1">IFERROR(__xludf.DUMMYFUNCTION("""COMPUTED_VALUE"""),"Energía eléctrica")</f>
        <v>Energía eléctrica</v>
      </c>
      <c r="C200" s="26">
        <f ca="1">IFERROR(__xludf.DUMMYFUNCTION("""COMPUTED_VALUE"""),1051.65745877089)</f>
        <v>1051.6574587708899</v>
      </c>
      <c r="D200" s="27">
        <f ca="1">IFERROR(__xludf.DUMMYFUNCTION("""COMPUTED_VALUE"""),1087.05175103583)</f>
        <v>1087.05175103583</v>
      </c>
      <c r="E200" s="27">
        <f ca="1">IFERROR(__xludf.DUMMYFUNCTION("""COMPUTED_VALUE"""),1093.27924589789)</f>
        <v>1093.27924589789</v>
      </c>
      <c r="F200" s="27">
        <f ca="1">IFERROR(__xludf.DUMMYFUNCTION("""COMPUTED_VALUE"""),1120.14083129021)</f>
        <v>1120.1408312902099</v>
      </c>
      <c r="G200" s="27">
        <f ca="1">IFERROR(__xludf.DUMMYFUNCTION("""COMPUTED_VALUE"""),1137.75697904017)</f>
        <v>1137.7569790401701</v>
      </c>
      <c r="H200" s="27">
        <f ca="1">IFERROR(__xludf.DUMMYFUNCTION("""COMPUTED_VALUE"""),1162.26614974407)</f>
        <v>1162.2661497440699</v>
      </c>
      <c r="I200" s="27">
        <f ca="1">IFERROR(__xludf.DUMMYFUNCTION("""COMPUTED_VALUE"""),1176.76172849828)</f>
        <v>1176.76172849828</v>
      </c>
      <c r="J200" s="27">
        <f ca="1">IFERROR(__xludf.DUMMYFUNCTION("""COMPUTED_VALUE"""),1189.97731977747)</f>
        <v>1189.97731977747</v>
      </c>
      <c r="K200" s="27">
        <f ca="1">IFERROR(__xludf.DUMMYFUNCTION("""COMPUTED_VALUE"""),1219.02922162325)</f>
        <v>1219.0292216232499</v>
      </c>
      <c r="L200" s="27">
        <f ca="1">IFERROR(__xludf.DUMMYFUNCTION("""COMPUTED_VALUE"""),1251.42446655689)</f>
        <v>1251.4244665568899</v>
      </c>
      <c r="M200" s="27">
        <f ca="1">IFERROR(__xludf.DUMMYFUNCTION("""COMPUTED_VALUE"""),1263.86277112231)</f>
        <v>1263.8627711223101</v>
      </c>
      <c r="N200" s="27">
        <f ca="1">IFERROR(__xludf.DUMMYFUNCTION("""COMPUTED_VALUE"""),1278.37575939846)</f>
        <v>1278.3757593984601</v>
      </c>
      <c r="O200" s="27">
        <f ca="1">IFERROR(__xludf.DUMMYFUNCTION("""COMPUTED_VALUE"""),1310.80263095984)</f>
        <v>1310.8026309598399</v>
      </c>
      <c r="P200" s="27">
        <f ca="1">IFERROR(__xludf.DUMMYFUNCTION("""COMPUTED_VALUE"""),1368.68737135421)</f>
        <v>1368.68737135421</v>
      </c>
      <c r="Q200" s="28">
        <f ca="1">IFERROR(__xludf.DUMMYFUNCTION("""COMPUTED_VALUE"""),1381.51533134894)</f>
        <v>1381.51533134894</v>
      </c>
      <c r="R200" s="20"/>
    </row>
    <row r="201" spans="1:18" ht="13.2" hidden="1" outlineLevel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0"/>
    </row>
    <row r="202" spans="1:18" ht="13.2" collapsed="1" x14ac:dyDescent="0.25">
      <c r="A202" s="29"/>
      <c r="B202" s="5" t="str">
        <f ca="1">IFERROR(__xludf.DUMMYFUNCTION("""COMPUTED_VALUE"""),"CoqHor(e,a)")</f>
        <v>CoqHor(e,a)</v>
      </c>
      <c r="C202" s="6" t="str">
        <f ca="1">IFERROR(__xludf.DUMMYFUNCTION("""COMPUTED_VALUE"""),"-/+")</f>
        <v>-/+</v>
      </c>
      <c r="D202" s="7" t="str">
        <f ca="1">IFERROR(__xludf.DUMMYFUNCTION("""COMPUTED_VALUE"""),"Coquizadoras y hornos por energético e y año a.")</f>
        <v>Coquizadoras y hornos por energético e y año a.</v>
      </c>
      <c r="E202" s="6" t="str">
        <f ca="1">IFERROR(__xludf.DUMMYFUNCTION("""COMPUTED_VALUE"""),"cbne")</f>
        <v>cbne</v>
      </c>
      <c r="F202" s="6" t="str">
        <f ca="1">IFERROR(__xludf.DUMMYFUNCTION("""COMPUTED_VALUE"""),"a")</f>
        <v>a</v>
      </c>
      <c r="G202" s="8" t="str">
        <f ca="1">IFERROR(__xludf.DUMMYFUNCTION("""COMPUTED_VALUE"""),"PJ")</f>
        <v>PJ</v>
      </c>
      <c r="H202" s="9"/>
      <c r="I202" s="1"/>
      <c r="J202" s="1"/>
      <c r="K202" s="1"/>
      <c r="L202" s="1"/>
      <c r="M202" s="1"/>
      <c r="N202" s="1"/>
      <c r="O202" s="1"/>
      <c r="P202" s="1"/>
      <c r="Q202" s="1"/>
      <c r="R202" s="10"/>
    </row>
    <row r="203" spans="1:18" ht="13.2" hidden="1" outlineLevel="1" x14ac:dyDescent="0.25">
      <c r="A203" s="1"/>
      <c r="B203" s="11"/>
      <c r="C203" s="12">
        <f ca="1">IFERROR(__xludf.DUMMYFUNCTION("""COMPUTED_VALUE"""),2010)</f>
        <v>2010</v>
      </c>
      <c r="D203" s="13">
        <f ca="1">IFERROR(__xludf.DUMMYFUNCTION("""COMPUTED_VALUE"""),2011)</f>
        <v>2011</v>
      </c>
      <c r="E203" s="13">
        <f ca="1">IFERROR(__xludf.DUMMYFUNCTION("""COMPUTED_VALUE"""),2012)</f>
        <v>2012</v>
      </c>
      <c r="F203" s="13">
        <f ca="1">IFERROR(__xludf.DUMMYFUNCTION("""COMPUTED_VALUE"""),2013)</f>
        <v>2013</v>
      </c>
      <c r="G203" s="13">
        <f ca="1">IFERROR(__xludf.DUMMYFUNCTION("""COMPUTED_VALUE"""),2014)</f>
        <v>2014</v>
      </c>
      <c r="H203" s="13">
        <f ca="1">IFERROR(__xludf.DUMMYFUNCTION("""COMPUTED_VALUE"""),2015)</f>
        <v>2015</v>
      </c>
      <c r="I203" s="13">
        <f ca="1">IFERROR(__xludf.DUMMYFUNCTION("""COMPUTED_VALUE"""),2016)</f>
        <v>2016</v>
      </c>
      <c r="J203" s="13">
        <f ca="1">IFERROR(__xludf.DUMMYFUNCTION("""COMPUTED_VALUE"""),2017)</f>
        <v>2017</v>
      </c>
      <c r="K203" s="13">
        <f ca="1">IFERROR(__xludf.DUMMYFUNCTION("""COMPUTED_VALUE"""),2018)</f>
        <v>2018</v>
      </c>
      <c r="L203" s="13">
        <f ca="1">IFERROR(__xludf.DUMMYFUNCTION("""COMPUTED_VALUE"""),2019)</f>
        <v>2019</v>
      </c>
      <c r="M203" s="13">
        <f ca="1">IFERROR(__xludf.DUMMYFUNCTION("""COMPUTED_VALUE"""),2020)</f>
        <v>2020</v>
      </c>
      <c r="N203" s="13">
        <f ca="1">IFERROR(__xludf.DUMMYFUNCTION("""COMPUTED_VALUE"""),2021)</f>
        <v>2021</v>
      </c>
      <c r="O203" s="13">
        <f ca="1">IFERROR(__xludf.DUMMYFUNCTION("""COMPUTED_VALUE"""),2022)</f>
        <v>2022</v>
      </c>
      <c r="P203" s="13">
        <f ca="1">IFERROR(__xludf.DUMMYFUNCTION("""COMPUTED_VALUE"""),2023)</f>
        <v>2023</v>
      </c>
      <c r="Q203" s="14">
        <f ca="1">IFERROR(__xludf.DUMMYFUNCTION("""COMPUTED_VALUE"""),2024)</f>
        <v>2024</v>
      </c>
      <c r="R203" s="15"/>
    </row>
    <row r="204" spans="1:18" ht="13.2" hidden="1" outlineLevel="1" x14ac:dyDescent="0.25">
      <c r="A204" s="1"/>
      <c r="B204" s="16" t="str">
        <f ca="1">IFERROR(__xludf.DUMMYFUNCTION("""COMPUTED_VALUE"""),"Carbón mineral")</f>
        <v>Carbón mineral</v>
      </c>
      <c r="C204" s="17">
        <f ca="1">IFERROR(__xludf.DUMMYFUNCTION("""COMPUTED_VALUE"""),-80.36)</f>
        <v>-80.36</v>
      </c>
      <c r="D204" s="18">
        <f ca="1">IFERROR(__xludf.DUMMYFUNCTION("""COMPUTED_VALUE"""),-79.26)</f>
        <v>-79.260000000000005</v>
      </c>
      <c r="E204" s="18">
        <f ca="1">IFERROR(__xludf.DUMMYFUNCTION("""COMPUTED_VALUE"""),-81.07)</f>
        <v>-81.069999999999993</v>
      </c>
      <c r="F204" s="18">
        <f ca="1">IFERROR(__xludf.DUMMYFUNCTION("""COMPUTED_VALUE"""),-83.78)</f>
        <v>-83.78</v>
      </c>
      <c r="G204" s="18">
        <f ca="1">IFERROR(__xludf.DUMMYFUNCTION("""COMPUTED_VALUE"""),-84.62)</f>
        <v>-84.62</v>
      </c>
      <c r="H204" s="18">
        <f ca="1">IFERROR(__xludf.DUMMYFUNCTION("""COMPUTED_VALUE"""),-63.23)</f>
        <v>-63.23</v>
      </c>
      <c r="I204" s="18">
        <f ca="1">IFERROR(__xludf.DUMMYFUNCTION("""COMPUTED_VALUE"""),-54.651)</f>
        <v>-54.651000000000003</v>
      </c>
      <c r="J204" s="18">
        <f ca="1">IFERROR(__xludf.DUMMYFUNCTION("""COMPUTED_VALUE"""),-50.83)</f>
        <v>-50.83</v>
      </c>
      <c r="K204" s="18">
        <f ca="1">IFERROR(__xludf.DUMMYFUNCTION("""COMPUTED_VALUE"""),-45.46)</f>
        <v>-45.46</v>
      </c>
      <c r="L204" s="18">
        <f ca="1">IFERROR(__xludf.DUMMYFUNCTION("""COMPUTED_VALUE"""),-37.04)</f>
        <v>-37.04</v>
      </c>
      <c r="M204" s="18">
        <f ca="1">IFERROR(__xludf.DUMMYFUNCTION("""COMPUTED_VALUE"""),-27.14)</f>
        <v>-27.14</v>
      </c>
      <c r="N204" s="18">
        <f ca="1">IFERROR(__xludf.DUMMYFUNCTION("""COMPUTED_VALUE"""),-19.26)</f>
        <v>-19.260000000000002</v>
      </c>
      <c r="O204" s="18">
        <f ca="1">IFERROR(__xludf.DUMMYFUNCTION("""COMPUTED_VALUE"""),-18.6)</f>
        <v>-18.600000000000001</v>
      </c>
      <c r="P204" s="18">
        <f ca="1">IFERROR(__xludf.DUMMYFUNCTION("""COMPUTED_VALUE"""),0)</f>
        <v>0</v>
      </c>
      <c r="Q204" s="19">
        <f ca="1">IFERROR(__xludf.DUMMYFUNCTION("""COMPUTED_VALUE"""),0)</f>
        <v>0</v>
      </c>
      <c r="R204" s="20"/>
    </row>
    <row r="205" spans="1:18" ht="13.2" hidden="1" outlineLevel="1" x14ac:dyDescent="0.25">
      <c r="A205" s="1"/>
      <c r="B205" s="21" t="str">
        <f ca="1">IFERROR(__xludf.DUMMYFUNCTION("""COMPUTED_VALUE"""),"Petróleo crudo")</f>
        <v>Petróleo crudo</v>
      </c>
      <c r="C205" s="22">
        <f ca="1">IFERROR(__xludf.DUMMYFUNCTION("""COMPUTED_VALUE"""),0)</f>
        <v>0</v>
      </c>
      <c r="D205" s="23">
        <f ca="1">IFERROR(__xludf.DUMMYFUNCTION("""COMPUTED_VALUE"""),0)</f>
        <v>0</v>
      </c>
      <c r="E205" s="23">
        <f ca="1">IFERROR(__xludf.DUMMYFUNCTION("""COMPUTED_VALUE"""),0)</f>
        <v>0</v>
      </c>
      <c r="F205" s="23">
        <f ca="1">IFERROR(__xludf.DUMMYFUNCTION("""COMPUTED_VALUE"""),0)</f>
        <v>0</v>
      </c>
      <c r="G205" s="23">
        <f ca="1">IFERROR(__xludf.DUMMYFUNCTION("""COMPUTED_VALUE"""),0)</f>
        <v>0</v>
      </c>
      <c r="H205" s="23">
        <f ca="1">IFERROR(__xludf.DUMMYFUNCTION("""COMPUTED_VALUE"""),0)</f>
        <v>0</v>
      </c>
      <c r="I205" s="23">
        <f ca="1">IFERROR(__xludf.DUMMYFUNCTION("""COMPUTED_VALUE"""),0)</f>
        <v>0</v>
      </c>
      <c r="J205" s="23">
        <f ca="1">IFERROR(__xludf.DUMMYFUNCTION("""COMPUTED_VALUE"""),0)</f>
        <v>0</v>
      </c>
      <c r="K205" s="23">
        <f ca="1">IFERROR(__xludf.DUMMYFUNCTION("""COMPUTED_VALUE"""),0)</f>
        <v>0</v>
      </c>
      <c r="L205" s="23">
        <f ca="1">IFERROR(__xludf.DUMMYFUNCTION("""COMPUTED_VALUE"""),0)</f>
        <v>0</v>
      </c>
      <c r="M205" s="23">
        <f ca="1">IFERROR(__xludf.DUMMYFUNCTION("""COMPUTED_VALUE"""),0)</f>
        <v>0</v>
      </c>
      <c r="N205" s="23">
        <f ca="1">IFERROR(__xludf.DUMMYFUNCTION("""COMPUTED_VALUE"""),0)</f>
        <v>0</v>
      </c>
      <c r="O205" s="23">
        <f ca="1">IFERROR(__xludf.DUMMYFUNCTION("""COMPUTED_VALUE"""),0)</f>
        <v>0</v>
      </c>
      <c r="P205" s="23">
        <f ca="1">IFERROR(__xludf.DUMMYFUNCTION("""COMPUTED_VALUE"""),0)</f>
        <v>0</v>
      </c>
      <c r="Q205" s="24">
        <f ca="1">IFERROR(__xludf.DUMMYFUNCTION("""COMPUTED_VALUE"""),0)</f>
        <v>0</v>
      </c>
      <c r="R205" s="20"/>
    </row>
    <row r="206" spans="1:18" ht="13.2" hidden="1" outlineLevel="1" x14ac:dyDescent="0.25">
      <c r="A206" s="1"/>
      <c r="B206" s="21" t="str">
        <f ca="1">IFERROR(__xludf.DUMMYFUNCTION("""COMPUTED_VALUE"""),"Condensados")</f>
        <v>Condensados</v>
      </c>
      <c r="C206" s="22">
        <f ca="1">IFERROR(__xludf.DUMMYFUNCTION("""COMPUTED_VALUE"""),0)</f>
        <v>0</v>
      </c>
      <c r="D206" s="23">
        <f ca="1">IFERROR(__xludf.DUMMYFUNCTION("""COMPUTED_VALUE"""),0)</f>
        <v>0</v>
      </c>
      <c r="E206" s="23">
        <f ca="1">IFERROR(__xludf.DUMMYFUNCTION("""COMPUTED_VALUE"""),0)</f>
        <v>0</v>
      </c>
      <c r="F206" s="23">
        <f ca="1">IFERROR(__xludf.DUMMYFUNCTION("""COMPUTED_VALUE"""),0)</f>
        <v>0</v>
      </c>
      <c r="G206" s="23">
        <f ca="1">IFERROR(__xludf.DUMMYFUNCTION("""COMPUTED_VALUE"""),0)</f>
        <v>0</v>
      </c>
      <c r="H206" s="23">
        <f ca="1">IFERROR(__xludf.DUMMYFUNCTION("""COMPUTED_VALUE"""),0)</f>
        <v>0</v>
      </c>
      <c r="I206" s="23">
        <f ca="1">IFERROR(__xludf.DUMMYFUNCTION("""COMPUTED_VALUE"""),0)</f>
        <v>0</v>
      </c>
      <c r="J206" s="23">
        <f ca="1">IFERROR(__xludf.DUMMYFUNCTION("""COMPUTED_VALUE"""),0)</f>
        <v>0</v>
      </c>
      <c r="K206" s="23">
        <f ca="1">IFERROR(__xludf.DUMMYFUNCTION("""COMPUTED_VALUE"""),0)</f>
        <v>0</v>
      </c>
      <c r="L206" s="23">
        <f ca="1">IFERROR(__xludf.DUMMYFUNCTION("""COMPUTED_VALUE"""),0)</f>
        <v>0</v>
      </c>
      <c r="M206" s="23">
        <f ca="1">IFERROR(__xludf.DUMMYFUNCTION("""COMPUTED_VALUE"""),0)</f>
        <v>0</v>
      </c>
      <c r="N206" s="23">
        <f ca="1">IFERROR(__xludf.DUMMYFUNCTION("""COMPUTED_VALUE"""),0)</f>
        <v>0</v>
      </c>
      <c r="O206" s="23">
        <f ca="1">IFERROR(__xludf.DUMMYFUNCTION("""COMPUTED_VALUE"""),0)</f>
        <v>0</v>
      </c>
      <c r="P206" s="23">
        <f ca="1">IFERROR(__xludf.DUMMYFUNCTION("""COMPUTED_VALUE"""),0)</f>
        <v>0</v>
      </c>
      <c r="Q206" s="24">
        <f ca="1">IFERROR(__xludf.DUMMYFUNCTION("""COMPUTED_VALUE"""),0)</f>
        <v>0</v>
      </c>
      <c r="R206" s="20"/>
    </row>
    <row r="207" spans="1:18" ht="13.2" hidden="1" outlineLevel="1" x14ac:dyDescent="0.25">
      <c r="A207" s="1"/>
      <c r="B207" s="21" t="str">
        <f ca="1">IFERROR(__xludf.DUMMYFUNCTION("""COMPUTED_VALUE"""),"Gas natural")</f>
        <v>Gas natural</v>
      </c>
      <c r="C207" s="22">
        <f ca="1">IFERROR(__xludf.DUMMYFUNCTION("""COMPUTED_VALUE"""),0)</f>
        <v>0</v>
      </c>
      <c r="D207" s="23">
        <f ca="1">IFERROR(__xludf.DUMMYFUNCTION("""COMPUTED_VALUE"""),0)</f>
        <v>0</v>
      </c>
      <c r="E207" s="23">
        <f ca="1">IFERROR(__xludf.DUMMYFUNCTION("""COMPUTED_VALUE"""),0)</f>
        <v>0</v>
      </c>
      <c r="F207" s="23">
        <f ca="1">IFERROR(__xludf.DUMMYFUNCTION("""COMPUTED_VALUE"""),0)</f>
        <v>0</v>
      </c>
      <c r="G207" s="23">
        <f ca="1">IFERROR(__xludf.DUMMYFUNCTION("""COMPUTED_VALUE"""),0)</f>
        <v>0</v>
      </c>
      <c r="H207" s="23">
        <f ca="1">IFERROR(__xludf.DUMMYFUNCTION("""COMPUTED_VALUE"""),0)</f>
        <v>0</v>
      </c>
      <c r="I207" s="23">
        <f ca="1">IFERROR(__xludf.DUMMYFUNCTION("""COMPUTED_VALUE"""),0)</f>
        <v>0</v>
      </c>
      <c r="J207" s="23">
        <f ca="1">IFERROR(__xludf.DUMMYFUNCTION("""COMPUTED_VALUE"""),0)</f>
        <v>0</v>
      </c>
      <c r="K207" s="23">
        <f ca="1">IFERROR(__xludf.DUMMYFUNCTION("""COMPUTED_VALUE"""),0)</f>
        <v>0</v>
      </c>
      <c r="L207" s="23">
        <f ca="1">IFERROR(__xludf.DUMMYFUNCTION("""COMPUTED_VALUE"""),0)</f>
        <v>0</v>
      </c>
      <c r="M207" s="23">
        <f ca="1">IFERROR(__xludf.DUMMYFUNCTION("""COMPUTED_VALUE"""),0)</f>
        <v>0</v>
      </c>
      <c r="N207" s="23">
        <f ca="1">IFERROR(__xludf.DUMMYFUNCTION("""COMPUTED_VALUE"""),0)</f>
        <v>0</v>
      </c>
      <c r="O207" s="23">
        <f ca="1">IFERROR(__xludf.DUMMYFUNCTION("""COMPUTED_VALUE"""),0)</f>
        <v>0</v>
      </c>
      <c r="P207" s="23">
        <f ca="1">IFERROR(__xludf.DUMMYFUNCTION("""COMPUTED_VALUE"""),0)</f>
        <v>0</v>
      </c>
      <c r="Q207" s="24">
        <f ca="1">IFERROR(__xludf.DUMMYFUNCTION("""COMPUTED_VALUE"""),0)</f>
        <v>0</v>
      </c>
      <c r="R207" s="20"/>
    </row>
    <row r="208" spans="1:18" ht="13.2" hidden="1" outlineLevel="1" x14ac:dyDescent="0.25">
      <c r="A208" s="1"/>
      <c r="B208" s="21" t="str">
        <f ca="1">IFERROR(__xludf.DUMMYFUNCTION("""COMPUTED_VALUE"""),"Energía Nuclear")</f>
        <v>Energía Nuclear</v>
      </c>
      <c r="C208" s="22">
        <f ca="1">IFERROR(__xludf.DUMMYFUNCTION("""COMPUTED_VALUE"""),0)</f>
        <v>0</v>
      </c>
      <c r="D208" s="23">
        <f ca="1">IFERROR(__xludf.DUMMYFUNCTION("""COMPUTED_VALUE"""),0)</f>
        <v>0</v>
      </c>
      <c r="E208" s="23">
        <f ca="1">IFERROR(__xludf.DUMMYFUNCTION("""COMPUTED_VALUE"""),0)</f>
        <v>0</v>
      </c>
      <c r="F208" s="23">
        <f ca="1">IFERROR(__xludf.DUMMYFUNCTION("""COMPUTED_VALUE"""),0)</f>
        <v>0</v>
      </c>
      <c r="G208" s="23">
        <f ca="1">IFERROR(__xludf.DUMMYFUNCTION("""COMPUTED_VALUE"""),0)</f>
        <v>0</v>
      </c>
      <c r="H208" s="23">
        <f ca="1">IFERROR(__xludf.DUMMYFUNCTION("""COMPUTED_VALUE"""),0)</f>
        <v>0</v>
      </c>
      <c r="I208" s="23">
        <f ca="1">IFERROR(__xludf.DUMMYFUNCTION("""COMPUTED_VALUE"""),0)</f>
        <v>0</v>
      </c>
      <c r="J208" s="23">
        <f ca="1">IFERROR(__xludf.DUMMYFUNCTION("""COMPUTED_VALUE"""),0)</f>
        <v>0</v>
      </c>
      <c r="K208" s="23">
        <f ca="1">IFERROR(__xludf.DUMMYFUNCTION("""COMPUTED_VALUE"""),0)</f>
        <v>0</v>
      </c>
      <c r="L208" s="23">
        <f ca="1">IFERROR(__xludf.DUMMYFUNCTION("""COMPUTED_VALUE"""),0)</f>
        <v>0</v>
      </c>
      <c r="M208" s="23">
        <f ca="1">IFERROR(__xludf.DUMMYFUNCTION("""COMPUTED_VALUE"""),0)</f>
        <v>0</v>
      </c>
      <c r="N208" s="23">
        <f ca="1">IFERROR(__xludf.DUMMYFUNCTION("""COMPUTED_VALUE"""),0)</f>
        <v>0</v>
      </c>
      <c r="O208" s="23">
        <f ca="1">IFERROR(__xludf.DUMMYFUNCTION("""COMPUTED_VALUE"""),0)</f>
        <v>0</v>
      </c>
      <c r="P208" s="23">
        <f ca="1">IFERROR(__xludf.DUMMYFUNCTION("""COMPUTED_VALUE"""),0)</f>
        <v>0</v>
      </c>
      <c r="Q208" s="24">
        <f ca="1">IFERROR(__xludf.DUMMYFUNCTION("""COMPUTED_VALUE"""),0)</f>
        <v>0</v>
      </c>
      <c r="R208" s="20"/>
    </row>
    <row r="209" spans="1:18" ht="13.2" hidden="1" outlineLevel="1" x14ac:dyDescent="0.25">
      <c r="A209" s="1"/>
      <c r="B209" s="21" t="str">
        <f ca="1">IFERROR(__xludf.DUMMYFUNCTION("""COMPUTED_VALUE"""),"Energia Hidraúlica")</f>
        <v>Energia Hidraúlica</v>
      </c>
      <c r="C209" s="22">
        <f ca="1">IFERROR(__xludf.DUMMYFUNCTION("""COMPUTED_VALUE"""),0)</f>
        <v>0</v>
      </c>
      <c r="D209" s="23">
        <f ca="1">IFERROR(__xludf.DUMMYFUNCTION("""COMPUTED_VALUE"""),0)</f>
        <v>0</v>
      </c>
      <c r="E209" s="23">
        <f ca="1">IFERROR(__xludf.DUMMYFUNCTION("""COMPUTED_VALUE"""),0)</f>
        <v>0</v>
      </c>
      <c r="F209" s="23">
        <f ca="1">IFERROR(__xludf.DUMMYFUNCTION("""COMPUTED_VALUE"""),0)</f>
        <v>0</v>
      </c>
      <c r="G209" s="23">
        <f ca="1">IFERROR(__xludf.DUMMYFUNCTION("""COMPUTED_VALUE"""),0)</f>
        <v>0</v>
      </c>
      <c r="H209" s="23">
        <f ca="1">IFERROR(__xludf.DUMMYFUNCTION("""COMPUTED_VALUE"""),0)</f>
        <v>0</v>
      </c>
      <c r="I209" s="23">
        <f ca="1">IFERROR(__xludf.DUMMYFUNCTION("""COMPUTED_VALUE"""),0)</f>
        <v>0</v>
      </c>
      <c r="J209" s="23">
        <f ca="1">IFERROR(__xludf.DUMMYFUNCTION("""COMPUTED_VALUE"""),0)</f>
        <v>0</v>
      </c>
      <c r="K209" s="23">
        <f ca="1">IFERROR(__xludf.DUMMYFUNCTION("""COMPUTED_VALUE"""),0)</f>
        <v>0</v>
      </c>
      <c r="L209" s="23">
        <f ca="1">IFERROR(__xludf.DUMMYFUNCTION("""COMPUTED_VALUE"""),0)</f>
        <v>0</v>
      </c>
      <c r="M209" s="23">
        <f ca="1">IFERROR(__xludf.DUMMYFUNCTION("""COMPUTED_VALUE"""),0)</f>
        <v>0</v>
      </c>
      <c r="N209" s="23">
        <f ca="1">IFERROR(__xludf.DUMMYFUNCTION("""COMPUTED_VALUE"""),0)</f>
        <v>0</v>
      </c>
      <c r="O209" s="23">
        <f ca="1">IFERROR(__xludf.DUMMYFUNCTION("""COMPUTED_VALUE"""),0)</f>
        <v>0</v>
      </c>
      <c r="P209" s="23">
        <f ca="1">IFERROR(__xludf.DUMMYFUNCTION("""COMPUTED_VALUE"""),0)</f>
        <v>0</v>
      </c>
      <c r="Q209" s="24">
        <f ca="1">IFERROR(__xludf.DUMMYFUNCTION("""COMPUTED_VALUE"""),0)</f>
        <v>0</v>
      </c>
      <c r="R209" s="20"/>
    </row>
    <row r="210" spans="1:18" ht="13.2" hidden="1" outlineLevel="1" x14ac:dyDescent="0.25">
      <c r="A210" s="1"/>
      <c r="B210" s="21" t="str">
        <f ca="1">IFERROR(__xludf.DUMMYFUNCTION("""COMPUTED_VALUE"""),"Geoenergía")</f>
        <v>Geoenergía</v>
      </c>
      <c r="C210" s="22">
        <f ca="1">IFERROR(__xludf.DUMMYFUNCTION("""COMPUTED_VALUE"""),0)</f>
        <v>0</v>
      </c>
      <c r="D210" s="23">
        <f ca="1">IFERROR(__xludf.DUMMYFUNCTION("""COMPUTED_VALUE"""),0)</f>
        <v>0</v>
      </c>
      <c r="E210" s="23">
        <f ca="1">IFERROR(__xludf.DUMMYFUNCTION("""COMPUTED_VALUE"""),0)</f>
        <v>0</v>
      </c>
      <c r="F210" s="23">
        <f ca="1">IFERROR(__xludf.DUMMYFUNCTION("""COMPUTED_VALUE"""),0)</f>
        <v>0</v>
      </c>
      <c r="G210" s="23">
        <f ca="1">IFERROR(__xludf.DUMMYFUNCTION("""COMPUTED_VALUE"""),0)</f>
        <v>0</v>
      </c>
      <c r="H210" s="23">
        <f ca="1">IFERROR(__xludf.DUMMYFUNCTION("""COMPUTED_VALUE"""),0)</f>
        <v>0</v>
      </c>
      <c r="I210" s="23">
        <f ca="1">IFERROR(__xludf.DUMMYFUNCTION("""COMPUTED_VALUE"""),0)</f>
        <v>0</v>
      </c>
      <c r="J210" s="23">
        <f ca="1">IFERROR(__xludf.DUMMYFUNCTION("""COMPUTED_VALUE"""),0)</f>
        <v>0</v>
      </c>
      <c r="K210" s="23">
        <f ca="1">IFERROR(__xludf.DUMMYFUNCTION("""COMPUTED_VALUE"""),0)</f>
        <v>0</v>
      </c>
      <c r="L210" s="23">
        <f ca="1">IFERROR(__xludf.DUMMYFUNCTION("""COMPUTED_VALUE"""),0)</f>
        <v>0</v>
      </c>
      <c r="M210" s="23">
        <f ca="1">IFERROR(__xludf.DUMMYFUNCTION("""COMPUTED_VALUE"""),0)</f>
        <v>0</v>
      </c>
      <c r="N210" s="23">
        <f ca="1">IFERROR(__xludf.DUMMYFUNCTION("""COMPUTED_VALUE"""),0)</f>
        <v>0</v>
      </c>
      <c r="O210" s="23">
        <f ca="1">IFERROR(__xludf.DUMMYFUNCTION("""COMPUTED_VALUE"""),0)</f>
        <v>0</v>
      </c>
      <c r="P210" s="23">
        <f ca="1">IFERROR(__xludf.DUMMYFUNCTION("""COMPUTED_VALUE"""),0)</f>
        <v>0</v>
      </c>
      <c r="Q210" s="24">
        <f ca="1">IFERROR(__xludf.DUMMYFUNCTION("""COMPUTED_VALUE"""),0)</f>
        <v>0</v>
      </c>
      <c r="R210" s="20"/>
    </row>
    <row r="211" spans="1:18" ht="13.2" hidden="1" outlineLevel="1" x14ac:dyDescent="0.25">
      <c r="A211" s="1"/>
      <c r="B211" s="21" t="str">
        <f ca="1">IFERROR(__xludf.DUMMYFUNCTION("""COMPUTED_VALUE"""),"Energía solar")</f>
        <v>Energía solar</v>
      </c>
      <c r="C211" s="22">
        <f ca="1">IFERROR(__xludf.DUMMYFUNCTION("""COMPUTED_VALUE"""),0)</f>
        <v>0</v>
      </c>
      <c r="D211" s="23">
        <f ca="1">IFERROR(__xludf.DUMMYFUNCTION("""COMPUTED_VALUE"""),0)</f>
        <v>0</v>
      </c>
      <c r="E211" s="23">
        <f ca="1">IFERROR(__xludf.DUMMYFUNCTION("""COMPUTED_VALUE"""),0)</f>
        <v>0</v>
      </c>
      <c r="F211" s="23">
        <f ca="1">IFERROR(__xludf.DUMMYFUNCTION("""COMPUTED_VALUE"""),0)</f>
        <v>0</v>
      </c>
      <c r="G211" s="23">
        <f ca="1">IFERROR(__xludf.DUMMYFUNCTION("""COMPUTED_VALUE"""),0)</f>
        <v>0</v>
      </c>
      <c r="H211" s="23">
        <f ca="1">IFERROR(__xludf.DUMMYFUNCTION("""COMPUTED_VALUE"""),0)</f>
        <v>0</v>
      </c>
      <c r="I211" s="23">
        <f ca="1">IFERROR(__xludf.DUMMYFUNCTION("""COMPUTED_VALUE"""),0)</f>
        <v>0</v>
      </c>
      <c r="J211" s="23">
        <f ca="1">IFERROR(__xludf.DUMMYFUNCTION("""COMPUTED_VALUE"""),0)</f>
        <v>0</v>
      </c>
      <c r="K211" s="23">
        <f ca="1">IFERROR(__xludf.DUMMYFUNCTION("""COMPUTED_VALUE"""),0)</f>
        <v>0</v>
      </c>
      <c r="L211" s="23">
        <f ca="1">IFERROR(__xludf.DUMMYFUNCTION("""COMPUTED_VALUE"""),0)</f>
        <v>0</v>
      </c>
      <c r="M211" s="23">
        <f ca="1">IFERROR(__xludf.DUMMYFUNCTION("""COMPUTED_VALUE"""),0)</f>
        <v>0</v>
      </c>
      <c r="N211" s="23">
        <f ca="1">IFERROR(__xludf.DUMMYFUNCTION("""COMPUTED_VALUE"""),0)</f>
        <v>0</v>
      </c>
      <c r="O211" s="23">
        <f ca="1">IFERROR(__xludf.DUMMYFUNCTION("""COMPUTED_VALUE"""),0)</f>
        <v>0</v>
      </c>
      <c r="P211" s="23">
        <f ca="1">IFERROR(__xludf.DUMMYFUNCTION("""COMPUTED_VALUE"""),0)</f>
        <v>0</v>
      </c>
      <c r="Q211" s="24">
        <f ca="1">IFERROR(__xludf.DUMMYFUNCTION("""COMPUTED_VALUE"""),0)</f>
        <v>0</v>
      </c>
      <c r="R211" s="20"/>
    </row>
    <row r="212" spans="1:18" ht="13.2" hidden="1" outlineLevel="1" x14ac:dyDescent="0.25">
      <c r="A212" s="1"/>
      <c r="B212" s="21" t="str">
        <f ca="1">IFERROR(__xludf.DUMMYFUNCTION("""COMPUTED_VALUE"""),"Energía eólica")</f>
        <v>Energía eólica</v>
      </c>
      <c r="C212" s="22">
        <f ca="1">IFERROR(__xludf.DUMMYFUNCTION("""COMPUTED_VALUE"""),0)</f>
        <v>0</v>
      </c>
      <c r="D212" s="23">
        <f ca="1">IFERROR(__xludf.DUMMYFUNCTION("""COMPUTED_VALUE"""),0)</f>
        <v>0</v>
      </c>
      <c r="E212" s="23">
        <f ca="1">IFERROR(__xludf.DUMMYFUNCTION("""COMPUTED_VALUE"""),0)</f>
        <v>0</v>
      </c>
      <c r="F212" s="23">
        <f ca="1">IFERROR(__xludf.DUMMYFUNCTION("""COMPUTED_VALUE"""),0)</f>
        <v>0</v>
      </c>
      <c r="G212" s="23">
        <f ca="1">IFERROR(__xludf.DUMMYFUNCTION("""COMPUTED_VALUE"""),0)</f>
        <v>0</v>
      </c>
      <c r="H212" s="23">
        <f ca="1">IFERROR(__xludf.DUMMYFUNCTION("""COMPUTED_VALUE"""),0)</f>
        <v>0</v>
      </c>
      <c r="I212" s="23">
        <f ca="1">IFERROR(__xludf.DUMMYFUNCTION("""COMPUTED_VALUE"""),0)</f>
        <v>0</v>
      </c>
      <c r="J212" s="23">
        <f ca="1">IFERROR(__xludf.DUMMYFUNCTION("""COMPUTED_VALUE"""),0)</f>
        <v>0</v>
      </c>
      <c r="K212" s="23">
        <f ca="1">IFERROR(__xludf.DUMMYFUNCTION("""COMPUTED_VALUE"""),0)</f>
        <v>0</v>
      </c>
      <c r="L212" s="23">
        <f ca="1">IFERROR(__xludf.DUMMYFUNCTION("""COMPUTED_VALUE"""),0)</f>
        <v>0</v>
      </c>
      <c r="M212" s="23">
        <f ca="1">IFERROR(__xludf.DUMMYFUNCTION("""COMPUTED_VALUE"""),0)</f>
        <v>0</v>
      </c>
      <c r="N212" s="23">
        <f ca="1">IFERROR(__xludf.DUMMYFUNCTION("""COMPUTED_VALUE"""),0)</f>
        <v>0</v>
      </c>
      <c r="O212" s="23">
        <f ca="1">IFERROR(__xludf.DUMMYFUNCTION("""COMPUTED_VALUE"""),0)</f>
        <v>0</v>
      </c>
      <c r="P212" s="23">
        <f ca="1">IFERROR(__xludf.DUMMYFUNCTION("""COMPUTED_VALUE"""),0)</f>
        <v>0</v>
      </c>
      <c r="Q212" s="24">
        <f ca="1">IFERROR(__xludf.DUMMYFUNCTION("""COMPUTED_VALUE"""),0)</f>
        <v>0</v>
      </c>
      <c r="R212" s="20"/>
    </row>
    <row r="213" spans="1:18" ht="13.2" hidden="1" outlineLevel="1" x14ac:dyDescent="0.25">
      <c r="A213" s="1"/>
      <c r="B213" s="21" t="str">
        <f ca="1">IFERROR(__xludf.DUMMYFUNCTION("""COMPUTED_VALUE"""),"Bagazo de caña")</f>
        <v>Bagazo de caña</v>
      </c>
      <c r="C213" s="22">
        <f ca="1">IFERROR(__xludf.DUMMYFUNCTION("""COMPUTED_VALUE"""),0)</f>
        <v>0</v>
      </c>
      <c r="D213" s="23">
        <f ca="1">IFERROR(__xludf.DUMMYFUNCTION("""COMPUTED_VALUE"""),0)</f>
        <v>0</v>
      </c>
      <c r="E213" s="23">
        <f ca="1">IFERROR(__xludf.DUMMYFUNCTION("""COMPUTED_VALUE"""),0)</f>
        <v>0</v>
      </c>
      <c r="F213" s="23">
        <f ca="1">IFERROR(__xludf.DUMMYFUNCTION("""COMPUTED_VALUE"""),0)</f>
        <v>0</v>
      </c>
      <c r="G213" s="23">
        <f ca="1">IFERROR(__xludf.DUMMYFUNCTION("""COMPUTED_VALUE"""),0)</f>
        <v>0</v>
      </c>
      <c r="H213" s="23">
        <f ca="1">IFERROR(__xludf.DUMMYFUNCTION("""COMPUTED_VALUE"""),0)</f>
        <v>0</v>
      </c>
      <c r="I213" s="23">
        <f ca="1">IFERROR(__xludf.DUMMYFUNCTION("""COMPUTED_VALUE"""),0)</f>
        <v>0</v>
      </c>
      <c r="J213" s="23">
        <f ca="1">IFERROR(__xludf.DUMMYFUNCTION("""COMPUTED_VALUE"""),0)</f>
        <v>0</v>
      </c>
      <c r="K213" s="23">
        <f ca="1">IFERROR(__xludf.DUMMYFUNCTION("""COMPUTED_VALUE"""),0)</f>
        <v>0</v>
      </c>
      <c r="L213" s="23">
        <f ca="1">IFERROR(__xludf.DUMMYFUNCTION("""COMPUTED_VALUE"""),0)</f>
        <v>0</v>
      </c>
      <c r="M213" s="23">
        <f ca="1">IFERROR(__xludf.DUMMYFUNCTION("""COMPUTED_VALUE"""),0)</f>
        <v>0</v>
      </c>
      <c r="N213" s="23">
        <f ca="1">IFERROR(__xludf.DUMMYFUNCTION("""COMPUTED_VALUE"""),0)</f>
        <v>0</v>
      </c>
      <c r="O213" s="23">
        <f ca="1">IFERROR(__xludf.DUMMYFUNCTION("""COMPUTED_VALUE"""),0)</f>
        <v>0</v>
      </c>
      <c r="P213" s="23">
        <f ca="1">IFERROR(__xludf.DUMMYFUNCTION("""COMPUTED_VALUE"""),0)</f>
        <v>0</v>
      </c>
      <c r="Q213" s="24">
        <f ca="1">IFERROR(__xludf.DUMMYFUNCTION("""COMPUTED_VALUE"""),0)</f>
        <v>0</v>
      </c>
      <c r="R213" s="20"/>
    </row>
    <row r="214" spans="1:18" ht="13.2" hidden="1" outlineLevel="1" x14ac:dyDescent="0.25">
      <c r="A214" s="1"/>
      <c r="B214" s="21" t="str">
        <f ca="1">IFERROR(__xludf.DUMMYFUNCTION("""COMPUTED_VALUE"""),"Leña")</f>
        <v>Leña</v>
      </c>
      <c r="C214" s="22">
        <f ca="1">IFERROR(__xludf.DUMMYFUNCTION("""COMPUTED_VALUE"""),0)</f>
        <v>0</v>
      </c>
      <c r="D214" s="23">
        <f ca="1">IFERROR(__xludf.DUMMYFUNCTION("""COMPUTED_VALUE"""),0)</f>
        <v>0</v>
      </c>
      <c r="E214" s="23">
        <f ca="1">IFERROR(__xludf.DUMMYFUNCTION("""COMPUTED_VALUE"""),0)</f>
        <v>0</v>
      </c>
      <c r="F214" s="23">
        <f ca="1">IFERROR(__xludf.DUMMYFUNCTION("""COMPUTED_VALUE"""),0)</f>
        <v>0</v>
      </c>
      <c r="G214" s="23">
        <f ca="1">IFERROR(__xludf.DUMMYFUNCTION("""COMPUTED_VALUE"""),0)</f>
        <v>0</v>
      </c>
      <c r="H214" s="23">
        <f ca="1">IFERROR(__xludf.DUMMYFUNCTION("""COMPUTED_VALUE"""),0)</f>
        <v>0</v>
      </c>
      <c r="I214" s="23">
        <f ca="1">IFERROR(__xludf.DUMMYFUNCTION("""COMPUTED_VALUE"""),0)</f>
        <v>0</v>
      </c>
      <c r="J214" s="23">
        <f ca="1">IFERROR(__xludf.DUMMYFUNCTION("""COMPUTED_VALUE"""),0)</f>
        <v>0</v>
      </c>
      <c r="K214" s="23">
        <f ca="1">IFERROR(__xludf.DUMMYFUNCTION("""COMPUTED_VALUE"""),0)</f>
        <v>0</v>
      </c>
      <c r="L214" s="23">
        <f ca="1">IFERROR(__xludf.DUMMYFUNCTION("""COMPUTED_VALUE"""),0)</f>
        <v>0</v>
      </c>
      <c r="M214" s="23">
        <f ca="1">IFERROR(__xludf.DUMMYFUNCTION("""COMPUTED_VALUE"""),0)</f>
        <v>0</v>
      </c>
      <c r="N214" s="23">
        <f ca="1">IFERROR(__xludf.DUMMYFUNCTION("""COMPUTED_VALUE"""),0)</f>
        <v>0</v>
      </c>
      <c r="O214" s="23">
        <f ca="1">IFERROR(__xludf.DUMMYFUNCTION("""COMPUTED_VALUE"""),0)</f>
        <v>0</v>
      </c>
      <c r="P214" s="23">
        <f ca="1">IFERROR(__xludf.DUMMYFUNCTION("""COMPUTED_VALUE"""),0)</f>
        <v>0</v>
      </c>
      <c r="Q214" s="24">
        <f ca="1">IFERROR(__xludf.DUMMYFUNCTION("""COMPUTED_VALUE"""),0)</f>
        <v>0</v>
      </c>
      <c r="R214" s="20"/>
    </row>
    <row r="215" spans="1:18" ht="13.2" hidden="1" outlineLevel="1" x14ac:dyDescent="0.25">
      <c r="A215" s="1"/>
      <c r="B215" s="21" t="str">
        <f ca="1">IFERROR(__xludf.DUMMYFUNCTION("""COMPUTED_VALUE"""),"Biogás")</f>
        <v>Biogás</v>
      </c>
      <c r="C215" s="22">
        <f ca="1">IFERROR(__xludf.DUMMYFUNCTION("""COMPUTED_VALUE"""),0)</f>
        <v>0</v>
      </c>
      <c r="D215" s="23">
        <f ca="1">IFERROR(__xludf.DUMMYFUNCTION("""COMPUTED_VALUE"""),0)</f>
        <v>0</v>
      </c>
      <c r="E215" s="23">
        <f ca="1">IFERROR(__xludf.DUMMYFUNCTION("""COMPUTED_VALUE"""),0)</f>
        <v>0</v>
      </c>
      <c r="F215" s="23">
        <f ca="1">IFERROR(__xludf.DUMMYFUNCTION("""COMPUTED_VALUE"""),0)</f>
        <v>0</v>
      </c>
      <c r="G215" s="23">
        <f ca="1">IFERROR(__xludf.DUMMYFUNCTION("""COMPUTED_VALUE"""),0)</f>
        <v>0</v>
      </c>
      <c r="H215" s="23">
        <f ca="1">IFERROR(__xludf.DUMMYFUNCTION("""COMPUTED_VALUE"""),0)</f>
        <v>0</v>
      </c>
      <c r="I215" s="23">
        <f ca="1">IFERROR(__xludf.DUMMYFUNCTION("""COMPUTED_VALUE"""),0)</f>
        <v>0</v>
      </c>
      <c r="J215" s="23">
        <f ca="1">IFERROR(__xludf.DUMMYFUNCTION("""COMPUTED_VALUE"""),0)</f>
        <v>0</v>
      </c>
      <c r="K215" s="23">
        <f ca="1">IFERROR(__xludf.DUMMYFUNCTION("""COMPUTED_VALUE"""),0)</f>
        <v>0</v>
      </c>
      <c r="L215" s="23">
        <f ca="1">IFERROR(__xludf.DUMMYFUNCTION("""COMPUTED_VALUE"""),0)</f>
        <v>0</v>
      </c>
      <c r="M215" s="23">
        <f ca="1">IFERROR(__xludf.DUMMYFUNCTION("""COMPUTED_VALUE"""),0)</f>
        <v>0</v>
      </c>
      <c r="N215" s="23">
        <f ca="1">IFERROR(__xludf.DUMMYFUNCTION("""COMPUTED_VALUE"""),0)</f>
        <v>0</v>
      </c>
      <c r="O215" s="23">
        <f ca="1">IFERROR(__xludf.DUMMYFUNCTION("""COMPUTED_VALUE"""),0)</f>
        <v>0</v>
      </c>
      <c r="P215" s="23">
        <f ca="1">IFERROR(__xludf.DUMMYFUNCTION("""COMPUTED_VALUE"""),0)</f>
        <v>0</v>
      </c>
      <c r="Q215" s="24">
        <f ca="1">IFERROR(__xludf.DUMMYFUNCTION("""COMPUTED_VALUE"""),0)</f>
        <v>0</v>
      </c>
      <c r="R215" s="20"/>
    </row>
    <row r="216" spans="1:18" ht="13.2" hidden="1" outlineLevel="1" x14ac:dyDescent="0.25">
      <c r="A216" s="1"/>
      <c r="B216" s="21" t="str">
        <f ca="1">IFERROR(__xludf.DUMMYFUNCTION("""COMPUTED_VALUE"""),"Coque de carbón")</f>
        <v>Coque de carbón</v>
      </c>
      <c r="C216" s="22">
        <f ca="1">IFERROR(__xludf.DUMMYFUNCTION("""COMPUTED_VALUE"""),55.83)</f>
        <v>55.83</v>
      </c>
      <c r="D216" s="23">
        <f ca="1">IFERROR(__xludf.DUMMYFUNCTION("""COMPUTED_VALUE"""),56.27)</f>
        <v>56.27</v>
      </c>
      <c r="E216" s="23">
        <f ca="1">IFERROR(__xludf.DUMMYFUNCTION("""COMPUTED_VALUE"""),57.45)</f>
        <v>57.45</v>
      </c>
      <c r="F216" s="23">
        <f ca="1">IFERROR(__xludf.DUMMYFUNCTION("""COMPUTED_VALUE"""),58.78)</f>
        <v>58.78</v>
      </c>
      <c r="G216" s="23">
        <f ca="1">IFERROR(__xludf.DUMMYFUNCTION("""COMPUTED_VALUE"""),59.14)</f>
        <v>59.14</v>
      </c>
      <c r="H216" s="23">
        <f ca="1">IFERROR(__xludf.DUMMYFUNCTION("""COMPUTED_VALUE"""),47.17)</f>
        <v>47.17</v>
      </c>
      <c r="I216" s="23">
        <f ca="1">IFERROR(__xludf.DUMMYFUNCTION("""COMPUTED_VALUE"""),36.28)</f>
        <v>36.28</v>
      </c>
      <c r="J216" s="23">
        <f ca="1">IFERROR(__xludf.DUMMYFUNCTION("""COMPUTED_VALUE"""),34.35)</f>
        <v>34.35</v>
      </c>
      <c r="K216" s="23">
        <f ca="1">IFERROR(__xludf.DUMMYFUNCTION("""COMPUTED_VALUE"""),31.31)</f>
        <v>31.31</v>
      </c>
      <c r="L216" s="23">
        <f ca="1">IFERROR(__xludf.DUMMYFUNCTION("""COMPUTED_VALUE"""),26.28)</f>
        <v>26.28</v>
      </c>
      <c r="M216" s="23">
        <f ca="1">IFERROR(__xludf.DUMMYFUNCTION("""COMPUTED_VALUE"""),18.47)</f>
        <v>18.47</v>
      </c>
      <c r="N216" s="23">
        <f ca="1">IFERROR(__xludf.DUMMYFUNCTION("""COMPUTED_VALUE"""),12.84)</f>
        <v>12.84</v>
      </c>
      <c r="O216" s="23">
        <f ca="1">IFERROR(__xludf.DUMMYFUNCTION("""COMPUTED_VALUE"""),12.72)</f>
        <v>12.72</v>
      </c>
      <c r="P216" s="23">
        <f ca="1">IFERROR(__xludf.DUMMYFUNCTION("""COMPUTED_VALUE"""),0)</f>
        <v>0</v>
      </c>
      <c r="Q216" s="24">
        <f ca="1">IFERROR(__xludf.DUMMYFUNCTION("""COMPUTED_VALUE"""),0)</f>
        <v>0</v>
      </c>
      <c r="R216" s="20"/>
    </row>
    <row r="217" spans="1:18" ht="13.2" hidden="1" outlineLevel="1" x14ac:dyDescent="0.25">
      <c r="A217" s="1"/>
      <c r="B217" s="21" t="str">
        <f ca="1">IFERROR(__xludf.DUMMYFUNCTION("""COMPUTED_VALUE"""),"Coque de petróleo")</f>
        <v>Coque de petróleo</v>
      </c>
      <c r="C217" s="22">
        <f ca="1">IFERROR(__xludf.DUMMYFUNCTION("""COMPUTED_VALUE"""),0)</f>
        <v>0</v>
      </c>
      <c r="D217" s="23">
        <f ca="1">IFERROR(__xludf.DUMMYFUNCTION("""COMPUTED_VALUE"""),0)</f>
        <v>0</v>
      </c>
      <c r="E217" s="23">
        <f ca="1">IFERROR(__xludf.DUMMYFUNCTION("""COMPUTED_VALUE"""),0)</f>
        <v>0</v>
      </c>
      <c r="F217" s="23">
        <f ca="1">IFERROR(__xludf.DUMMYFUNCTION("""COMPUTED_VALUE"""),0)</f>
        <v>0</v>
      </c>
      <c r="G217" s="23">
        <f ca="1">IFERROR(__xludf.DUMMYFUNCTION("""COMPUTED_VALUE"""),0)</f>
        <v>0</v>
      </c>
      <c r="H217" s="23">
        <f ca="1">IFERROR(__xludf.DUMMYFUNCTION("""COMPUTED_VALUE"""),0)</f>
        <v>0</v>
      </c>
      <c r="I217" s="23">
        <f ca="1">IFERROR(__xludf.DUMMYFUNCTION("""COMPUTED_VALUE"""),0)</f>
        <v>0</v>
      </c>
      <c r="J217" s="23">
        <f ca="1">IFERROR(__xludf.DUMMYFUNCTION("""COMPUTED_VALUE"""),0)</f>
        <v>0</v>
      </c>
      <c r="K217" s="23">
        <f ca="1">IFERROR(__xludf.DUMMYFUNCTION("""COMPUTED_VALUE"""),0)</f>
        <v>0</v>
      </c>
      <c r="L217" s="23">
        <f ca="1">IFERROR(__xludf.DUMMYFUNCTION("""COMPUTED_VALUE"""),0)</f>
        <v>0</v>
      </c>
      <c r="M217" s="23">
        <f ca="1">IFERROR(__xludf.DUMMYFUNCTION("""COMPUTED_VALUE"""),0)</f>
        <v>0</v>
      </c>
      <c r="N217" s="23">
        <f ca="1">IFERROR(__xludf.DUMMYFUNCTION("""COMPUTED_VALUE"""),0)</f>
        <v>0</v>
      </c>
      <c r="O217" s="23">
        <f ca="1">IFERROR(__xludf.DUMMYFUNCTION("""COMPUTED_VALUE"""),0)</f>
        <v>0</v>
      </c>
      <c r="P217" s="23">
        <f ca="1">IFERROR(__xludf.DUMMYFUNCTION("""COMPUTED_VALUE"""),0)</f>
        <v>0</v>
      </c>
      <c r="Q217" s="24">
        <f ca="1">IFERROR(__xludf.DUMMYFUNCTION("""COMPUTED_VALUE"""),0)</f>
        <v>0</v>
      </c>
      <c r="R217" s="20"/>
    </row>
    <row r="218" spans="1:18" ht="13.2" hidden="1" outlineLevel="1" x14ac:dyDescent="0.25">
      <c r="A218" s="1"/>
      <c r="B218" s="21" t="str">
        <f ca="1">IFERROR(__xludf.DUMMYFUNCTION("""COMPUTED_VALUE"""),"Gas licuado de petróleo")</f>
        <v>Gas licuado de petróleo</v>
      </c>
      <c r="C218" s="22">
        <f ca="1">IFERROR(__xludf.DUMMYFUNCTION("""COMPUTED_VALUE"""),0)</f>
        <v>0</v>
      </c>
      <c r="D218" s="23">
        <f ca="1">IFERROR(__xludf.DUMMYFUNCTION("""COMPUTED_VALUE"""),0)</f>
        <v>0</v>
      </c>
      <c r="E218" s="23">
        <f ca="1">IFERROR(__xludf.DUMMYFUNCTION("""COMPUTED_VALUE"""),0)</f>
        <v>0</v>
      </c>
      <c r="F218" s="23">
        <f ca="1">IFERROR(__xludf.DUMMYFUNCTION("""COMPUTED_VALUE"""),0)</f>
        <v>0</v>
      </c>
      <c r="G218" s="23">
        <f ca="1">IFERROR(__xludf.DUMMYFUNCTION("""COMPUTED_VALUE"""),0)</f>
        <v>0</v>
      </c>
      <c r="H218" s="23">
        <f ca="1">IFERROR(__xludf.DUMMYFUNCTION("""COMPUTED_VALUE"""),0)</f>
        <v>0</v>
      </c>
      <c r="I218" s="23">
        <f ca="1">IFERROR(__xludf.DUMMYFUNCTION("""COMPUTED_VALUE"""),0)</f>
        <v>0</v>
      </c>
      <c r="J218" s="23">
        <f ca="1">IFERROR(__xludf.DUMMYFUNCTION("""COMPUTED_VALUE"""),0)</f>
        <v>0</v>
      </c>
      <c r="K218" s="23">
        <f ca="1">IFERROR(__xludf.DUMMYFUNCTION("""COMPUTED_VALUE"""),0)</f>
        <v>0</v>
      </c>
      <c r="L218" s="23">
        <f ca="1">IFERROR(__xludf.DUMMYFUNCTION("""COMPUTED_VALUE"""),0)</f>
        <v>0</v>
      </c>
      <c r="M218" s="23">
        <f ca="1">IFERROR(__xludf.DUMMYFUNCTION("""COMPUTED_VALUE"""),0)</f>
        <v>0</v>
      </c>
      <c r="N218" s="23">
        <f ca="1">IFERROR(__xludf.DUMMYFUNCTION("""COMPUTED_VALUE"""),0)</f>
        <v>0</v>
      </c>
      <c r="O218" s="23">
        <f ca="1">IFERROR(__xludf.DUMMYFUNCTION("""COMPUTED_VALUE"""),0)</f>
        <v>0</v>
      </c>
      <c r="P218" s="23">
        <f ca="1">IFERROR(__xludf.DUMMYFUNCTION("""COMPUTED_VALUE"""),0)</f>
        <v>0</v>
      </c>
      <c r="Q218" s="24">
        <f ca="1">IFERROR(__xludf.DUMMYFUNCTION("""COMPUTED_VALUE"""),0)</f>
        <v>0</v>
      </c>
      <c r="R218" s="20"/>
    </row>
    <row r="219" spans="1:18" ht="13.2" hidden="1" outlineLevel="1" x14ac:dyDescent="0.25">
      <c r="A219" s="1"/>
      <c r="B219" s="21" t="str">
        <f ca="1">IFERROR(__xludf.DUMMYFUNCTION("""COMPUTED_VALUE"""),"Gasolinas y naftas")</f>
        <v>Gasolinas y naftas</v>
      </c>
      <c r="C219" s="22">
        <f ca="1">IFERROR(__xludf.DUMMYFUNCTION("""COMPUTED_VALUE"""),0)</f>
        <v>0</v>
      </c>
      <c r="D219" s="23">
        <f ca="1">IFERROR(__xludf.DUMMYFUNCTION("""COMPUTED_VALUE"""),0)</f>
        <v>0</v>
      </c>
      <c r="E219" s="23">
        <f ca="1">IFERROR(__xludf.DUMMYFUNCTION("""COMPUTED_VALUE"""),0)</f>
        <v>0</v>
      </c>
      <c r="F219" s="23">
        <f ca="1">IFERROR(__xludf.DUMMYFUNCTION("""COMPUTED_VALUE"""),0)</f>
        <v>0</v>
      </c>
      <c r="G219" s="23">
        <f ca="1">IFERROR(__xludf.DUMMYFUNCTION("""COMPUTED_VALUE"""),0)</f>
        <v>0</v>
      </c>
      <c r="H219" s="23">
        <f ca="1">IFERROR(__xludf.DUMMYFUNCTION("""COMPUTED_VALUE"""),0)</f>
        <v>0</v>
      </c>
      <c r="I219" s="23">
        <f ca="1">IFERROR(__xludf.DUMMYFUNCTION("""COMPUTED_VALUE"""),0)</f>
        <v>0</v>
      </c>
      <c r="J219" s="23">
        <f ca="1">IFERROR(__xludf.DUMMYFUNCTION("""COMPUTED_VALUE"""),0)</f>
        <v>0</v>
      </c>
      <c r="K219" s="23">
        <f ca="1">IFERROR(__xludf.DUMMYFUNCTION("""COMPUTED_VALUE"""),0)</f>
        <v>0</v>
      </c>
      <c r="L219" s="23">
        <f ca="1">IFERROR(__xludf.DUMMYFUNCTION("""COMPUTED_VALUE"""),0)</f>
        <v>0</v>
      </c>
      <c r="M219" s="23">
        <f ca="1">IFERROR(__xludf.DUMMYFUNCTION("""COMPUTED_VALUE"""),0)</f>
        <v>0</v>
      </c>
      <c r="N219" s="23">
        <f ca="1">IFERROR(__xludf.DUMMYFUNCTION("""COMPUTED_VALUE"""),0)</f>
        <v>0</v>
      </c>
      <c r="O219" s="23">
        <f ca="1">IFERROR(__xludf.DUMMYFUNCTION("""COMPUTED_VALUE"""),0)</f>
        <v>0</v>
      </c>
      <c r="P219" s="23">
        <f ca="1">IFERROR(__xludf.DUMMYFUNCTION("""COMPUTED_VALUE"""),0)</f>
        <v>0</v>
      </c>
      <c r="Q219" s="24">
        <f ca="1">IFERROR(__xludf.DUMMYFUNCTION("""COMPUTED_VALUE"""),0)</f>
        <v>0</v>
      </c>
      <c r="R219" s="20"/>
    </row>
    <row r="220" spans="1:18" ht="13.2" hidden="1" outlineLevel="1" x14ac:dyDescent="0.25">
      <c r="A220" s="1"/>
      <c r="B220" s="21" t="str">
        <f ca="1">IFERROR(__xludf.DUMMYFUNCTION("""COMPUTED_VALUE"""),"Querosenos")</f>
        <v>Querosenos</v>
      </c>
      <c r="C220" s="22">
        <f ca="1">IFERROR(__xludf.DUMMYFUNCTION("""COMPUTED_VALUE"""),0)</f>
        <v>0</v>
      </c>
      <c r="D220" s="23">
        <f ca="1">IFERROR(__xludf.DUMMYFUNCTION("""COMPUTED_VALUE"""),0)</f>
        <v>0</v>
      </c>
      <c r="E220" s="23">
        <f ca="1">IFERROR(__xludf.DUMMYFUNCTION("""COMPUTED_VALUE"""),0)</f>
        <v>0</v>
      </c>
      <c r="F220" s="23">
        <f ca="1">IFERROR(__xludf.DUMMYFUNCTION("""COMPUTED_VALUE"""),0)</f>
        <v>0</v>
      </c>
      <c r="G220" s="23">
        <f ca="1">IFERROR(__xludf.DUMMYFUNCTION("""COMPUTED_VALUE"""),0)</f>
        <v>0</v>
      </c>
      <c r="H220" s="23">
        <f ca="1">IFERROR(__xludf.DUMMYFUNCTION("""COMPUTED_VALUE"""),0)</f>
        <v>0</v>
      </c>
      <c r="I220" s="23">
        <f ca="1">IFERROR(__xludf.DUMMYFUNCTION("""COMPUTED_VALUE"""),0)</f>
        <v>0</v>
      </c>
      <c r="J220" s="23">
        <f ca="1">IFERROR(__xludf.DUMMYFUNCTION("""COMPUTED_VALUE"""),0)</f>
        <v>0</v>
      </c>
      <c r="K220" s="23">
        <f ca="1">IFERROR(__xludf.DUMMYFUNCTION("""COMPUTED_VALUE"""),0)</f>
        <v>0</v>
      </c>
      <c r="L220" s="23">
        <f ca="1">IFERROR(__xludf.DUMMYFUNCTION("""COMPUTED_VALUE"""),0)</f>
        <v>0</v>
      </c>
      <c r="M220" s="23">
        <f ca="1">IFERROR(__xludf.DUMMYFUNCTION("""COMPUTED_VALUE"""),0)</f>
        <v>0</v>
      </c>
      <c r="N220" s="23">
        <f ca="1">IFERROR(__xludf.DUMMYFUNCTION("""COMPUTED_VALUE"""),0)</f>
        <v>0</v>
      </c>
      <c r="O220" s="23">
        <f ca="1">IFERROR(__xludf.DUMMYFUNCTION("""COMPUTED_VALUE"""),0)</f>
        <v>0</v>
      </c>
      <c r="P220" s="23">
        <f ca="1">IFERROR(__xludf.DUMMYFUNCTION("""COMPUTED_VALUE"""),0)</f>
        <v>0</v>
      </c>
      <c r="Q220" s="24">
        <f ca="1">IFERROR(__xludf.DUMMYFUNCTION("""COMPUTED_VALUE"""),0)</f>
        <v>0</v>
      </c>
      <c r="R220" s="20"/>
    </row>
    <row r="221" spans="1:18" ht="13.2" hidden="1" outlineLevel="1" x14ac:dyDescent="0.25">
      <c r="A221" s="1"/>
      <c r="B221" s="21" t="str">
        <f ca="1">IFERROR(__xludf.DUMMYFUNCTION("""COMPUTED_VALUE"""),"Diesel")</f>
        <v>Diesel</v>
      </c>
      <c r="C221" s="22">
        <f ca="1">IFERROR(__xludf.DUMMYFUNCTION("""COMPUTED_VALUE"""),0)</f>
        <v>0</v>
      </c>
      <c r="D221" s="23">
        <f ca="1">IFERROR(__xludf.DUMMYFUNCTION("""COMPUTED_VALUE"""),0)</f>
        <v>0</v>
      </c>
      <c r="E221" s="23">
        <f ca="1">IFERROR(__xludf.DUMMYFUNCTION("""COMPUTED_VALUE"""),0)</f>
        <v>0</v>
      </c>
      <c r="F221" s="23">
        <f ca="1">IFERROR(__xludf.DUMMYFUNCTION("""COMPUTED_VALUE"""),0)</f>
        <v>0</v>
      </c>
      <c r="G221" s="23">
        <f ca="1">IFERROR(__xludf.DUMMYFUNCTION("""COMPUTED_VALUE"""),0)</f>
        <v>0</v>
      </c>
      <c r="H221" s="23">
        <f ca="1">IFERROR(__xludf.DUMMYFUNCTION("""COMPUTED_VALUE"""),0)</f>
        <v>0</v>
      </c>
      <c r="I221" s="23">
        <f ca="1">IFERROR(__xludf.DUMMYFUNCTION("""COMPUTED_VALUE"""),0)</f>
        <v>0</v>
      </c>
      <c r="J221" s="23">
        <f ca="1">IFERROR(__xludf.DUMMYFUNCTION("""COMPUTED_VALUE"""),0)</f>
        <v>0</v>
      </c>
      <c r="K221" s="23">
        <f ca="1">IFERROR(__xludf.DUMMYFUNCTION("""COMPUTED_VALUE"""),0)</f>
        <v>0</v>
      </c>
      <c r="L221" s="23">
        <f ca="1">IFERROR(__xludf.DUMMYFUNCTION("""COMPUTED_VALUE"""),0)</f>
        <v>0</v>
      </c>
      <c r="M221" s="23">
        <f ca="1">IFERROR(__xludf.DUMMYFUNCTION("""COMPUTED_VALUE"""),0)</f>
        <v>0</v>
      </c>
      <c r="N221" s="23">
        <f ca="1">IFERROR(__xludf.DUMMYFUNCTION("""COMPUTED_VALUE"""),0)</f>
        <v>0</v>
      </c>
      <c r="O221" s="23">
        <f ca="1">IFERROR(__xludf.DUMMYFUNCTION("""COMPUTED_VALUE"""),0)</f>
        <v>0</v>
      </c>
      <c r="P221" s="23">
        <f ca="1">IFERROR(__xludf.DUMMYFUNCTION("""COMPUTED_VALUE"""),0)</f>
        <v>0</v>
      </c>
      <c r="Q221" s="24">
        <f ca="1">IFERROR(__xludf.DUMMYFUNCTION("""COMPUTED_VALUE"""),0)</f>
        <v>0</v>
      </c>
      <c r="R221" s="20"/>
    </row>
    <row r="222" spans="1:18" ht="13.2" hidden="1" outlineLevel="1" x14ac:dyDescent="0.25">
      <c r="A222" s="1"/>
      <c r="B222" s="21" t="str">
        <f ca="1">IFERROR(__xludf.DUMMYFUNCTION("""COMPUTED_VALUE"""),"Combustóleo")</f>
        <v>Combustóleo</v>
      </c>
      <c r="C222" s="22">
        <f ca="1">IFERROR(__xludf.DUMMYFUNCTION("""COMPUTED_VALUE"""),0)</f>
        <v>0</v>
      </c>
      <c r="D222" s="23">
        <f ca="1">IFERROR(__xludf.DUMMYFUNCTION("""COMPUTED_VALUE"""),0)</f>
        <v>0</v>
      </c>
      <c r="E222" s="23">
        <f ca="1">IFERROR(__xludf.DUMMYFUNCTION("""COMPUTED_VALUE"""),0)</f>
        <v>0</v>
      </c>
      <c r="F222" s="23">
        <f ca="1">IFERROR(__xludf.DUMMYFUNCTION("""COMPUTED_VALUE"""),0)</f>
        <v>0</v>
      </c>
      <c r="G222" s="23">
        <f ca="1">IFERROR(__xludf.DUMMYFUNCTION("""COMPUTED_VALUE"""),0)</f>
        <v>0</v>
      </c>
      <c r="H222" s="23">
        <f ca="1">IFERROR(__xludf.DUMMYFUNCTION("""COMPUTED_VALUE"""),0)</f>
        <v>0</v>
      </c>
      <c r="I222" s="23">
        <f ca="1">IFERROR(__xludf.DUMMYFUNCTION("""COMPUTED_VALUE"""),0)</f>
        <v>0</v>
      </c>
      <c r="J222" s="23">
        <f ca="1">IFERROR(__xludf.DUMMYFUNCTION("""COMPUTED_VALUE"""),0)</f>
        <v>0</v>
      </c>
      <c r="K222" s="23">
        <f ca="1">IFERROR(__xludf.DUMMYFUNCTION("""COMPUTED_VALUE"""),0)</f>
        <v>0</v>
      </c>
      <c r="L222" s="23">
        <f ca="1">IFERROR(__xludf.DUMMYFUNCTION("""COMPUTED_VALUE"""),0)</f>
        <v>0</v>
      </c>
      <c r="M222" s="23">
        <f ca="1">IFERROR(__xludf.DUMMYFUNCTION("""COMPUTED_VALUE"""),0)</f>
        <v>0</v>
      </c>
      <c r="N222" s="23">
        <f ca="1">IFERROR(__xludf.DUMMYFUNCTION("""COMPUTED_VALUE"""),0)</f>
        <v>0</v>
      </c>
      <c r="O222" s="23">
        <f ca="1">IFERROR(__xludf.DUMMYFUNCTION("""COMPUTED_VALUE"""),0)</f>
        <v>0</v>
      </c>
      <c r="P222" s="23">
        <f ca="1">IFERROR(__xludf.DUMMYFUNCTION("""COMPUTED_VALUE"""),0)</f>
        <v>0</v>
      </c>
      <c r="Q222" s="24">
        <f ca="1">IFERROR(__xludf.DUMMYFUNCTION("""COMPUTED_VALUE"""),0)</f>
        <v>0</v>
      </c>
      <c r="R222" s="20"/>
    </row>
    <row r="223" spans="1:18" ht="13.2" hidden="1" outlineLevel="1" x14ac:dyDescent="0.25">
      <c r="A223" s="1"/>
      <c r="B223" s="21" t="str">
        <f ca="1">IFERROR(__xludf.DUMMYFUNCTION("""COMPUTED_VALUE"""),"Otros energéticos")</f>
        <v>Otros energéticos</v>
      </c>
      <c r="C223" s="22">
        <f ca="1">IFERROR(__xludf.DUMMYFUNCTION("""COMPUTED_VALUE"""),0)</f>
        <v>0</v>
      </c>
      <c r="D223" s="23">
        <f ca="1">IFERROR(__xludf.DUMMYFUNCTION("""COMPUTED_VALUE"""),0)</f>
        <v>0</v>
      </c>
      <c r="E223" s="23">
        <f ca="1">IFERROR(__xludf.DUMMYFUNCTION("""COMPUTED_VALUE"""),0)</f>
        <v>0</v>
      </c>
      <c r="F223" s="23">
        <f ca="1">IFERROR(__xludf.DUMMYFUNCTION("""COMPUTED_VALUE"""),0)</f>
        <v>0</v>
      </c>
      <c r="G223" s="23">
        <f ca="1">IFERROR(__xludf.DUMMYFUNCTION("""COMPUTED_VALUE"""),0)</f>
        <v>0</v>
      </c>
      <c r="H223" s="23">
        <f ca="1">IFERROR(__xludf.DUMMYFUNCTION("""COMPUTED_VALUE"""),0)</f>
        <v>0</v>
      </c>
      <c r="I223" s="23">
        <f ca="1">IFERROR(__xludf.DUMMYFUNCTION("""COMPUTED_VALUE"""),0)</f>
        <v>0</v>
      </c>
      <c r="J223" s="23">
        <f ca="1">IFERROR(__xludf.DUMMYFUNCTION("""COMPUTED_VALUE"""),0)</f>
        <v>0</v>
      </c>
      <c r="K223" s="23">
        <f ca="1">IFERROR(__xludf.DUMMYFUNCTION("""COMPUTED_VALUE"""),0)</f>
        <v>0</v>
      </c>
      <c r="L223" s="23">
        <f ca="1">IFERROR(__xludf.DUMMYFUNCTION("""COMPUTED_VALUE"""),0)</f>
        <v>0</v>
      </c>
      <c r="M223" s="23">
        <f ca="1">IFERROR(__xludf.DUMMYFUNCTION("""COMPUTED_VALUE"""),0)</f>
        <v>0</v>
      </c>
      <c r="N223" s="23">
        <f ca="1">IFERROR(__xludf.DUMMYFUNCTION("""COMPUTED_VALUE"""),0)</f>
        <v>0</v>
      </c>
      <c r="O223" s="23">
        <f ca="1">IFERROR(__xludf.DUMMYFUNCTION("""COMPUTED_VALUE"""),0)</f>
        <v>0</v>
      </c>
      <c r="P223" s="23">
        <f ca="1">IFERROR(__xludf.DUMMYFUNCTION("""COMPUTED_VALUE"""),0)</f>
        <v>0</v>
      </c>
      <c r="Q223" s="24">
        <f ca="1">IFERROR(__xludf.DUMMYFUNCTION("""COMPUTED_VALUE"""),0)</f>
        <v>0</v>
      </c>
      <c r="R223" s="20"/>
    </row>
    <row r="224" spans="1:18" ht="13.2" hidden="1" outlineLevel="1" x14ac:dyDescent="0.25">
      <c r="A224" s="1"/>
      <c r="B224" s="21" t="str">
        <f ca="1">IFERROR(__xludf.DUMMYFUNCTION("""COMPUTED_VALUE"""),"Gas natural seco")</f>
        <v>Gas natural seco</v>
      </c>
      <c r="C224" s="22">
        <f ca="1">IFERROR(__xludf.DUMMYFUNCTION("""COMPUTED_VALUE"""),0)</f>
        <v>0</v>
      </c>
      <c r="D224" s="23">
        <f ca="1">IFERROR(__xludf.DUMMYFUNCTION("""COMPUTED_VALUE"""),0)</f>
        <v>0</v>
      </c>
      <c r="E224" s="23">
        <f ca="1">IFERROR(__xludf.DUMMYFUNCTION("""COMPUTED_VALUE"""),0)</f>
        <v>0</v>
      </c>
      <c r="F224" s="23">
        <f ca="1">IFERROR(__xludf.DUMMYFUNCTION("""COMPUTED_VALUE"""),0)</f>
        <v>0</v>
      </c>
      <c r="G224" s="23">
        <f ca="1">IFERROR(__xludf.DUMMYFUNCTION("""COMPUTED_VALUE"""),0)</f>
        <v>0</v>
      </c>
      <c r="H224" s="23">
        <f ca="1">IFERROR(__xludf.DUMMYFUNCTION("""COMPUTED_VALUE"""),0)</f>
        <v>0</v>
      </c>
      <c r="I224" s="23">
        <f ca="1">IFERROR(__xludf.DUMMYFUNCTION("""COMPUTED_VALUE"""),0)</f>
        <v>0</v>
      </c>
      <c r="J224" s="23">
        <f ca="1">IFERROR(__xludf.DUMMYFUNCTION("""COMPUTED_VALUE"""),0)</f>
        <v>0</v>
      </c>
      <c r="K224" s="23">
        <f ca="1">IFERROR(__xludf.DUMMYFUNCTION("""COMPUTED_VALUE"""),0)</f>
        <v>0</v>
      </c>
      <c r="L224" s="23">
        <f ca="1">IFERROR(__xludf.DUMMYFUNCTION("""COMPUTED_VALUE"""),0)</f>
        <v>0</v>
      </c>
      <c r="M224" s="23">
        <f ca="1">IFERROR(__xludf.DUMMYFUNCTION("""COMPUTED_VALUE"""),0)</f>
        <v>0</v>
      </c>
      <c r="N224" s="23">
        <f ca="1">IFERROR(__xludf.DUMMYFUNCTION("""COMPUTED_VALUE"""),0)</f>
        <v>0</v>
      </c>
      <c r="O224" s="23">
        <f ca="1">IFERROR(__xludf.DUMMYFUNCTION("""COMPUTED_VALUE"""),0)</f>
        <v>0</v>
      </c>
      <c r="P224" s="23">
        <f ca="1">IFERROR(__xludf.DUMMYFUNCTION("""COMPUTED_VALUE"""),0)</f>
        <v>0</v>
      </c>
      <c r="Q224" s="24">
        <f ca="1">IFERROR(__xludf.DUMMYFUNCTION("""COMPUTED_VALUE"""),0)</f>
        <v>0</v>
      </c>
      <c r="R224" s="20"/>
    </row>
    <row r="225" spans="1:18" ht="13.2" hidden="1" outlineLevel="1" x14ac:dyDescent="0.25">
      <c r="A225" s="1"/>
      <c r="B225" s="25" t="str">
        <f ca="1">IFERROR(__xludf.DUMMYFUNCTION("""COMPUTED_VALUE"""),"Energía eléctrica")</f>
        <v>Energía eléctrica</v>
      </c>
      <c r="C225" s="26">
        <f ca="1">IFERROR(__xludf.DUMMYFUNCTION("""COMPUTED_VALUE"""),0)</f>
        <v>0</v>
      </c>
      <c r="D225" s="27">
        <f ca="1">IFERROR(__xludf.DUMMYFUNCTION("""COMPUTED_VALUE"""),0)</f>
        <v>0</v>
      </c>
      <c r="E225" s="27">
        <f ca="1">IFERROR(__xludf.DUMMYFUNCTION("""COMPUTED_VALUE"""),0)</f>
        <v>0</v>
      </c>
      <c r="F225" s="27">
        <f ca="1">IFERROR(__xludf.DUMMYFUNCTION("""COMPUTED_VALUE"""),0)</f>
        <v>0</v>
      </c>
      <c r="G225" s="27">
        <f ca="1">IFERROR(__xludf.DUMMYFUNCTION("""COMPUTED_VALUE"""),0)</f>
        <v>0</v>
      </c>
      <c r="H225" s="27">
        <f ca="1">IFERROR(__xludf.DUMMYFUNCTION("""COMPUTED_VALUE"""),0)</f>
        <v>0</v>
      </c>
      <c r="I225" s="27">
        <f ca="1">IFERROR(__xludf.DUMMYFUNCTION("""COMPUTED_VALUE"""),0)</f>
        <v>0</v>
      </c>
      <c r="J225" s="27">
        <f ca="1">IFERROR(__xludf.DUMMYFUNCTION("""COMPUTED_VALUE"""),0)</f>
        <v>0</v>
      </c>
      <c r="K225" s="27">
        <f ca="1">IFERROR(__xludf.DUMMYFUNCTION("""COMPUTED_VALUE"""),0)</f>
        <v>0</v>
      </c>
      <c r="L225" s="27">
        <f ca="1">IFERROR(__xludf.DUMMYFUNCTION("""COMPUTED_VALUE"""),0)</f>
        <v>0</v>
      </c>
      <c r="M225" s="27">
        <f ca="1">IFERROR(__xludf.DUMMYFUNCTION("""COMPUTED_VALUE"""),0)</f>
        <v>0</v>
      </c>
      <c r="N225" s="27">
        <f ca="1">IFERROR(__xludf.DUMMYFUNCTION("""COMPUTED_VALUE"""),0)</f>
        <v>0</v>
      </c>
      <c r="O225" s="27">
        <f ca="1">IFERROR(__xludf.DUMMYFUNCTION("""COMPUTED_VALUE"""),0)</f>
        <v>0</v>
      </c>
      <c r="P225" s="27">
        <f ca="1">IFERROR(__xludf.DUMMYFUNCTION("""COMPUTED_VALUE"""),0)</f>
        <v>0</v>
      </c>
      <c r="Q225" s="28">
        <f ca="1">IFERROR(__xludf.DUMMYFUNCTION("""COMPUTED_VALUE"""),0)</f>
        <v>0</v>
      </c>
      <c r="R225" s="20"/>
    </row>
    <row r="226" spans="1:18" ht="13.2" hidden="1" outlineLevel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0"/>
    </row>
    <row r="227" spans="1:18" ht="13.2" collapsed="1" x14ac:dyDescent="0.25">
      <c r="A227" s="29"/>
      <c r="B227" s="5" t="str">
        <f ca="1">IFERROR(__xludf.DUMMYFUNCTION("""COMPUTED_VALUE"""),"RefDes(e,a)")</f>
        <v>RefDes(e,a)</v>
      </c>
      <c r="C227" s="6" t="str">
        <f ca="1">IFERROR(__xludf.DUMMYFUNCTION("""COMPUTED_VALUE"""),"-/+")</f>
        <v>-/+</v>
      </c>
      <c r="D227" s="7" t="str">
        <f ca="1">IFERROR(__xludf.DUMMYFUNCTION("""COMPUTED_VALUE"""),"Refinerías y despuntadoras por energético e y año a.")</f>
        <v>Refinerías y despuntadoras por energético e y año a.</v>
      </c>
      <c r="E227" s="6" t="str">
        <f ca="1">IFERROR(__xludf.DUMMYFUNCTION("""COMPUTED_VALUE"""),"cbne")</f>
        <v>cbne</v>
      </c>
      <c r="F227" s="6" t="str">
        <f ca="1">IFERROR(__xludf.DUMMYFUNCTION("""COMPUTED_VALUE"""),"a")</f>
        <v>a</v>
      </c>
      <c r="G227" s="8" t="str">
        <f ca="1">IFERROR(__xludf.DUMMYFUNCTION("""COMPUTED_VALUE"""),"PJ")</f>
        <v>PJ</v>
      </c>
      <c r="H227" s="9"/>
      <c r="I227" s="1"/>
      <c r="J227" s="1"/>
      <c r="K227" s="1"/>
      <c r="L227" s="1"/>
      <c r="M227" s="1"/>
      <c r="N227" s="1"/>
      <c r="O227" s="1"/>
      <c r="P227" s="1"/>
      <c r="Q227" s="1"/>
      <c r="R227" s="10"/>
    </row>
    <row r="228" spans="1:18" ht="13.2" hidden="1" outlineLevel="1" x14ac:dyDescent="0.25">
      <c r="A228" s="1"/>
      <c r="B228" s="11"/>
      <c r="C228" s="12">
        <f ca="1">IFERROR(__xludf.DUMMYFUNCTION("""COMPUTED_VALUE"""),2010)</f>
        <v>2010</v>
      </c>
      <c r="D228" s="13">
        <f ca="1">IFERROR(__xludf.DUMMYFUNCTION("""COMPUTED_VALUE"""),2011)</f>
        <v>2011</v>
      </c>
      <c r="E228" s="13">
        <f ca="1">IFERROR(__xludf.DUMMYFUNCTION("""COMPUTED_VALUE"""),2012)</f>
        <v>2012</v>
      </c>
      <c r="F228" s="13">
        <f ca="1">IFERROR(__xludf.DUMMYFUNCTION("""COMPUTED_VALUE"""),2013)</f>
        <v>2013</v>
      </c>
      <c r="G228" s="13">
        <f ca="1">IFERROR(__xludf.DUMMYFUNCTION("""COMPUTED_VALUE"""),2014)</f>
        <v>2014</v>
      </c>
      <c r="H228" s="13">
        <f ca="1">IFERROR(__xludf.DUMMYFUNCTION("""COMPUTED_VALUE"""),2015)</f>
        <v>2015</v>
      </c>
      <c r="I228" s="13">
        <f ca="1">IFERROR(__xludf.DUMMYFUNCTION("""COMPUTED_VALUE"""),2016)</f>
        <v>2016</v>
      </c>
      <c r="J228" s="13">
        <f ca="1">IFERROR(__xludf.DUMMYFUNCTION("""COMPUTED_VALUE"""),2017)</f>
        <v>2017</v>
      </c>
      <c r="K228" s="13">
        <f ca="1">IFERROR(__xludf.DUMMYFUNCTION("""COMPUTED_VALUE"""),2018)</f>
        <v>2018</v>
      </c>
      <c r="L228" s="13">
        <f ca="1">IFERROR(__xludf.DUMMYFUNCTION("""COMPUTED_VALUE"""),2019)</f>
        <v>2019</v>
      </c>
      <c r="M228" s="13">
        <f ca="1">IFERROR(__xludf.DUMMYFUNCTION("""COMPUTED_VALUE"""),2020)</f>
        <v>2020</v>
      </c>
      <c r="N228" s="13">
        <f ca="1">IFERROR(__xludf.DUMMYFUNCTION("""COMPUTED_VALUE"""),2021)</f>
        <v>2021</v>
      </c>
      <c r="O228" s="13">
        <f ca="1">IFERROR(__xludf.DUMMYFUNCTION("""COMPUTED_VALUE"""),2022)</f>
        <v>2022</v>
      </c>
      <c r="P228" s="13">
        <f ca="1">IFERROR(__xludf.DUMMYFUNCTION("""COMPUTED_VALUE"""),2023)</f>
        <v>2023</v>
      </c>
      <c r="Q228" s="14">
        <f ca="1">IFERROR(__xludf.DUMMYFUNCTION("""COMPUTED_VALUE"""),2024)</f>
        <v>2024</v>
      </c>
      <c r="R228" s="15"/>
    </row>
    <row r="229" spans="1:18" ht="13.2" hidden="1" outlineLevel="1" x14ac:dyDescent="0.25">
      <c r="A229" s="1"/>
      <c r="B229" s="16" t="str">
        <f ca="1">IFERROR(__xludf.DUMMYFUNCTION("""COMPUTED_VALUE"""),"Carbón mineral")</f>
        <v>Carbón mineral</v>
      </c>
      <c r="C229" s="17">
        <f ca="1">IFERROR(__xludf.DUMMYFUNCTION("""COMPUTED_VALUE"""),0)</f>
        <v>0</v>
      </c>
      <c r="D229" s="18">
        <f ca="1">IFERROR(__xludf.DUMMYFUNCTION("""COMPUTED_VALUE"""),0)</f>
        <v>0</v>
      </c>
      <c r="E229" s="18">
        <f ca="1">IFERROR(__xludf.DUMMYFUNCTION("""COMPUTED_VALUE"""),0)</f>
        <v>0</v>
      </c>
      <c r="F229" s="18">
        <f ca="1">IFERROR(__xludf.DUMMYFUNCTION("""COMPUTED_VALUE"""),0)</f>
        <v>0</v>
      </c>
      <c r="G229" s="18">
        <f ca="1">IFERROR(__xludf.DUMMYFUNCTION("""COMPUTED_VALUE"""),0)</f>
        <v>0</v>
      </c>
      <c r="H229" s="18">
        <f ca="1">IFERROR(__xludf.DUMMYFUNCTION("""COMPUTED_VALUE"""),0)</f>
        <v>0</v>
      </c>
      <c r="I229" s="18">
        <f ca="1">IFERROR(__xludf.DUMMYFUNCTION("""COMPUTED_VALUE"""),0)</f>
        <v>0</v>
      </c>
      <c r="J229" s="18">
        <f ca="1">IFERROR(__xludf.DUMMYFUNCTION("""COMPUTED_VALUE"""),0)</f>
        <v>0</v>
      </c>
      <c r="K229" s="18">
        <f ca="1">IFERROR(__xludf.DUMMYFUNCTION("""COMPUTED_VALUE"""),0)</f>
        <v>0</v>
      </c>
      <c r="L229" s="18">
        <f ca="1">IFERROR(__xludf.DUMMYFUNCTION("""COMPUTED_VALUE"""),0)</f>
        <v>0</v>
      </c>
      <c r="M229" s="18">
        <f ca="1">IFERROR(__xludf.DUMMYFUNCTION("""COMPUTED_VALUE"""),0)</f>
        <v>0</v>
      </c>
      <c r="N229" s="18">
        <f ca="1">IFERROR(__xludf.DUMMYFUNCTION("""COMPUTED_VALUE"""),0)</f>
        <v>0</v>
      </c>
      <c r="O229" s="18">
        <f ca="1">IFERROR(__xludf.DUMMYFUNCTION("""COMPUTED_VALUE"""),0)</f>
        <v>0</v>
      </c>
      <c r="P229" s="18">
        <f ca="1">IFERROR(__xludf.DUMMYFUNCTION("""COMPUTED_VALUE"""),0)</f>
        <v>0</v>
      </c>
      <c r="Q229" s="19">
        <f ca="1">IFERROR(__xludf.DUMMYFUNCTION("""COMPUTED_VALUE"""),0)</f>
        <v>0</v>
      </c>
      <c r="R229" s="20"/>
    </row>
    <row r="230" spans="1:18" ht="13.2" hidden="1" outlineLevel="1" x14ac:dyDescent="0.25">
      <c r="A230" s="1"/>
      <c r="B230" s="21" t="str">
        <f ca="1">IFERROR(__xludf.DUMMYFUNCTION("""COMPUTED_VALUE"""),"Petróleo crudo")</f>
        <v>Petróleo crudo</v>
      </c>
      <c r="C230" s="22">
        <f ca="1">IFERROR(__xludf.DUMMYFUNCTION("""COMPUTED_VALUE"""),-2392.17)</f>
        <v>-2392.17</v>
      </c>
      <c r="D230" s="23">
        <f ca="1">IFERROR(__xludf.DUMMYFUNCTION("""COMPUTED_VALUE"""),-2373.85)</f>
        <v>-2373.85</v>
      </c>
      <c r="E230" s="23">
        <f ca="1">IFERROR(__xludf.DUMMYFUNCTION("""COMPUTED_VALUE"""),-2648.82)</f>
        <v>-2648.82</v>
      </c>
      <c r="F230" s="23">
        <f ca="1">IFERROR(__xludf.DUMMYFUNCTION("""COMPUTED_VALUE"""),-2839.43)</f>
        <v>-2839.43</v>
      </c>
      <c r="G230" s="23">
        <f ca="1">IFERROR(__xludf.DUMMYFUNCTION("""COMPUTED_VALUE"""),-2418.15)</f>
        <v>-2418.15</v>
      </c>
      <c r="H230" s="23">
        <f ca="1">IFERROR(__xludf.DUMMYFUNCTION("""COMPUTED_VALUE"""),-2371.72)</f>
        <v>-2371.7199999999998</v>
      </c>
      <c r="I230" s="23">
        <f ca="1">IFERROR(__xludf.DUMMYFUNCTION("""COMPUTED_VALUE"""),-2044.165)</f>
        <v>-2044.165</v>
      </c>
      <c r="J230" s="23">
        <f ca="1">IFERROR(__xludf.DUMMYFUNCTION("""COMPUTED_VALUE"""),-1689.82)</f>
        <v>-1689.82</v>
      </c>
      <c r="K230" s="23">
        <f ca="1">IFERROR(__xludf.DUMMYFUNCTION("""COMPUTED_VALUE"""),-1279.22)</f>
        <v>-1279.22</v>
      </c>
      <c r="L230" s="23">
        <f ca="1">IFERROR(__xludf.DUMMYFUNCTION("""COMPUTED_VALUE"""),-1424.49)</f>
        <v>-1424.49</v>
      </c>
      <c r="M230" s="23">
        <f ca="1">IFERROR(__xludf.DUMMYFUNCTION("""COMPUTED_VALUE"""),-1484.79)</f>
        <v>-1484.79</v>
      </c>
      <c r="N230" s="23">
        <f ca="1">IFERROR(__xludf.DUMMYFUNCTION("""COMPUTED_VALUE"""),-1701.71)</f>
        <v>-1701.71</v>
      </c>
      <c r="O230" s="23">
        <f ca="1">IFERROR(__xludf.DUMMYFUNCTION("""COMPUTED_VALUE"""),-1485.07)</f>
        <v>-1485.07</v>
      </c>
      <c r="P230" s="23">
        <f ca="1">IFERROR(__xludf.DUMMYFUNCTION("""COMPUTED_VALUE"""),-1509.73)</f>
        <v>-1509.73</v>
      </c>
      <c r="Q230" s="24">
        <f ca="1">IFERROR(__xludf.DUMMYFUNCTION("""COMPUTED_VALUE"""),-1774.26)</f>
        <v>-1774.26</v>
      </c>
      <c r="R230" s="20"/>
    </row>
    <row r="231" spans="1:18" ht="13.2" hidden="1" outlineLevel="1" x14ac:dyDescent="0.25">
      <c r="A231" s="1"/>
      <c r="B231" s="21" t="str">
        <f ca="1">IFERROR(__xludf.DUMMYFUNCTION("""COMPUTED_VALUE"""),"Condensados")</f>
        <v>Condensados</v>
      </c>
      <c r="C231" s="22">
        <f ca="1">IFERROR(__xludf.DUMMYFUNCTION("""COMPUTED_VALUE"""),0)</f>
        <v>0</v>
      </c>
      <c r="D231" s="23">
        <f ca="1">IFERROR(__xludf.DUMMYFUNCTION("""COMPUTED_VALUE"""),0)</f>
        <v>0</v>
      </c>
      <c r="E231" s="23">
        <f ca="1">IFERROR(__xludf.DUMMYFUNCTION("""COMPUTED_VALUE"""),0)</f>
        <v>0</v>
      </c>
      <c r="F231" s="23">
        <f ca="1">IFERROR(__xludf.DUMMYFUNCTION("""COMPUTED_VALUE"""),0)</f>
        <v>0</v>
      </c>
      <c r="G231" s="23">
        <f ca="1">IFERROR(__xludf.DUMMYFUNCTION("""COMPUTED_VALUE"""),-2.34503670672245)</f>
        <v>-2.3450367067224498</v>
      </c>
      <c r="H231" s="23">
        <f ca="1">IFERROR(__xludf.DUMMYFUNCTION("""COMPUTED_VALUE"""),-3.03704437379493)</f>
        <v>-3.03704437379493</v>
      </c>
      <c r="I231" s="23">
        <f ca="1">IFERROR(__xludf.DUMMYFUNCTION("""COMPUTED_VALUE"""),-2.635)</f>
        <v>-2.6349999999999998</v>
      </c>
      <c r="J231" s="23">
        <f ca="1">IFERROR(__xludf.DUMMYFUNCTION("""COMPUTED_VALUE"""),-2.58783048589344)</f>
        <v>-2.58783048589344</v>
      </c>
      <c r="K231" s="23">
        <f ca="1">IFERROR(__xludf.DUMMYFUNCTION("""COMPUTED_VALUE"""),-9.06185635704768)</f>
        <v>-9.0618563570476809</v>
      </c>
      <c r="L231" s="23">
        <f ca="1">IFERROR(__xludf.DUMMYFUNCTION("""COMPUTED_VALUE"""),-8.81971744340531)</f>
        <v>-8.8197174434053096</v>
      </c>
      <c r="M231" s="23">
        <f ca="1">IFERROR(__xludf.DUMMYFUNCTION("""COMPUTED_VALUE"""),-11.2068811924927)</f>
        <v>-11.2068811924927</v>
      </c>
      <c r="N231" s="23">
        <f ca="1">IFERROR(__xludf.DUMMYFUNCTION("""COMPUTED_VALUE"""),-81.633603007702)</f>
        <v>-81.633603007702007</v>
      </c>
      <c r="O231" s="23">
        <f ca="1">IFERROR(__xludf.DUMMYFUNCTION("""COMPUTED_VALUE"""),-186.474075326891)</f>
        <v>-186.47407532689101</v>
      </c>
      <c r="P231" s="23">
        <f ca="1">IFERROR(__xludf.DUMMYFUNCTION("""COMPUTED_VALUE"""),-271.050055068332)</f>
        <v>-271.05005506833197</v>
      </c>
      <c r="Q231" s="24">
        <f ca="1">IFERROR(__xludf.DUMMYFUNCTION("""COMPUTED_VALUE"""),-309.06085698299)</f>
        <v>-309.06085698299</v>
      </c>
      <c r="R231" s="20"/>
    </row>
    <row r="232" spans="1:18" ht="13.2" hidden="1" outlineLevel="1" x14ac:dyDescent="0.25">
      <c r="A232" s="1"/>
      <c r="B232" s="21" t="str">
        <f ca="1">IFERROR(__xludf.DUMMYFUNCTION("""COMPUTED_VALUE"""),"Gas natural")</f>
        <v>Gas natural</v>
      </c>
      <c r="C232" s="22">
        <f ca="1">IFERROR(__xludf.DUMMYFUNCTION("""COMPUTED_VALUE"""),0)</f>
        <v>0</v>
      </c>
      <c r="D232" s="23">
        <f ca="1">IFERROR(__xludf.DUMMYFUNCTION("""COMPUTED_VALUE"""),0)</f>
        <v>0</v>
      </c>
      <c r="E232" s="23">
        <f ca="1">IFERROR(__xludf.DUMMYFUNCTION("""COMPUTED_VALUE"""),0)</f>
        <v>0</v>
      </c>
      <c r="F232" s="23">
        <f ca="1">IFERROR(__xludf.DUMMYFUNCTION("""COMPUTED_VALUE"""),0)</f>
        <v>0</v>
      </c>
      <c r="G232" s="23">
        <f ca="1">IFERROR(__xludf.DUMMYFUNCTION("""COMPUTED_VALUE"""),-1.12065753585526)</f>
        <v>-1.12065753585526</v>
      </c>
      <c r="H232" s="23">
        <f ca="1">IFERROR(__xludf.DUMMYFUNCTION("""COMPUTED_VALUE"""),-0.000957408084384653)</f>
        <v>-9.57408084384653E-4</v>
      </c>
      <c r="I232" s="23">
        <f ca="1">IFERROR(__xludf.DUMMYFUNCTION("""COMPUTED_VALUE"""),-1.817)</f>
        <v>-1.8169999999999999</v>
      </c>
      <c r="J232" s="23">
        <f ca="1">IFERROR(__xludf.DUMMYFUNCTION("""COMPUTED_VALUE"""),-0.300288993894324)</f>
        <v>-0.30028899389432401</v>
      </c>
      <c r="K232" s="23">
        <f ca="1">IFERROR(__xludf.DUMMYFUNCTION("""COMPUTED_VALUE"""),0)</f>
        <v>0</v>
      </c>
      <c r="L232" s="23">
        <f ca="1">IFERROR(__xludf.DUMMYFUNCTION("""COMPUTED_VALUE"""),0)</f>
        <v>0</v>
      </c>
      <c r="M232" s="23">
        <f ca="1">IFERROR(__xludf.DUMMYFUNCTION("""COMPUTED_VALUE"""),0)</f>
        <v>0</v>
      </c>
      <c r="N232" s="23">
        <f ca="1">IFERROR(__xludf.DUMMYFUNCTION("""COMPUTED_VALUE"""),0)</f>
        <v>0</v>
      </c>
      <c r="O232" s="23">
        <f ca="1">IFERROR(__xludf.DUMMYFUNCTION("""COMPUTED_VALUE"""),0)</f>
        <v>0</v>
      </c>
      <c r="P232" s="23">
        <f ca="1">IFERROR(__xludf.DUMMYFUNCTION("""COMPUTED_VALUE"""),0)</f>
        <v>0</v>
      </c>
      <c r="Q232" s="24">
        <f ca="1">IFERROR(__xludf.DUMMYFUNCTION("""COMPUTED_VALUE"""),0)</f>
        <v>0</v>
      </c>
      <c r="R232" s="20"/>
    </row>
    <row r="233" spans="1:18" ht="13.2" hidden="1" outlineLevel="1" x14ac:dyDescent="0.25">
      <c r="A233" s="1"/>
      <c r="B233" s="21" t="str">
        <f ca="1">IFERROR(__xludf.DUMMYFUNCTION("""COMPUTED_VALUE"""),"Energía Nuclear")</f>
        <v>Energía Nuclear</v>
      </c>
      <c r="C233" s="22">
        <f ca="1">IFERROR(__xludf.DUMMYFUNCTION("""COMPUTED_VALUE"""),0)</f>
        <v>0</v>
      </c>
      <c r="D233" s="23">
        <f ca="1">IFERROR(__xludf.DUMMYFUNCTION("""COMPUTED_VALUE"""),0)</f>
        <v>0</v>
      </c>
      <c r="E233" s="23">
        <f ca="1">IFERROR(__xludf.DUMMYFUNCTION("""COMPUTED_VALUE"""),0)</f>
        <v>0</v>
      </c>
      <c r="F233" s="23">
        <f ca="1">IFERROR(__xludf.DUMMYFUNCTION("""COMPUTED_VALUE"""),0)</f>
        <v>0</v>
      </c>
      <c r="G233" s="23">
        <f ca="1">IFERROR(__xludf.DUMMYFUNCTION("""COMPUTED_VALUE"""),0)</f>
        <v>0</v>
      </c>
      <c r="H233" s="23">
        <f ca="1">IFERROR(__xludf.DUMMYFUNCTION("""COMPUTED_VALUE"""),0)</f>
        <v>0</v>
      </c>
      <c r="I233" s="23">
        <f ca="1">IFERROR(__xludf.DUMMYFUNCTION("""COMPUTED_VALUE"""),0)</f>
        <v>0</v>
      </c>
      <c r="J233" s="23">
        <f ca="1">IFERROR(__xludf.DUMMYFUNCTION("""COMPUTED_VALUE"""),0)</f>
        <v>0</v>
      </c>
      <c r="K233" s="23">
        <f ca="1">IFERROR(__xludf.DUMMYFUNCTION("""COMPUTED_VALUE"""),0)</f>
        <v>0</v>
      </c>
      <c r="L233" s="23">
        <f ca="1">IFERROR(__xludf.DUMMYFUNCTION("""COMPUTED_VALUE"""),0)</f>
        <v>0</v>
      </c>
      <c r="M233" s="23">
        <f ca="1">IFERROR(__xludf.DUMMYFUNCTION("""COMPUTED_VALUE"""),0)</f>
        <v>0</v>
      </c>
      <c r="N233" s="23">
        <f ca="1">IFERROR(__xludf.DUMMYFUNCTION("""COMPUTED_VALUE"""),0)</f>
        <v>0</v>
      </c>
      <c r="O233" s="23">
        <f ca="1">IFERROR(__xludf.DUMMYFUNCTION("""COMPUTED_VALUE"""),0)</f>
        <v>0</v>
      </c>
      <c r="P233" s="23">
        <f ca="1">IFERROR(__xludf.DUMMYFUNCTION("""COMPUTED_VALUE"""),0)</f>
        <v>0</v>
      </c>
      <c r="Q233" s="24">
        <f ca="1">IFERROR(__xludf.DUMMYFUNCTION("""COMPUTED_VALUE"""),0)</f>
        <v>0</v>
      </c>
      <c r="R233" s="20"/>
    </row>
    <row r="234" spans="1:18" ht="13.2" hidden="1" outlineLevel="1" x14ac:dyDescent="0.25">
      <c r="A234" s="1"/>
      <c r="B234" s="21" t="str">
        <f ca="1">IFERROR(__xludf.DUMMYFUNCTION("""COMPUTED_VALUE"""),"Energia Hidraúlica")</f>
        <v>Energia Hidraúlica</v>
      </c>
      <c r="C234" s="22">
        <f ca="1">IFERROR(__xludf.DUMMYFUNCTION("""COMPUTED_VALUE"""),0)</f>
        <v>0</v>
      </c>
      <c r="D234" s="23">
        <f ca="1">IFERROR(__xludf.DUMMYFUNCTION("""COMPUTED_VALUE"""),0)</f>
        <v>0</v>
      </c>
      <c r="E234" s="23">
        <f ca="1">IFERROR(__xludf.DUMMYFUNCTION("""COMPUTED_VALUE"""),0)</f>
        <v>0</v>
      </c>
      <c r="F234" s="23">
        <f ca="1">IFERROR(__xludf.DUMMYFUNCTION("""COMPUTED_VALUE"""),0)</f>
        <v>0</v>
      </c>
      <c r="G234" s="23">
        <f ca="1">IFERROR(__xludf.DUMMYFUNCTION("""COMPUTED_VALUE"""),0)</f>
        <v>0</v>
      </c>
      <c r="H234" s="23">
        <f ca="1">IFERROR(__xludf.DUMMYFUNCTION("""COMPUTED_VALUE"""),0)</f>
        <v>0</v>
      </c>
      <c r="I234" s="23">
        <f ca="1">IFERROR(__xludf.DUMMYFUNCTION("""COMPUTED_VALUE"""),0)</f>
        <v>0</v>
      </c>
      <c r="J234" s="23">
        <f ca="1">IFERROR(__xludf.DUMMYFUNCTION("""COMPUTED_VALUE"""),0)</f>
        <v>0</v>
      </c>
      <c r="K234" s="23">
        <f ca="1">IFERROR(__xludf.DUMMYFUNCTION("""COMPUTED_VALUE"""),0)</f>
        <v>0</v>
      </c>
      <c r="L234" s="23">
        <f ca="1">IFERROR(__xludf.DUMMYFUNCTION("""COMPUTED_VALUE"""),0)</f>
        <v>0</v>
      </c>
      <c r="M234" s="23">
        <f ca="1">IFERROR(__xludf.DUMMYFUNCTION("""COMPUTED_VALUE"""),0)</f>
        <v>0</v>
      </c>
      <c r="N234" s="23">
        <f ca="1">IFERROR(__xludf.DUMMYFUNCTION("""COMPUTED_VALUE"""),0)</f>
        <v>0</v>
      </c>
      <c r="O234" s="23">
        <f ca="1">IFERROR(__xludf.DUMMYFUNCTION("""COMPUTED_VALUE"""),0)</f>
        <v>0</v>
      </c>
      <c r="P234" s="23">
        <f ca="1">IFERROR(__xludf.DUMMYFUNCTION("""COMPUTED_VALUE"""),0)</f>
        <v>0</v>
      </c>
      <c r="Q234" s="24">
        <f ca="1">IFERROR(__xludf.DUMMYFUNCTION("""COMPUTED_VALUE"""),0)</f>
        <v>0</v>
      </c>
      <c r="R234" s="20"/>
    </row>
    <row r="235" spans="1:18" ht="13.2" hidden="1" outlineLevel="1" x14ac:dyDescent="0.25">
      <c r="A235" s="1"/>
      <c r="B235" s="21" t="str">
        <f ca="1">IFERROR(__xludf.DUMMYFUNCTION("""COMPUTED_VALUE"""),"Geoenergía")</f>
        <v>Geoenergía</v>
      </c>
      <c r="C235" s="22">
        <f ca="1">IFERROR(__xludf.DUMMYFUNCTION("""COMPUTED_VALUE"""),0)</f>
        <v>0</v>
      </c>
      <c r="D235" s="23">
        <f ca="1">IFERROR(__xludf.DUMMYFUNCTION("""COMPUTED_VALUE"""),0)</f>
        <v>0</v>
      </c>
      <c r="E235" s="23">
        <f ca="1">IFERROR(__xludf.DUMMYFUNCTION("""COMPUTED_VALUE"""),0)</f>
        <v>0</v>
      </c>
      <c r="F235" s="23">
        <f ca="1">IFERROR(__xludf.DUMMYFUNCTION("""COMPUTED_VALUE"""),0)</f>
        <v>0</v>
      </c>
      <c r="G235" s="23">
        <f ca="1">IFERROR(__xludf.DUMMYFUNCTION("""COMPUTED_VALUE"""),0)</f>
        <v>0</v>
      </c>
      <c r="H235" s="23">
        <f ca="1">IFERROR(__xludf.DUMMYFUNCTION("""COMPUTED_VALUE"""),0)</f>
        <v>0</v>
      </c>
      <c r="I235" s="23">
        <f ca="1">IFERROR(__xludf.DUMMYFUNCTION("""COMPUTED_VALUE"""),0)</f>
        <v>0</v>
      </c>
      <c r="J235" s="23">
        <f ca="1">IFERROR(__xludf.DUMMYFUNCTION("""COMPUTED_VALUE"""),0)</f>
        <v>0</v>
      </c>
      <c r="K235" s="23">
        <f ca="1">IFERROR(__xludf.DUMMYFUNCTION("""COMPUTED_VALUE"""),0)</f>
        <v>0</v>
      </c>
      <c r="L235" s="23">
        <f ca="1">IFERROR(__xludf.DUMMYFUNCTION("""COMPUTED_VALUE"""),0)</f>
        <v>0</v>
      </c>
      <c r="M235" s="23">
        <f ca="1">IFERROR(__xludf.DUMMYFUNCTION("""COMPUTED_VALUE"""),0)</f>
        <v>0</v>
      </c>
      <c r="N235" s="23">
        <f ca="1">IFERROR(__xludf.DUMMYFUNCTION("""COMPUTED_VALUE"""),0)</f>
        <v>0</v>
      </c>
      <c r="O235" s="23">
        <f ca="1">IFERROR(__xludf.DUMMYFUNCTION("""COMPUTED_VALUE"""),0)</f>
        <v>0</v>
      </c>
      <c r="P235" s="23">
        <f ca="1">IFERROR(__xludf.DUMMYFUNCTION("""COMPUTED_VALUE"""),0)</f>
        <v>0</v>
      </c>
      <c r="Q235" s="24">
        <f ca="1">IFERROR(__xludf.DUMMYFUNCTION("""COMPUTED_VALUE"""),0)</f>
        <v>0</v>
      </c>
      <c r="R235" s="20"/>
    </row>
    <row r="236" spans="1:18" ht="13.2" hidden="1" outlineLevel="1" x14ac:dyDescent="0.25">
      <c r="A236" s="1"/>
      <c r="B236" s="21" t="str">
        <f ca="1">IFERROR(__xludf.DUMMYFUNCTION("""COMPUTED_VALUE"""),"Energía solar")</f>
        <v>Energía solar</v>
      </c>
      <c r="C236" s="22">
        <f ca="1">IFERROR(__xludf.DUMMYFUNCTION("""COMPUTED_VALUE"""),0)</f>
        <v>0</v>
      </c>
      <c r="D236" s="23">
        <f ca="1">IFERROR(__xludf.DUMMYFUNCTION("""COMPUTED_VALUE"""),0)</f>
        <v>0</v>
      </c>
      <c r="E236" s="23">
        <f ca="1">IFERROR(__xludf.DUMMYFUNCTION("""COMPUTED_VALUE"""),0)</f>
        <v>0</v>
      </c>
      <c r="F236" s="23">
        <f ca="1">IFERROR(__xludf.DUMMYFUNCTION("""COMPUTED_VALUE"""),0)</f>
        <v>0</v>
      </c>
      <c r="G236" s="23">
        <f ca="1">IFERROR(__xludf.DUMMYFUNCTION("""COMPUTED_VALUE"""),0)</f>
        <v>0</v>
      </c>
      <c r="H236" s="23">
        <f ca="1">IFERROR(__xludf.DUMMYFUNCTION("""COMPUTED_VALUE"""),0)</f>
        <v>0</v>
      </c>
      <c r="I236" s="23">
        <f ca="1">IFERROR(__xludf.DUMMYFUNCTION("""COMPUTED_VALUE"""),0)</f>
        <v>0</v>
      </c>
      <c r="J236" s="23">
        <f ca="1">IFERROR(__xludf.DUMMYFUNCTION("""COMPUTED_VALUE"""),0)</f>
        <v>0</v>
      </c>
      <c r="K236" s="23">
        <f ca="1">IFERROR(__xludf.DUMMYFUNCTION("""COMPUTED_VALUE"""),0)</f>
        <v>0</v>
      </c>
      <c r="L236" s="23">
        <f ca="1">IFERROR(__xludf.DUMMYFUNCTION("""COMPUTED_VALUE"""),0)</f>
        <v>0</v>
      </c>
      <c r="M236" s="23">
        <f ca="1">IFERROR(__xludf.DUMMYFUNCTION("""COMPUTED_VALUE"""),0)</f>
        <v>0</v>
      </c>
      <c r="N236" s="23">
        <f ca="1">IFERROR(__xludf.DUMMYFUNCTION("""COMPUTED_VALUE"""),0)</f>
        <v>0</v>
      </c>
      <c r="O236" s="23">
        <f ca="1">IFERROR(__xludf.DUMMYFUNCTION("""COMPUTED_VALUE"""),0)</f>
        <v>0</v>
      </c>
      <c r="P236" s="23">
        <f ca="1">IFERROR(__xludf.DUMMYFUNCTION("""COMPUTED_VALUE"""),0)</f>
        <v>0</v>
      </c>
      <c r="Q236" s="24">
        <f ca="1">IFERROR(__xludf.DUMMYFUNCTION("""COMPUTED_VALUE"""),0)</f>
        <v>0</v>
      </c>
      <c r="R236" s="20"/>
    </row>
    <row r="237" spans="1:18" ht="13.2" hidden="1" outlineLevel="1" x14ac:dyDescent="0.25">
      <c r="A237" s="1"/>
      <c r="B237" s="21" t="str">
        <f ca="1">IFERROR(__xludf.DUMMYFUNCTION("""COMPUTED_VALUE"""),"Energía eólica")</f>
        <v>Energía eólica</v>
      </c>
      <c r="C237" s="22">
        <f ca="1">IFERROR(__xludf.DUMMYFUNCTION("""COMPUTED_VALUE"""),0)</f>
        <v>0</v>
      </c>
      <c r="D237" s="23">
        <f ca="1">IFERROR(__xludf.DUMMYFUNCTION("""COMPUTED_VALUE"""),0)</f>
        <v>0</v>
      </c>
      <c r="E237" s="23">
        <f ca="1">IFERROR(__xludf.DUMMYFUNCTION("""COMPUTED_VALUE"""),0)</f>
        <v>0</v>
      </c>
      <c r="F237" s="23">
        <f ca="1">IFERROR(__xludf.DUMMYFUNCTION("""COMPUTED_VALUE"""),0)</f>
        <v>0</v>
      </c>
      <c r="G237" s="23">
        <f ca="1">IFERROR(__xludf.DUMMYFUNCTION("""COMPUTED_VALUE"""),0)</f>
        <v>0</v>
      </c>
      <c r="H237" s="23">
        <f ca="1">IFERROR(__xludf.DUMMYFUNCTION("""COMPUTED_VALUE"""),0)</f>
        <v>0</v>
      </c>
      <c r="I237" s="23">
        <f ca="1">IFERROR(__xludf.DUMMYFUNCTION("""COMPUTED_VALUE"""),0)</f>
        <v>0</v>
      </c>
      <c r="J237" s="23">
        <f ca="1">IFERROR(__xludf.DUMMYFUNCTION("""COMPUTED_VALUE"""),0)</f>
        <v>0</v>
      </c>
      <c r="K237" s="23">
        <f ca="1">IFERROR(__xludf.DUMMYFUNCTION("""COMPUTED_VALUE"""),0)</f>
        <v>0</v>
      </c>
      <c r="L237" s="23">
        <f ca="1">IFERROR(__xludf.DUMMYFUNCTION("""COMPUTED_VALUE"""),0)</f>
        <v>0</v>
      </c>
      <c r="M237" s="23">
        <f ca="1">IFERROR(__xludf.DUMMYFUNCTION("""COMPUTED_VALUE"""),0)</f>
        <v>0</v>
      </c>
      <c r="N237" s="23">
        <f ca="1">IFERROR(__xludf.DUMMYFUNCTION("""COMPUTED_VALUE"""),0)</f>
        <v>0</v>
      </c>
      <c r="O237" s="23">
        <f ca="1">IFERROR(__xludf.DUMMYFUNCTION("""COMPUTED_VALUE"""),0)</f>
        <v>0</v>
      </c>
      <c r="P237" s="23">
        <f ca="1">IFERROR(__xludf.DUMMYFUNCTION("""COMPUTED_VALUE"""),0)</f>
        <v>0</v>
      </c>
      <c r="Q237" s="24">
        <f ca="1">IFERROR(__xludf.DUMMYFUNCTION("""COMPUTED_VALUE"""),0)</f>
        <v>0</v>
      </c>
      <c r="R237" s="20"/>
    </row>
    <row r="238" spans="1:18" ht="13.2" hidden="1" outlineLevel="1" x14ac:dyDescent="0.25">
      <c r="A238" s="1"/>
      <c r="B238" s="21" t="str">
        <f ca="1">IFERROR(__xludf.DUMMYFUNCTION("""COMPUTED_VALUE"""),"Bagazo de caña")</f>
        <v>Bagazo de caña</v>
      </c>
      <c r="C238" s="22">
        <f ca="1">IFERROR(__xludf.DUMMYFUNCTION("""COMPUTED_VALUE"""),0)</f>
        <v>0</v>
      </c>
      <c r="D238" s="23">
        <f ca="1">IFERROR(__xludf.DUMMYFUNCTION("""COMPUTED_VALUE"""),0)</f>
        <v>0</v>
      </c>
      <c r="E238" s="23">
        <f ca="1">IFERROR(__xludf.DUMMYFUNCTION("""COMPUTED_VALUE"""),0)</f>
        <v>0</v>
      </c>
      <c r="F238" s="23">
        <f ca="1">IFERROR(__xludf.DUMMYFUNCTION("""COMPUTED_VALUE"""),0)</f>
        <v>0</v>
      </c>
      <c r="G238" s="23">
        <f ca="1">IFERROR(__xludf.DUMMYFUNCTION("""COMPUTED_VALUE"""),0)</f>
        <v>0</v>
      </c>
      <c r="H238" s="23">
        <f ca="1">IFERROR(__xludf.DUMMYFUNCTION("""COMPUTED_VALUE"""),0)</f>
        <v>0</v>
      </c>
      <c r="I238" s="23">
        <f ca="1">IFERROR(__xludf.DUMMYFUNCTION("""COMPUTED_VALUE"""),0)</f>
        <v>0</v>
      </c>
      <c r="J238" s="23">
        <f ca="1">IFERROR(__xludf.DUMMYFUNCTION("""COMPUTED_VALUE"""),0)</f>
        <v>0</v>
      </c>
      <c r="K238" s="23">
        <f ca="1">IFERROR(__xludf.DUMMYFUNCTION("""COMPUTED_VALUE"""),0)</f>
        <v>0</v>
      </c>
      <c r="L238" s="23">
        <f ca="1">IFERROR(__xludf.DUMMYFUNCTION("""COMPUTED_VALUE"""),0)</f>
        <v>0</v>
      </c>
      <c r="M238" s="23">
        <f ca="1">IFERROR(__xludf.DUMMYFUNCTION("""COMPUTED_VALUE"""),0)</f>
        <v>0</v>
      </c>
      <c r="N238" s="23">
        <f ca="1">IFERROR(__xludf.DUMMYFUNCTION("""COMPUTED_VALUE"""),0)</f>
        <v>0</v>
      </c>
      <c r="O238" s="23">
        <f ca="1">IFERROR(__xludf.DUMMYFUNCTION("""COMPUTED_VALUE"""),0)</f>
        <v>0</v>
      </c>
      <c r="P238" s="23">
        <f ca="1">IFERROR(__xludf.DUMMYFUNCTION("""COMPUTED_VALUE"""),0)</f>
        <v>0</v>
      </c>
      <c r="Q238" s="24">
        <f ca="1">IFERROR(__xludf.DUMMYFUNCTION("""COMPUTED_VALUE"""),0)</f>
        <v>0</v>
      </c>
      <c r="R238" s="20"/>
    </row>
    <row r="239" spans="1:18" ht="13.2" hidden="1" outlineLevel="1" x14ac:dyDescent="0.25">
      <c r="A239" s="1"/>
      <c r="B239" s="21" t="str">
        <f ca="1">IFERROR(__xludf.DUMMYFUNCTION("""COMPUTED_VALUE"""),"Leña")</f>
        <v>Leña</v>
      </c>
      <c r="C239" s="22">
        <f ca="1">IFERROR(__xludf.DUMMYFUNCTION("""COMPUTED_VALUE"""),0)</f>
        <v>0</v>
      </c>
      <c r="D239" s="23">
        <f ca="1">IFERROR(__xludf.DUMMYFUNCTION("""COMPUTED_VALUE"""),0)</f>
        <v>0</v>
      </c>
      <c r="E239" s="23">
        <f ca="1">IFERROR(__xludf.DUMMYFUNCTION("""COMPUTED_VALUE"""),0)</f>
        <v>0</v>
      </c>
      <c r="F239" s="23">
        <f ca="1">IFERROR(__xludf.DUMMYFUNCTION("""COMPUTED_VALUE"""),0)</f>
        <v>0</v>
      </c>
      <c r="G239" s="23">
        <f ca="1">IFERROR(__xludf.DUMMYFUNCTION("""COMPUTED_VALUE"""),0)</f>
        <v>0</v>
      </c>
      <c r="H239" s="23">
        <f ca="1">IFERROR(__xludf.DUMMYFUNCTION("""COMPUTED_VALUE"""),0)</f>
        <v>0</v>
      </c>
      <c r="I239" s="23">
        <f ca="1">IFERROR(__xludf.DUMMYFUNCTION("""COMPUTED_VALUE"""),0)</f>
        <v>0</v>
      </c>
      <c r="J239" s="23">
        <f ca="1">IFERROR(__xludf.DUMMYFUNCTION("""COMPUTED_VALUE"""),0)</f>
        <v>0</v>
      </c>
      <c r="K239" s="23">
        <f ca="1">IFERROR(__xludf.DUMMYFUNCTION("""COMPUTED_VALUE"""),0)</f>
        <v>0</v>
      </c>
      <c r="L239" s="23">
        <f ca="1">IFERROR(__xludf.DUMMYFUNCTION("""COMPUTED_VALUE"""),0)</f>
        <v>0</v>
      </c>
      <c r="M239" s="23">
        <f ca="1">IFERROR(__xludf.DUMMYFUNCTION("""COMPUTED_VALUE"""),0)</f>
        <v>0</v>
      </c>
      <c r="N239" s="23">
        <f ca="1">IFERROR(__xludf.DUMMYFUNCTION("""COMPUTED_VALUE"""),0)</f>
        <v>0</v>
      </c>
      <c r="O239" s="23">
        <f ca="1">IFERROR(__xludf.DUMMYFUNCTION("""COMPUTED_VALUE"""),0)</f>
        <v>0</v>
      </c>
      <c r="P239" s="23">
        <f ca="1">IFERROR(__xludf.DUMMYFUNCTION("""COMPUTED_VALUE"""),0)</f>
        <v>0</v>
      </c>
      <c r="Q239" s="24">
        <f ca="1">IFERROR(__xludf.DUMMYFUNCTION("""COMPUTED_VALUE"""),0)</f>
        <v>0</v>
      </c>
      <c r="R239" s="20"/>
    </row>
    <row r="240" spans="1:18" ht="13.2" hidden="1" outlineLevel="1" x14ac:dyDescent="0.25">
      <c r="A240" s="1"/>
      <c r="B240" s="21" t="str">
        <f ca="1">IFERROR(__xludf.DUMMYFUNCTION("""COMPUTED_VALUE"""),"Biogás")</f>
        <v>Biogás</v>
      </c>
      <c r="C240" s="22">
        <f ca="1">IFERROR(__xludf.DUMMYFUNCTION("""COMPUTED_VALUE"""),0)</f>
        <v>0</v>
      </c>
      <c r="D240" s="23">
        <f ca="1">IFERROR(__xludf.DUMMYFUNCTION("""COMPUTED_VALUE"""),0)</f>
        <v>0</v>
      </c>
      <c r="E240" s="23">
        <f ca="1">IFERROR(__xludf.DUMMYFUNCTION("""COMPUTED_VALUE"""),0)</f>
        <v>0</v>
      </c>
      <c r="F240" s="23">
        <f ca="1">IFERROR(__xludf.DUMMYFUNCTION("""COMPUTED_VALUE"""),0)</f>
        <v>0</v>
      </c>
      <c r="G240" s="23">
        <f ca="1">IFERROR(__xludf.DUMMYFUNCTION("""COMPUTED_VALUE"""),0)</f>
        <v>0</v>
      </c>
      <c r="H240" s="23">
        <f ca="1">IFERROR(__xludf.DUMMYFUNCTION("""COMPUTED_VALUE"""),0)</f>
        <v>0</v>
      </c>
      <c r="I240" s="23">
        <f ca="1">IFERROR(__xludf.DUMMYFUNCTION("""COMPUTED_VALUE"""),0)</f>
        <v>0</v>
      </c>
      <c r="J240" s="23">
        <f ca="1">IFERROR(__xludf.DUMMYFUNCTION("""COMPUTED_VALUE"""),0)</f>
        <v>0</v>
      </c>
      <c r="K240" s="23">
        <f ca="1">IFERROR(__xludf.DUMMYFUNCTION("""COMPUTED_VALUE"""),0)</f>
        <v>0</v>
      </c>
      <c r="L240" s="23">
        <f ca="1">IFERROR(__xludf.DUMMYFUNCTION("""COMPUTED_VALUE"""),0)</f>
        <v>0</v>
      </c>
      <c r="M240" s="23">
        <f ca="1">IFERROR(__xludf.DUMMYFUNCTION("""COMPUTED_VALUE"""),0)</f>
        <v>0</v>
      </c>
      <c r="N240" s="23">
        <f ca="1">IFERROR(__xludf.DUMMYFUNCTION("""COMPUTED_VALUE"""),0)</f>
        <v>0</v>
      </c>
      <c r="O240" s="23">
        <f ca="1">IFERROR(__xludf.DUMMYFUNCTION("""COMPUTED_VALUE"""),0)</f>
        <v>0</v>
      </c>
      <c r="P240" s="23">
        <f ca="1">IFERROR(__xludf.DUMMYFUNCTION("""COMPUTED_VALUE"""),0)</f>
        <v>0</v>
      </c>
      <c r="Q240" s="24">
        <f ca="1">IFERROR(__xludf.DUMMYFUNCTION("""COMPUTED_VALUE"""),0)</f>
        <v>0</v>
      </c>
      <c r="R240" s="20"/>
    </row>
    <row r="241" spans="1:18" ht="13.2" hidden="1" outlineLevel="1" x14ac:dyDescent="0.25">
      <c r="A241" s="1"/>
      <c r="B241" s="21" t="str">
        <f ca="1">IFERROR(__xludf.DUMMYFUNCTION("""COMPUTED_VALUE"""),"Coque de carbón")</f>
        <v>Coque de carbón</v>
      </c>
      <c r="C241" s="22">
        <f ca="1">IFERROR(__xludf.DUMMYFUNCTION("""COMPUTED_VALUE"""),0)</f>
        <v>0</v>
      </c>
      <c r="D241" s="23">
        <f ca="1">IFERROR(__xludf.DUMMYFUNCTION("""COMPUTED_VALUE"""),0)</f>
        <v>0</v>
      </c>
      <c r="E241" s="23">
        <f ca="1">IFERROR(__xludf.DUMMYFUNCTION("""COMPUTED_VALUE"""),0)</f>
        <v>0</v>
      </c>
      <c r="F241" s="23">
        <f ca="1">IFERROR(__xludf.DUMMYFUNCTION("""COMPUTED_VALUE"""),0)</f>
        <v>0</v>
      </c>
      <c r="G241" s="23">
        <f ca="1">IFERROR(__xludf.DUMMYFUNCTION("""COMPUTED_VALUE"""),0)</f>
        <v>0</v>
      </c>
      <c r="H241" s="23">
        <f ca="1">IFERROR(__xludf.DUMMYFUNCTION("""COMPUTED_VALUE"""),0)</f>
        <v>0</v>
      </c>
      <c r="I241" s="23">
        <f ca="1">IFERROR(__xludf.DUMMYFUNCTION("""COMPUTED_VALUE"""),0)</f>
        <v>0</v>
      </c>
      <c r="J241" s="23">
        <f ca="1">IFERROR(__xludf.DUMMYFUNCTION("""COMPUTED_VALUE"""),0)</f>
        <v>0</v>
      </c>
      <c r="K241" s="23">
        <f ca="1">IFERROR(__xludf.DUMMYFUNCTION("""COMPUTED_VALUE"""),0)</f>
        <v>0</v>
      </c>
      <c r="L241" s="23">
        <f ca="1">IFERROR(__xludf.DUMMYFUNCTION("""COMPUTED_VALUE"""),0)</f>
        <v>0</v>
      </c>
      <c r="M241" s="23">
        <f ca="1">IFERROR(__xludf.DUMMYFUNCTION("""COMPUTED_VALUE"""),0)</f>
        <v>0</v>
      </c>
      <c r="N241" s="23">
        <f ca="1">IFERROR(__xludf.DUMMYFUNCTION("""COMPUTED_VALUE"""),0)</f>
        <v>0</v>
      </c>
      <c r="O241" s="23">
        <f ca="1">IFERROR(__xludf.DUMMYFUNCTION("""COMPUTED_VALUE"""),0)</f>
        <v>0</v>
      </c>
      <c r="P241" s="23">
        <f ca="1">IFERROR(__xludf.DUMMYFUNCTION("""COMPUTED_VALUE"""),0)</f>
        <v>0</v>
      </c>
      <c r="Q241" s="24">
        <f ca="1">IFERROR(__xludf.DUMMYFUNCTION("""COMPUTED_VALUE"""),0)</f>
        <v>0</v>
      </c>
      <c r="R241" s="20"/>
    </row>
    <row r="242" spans="1:18" ht="13.2" hidden="1" outlineLevel="1" x14ac:dyDescent="0.25">
      <c r="A242" s="1"/>
      <c r="B242" s="21" t="str">
        <f ca="1">IFERROR(__xludf.DUMMYFUNCTION("""COMPUTED_VALUE"""),"Coque de petróleo")</f>
        <v>Coque de petróleo</v>
      </c>
      <c r="C242" s="22">
        <f ca="1">IFERROR(__xludf.DUMMYFUNCTION("""COMPUTED_VALUE"""),34.0729249166294)</f>
        <v>34.072924916629397</v>
      </c>
      <c r="D242" s="23">
        <f ca="1">IFERROR(__xludf.DUMMYFUNCTION("""COMPUTED_VALUE"""),32.3833241308995)</f>
        <v>32.383324130899503</v>
      </c>
      <c r="E242" s="23">
        <f ca="1">IFERROR(__xludf.DUMMYFUNCTION("""COMPUTED_VALUE"""),29.6478008853694)</f>
        <v>29.647800885369399</v>
      </c>
      <c r="F242" s="23">
        <f ca="1">IFERROR(__xludf.DUMMYFUNCTION("""COMPUTED_VALUE"""),35.141713337875)</f>
        <v>35.141713337874997</v>
      </c>
      <c r="G242" s="23">
        <f ca="1">IFERROR(__xludf.DUMMYFUNCTION("""COMPUTED_VALUE"""),47.77)</f>
        <v>47.77</v>
      </c>
      <c r="H242" s="23">
        <f ca="1">IFERROR(__xludf.DUMMYFUNCTION("""COMPUTED_VALUE"""),49.69)</f>
        <v>49.69</v>
      </c>
      <c r="I242" s="23">
        <f ca="1">IFERROR(__xludf.DUMMYFUNCTION("""COMPUTED_VALUE"""),41.18)</f>
        <v>41.18</v>
      </c>
      <c r="J242" s="23">
        <f ca="1">IFERROR(__xludf.DUMMYFUNCTION("""COMPUTED_VALUE"""),26.99)</f>
        <v>26.99</v>
      </c>
      <c r="K242" s="23">
        <f ca="1">IFERROR(__xludf.DUMMYFUNCTION("""COMPUTED_VALUE"""),15.0183860003138)</f>
        <v>15.0183860003138</v>
      </c>
      <c r="L242" s="23">
        <f ca="1">IFERROR(__xludf.DUMMYFUNCTION("""COMPUTED_VALUE"""),34.042253775425)</f>
        <v>34.042253775425003</v>
      </c>
      <c r="M242" s="23">
        <f ca="1">IFERROR(__xludf.DUMMYFUNCTION("""COMPUTED_VALUE"""),27.427957384476)</f>
        <v>27.427957384475999</v>
      </c>
      <c r="N242" s="23">
        <f ca="1">IFERROR(__xludf.DUMMYFUNCTION("""COMPUTED_VALUE"""),24.0249629128229)</f>
        <v>24.0249629128229</v>
      </c>
      <c r="O242" s="23">
        <f ca="1">IFERROR(__xludf.DUMMYFUNCTION("""COMPUTED_VALUE"""),24.6227925357295)</f>
        <v>24.622792535729499</v>
      </c>
      <c r="P242" s="23">
        <f ca="1">IFERROR(__xludf.DUMMYFUNCTION("""COMPUTED_VALUE"""),23.126420933542)</f>
        <v>23.126420933542001</v>
      </c>
      <c r="Q242" s="24">
        <f ca="1">IFERROR(__xludf.DUMMYFUNCTION("""COMPUTED_VALUE"""),37.7296770229101)</f>
        <v>37.729677022910103</v>
      </c>
      <c r="R242" s="20"/>
    </row>
    <row r="243" spans="1:18" ht="13.2" hidden="1" outlineLevel="1" x14ac:dyDescent="0.25">
      <c r="A243" s="1"/>
      <c r="B243" s="21" t="str">
        <f ca="1">IFERROR(__xludf.DUMMYFUNCTION("""COMPUTED_VALUE"""),"Gas licuado de petróleo")</f>
        <v>Gas licuado de petróleo</v>
      </c>
      <c r="C243" s="22">
        <f ca="1">IFERROR(__xludf.DUMMYFUNCTION("""COMPUTED_VALUE"""),34.6652264476596)</f>
        <v>34.665226447659599</v>
      </c>
      <c r="D243" s="23">
        <f ca="1">IFERROR(__xludf.DUMMYFUNCTION("""COMPUTED_VALUE"""),28.1435209715492)</f>
        <v>28.143520971549201</v>
      </c>
      <c r="E243" s="23">
        <f ca="1">IFERROR(__xludf.DUMMYFUNCTION("""COMPUTED_VALUE"""),33.5936010032024)</f>
        <v>33.593601003202402</v>
      </c>
      <c r="F243" s="23">
        <f ca="1">IFERROR(__xludf.DUMMYFUNCTION("""COMPUTED_VALUE"""),35.454333506711)</f>
        <v>35.454333506711002</v>
      </c>
      <c r="G243" s="23">
        <f ca="1">IFERROR(__xludf.DUMMYFUNCTION("""COMPUTED_VALUE"""),39.78)</f>
        <v>39.78</v>
      </c>
      <c r="H243" s="23">
        <f ca="1">IFERROR(__xludf.DUMMYFUNCTION("""COMPUTED_VALUE"""),34.5)</f>
        <v>34.5</v>
      </c>
      <c r="I243" s="23">
        <f ca="1">IFERROR(__xludf.DUMMYFUNCTION("""COMPUTED_VALUE"""),26.73)</f>
        <v>26.73</v>
      </c>
      <c r="J243" s="23">
        <f ca="1">IFERROR(__xludf.DUMMYFUNCTION("""COMPUTED_VALUE"""),24.21)</f>
        <v>24.21</v>
      </c>
      <c r="K243" s="23">
        <f ca="1">IFERROR(__xludf.DUMMYFUNCTION("""COMPUTED_VALUE"""),13.5228162555002)</f>
        <v>13.522816255500199</v>
      </c>
      <c r="L243" s="23">
        <f ca="1">IFERROR(__xludf.DUMMYFUNCTION("""COMPUTED_VALUE"""),11.5451464078643)</f>
        <v>11.5451464078643</v>
      </c>
      <c r="M243" s="23">
        <f ca="1">IFERROR(__xludf.DUMMYFUNCTION("""COMPUTED_VALUE"""),8.11675574177343)</f>
        <v>8.1167557417734297</v>
      </c>
      <c r="N243" s="23">
        <f ca="1">IFERROR(__xludf.DUMMYFUNCTION("""COMPUTED_VALUE"""),14.383733021193)</f>
        <v>14.383733021193001</v>
      </c>
      <c r="O243" s="23">
        <f ca="1">IFERROR(__xludf.DUMMYFUNCTION("""COMPUTED_VALUE"""),15.2076404473547)</f>
        <v>15.2076404473547</v>
      </c>
      <c r="P243" s="23">
        <f ca="1">IFERROR(__xludf.DUMMYFUNCTION("""COMPUTED_VALUE"""),15.7772678023724)</f>
        <v>15.7772678023724</v>
      </c>
      <c r="Q243" s="24">
        <f ca="1">IFERROR(__xludf.DUMMYFUNCTION("""COMPUTED_VALUE"""),21.3245457012054)</f>
        <v>21.324545701205398</v>
      </c>
      <c r="R243" s="20"/>
    </row>
    <row r="244" spans="1:18" ht="13.2" hidden="1" outlineLevel="1" x14ac:dyDescent="0.25">
      <c r="A244" s="1"/>
      <c r="B244" s="21" t="str">
        <f ca="1">IFERROR(__xludf.DUMMYFUNCTION("""COMPUTED_VALUE"""),"Gasolinas y naftas")</f>
        <v>Gasolinas y naftas</v>
      </c>
      <c r="C244" s="22">
        <f ca="1">IFERROR(__xludf.DUMMYFUNCTION("""COMPUTED_VALUE"""),614.972651474454)</f>
        <v>614.97265147445398</v>
      </c>
      <c r="D244" s="23">
        <f ca="1">IFERROR(__xludf.DUMMYFUNCTION("""COMPUTED_VALUE"""),549.690479609763)</f>
        <v>549.69047960976297</v>
      </c>
      <c r="E244" s="23">
        <f ca="1">IFERROR(__xludf.DUMMYFUNCTION("""COMPUTED_VALUE"""),567.507416947419)</f>
        <v>567.50741694741896</v>
      </c>
      <c r="F244" s="23">
        <f ca="1">IFERROR(__xludf.DUMMYFUNCTION("""COMPUTED_VALUE"""),655.348064701486)</f>
        <v>655.34806470148601</v>
      </c>
      <c r="G244" s="23">
        <f ca="1">IFERROR(__xludf.DUMMYFUNCTION("""COMPUTED_VALUE"""),789.98)</f>
        <v>789.98</v>
      </c>
      <c r="H244" s="23">
        <f ca="1">IFERROR(__xludf.DUMMYFUNCTION("""COMPUTED_VALUE"""),720.52)</f>
        <v>720.52</v>
      </c>
      <c r="I244" s="23">
        <f ca="1">IFERROR(__xludf.DUMMYFUNCTION("""COMPUTED_VALUE"""),638.69)</f>
        <v>638.69000000000005</v>
      </c>
      <c r="J244" s="23">
        <f ca="1">IFERROR(__xludf.DUMMYFUNCTION("""COMPUTED_VALUE"""),484.37)</f>
        <v>484.37</v>
      </c>
      <c r="K244" s="23">
        <f ca="1">IFERROR(__xludf.DUMMYFUNCTION("""COMPUTED_VALUE"""),378.638855154007)</f>
        <v>378.63885515400699</v>
      </c>
      <c r="L244" s="23">
        <f ca="1">IFERROR(__xludf.DUMMYFUNCTION("""COMPUTED_VALUE"""),429.960585680513)</f>
        <v>429.96058568051302</v>
      </c>
      <c r="M244" s="23">
        <f ca="1">IFERROR(__xludf.DUMMYFUNCTION("""COMPUTED_VALUE"""),373.182972857629)</f>
        <v>373.18297285762901</v>
      </c>
      <c r="N244" s="23">
        <f ca="1">IFERROR(__xludf.DUMMYFUNCTION("""COMPUTED_VALUE"""),532.164645291465)</f>
        <v>532.16464529146504</v>
      </c>
      <c r="O244" s="23">
        <f ca="1">IFERROR(__xludf.DUMMYFUNCTION("""COMPUTED_VALUE"""),492.050187849059)</f>
        <v>492.050187849059</v>
      </c>
      <c r="P244" s="23">
        <f ca="1">IFERROR(__xludf.DUMMYFUNCTION("""COMPUTED_VALUE"""),493.70633562482)</f>
        <v>493.70633562481999</v>
      </c>
      <c r="Q244" s="24">
        <f ca="1">IFERROR(__xludf.DUMMYFUNCTION("""COMPUTED_VALUE"""),613.630537061146)</f>
        <v>613.63053706114601</v>
      </c>
      <c r="R244" s="20"/>
    </row>
    <row r="245" spans="1:18" ht="13.2" hidden="1" outlineLevel="1" x14ac:dyDescent="0.25">
      <c r="A245" s="1"/>
      <c r="B245" s="21" t="str">
        <f ca="1">IFERROR(__xludf.DUMMYFUNCTION("""COMPUTED_VALUE"""),"Querosenos")</f>
        <v>Querosenos</v>
      </c>
      <c r="C245" s="22">
        <f ca="1">IFERROR(__xludf.DUMMYFUNCTION("""COMPUTED_VALUE"""),85.0887909972004)</f>
        <v>85.088790997200405</v>
      </c>
      <c r="D245" s="23">
        <f ca="1">IFERROR(__xludf.DUMMYFUNCTION("""COMPUTED_VALUE"""),85.7317438842414)</f>
        <v>85.731743884241396</v>
      </c>
      <c r="E245" s="23">
        <f ca="1">IFERROR(__xludf.DUMMYFUNCTION("""COMPUTED_VALUE"""),83.209322484872)</f>
        <v>83.209322484872004</v>
      </c>
      <c r="F245" s="23">
        <f ca="1">IFERROR(__xludf.DUMMYFUNCTION("""COMPUTED_VALUE"""),97.0966180797629)</f>
        <v>97.096618079762905</v>
      </c>
      <c r="G245" s="23">
        <f ca="1">IFERROR(__xludf.DUMMYFUNCTION("""COMPUTED_VALUE"""),107.79)</f>
        <v>107.79</v>
      </c>
      <c r="H245" s="23">
        <f ca="1">IFERROR(__xludf.DUMMYFUNCTION("""COMPUTED_VALUE"""),102.69)</f>
        <v>102.69</v>
      </c>
      <c r="I245" s="23">
        <f ca="1">IFERROR(__xludf.DUMMYFUNCTION("""COMPUTED_VALUE"""),92.61)</f>
        <v>92.61</v>
      </c>
      <c r="J245" s="23">
        <f ca="1">IFERROR(__xludf.DUMMYFUNCTION("""COMPUTED_VALUE"""),85.56)</f>
        <v>85.56</v>
      </c>
      <c r="K245" s="23">
        <f ca="1">IFERROR(__xludf.DUMMYFUNCTION("""COMPUTED_VALUE"""),68.7693417390638)</f>
        <v>68.769341739063805</v>
      </c>
      <c r="L245" s="23">
        <f ca="1">IFERROR(__xludf.DUMMYFUNCTION("""COMPUTED_VALUE"""),66.8981366545138)</f>
        <v>66.898136654513806</v>
      </c>
      <c r="M245" s="23">
        <f ca="1">IFERROR(__xludf.DUMMYFUNCTION("""COMPUTED_VALUE"""),38.4241791734595)</f>
        <v>38.4241791734595</v>
      </c>
      <c r="N245" s="23">
        <f ca="1">IFERROR(__xludf.DUMMYFUNCTION("""COMPUTED_VALUE"""),68.1581390949941)</f>
        <v>68.158139094994098</v>
      </c>
      <c r="O245" s="23">
        <f ca="1">IFERROR(__xludf.DUMMYFUNCTION("""COMPUTED_VALUE"""),66.1230470815817)</f>
        <v>66.123047081581703</v>
      </c>
      <c r="P245" s="23">
        <f ca="1">IFERROR(__xludf.DUMMYFUNCTION("""COMPUTED_VALUE"""),77.5630842929536)</f>
        <v>77.563084292953604</v>
      </c>
      <c r="Q245" s="24">
        <f ca="1">IFERROR(__xludf.DUMMYFUNCTION("""COMPUTED_VALUE"""),76.2456103397362)</f>
        <v>76.245610339736203</v>
      </c>
      <c r="R245" s="20"/>
    </row>
    <row r="246" spans="1:18" ht="13.2" hidden="1" outlineLevel="1" x14ac:dyDescent="0.25">
      <c r="A246" s="1"/>
      <c r="B246" s="21" t="str">
        <f ca="1">IFERROR(__xludf.DUMMYFUNCTION("""COMPUTED_VALUE"""),"Diesel")</f>
        <v>Diesel</v>
      </c>
      <c r="C246" s="22">
        <f ca="1">IFERROR(__xludf.DUMMYFUNCTION("""COMPUTED_VALUE"""),461.706836879203)</f>
        <v>461.70683687920302</v>
      </c>
      <c r="D246" s="23">
        <f ca="1">IFERROR(__xludf.DUMMYFUNCTION("""COMPUTED_VALUE"""),424.608976403482)</f>
        <v>424.60897640348202</v>
      </c>
      <c r="E246" s="23">
        <f ca="1">IFERROR(__xludf.DUMMYFUNCTION("""COMPUTED_VALUE"""),448.568693395563)</f>
        <v>448.568693395563</v>
      </c>
      <c r="F246" s="23">
        <f ca="1">IFERROR(__xludf.DUMMYFUNCTION("""COMPUTED_VALUE"""),530.732855862388)</f>
        <v>530.73285586238796</v>
      </c>
      <c r="G246" s="23">
        <f ca="1">IFERROR(__xludf.DUMMYFUNCTION("""COMPUTED_VALUE"""),605.86)</f>
        <v>605.86</v>
      </c>
      <c r="H246" s="23">
        <f ca="1">IFERROR(__xludf.DUMMYFUNCTION("""COMPUTED_VALUE"""),654.76)</f>
        <v>654.76</v>
      </c>
      <c r="I246" s="23">
        <f ca="1">IFERROR(__xludf.DUMMYFUNCTION("""COMPUTED_VALUE"""),515.11)</f>
        <v>515.11</v>
      </c>
      <c r="J246" s="23">
        <f ca="1">IFERROR(__xludf.DUMMYFUNCTION("""COMPUTED_VALUE"""),343)</f>
        <v>343</v>
      </c>
      <c r="K246" s="23">
        <f ca="1">IFERROR(__xludf.DUMMYFUNCTION("""COMPUTED_VALUE"""),239.165782065821)</f>
        <v>239.16578206582099</v>
      </c>
      <c r="L246" s="23">
        <f ca="1">IFERROR(__xludf.DUMMYFUNCTION("""COMPUTED_VALUE"""),343.816876707656)</f>
        <v>343.81687670765598</v>
      </c>
      <c r="M246" s="23">
        <f ca="1">IFERROR(__xludf.DUMMYFUNCTION("""COMPUTED_VALUE"""),297.044048174515)</f>
        <v>297.04404817451501</v>
      </c>
      <c r="N246" s="23">
        <f ca="1">IFERROR(__xludf.DUMMYFUNCTION("""COMPUTED_VALUE"""),299.80430960465)</f>
        <v>299.80430960464997</v>
      </c>
      <c r="O246" s="23">
        <f ca="1">IFERROR(__xludf.DUMMYFUNCTION("""COMPUTED_VALUE"""),324.73784086777)</f>
        <v>324.73784086776999</v>
      </c>
      <c r="P246" s="23">
        <f ca="1">IFERROR(__xludf.DUMMYFUNCTION("""COMPUTED_VALUE"""),336.076161955439)</f>
        <v>336.07616195543898</v>
      </c>
      <c r="Q246" s="24">
        <f ca="1">IFERROR(__xludf.DUMMYFUNCTION("""COMPUTED_VALUE"""),440.133523232056)</f>
        <v>440.13352323205601</v>
      </c>
      <c r="R246" s="20"/>
    </row>
    <row r="247" spans="1:18" ht="13.2" hidden="1" outlineLevel="1" x14ac:dyDescent="0.25">
      <c r="A247" s="1"/>
      <c r="B247" s="21" t="str">
        <f ca="1">IFERROR(__xludf.DUMMYFUNCTION("""COMPUTED_VALUE"""),"Combustóleo")</f>
        <v>Combustóleo</v>
      </c>
      <c r="C247" s="22">
        <f ca="1">IFERROR(__xludf.DUMMYFUNCTION("""COMPUTED_VALUE"""),583.409214623505)</f>
        <v>583.40921462350502</v>
      </c>
      <c r="D247" s="23">
        <f ca="1">IFERROR(__xludf.DUMMYFUNCTION("""COMPUTED_VALUE"""),528.155203562442)</f>
        <v>528.15520356244201</v>
      </c>
      <c r="E247" s="23">
        <f ca="1">IFERROR(__xludf.DUMMYFUNCTION("""COMPUTED_VALUE"""),458.2340936842)</f>
        <v>458.23409368419999</v>
      </c>
      <c r="F247" s="23">
        <f ca="1">IFERROR(__xludf.DUMMYFUNCTION("""COMPUTED_VALUE"""),501.458782616512)</f>
        <v>501.458782616512</v>
      </c>
      <c r="G247" s="23">
        <f ca="1">IFERROR(__xludf.DUMMYFUNCTION("""COMPUTED_VALUE"""),595.72)</f>
        <v>595.72</v>
      </c>
      <c r="H247" s="23">
        <f ca="1">IFERROR(__xludf.DUMMYFUNCTION("""COMPUTED_VALUE"""),565.91)</f>
        <v>565.91</v>
      </c>
      <c r="I247" s="23">
        <f ca="1">IFERROR(__xludf.DUMMYFUNCTION("""COMPUTED_VALUE"""),548.05)</f>
        <v>548.04999999999995</v>
      </c>
      <c r="J247" s="23">
        <f ca="1">IFERROR(__xludf.DUMMYFUNCTION("""COMPUTED_VALUE"""),508.16)</f>
        <v>508.16</v>
      </c>
      <c r="K247" s="23">
        <f ca="1">IFERROR(__xludf.DUMMYFUNCTION("""COMPUTED_VALUE"""),387.057032160742)</f>
        <v>387.05703216074198</v>
      </c>
      <c r="L247" s="23">
        <f ca="1">IFERROR(__xludf.DUMMYFUNCTION("""COMPUTED_VALUE"""),389.063744504034)</f>
        <v>389.06374450403399</v>
      </c>
      <c r="M247" s="23">
        <f ca="1">IFERROR(__xludf.DUMMYFUNCTION("""COMPUTED_VALUE"""),435.383612616566)</f>
        <v>435.38361261656598</v>
      </c>
      <c r="N247" s="23">
        <f ca="1">IFERROR(__xludf.DUMMYFUNCTION("""COMPUTED_VALUE"""),662.220819350429)</f>
        <v>662.220819350429</v>
      </c>
      <c r="O247" s="23">
        <f ca="1">IFERROR(__xludf.DUMMYFUNCTION("""COMPUTED_VALUE"""),571.409165171111)</f>
        <v>571.409165171111</v>
      </c>
      <c r="P247" s="23">
        <f ca="1">IFERROR(__xludf.DUMMYFUNCTION("""COMPUTED_VALUE"""),638.694337287396)</f>
        <v>638.69433728739602</v>
      </c>
      <c r="Q247" s="24">
        <f ca="1">IFERROR(__xludf.DUMMYFUNCTION("""COMPUTED_VALUE"""),690.386151483422)</f>
        <v>690.38615148342205</v>
      </c>
      <c r="R247" s="20"/>
    </row>
    <row r="248" spans="1:18" ht="13.2" hidden="1" outlineLevel="1" x14ac:dyDescent="0.25">
      <c r="A248" s="1"/>
      <c r="B248" s="21" t="str">
        <f ca="1">IFERROR(__xludf.DUMMYFUNCTION("""COMPUTED_VALUE"""),"Otros energéticos")</f>
        <v>Otros energéticos</v>
      </c>
      <c r="C248" s="22">
        <f ca="1">IFERROR(__xludf.DUMMYFUNCTION("""COMPUTED_VALUE"""),69.7045380728119)</f>
        <v>69.7045380728119</v>
      </c>
      <c r="D248" s="23">
        <f ca="1">IFERROR(__xludf.DUMMYFUNCTION("""COMPUTED_VALUE"""),67.4128702336693)</f>
        <v>67.412870233669295</v>
      </c>
      <c r="E248" s="23">
        <f ca="1">IFERROR(__xludf.DUMMYFUNCTION("""COMPUTED_VALUE"""),59.4621217757116)</f>
        <v>59.462121775711601</v>
      </c>
      <c r="F248" s="23">
        <f ca="1">IFERROR(__xludf.DUMMYFUNCTION("""COMPUTED_VALUE"""),63.1893536137019)</f>
        <v>63.189353613701897</v>
      </c>
      <c r="G248" s="23">
        <f ca="1">IFERROR(__xludf.DUMMYFUNCTION("""COMPUTED_VALUE"""),84.76)</f>
        <v>84.76</v>
      </c>
      <c r="H248" s="23">
        <f ca="1">IFERROR(__xludf.DUMMYFUNCTION("""COMPUTED_VALUE"""),62.63)</f>
        <v>62.63</v>
      </c>
      <c r="I248" s="23">
        <f ca="1">IFERROR(__xludf.DUMMYFUNCTION("""COMPUTED_VALUE"""),64.13)</f>
        <v>64.13</v>
      </c>
      <c r="J248" s="23">
        <f ca="1">IFERROR(__xludf.DUMMYFUNCTION("""COMPUTED_VALUE"""),62.25)</f>
        <v>62.25</v>
      </c>
      <c r="K248" s="23">
        <f ca="1">IFERROR(__xludf.DUMMYFUNCTION("""COMPUTED_VALUE"""),44.1148297182743)</f>
        <v>44.114829718274301</v>
      </c>
      <c r="L248" s="23">
        <f ca="1">IFERROR(__xludf.DUMMYFUNCTION("""COMPUTED_VALUE"""),40.2816858968969)</f>
        <v>40.281685896896903</v>
      </c>
      <c r="M248" s="23">
        <f ca="1">IFERROR(__xludf.DUMMYFUNCTION("""COMPUTED_VALUE"""),31.3820067753913)</f>
        <v>31.3820067753913</v>
      </c>
      <c r="N248" s="23">
        <f ca="1">IFERROR(__xludf.DUMMYFUNCTION("""COMPUTED_VALUE"""),13.8369503074316)</f>
        <v>13.8369503074316</v>
      </c>
      <c r="O248" s="23">
        <f ca="1">IFERROR(__xludf.DUMMYFUNCTION("""COMPUTED_VALUE"""),11.9529035029767)</f>
        <v>11.952903502976699</v>
      </c>
      <c r="P248" s="23">
        <f ca="1">IFERROR(__xludf.DUMMYFUNCTION("""COMPUTED_VALUE"""),35.5751941737366)</f>
        <v>35.575194173736598</v>
      </c>
      <c r="Q248" s="24">
        <f ca="1">IFERROR(__xludf.DUMMYFUNCTION("""COMPUTED_VALUE"""),38.8771862086252)</f>
        <v>38.877186208625197</v>
      </c>
      <c r="R248" s="20"/>
    </row>
    <row r="249" spans="1:18" ht="13.2" hidden="1" outlineLevel="1" x14ac:dyDescent="0.25">
      <c r="A249" s="1"/>
      <c r="B249" s="21" t="str">
        <f ca="1">IFERROR(__xludf.DUMMYFUNCTION("""COMPUTED_VALUE"""),"Gas natural seco")</f>
        <v>Gas natural seco</v>
      </c>
      <c r="C249" s="22">
        <f ca="1">IFERROR(__xludf.DUMMYFUNCTION("""COMPUTED_VALUE"""),451.216865027012)</f>
        <v>451.21686502701198</v>
      </c>
      <c r="D249" s="23">
        <f ca="1">IFERROR(__xludf.DUMMYFUNCTION("""COMPUTED_VALUE"""),505.786586894146)</f>
        <v>505.78658689414601</v>
      </c>
      <c r="E249" s="23">
        <f ca="1">IFERROR(__xludf.DUMMYFUNCTION("""COMPUTED_VALUE"""),609.144658190828)</f>
        <v>609.14465819082795</v>
      </c>
      <c r="F249" s="23">
        <f ca="1">IFERROR(__xludf.DUMMYFUNCTION("""COMPUTED_VALUE"""),758.632958943849)</f>
        <v>758.63295894384896</v>
      </c>
      <c r="G249" s="23">
        <f ca="1">IFERROR(__xludf.DUMMYFUNCTION("""COMPUTED_VALUE"""),110.2)</f>
        <v>110.2</v>
      </c>
      <c r="H249" s="23">
        <f ca="1">IFERROR(__xludf.DUMMYFUNCTION("""COMPUTED_VALUE"""),103.97)</f>
        <v>103.97</v>
      </c>
      <c r="I249" s="23">
        <f ca="1">IFERROR(__xludf.DUMMYFUNCTION("""COMPUTED_VALUE"""),98)</f>
        <v>98</v>
      </c>
      <c r="J249" s="23">
        <f ca="1">IFERROR(__xludf.DUMMYFUNCTION("""COMPUTED_VALUE"""),72.89)</f>
        <v>72.89</v>
      </c>
      <c r="K249" s="23">
        <f ca="1">IFERROR(__xludf.DUMMYFUNCTION("""COMPUTED_VALUE"""),53.3479579033211)</f>
        <v>53.347957903321102</v>
      </c>
      <c r="L249" s="23">
        <f ca="1">IFERROR(__xludf.DUMMYFUNCTION("""COMPUTED_VALUE"""),95.0414906953782)</f>
        <v>95.041490695378201</v>
      </c>
      <c r="M249" s="23">
        <f ca="1">IFERROR(__xludf.DUMMYFUNCTION("""COMPUTED_VALUE"""),85.4137265525695)</f>
        <v>85.4137265525695</v>
      </c>
      <c r="N249" s="23">
        <f ca="1">IFERROR(__xludf.DUMMYFUNCTION("""COMPUTED_VALUE"""),110.260408054622)</f>
        <v>110.260408054622</v>
      </c>
      <c r="O249" s="23">
        <f ca="1">IFERROR(__xludf.DUMMYFUNCTION("""COMPUTED_VALUE"""),99.9628772829846)</f>
        <v>99.962877282984607</v>
      </c>
      <c r="P249" s="23">
        <f ca="1">IFERROR(__xludf.DUMMYFUNCTION("""COMPUTED_VALUE"""),103.336014664313)</f>
        <v>103.336014664313</v>
      </c>
      <c r="Q249" s="24">
        <f ca="1">IFERROR(__xludf.DUMMYFUNCTION("""COMPUTED_VALUE"""),118.055320022966)</f>
        <v>118.055320022966</v>
      </c>
      <c r="R249" s="20"/>
    </row>
    <row r="250" spans="1:18" ht="13.2" hidden="1" outlineLevel="1" x14ac:dyDescent="0.25">
      <c r="A250" s="1"/>
      <c r="B250" s="25" t="str">
        <f ca="1">IFERROR(__xludf.DUMMYFUNCTION("""COMPUTED_VALUE"""),"Energía eléctrica")</f>
        <v>Energía eléctrica</v>
      </c>
      <c r="C250" s="26">
        <f ca="1">IFERROR(__xludf.DUMMYFUNCTION("""COMPUTED_VALUE"""),0)</f>
        <v>0</v>
      </c>
      <c r="D250" s="27">
        <f ca="1">IFERROR(__xludf.DUMMYFUNCTION("""COMPUTED_VALUE"""),0)</f>
        <v>0</v>
      </c>
      <c r="E250" s="27">
        <f ca="1">IFERROR(__xludf.DUMMYFUNCTION("""COMPUTED_VALUE"""),0)</f>
        <v>0</v>
      </c>
      <c r="F250" s="27">
        <f ca="1">IFERROR(__xludf.DUMMYFUNCTION("""COMPUTED_VALUE"""),0)</f>
        <v>0</v>
      </c>
      <c r="G250" s="27">
        <f ca="1">IFERROR(__xludf.DUMMYFUNCTION("""COMPUTED_VALUE"""),0)</f>
        <v>0</v>
      </c>
      <c r="H250" s="27">
        <f ca="1">IFERROR(__xludf.DUMMYFUNCTION("""COMPUTED_VALUE"""),0)</f>
        <v>0</v>
      </c>
      <c r="I250" s="27">
        <f ca="1">IFERROR(__xludf.DUMMYFUNCTION("""COMPUTED_VALUE"""),0)</f>
        <v>0</v>
      </c>
      <c r="J250" s="27">
        <f ca="1">IFERROR(__xludf.DUMMYFUNCTION("""COMPUTED_VALUE"""),0)</f>
        <v>0</v>
      </c>
      <c r="K250" s="27">
        <f ca="1">IFERROR(__xludf.DUMMYFUNCTION("""COMPUTED_VALUE"""),0)</f>
        <v>0</v>
      </c>
      <c r="L250" s="27">
        <f ca="1">IFERROR(__xludf.DUMMYFUNCTION("""COMPUTED_VALUE"""),0)</f>
        <v>0</v>
      </c>
      <c r="M250" s="27">
        <f ca="1">IFERROR(__xludf.DUMMYFUNCTION("""COMPUTED_VALUE"""),0)</f>
        <v>0</v>
      </c>
      <c r="N250" s="27">
        <f ca="1">IFERROR(__xludf.DUMMYFUNCTION("""COMPUTED_VALUE"""),0)</f>
        <v>0</v>
      </c>
      <c r="O250" s="27">
        <f ca="1">IFERROR(__xludf.DUMMYFUNCTION("""COMPUTED_VALUE"""),0)</f>
        <v>0</v>
      </c>
      <c r="P250" s="27">
        <f ca="1">IFERROR(__xludf.DUMMYFUNCTION("""COMPUTED_VALUE"""),0)</f>
        <v>0</v>
      </c>
      <c r="Q250" s="28">
        <f ca="1">IFERROR(__xludf.DUMMYFUNCTION("""COMPUTED_VALUE"""),0)</f>
        <v>0</v>
      </c>
      <c r="R250" s="20"/>
    </row>
    <row r="251" spans="1:18" ht="13.2" hidden="1" outlineLevel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0"/>
    </row>
    <row r="252" spans="1:18" ht="13.2" collapsed="1" x14ac:dyDescent="0.25">
      <c r="A252" s="29"/>
      <c r="B252" s="5" t="str">
        <f ca="1">IFERROR(__xludf.DUMMYFUNCTION("""COMPUTED_VALUE"""),"PGFra(e,a)")</f>
        <v>PGFra(e,a)</v>
      </c>
      <c r="C252" s="6" t="str">
        <f ca="1">IFERROR(__xludf.DUMMYFUNCTION("""COMPUTED_VALUE"""),"-/+")</f>
        <v>-/+</v>
      </c>
      <c r="D252" s="7" t="str">
        <f ca="1">IFERROR(__xludf.DUMMYFUNCTION("""COMPUTED_VALUE"""),"Plantas de gas y fraccionadoras por energético e y año a.")</f>
        <v>Plantas de gas y fraccionadoras por energético e y año a.</v>
      </c>
      <c r="E252" s="6" t="str">
        <f ca="1">IFERROR(__xludf.DUMMYFUNCTION("""COMPUTED_VALUE"""),"cbne")</f>
        <v>cbne</v>
      </c>
      <c r="F252" s="6" t="str">
        <f ca="1">IFERROR(__xludf.DUMMYFUNCTION("""COMPUTED_VALUE"""),"a")</f>
        <v>a</v>
      </c>
      <c r="G252" s="8" t="str">
        <f ca="1">IFERROR(__xludf.DUMMYFUNCTION("""COMPUTED_VALUE"""),"PJ")</f>
        <v>PJ</v>
      </c>
      <c r="H252" s="9"/>
      <c r="I252" s="1"/>
      <c r="J252" s="1"/>
      <c r="K252" s="1"/>
      <c r="L252" s="1"/>
      <c r="M252" s="1"/>
      <c r="N252" s="1"/>
      <c r="O252" s="1"/>
      <c r="P252" s="1"/>
      <c r="Q252" s="1"/>
      <c r="R252" s="10"/>
    </row>
    <row r="253" spans="1:18" ht="13.2" hidden="1" outlineLevel="1" x14ac:dyDescent="0.25">
      <c r="A253" s="1"/>
      <c r="B253" s="11"/>
      <c r="C253" s="12">
        <f ca="1">IFERROR(__xludf.DUMMYFUNCTION("""COMPUTED_VALUE"""),2010)</f>
        <v>2010</v>
      </c>
      <c r="D253" s="13">
        <f ca="1">IFERROR(__xludf.DUMMYFUNCTION("""COMPUTED_VALUE"""),2011)</f>
        <v>2011</v>
      </c>
      <c r="E253" s="13">
        <f ca="1">IFERROR(__xludf.DUMMYFUNCTION("""COMPUTED_VALUE"""),2012)</f>
        <v>2012</v>
      </c>
      <c r="F253" s="13">
        <f ca="1">IFERROR(__xludf.DUMMYFUNCTION("""COMPUTED_VALUE"""),2013)</f>
        <v>2013</v>
      </c>
      <c r="G253" s="13">
        <f ca="1">IFERROR(__xludf.DUMMYFUNCTION("""COMPUTED_VALUE"""),2014)</f>
        <v>2014</v>
      </c>
      <c r="H253" s="13">
        <f ca="1">IFERROR(__xludf.DUMMYFUNCTION("""COMPUTED_VALUE"""),2015)</f>
        <v>2015</v>
      </c>
      <c r="I253" s="13">
        <f ca="1">IFERROR(__xludf.DUMMYFUNCTION("""COMPUTED_VALUE"""),2016)</f>
        <v>2016</v>
      </c>
      <c r="J253" s="13">
        <f ca="1">IFERROR(__xludf.DUMMYFUNCTION("""COMPUTED_VALUE"""),2017)</f>
        <v>2017</v>
      </c>
      <c r="K253" s="13">
        <f ca="1">IFERROR(__xludf.DUMMYFUNCTION("""COMPUTED_VALUE"""),2018)</f>
        <v>2018</v>
      </c>
      <c r="L253" s="13">
        <f ca="1">IFERROR(__xludf.DUMMYFUNCTION("""COMPUTED_VALUE"""),2019)</f>
        <v>2019</v>
      </c>
      <c r="M253" s="13">
        <f ca="1">IFERROR(__xludf.DUMMYFUNCTION("""COMPUTED_VALUE"""),2020)</f>
        <v>2020</v>
      </c>
      <c r="N253" s="13">
        <f ca="1">IFERROR(__xludf.DUMMYFUNCTION("""COMPUTED_VALUE"""),2021)</f>
        <v>2021</v>
      </c>
      <c r="O253" s="13">
        <f ca="1">IFERROR(__xludf.DUMMYFUNCTION("""COMPUTED_VALUE"""),2022)</f>
        <v>2022</v>
      </c>
      <c r="P253" s="13">
        <f ca="1">IFERROR(__xludf.DUMMYFUNCTION("""COMPUTED_VALUE"""),2023)</f>
        <v>2023</v>
      </c>
      <c r="Q253" s="14">
        <f ca="1">IFERROR(__xludf.DUMMYFUNCTION("""COMPUTED_VALUE"""),2024)</f>
        <v>2024</v>
      </c>
      <c r="R253" s="15"/>
    </row>
    <row r="254" spans="1:18" ht="13.2" hidden="1" outlineLevel="1" x14ac:dyDescent="0.25">
      <c r="A254" s="1"/>
      <c r="B254" s="16" t="str">
        <f ca="1">IFERROR(__xludf.DUMMYFUNCTION("""COMPUTED_VALUE"""),"Carbón mineral")</f>
        <v>Carbón mineral</v>
      </c>
      <c r="C254" s="17">
        <f ca="1">IFERROR(__xludf.DUMMYFUNCTION("""COMPUTED_VALUE"""),0)</f>
        <v>0</v>
      </c>
      <c r="D254" s="18">
        <f ca="1">IFERROR(__xludf.DUMMYFUNCTION("""COMPUTED_VALUE"""),0)</f>
        <v>0</v>
      </c>
      <c r="E254" s="18">
        <f ca="1">IFERROR(__xludf.DUMMYFUNCTION("""COMPUTED_VALUE"""),0)</f>
        <v>0</v>
      </c>
      <c r="F254" s="18">
        <f ca="1">IFERROR(__xludf.DUMMYFUNCTION("""COMPUTED_VALUE"""),0)</f>
        <v>0</v>
      </c>
      <c r="G254" s="18">
        <f ca="1">IFERROR(__xludf.DUMMYFUNCTION("""COMPUTED_VALUE"""),0)</f>
        <v>0</v>
      </c>
      <c r="H254" s="18">
        <f ca="1">IFERROR(__xludf.DUMMYFUNCTION("""COMPUTED_VALUE"""),0)</f>
        <v>0</v>
      </c>
      <c r="I254" s="18">
        <f ca="1">IFERROR(__xludf.DUMMYFUNCTION("""COMPUTED_VALUE"""),0)</f>
        <v>0</v>
      </c>
      <c r="J254" s="18">
        <f ca="1">IFERROR(__xludf.DUMMYFUNCTION("""COMPUTED_VALUE"""),0)</f>
        <v>0</v>
      </c>
      <c r="K254" s="18">
        <f ca="1">IFERROR(__xludf.DUMMYFUNCTION("""COMPUTED_VALUE"""),0)</f>
        <v>0</v>
      </c>
      <c r="L254" s="18">
        <f ca="1">IFERROR(__xludf.DUMMYFUNCTION("""COMPUTED_VALUE"""),0)</f>
        <v>0</v>
      </c>
      <c r="M254" s="18">
        <f ca="1">IFERROR(__xludf.DUMMYFUNCTION("""COMPUTED_VALUE"""),0)</f>
        <v>0</v>
      </c>
      <c r="N254" s="18">
        <f ca="1">IFERROR(__xludf.DUMMYFUNCTION("""COMPUTED_VALUE"""),0)</f>
        <v>0</v>
      </c>
      <c r="O254" s="18">
        <f ca="1">IFERROR(__xludf.DUMMYFUNCTION("""COMPUTED_VALUE"""),0)</f>
        <v>0</v>
      </c>
      <c r="P254" s="18">
        <f ca="1">IFERROR(__xludf.DUMMYFUNCTION("""COMPUTED_VALUE"""),0)</f>
        <v>0</v>
      </c>
      <c r="Q254" s="19">
        <f ca="1">IFERROR(__xludf.DUMMYFUNCTION("""COMPUTED_VALUE"""),0)</f>
        <v>0</v>
      </c>
      <c r="R254" s="20"/>
    </row>
    <row r="255" spans="1:18" ht="13.2" hidden="1" outlineLevel="1" x14ac:dyDescent="0.25">
      <c r="A255" s="1"/>
      <c r="B255" s="21" t="str">
        <f ca="1">IFERROR(__xludf.DUMMYFUNCTION("""COMPUTED_VALUE"""),"Petróleo crudo")</f>
        <v>Petróleo crudo</v>
      </c>
      <c r="C255" s="22">
        <f ca="1">IFERROR(__xludf.DUMMYFUNCTION("""COMPUTED_VALUE"""),0)</f>
        <v>0</v>
      </c>
      <c r="D255" s="23">
        <f ca="1">IFERROR(__xludf.DUMMYFUNCTION("""COMPUTED_VALUE"""),0)</f>
        <v>0</v>
      </c>
      <c r="E255" s="23">
        <f ca="1">IFERROR(__xludf.DUMMYFUNCTION("""COMPUTED_VALUE"""),0)</f>
        <v>0</v>
      </c>
      <c r="F255" s="23">
        <f ca="1">IFERROR(__xludf.DUMMYFUNCTION("""COMPUTED_VALUE"""),0)</f>
        <v>0</v>
      </c>
      <c r="G255" s="23">
        <f ca="1">IFERROR(__xludf.DUMMYFUNCTION("""COMPUTED_VALUE"""),0)</f>
        <v>0</v>
      </c>
      <c r="H255" s="23">
        <f ca="1">IFERROR(__xludf.DUMMYFUNCTION("""COMPUTED_VALUE"""),0)</f>
        <v>0</v>
      </c>
      <c r="I255" s="23">
        <f ca="1">IFERROR(__xludf.DUMMYFUNCTION("""COMPUTED_VALUE"""),0)</f>
        <v>0</v>
      </c>
      <c r="J255" s="23">
        <f ca="1">IFERROR(__xludf.DUMMYFUNCTION("""COMPUTED_VALUE"""),0)</f>
        <v>0</v>
      </c>
      <c r="K255" s="23">
        <f ca="1">IFERROR(__xludf.DUMMYFUNCTION("""COMPUTED_VALUE"""),0)</f>
        <v>0</v>
      </c>
      <c r="L255" s="23">
        <f ca="1">IFERROR(__xludf.DUMMYFUNCTION("""COMPUTED_VALUE"""),0)</f>
        <v>0</v>
      </c>
      <c r="M255" s="23">
        <f ca="1">IFERROR(__xludf.DUMMYFUNCTION("""COMPUTED_VALUE"""),0)</f>
        <v>0</v>
      </c>
      <c r="N255" s="23">
        <f ca="1">IFERROR(__xludf.DUMMYFUNCTION("""COMPUTED_VALUE"""),0)</f>
        <v>0</v>
      </c>
      <c r="O255" s="23">
        <f ca="1">IFERROR(__xludf.DUMMYFUNCTION("""COMPUTED_VALUE"""),0)</f>
        <v>0</v>
      </c>
      <c r="P255" s="23">
        <f ca="1">IFERROR(__xludf.DUMMYFUNCTION("""COMPUTED_VALUE"""),0)</f>
        <v>0</v>
      </c>
      <c r="Q255" s="24">
        <f ca="1">IFERROR(__xludf.DUMMYFUNCTION("""COMPUTED_VALUE"""),0)</f>
        <v>0</v>
      </c>
      <c r="R255" s="20"/>
    </row>
    <row r="256" spans="1:18" ht="13.2" hidden="1" outlineLevel="1" x14ac:dyDescent="0.25">
      <c r="A256" s="1"/>
      <c r="B256" s="21" t="str">
        <f ca="1">IFERROR(__xludf.DUMMYFUNCTION("""COMPUTED_VALUE"""),"Condensados")</f>
        <v>Condensados</v>
      </c>
      <c r="C256" s="22">
        <f ca="1">IFERROR(__xludf.DUMMYFUNCTION("""COMPUTED_VALUE"""),-92.87)</f>
        <v>-92.87</v>
      </c>
      <c r="D256" s="23">
        <f ca="1">IFERROR(__xludf.DUMMYFUNCTION("""COMPUTED_VALUE"""),-98.86)</f>
        <v>-98.86</v>
      </c>
      <c r="E256" s="23">
        <f ca="1">IFERROR(__xludf.DUMMYFUNCTION("""COMPUTED_VALUE"""),-78.06)</f>
        <v>-78.06</v>
      </c>
      <c r="F256" s="23">
        <f ca="1">IFERROR(__xludf.DUMMYFUNCTION("""COMPUTED_VALUE"""),-122.02)</f>
        <v>-122.02</v>
      </c>
      <c r="G256" s="23">
        <f ca="1">IFERROR(__xludf.DUMMYFUNCTION("""COMPUTED_VALUE"""),-101.597356038663)</f>
        <v>-101.59735603866299</v>
      </c>
      <c r="H256" s="23">
        <f ca="1">IFERROR(__xludf.DUMMYFUNCTION("""COMPUTED_VALUE"""),-94.2286228360759)</f>
        <v>-94.2286228360759</v>
      </c>
      <c r="I256" s="23">
        <f ca="1">IFERROR(__xludf.DUMMYFUNCTION("""COMPUTED_VALUE"""),-85.012)</f>
        <v>-85.012</v>
      </c>
      <c r="J256" s="23">
        <f ca="1">IFERROR(__xludf.DUMMYFUNCTION("""COMPUTED_VALUE"""),-66.6411266767481)</f>
        <v>-66.641126676748101</v>
      </c>
      <c r="K256" s="23">
        <f ca="1">IFERROR(__xludf.DUMMYFUNCTION("""COMPUTED_VALUE"""),-45.0578854642613)</f>
        <v>-45.057885464261297</v>
      </c>
      <c r="L256" s="23">
        <f ca="1">IFERROR(__xludf.DUMMYFUNCTION("""COMPUTED_VALUE"""),-53.8141465784754)</f>
        <v>-53.814146578475402</v>
      </c>
      <c r="M256" s="23">
        <f ca="1">IFERROR(__xludf.DUMMYFUNCTION("""COMPUTED_VALUE"""),-38.877814357341)</f>
        <v>-38.877814357341002</v>
      </c>
      <c r="N256" s="23">
        <f ca="1">IFERROR(__xludf.DUMMYFUNCTION("""COMPUTED_VALUE"""),-175.942527392392)</f>
        <v>-175.94252739239201</v>
      </c>
      <c r="O256" s="23">
        <f ca="1">IFERROR(__xludf.DUMMYFUNCTION("""COMPUTED_VALUE"""),-314.625205373109)</f>
        <v>-314.625205373109</v>
      </c>
      <c r="P256" s="23">
        <f ca="1">IFERROR(__xludf.DUMMYFUNCTION("""COMPUTED_VALUE"""),-366.519759031666)</f>
        <v>-366.51975903166601</v>
      </c>
      <c r="Q256" s="24">
        <f ca="1">IFERROR(__xludf.DUMMYFUNCTION("""COMPUTED_VALUE"""),-295.75491010701)</f>
        <v>-295.75491010701001</v>
      </c>
      <c r="R256" s="20"/>
    </row>
    <row r="257" spans="1:18" ht="13.2" hidden="1" outlineLevel="1" x14ac:dyDescent="0.25">
      <c r="A257" s="1"/>
      <c r="B257" s="21" t="str">
        <f ca="1">IFERROR(__xludf.DUMMYFUNCTION("""COMPUTED_VALUE"""),"Gas natural")</f>
        <v>Gas natural</v>
      </c>
      <c r="C257" s="22">
        <f ca="1">IFERROR(__xludf.DUMMYFUNCTION("""COMPUTED_VALUE"""),-1801.24)</f>
        <v>-1801.24</v>
      </c>
      <c r="D257" s="23">
        <f ca="1">IFERROR(__xludf.DUMMYFUNCTION("""COMPUTED_VALUE"""),-1876.01)</f>
        <v>-1876.01</v>
      </c>
      <c r="E257" s="23">
        <f ca="1">IFERROR(__xludf.DUMMYFUNCTION("""COMPUTED_VALUE"""),-1848.33)</f>
        <v>-1848.33</v>
      </c>
      <c r="F257" s="23">
        <f ca="1">IFERROR(__xludf.DUMMYFUNCTION("""COMPUTED_VALUE"""),-1892.16)</f>
        <v>-1892.16</v>
      </c>
      <c r="G257" s="23">
        <f ca="1">IFERROR(__xludf.DUMMYFUNCTION("""COMPUTED_VALUE"""),-1884.38586923302)</f>
        <v>-1884.38586923302</v>
      </c>
      <c r="H257" s="23">
        <f ca="1">IFERROR(__xludf.DUMMYFUNCTION("""COMPUTED_VALUE"""),-1749.89994033392)</f>
        <v>-1749.8999403339201</v>
      </c>
      <c r="I257" s="23">
        <f ca="1">IFERROR(__xludf.DUMMYFUNCTION("""COMPUTED_VALUE"""),-1577.453)</f>
        <v>-1577.453</v>
      </c>
      <c r="J257" s="23">
        <f ca="1">IFERROR(__xludf.DUMMYFUNCTION("""COMPUTED_VALUE"""),-1390.6435674519)</f>
        <v>-1390.6435674519</v>
      </c>
      <c r="K257" s="23">
        <f ca="1">IFERROR(__xludf.DUMMYFUNCTION("""COMPUTED_VALUE"""),-1272.42781910441)</f>
        <v>-1272.42781910441</v>
      </c>
      <c r="L257" s="23">
        <f ca="1">IFERROR(__xludf.DUMMYFUNCTION("""COMPUTED_VALUE"""),-1026.136806156)</f>
        <v>-1026.1368061559999</v>
      </c>
      <c r="M257" s="23">
        <f ca="1">IFERROR(__xludf.DUMMYFUNCTION("""COMPUTED_VALUE"""),-926.391238350457)</f>
        <v>-926.391238350457</v>
      </c>
      <c r="N257" s="23">
        <f ca="1">IFERROR(__xludf.DUMMYFUNCTION("""COMPUTED_VALUE"""),-1052.76871408886)</f>
        <v>-1052.76871408886</v>
      </c>
      <c r="O257" s="23">
        <f ca="1">IFERROR(__xludf.DUMMYFUNCTION("""COMPUTED_VALUE"""),-1119.53806343378)</f>
        <v>-1119.5380634337801</v>
      </c>
      <c r="P257" s="23">
        <f ca="1">IFERROR(__xludf.DUMMYFUNCTION("""COMPUTED_VALUE"""),-1130.44368423618)</f>
        <v>-1130.4436842361799</v>
      </c>
      <c r="Q257" s="24">
        <f ca="1">IFERROR(__xludf.DUMMYFUNCTION("""COMPUTED_VALUE"""),-1015.84067448879)</f>
        <v>-1015.84067448879</v>
      </c>
      <c r="R257" s="20"/>
    </row>
    <row r="258" spans="1:18" ht="13.2" hidden="1" outlineLevel="1" x14ac:dyDescent="0.25">
      <c r="A258" s="1"/>
      <c r="B258" s="21" t="str">
        <f ca="1">IFERROR(__xludf.DUMMYFUNCTION("""COMPUTED_VALUE"""),"Energía Nuclear")</f>
        <v>Energía Nuclear</v>
      </c>
      <c r="C258" s="22">
        <f ca="1">IFERROR(__xludf.DUMMYFUNCTION("""COMPUTED_VALUE"""),0)</f>
        <v>0</v>
      </c>
      <c r="D258" s="23">
        <f ca="1">IFERROR(__xludf.DUMMYFUNCTION("""COMPUTED_VALUE"""),0)</f>
        <v>0</v>
      </c>
      <c r="E258" s="23">
        <f ca="1">IFERROR(__xludf.DUMMYFUNCTION("""COMPUTED_VALUE"""),0)</f>
        <v>0</v>
      </c>
      <c r="F258" s="23">
        <f ca="1">IFERROR(__xludf.DUMMYFUNCTION("""COMPUTED_VALUE"""),0)</f>
        <v>0</v>
      </c>
      <c r="G258" s="23">
        <f ca="1">IFERROR(__xludf.DUMMYFUNCTION("""COMPUTED_VALUE"""),0)</f>
        <v>0</v>
      </c>
      <c r="H258" s="23">
        <f ca="1">IFERROR(__xludf.DUMMYFUNCTION("""COMPUTED_VALUE"""),0)</f>
        <v>0</v>
      </c>
      <c r="I258" s="23">
        <f ca="1">IFERROR(__xludf.DUMMYFUNCTION("""COMPUTED_VALUE"""),0)</f>
        <v>0</v>
      </c>
      <c r="J258" s="23">
        <f ca="1">IFERROR(__xludf.DUMMYFUNCTION("""COMPUTED_VALUE"""),0)</f>
        <v>0</v>
      </c>
      <c r="K258" s="23">
        <f ca="1">IFERROR(__xludf.DUMMYFUNCTION("""COMPUTED_VALUE"""),0)</f>
        <v>0</v>
      </c>
      <c r="L258" s="23">
        <f ca="1">IFERROR(__xludf.DUMMYFUNCTION("""COMPUTED_VALUE"""),0)</f>
        <v>0</v>
      </c>
      <c r="M258" s="23">
        <f ca="1">IFERROR(__xludf.DUMMYFUNCTION("""COMPUTED_VALUE"""),0)</f>
        <v>0</v>
      </c>
      <c r="N258" s="23">
        <f ca="1">IFERROR(__xludf.DUMMYFUNCTION("""COMPUTED_VALUE"""),0)</f>
        <v>0</v>
      </c>
      <c r="O258" s="23">
        <f ca="1">IFERROR(__xludf.DUMMYFUNCTION("""COMPUTED_VALUE"""),0)</f>
        <v>0</v>
      </c>
      <c r="P258" s="23">
        <f ca="1">IFERROR(__xludf.DUMMYFUNCTION("""COMPUTED_VALUE"""),0)</f>
        <v>0</v>
      </c>
      <c r="Q258" s="24">
        <f ca="1">IFERROR(__xludf.DUMMYFUNCTION("""COMPUTED_VALUE"""),0)</f>
        <v>0</v>
      </c>
      <c r="R258" s="20"/>
    </row>
    <row r="259" spans="1:18" ht="13.2" hidden="1" outlineLevel="1" x14ac:dyDescent="0.25">
      <c r="A259" s="1"/>
      <c r="B259" s="21" t="str">
        <f ca="1">IFERROR(__xludf.DUMMYFUNCTION("""COMPUTED_VALUE"""),"Energia Hidraúlica")</f>
        <v>Energia Hidraúlica</v>
      </c>
      <c r="C259" s="22">
        <f ca="1">IFERROR(__xludf.DUMMYFUNCTION("""COMPUTED_VALUE"""),0)</f>
        <v>0</v>
      </c>
      <c r="D259" s="23">
        <f ca="1">IFERROR(__xludf.DUMMYFUNCTION("""COMPUTED_VALUE"""),0)</f>
        <v>0</v>
      </c>
      <c r="E259" s="23">
        <f ca="1">IFERROR(__xludf.DUMMYFUNCTION("""COMPUTED_VALUE"""),0)</f>
        <v>0</v>
      </c>
      <c r="F259" s="23">
        <f ca="1">IFERROR(__xludf.DUMMYFUNCTION("""COMPUTED_VALUE"""),0)</f>
        <v>0</v>
      </c>
      <c r="G259" s="23">
        <f ca="1">IFERROR(__xludf.DUMMYFUNCTION("""COMPUTED_VALUE"""),0)</f>
        <v>0</v>
      </c>
      <c r="H259" s="23">
        <f ca="1">IFERROR(__xludf.DUMMYFUNCTION("""COMPUTED_VALUE"""),0)</f>
        <v>0</v>
      </c>
      <c r="I259" s="23">
        <f ca="1">IFERROR(__xludf.DUMMYFUNCTION("""COMPUTED_VALUE"""),0)</f>
        <v>0</v>
      </c>
      <c r="J259" s="23">
        <f ca="1">IFERROR(__xludf.DUMMYFUNCTION("""COMPUTED_VALUE"""),0)</f>
        <v>0</v>
      </c>
      <c r="K259" s="23">
        <f ca="1">IFERROR(__xludf.DUMMYFUNCTION("""COMPUTED_VALUE"""),0)</f>
        <v>0</v>
      </c>
      <c r="L259" s="23">
        <f ca="1">IFERROR(__xludf.DUMMYFUNCTION("""COMPUTED_VALUE"""),0)</f>
        <v>0</v>
      </c>
      <c r="M259" s="23">
        <f ca="1">IFERROR(__xludf.DUMMYFUNCTION("""COMPUTED_VALUE"""),0)</f>
        <v>0</v>
      </c>
      <c r="N259" s="23">
        <f ca="1">IFERROR(__xludf.DUMMYFUNCTION("""COMPUTED_VALUE"""),0)</f>
        <v>0</v>
      </c>
      <c r="O259" s="23">
        <f ca="1">IFERROR(__xludf.DUMMYFUNCTION("""COMPUTED_VALUE"""),0)</f>
        <v>0</v>
      </c>
      <c r="P259" s="23">
        <f ca="1">IFERROR(__xludf.DUMMYFUNCTION("""COMPUTED_VALUE"""),0)</f>
        <v>0</v>
      </c>
      <c r="Q259" s="24">
        <f ca="1">IFERROR(__xludf.DUMMYFUNCTION("""COMPUTED_VALUE"""),0)</f>
        <v>0</v>
      </c>
      <c r="R259" s="20"/>
    </row>
    <row r="260" spans="1:18" ht="13.2" hidden="1" outlineLevel="1" x14ac:dyDescent="0.25">
      <c r="A260" s="1"/>
      <c r="B260" s="21" t="str">
        <f ca="1">IFERROR(__xludf.DUMMYFUNCTION("""COMPUTED_VALUE"""),"Geoenergía")</f>
        <v>Geoenergía</v>
      </c>
      <c r="C260" s="22">
        <f ca="1">IFERROR(__xludf.DUMMYFUNCTION("""COMPUTED_VALUE"""),0)</f>
        <v>0</v>
      </c>
      <c r="D260" s="23">
        <f ca="1">IFERROR(__xludf.DUMMYFUNCTION("""COMPUTED_VALUE"""),0)</f>
        <v>0</v>
      </c>
      <c r="E260" s="23">
        <f ca="1">IFERROR(__xludf.DUMMYFUNCTION("""COMPUTED_VALUE"""),0)</f>
        <v>0</v>
      </c>
      <c r="F260" s="23">
        <f ca="1">IFERROR(__xludf.DUMMYFUNCTION("""COMPUTED_VALUE"""),0)</f>
        <v>0</v>
      </c>
      <c r="G260" s="23">
        <f ca="1">IFERROR(__xludf.DUMMYFUNCTION("""COMPUTED_VALUE"""),0)</f>
        <v>0</v>
      </c>
      <c r="H260" s="23">
        <f ca="1">IFERROR(__xludf.DUMMYFUNCTION("""COMPUTED_VALUE"""),0)</f>
        <v>0</v>
      </c>
      <c r="I260" s="23">
        <f ca="1">IFERROR(__xludf.DUMMYFUNCTION("""COMPUTED_VALUE"""),0)</f>
        <v>0</v>
      </c>
      <c r="J260" s="23">
        <f ca="1">IFERROR(__xludf.DUMMYFUNCTION("""COMPUTED_VALUE"""),0)</f>
        <v>0</v>
      </c>
      <c r="K260" s="23">
        <f ca="1">IFERROR(__xludf.DUMMYFUNCTION("""COMPUTED_VALUE"""),0)</f>
        <v>0</v>
      </c>
      <c r="L260" s="23">
        <f ca="1">IFERROR(__xludf.DUMMYFUNCTION("""COMPUTED_VALUE"""),0)</f>
        <v>0</v>
      </c>
      <c r="M260" s="23">
        <f ca="1">IFERROR(__xludf.DUMMYFUNCTION("""COMPUTED_VALUE"""),0)</f>
        <v>0</v>
      </c>
      <c r="N260" s="23">
        <f ca="1">IFERROR(__xludf.DUMMYFUNCTION("""COMPUTED_VALUE"""),0)</f>
        <v>0</v>
      </c>
      <c r="O260" s="23">
        <f ca="1">IFERROR(__xludf.DUMMYFUNCTION("""COMPUTED_VALUE"""),0)</f>
        <v>0</v>
      </c>
      <c r="P260" s="23">
        <f ca="1">IFERROR(__xludf.DUMMYFUNCTION("""COMPUTED_VALUE"""),0)</f>
        <v>0</v>
      </c>
      <c r="Q260" s="24">
        <f ca="1">IFERROR(__xludf.DUMMYFUNCTION("""COMPUTED_VALUE"""),0)</f>
        <v>0</v>
      </c>
      <c r="R260" s="20"/>
    </row>
    <row r="261" spans="1:18" ht="13.2" hidden="1" outlineLevel="1" x14ac:dyDescent="0.25">
      <c r="A261" s="1"/>
      <c r="B261" s="21" t="str">
        <f ca="1">IFERROR(__xludf.DUMMYFUNCTION("""COMPUTED_VALUE"""),"Energía solar")</f>
        <v>Energía solar</v>
      </c>
      <c r="C261" s="22">
        <f ca="1">IFERROR(__xludf.DUMMYFUNCTION("""COMPUTED_VALUE"""),0)</f>
        <v>0</v>
      </c>
      <c r="D261" s="23">
        <f ca="1">IFERROR(__xludf.DUMMYFUNCTION("""COMPUTED_VALUE"""),0)</f>
        <v>0</v>
      </c>
      <c r="E261" s="23">
        <f ca="1">IFERROR(__xludf.DUMMYFUNCTION("""COMPUTED_VALUE"""),0)</f>
        <v>0</v>
      </c>
      <c r="F261" s="23">
        <f ca="1">IFERROR(__xludf.DUMMYFUNCTION("""COMPUTED_VALUE"""),0)</f>
        <v>0</v>
      </c>
      <c r="G261" s="23">
        <f ca="1">IFERROR(__xludf.DUMMYFUNCTION("""COMPUTED_VALUE"""),0)</f>
        <v>0</v>
      </c>
      <c r="H261" s="23">
        <f ca="1">IFERROR(__xludf.DUMMYFUNCTION("""COMPUTED_VALUE"""),0)</f>
        <v>0</v>
      </c>
      <c r="I261" s="23">
        <f ca="1">IFERROR(__xludf.DUMMYFUNCTION("""COMPUTED_VALUE"""),0)</f>
        <v>0</v>
      </c>
      <c r="J261" s="23">
        <f ca="1">IFERROR(__xludf.DUMMYFUNCTION("""COMPUTED_VALUE"""),0)</f>
        <v>0</v>
      </c>
      <c r="K261" s="23">
        <f ca="1">IFERROR(__xludf.DUMMYFUNCTION("""COMPUTED_VALUE"""),0)</f>
        <v>0</v>
      </c>
      <c r="L261" s="23">
        <f ca="1">IFERROR(__xludf.DUMMYFUNCTION("""COMPUTED_VALUE"""),0)</f>
        <v>0</v>
      </c>
      <c r="M261" s="23">
        <f ca="1">IFERROR(__xludf.DUMMYFUNCTION("""COMPUTED_VALUE"""),0)</f>
        <v>0</v>
      </c>
      <c r="N261" s="23">
        <f ca="1">IFERROR(__xludf.DUMMYFUNCTION("""COMPUTED_VALUE"""),0)</f>
        <v>0</v>
      </c>
      <c r="O261" s="23">
        <f ca="1">IFERROR(__xludf.DUMMYFUNCTION("""COMPUTED_VALUE"""),0)</f>
        <v>0</v>
      </c>
      <c r="P261" s="23">
        <f ca="1">IFERROR(__xludf.DUMMYFUNCTION("""COMPUTED_VALUE"""),0)</f>
        <v>0</v>
      </c>
      <c r="Q261" s="24">
        <f ca="1">IFERROR(__xludf.DUMMYFUNCTION("""COMPUTED_VALUE"""),0)</f>
        <v>0</v>
      </c>
      <c r="R261" s="20"/>
    </row>
    <row r="262" spans="1:18" ht="13.2" hidden="1" outlineLevel="1" x14ac:dyDescent="0.25">
      <c r="A262" s="1"/>
      <c r="B262" s="21" t="str">
        <f ca="1">IFERROR(__xludf.DUMMYFUNCTION("""COMPUTED_VALUE"""),"Energía eólica")</f>
        <v>Energía eólica</v>
      </c>
      <c r="C262" s="22">
        <f ca="1">IFERROR(__xludf.DUMMYFUNCTION("""COMPUTED_VALUE"""),0)</f>
        <v>0</v>
      </c>
      <c r="D262" s="23">
        <f ca="1">IFERROR(__xludf.DUMMYFUNCTION("""COMPUTED_VALUE"""),0)</f>
        <v>0</v>
      </c>
      <c r="E262" s="23">
        <f ca="1">IFERROR(__xludf.DUMMYFUNCTION("""COMPUTED_VALUE"""),0)</f>
        <v>0</v>
      </c>
      <c r="F262" s="23">
        <f ca="1">IFERROR(__xludf.DUMMYFUNCTION("""COMPUTED_VALUE"""),0)</f>
        <v>0</v>
      </c>
      <c r="G262" s="23">
        <f ca="1">IFERROR(__xludf.DUMMYFUNCTION("""COMPUTED_VALUE"""),0)</f>
        <v>0</v>
      </c>
      <c r="H262" s="23">
        <f ca="1">IFERROR(__xludf.DUMMYFUNCTION("""COMPUTED_VALUE"""),0)</f>
        <v>0</v>
      </c>
      <c r="I262" s="23">
        <f ca="1">IFERROR(__xludf.DUMMYFUNCTION("""COMPUTED_VALUE"""),0)</f>
        <v>0</v>
      </c>
      <c r="J262" s="23">
        <f ca="1">IFERROR(__xludf.DUMMYFUNCTION("""COMPUTED_VALUE"""),0)</f>
        <v>0</v>
      </c>
      <c r="K262" s="23">
        <f ca="1">IFERROR(__xludf.DUMMYFUNCTION("""COMPUTED_VALUE"""),0)</f>
        <v>0</v>
      </c>
      <c r="L262" s="23">
        <f ca="1">IFERROR(__xludf.DUMMYFUNCTION("""COMPUTED_VALUE"""),0)</f>
        <v>0</v>
      </c>
      <c r="M262" s="23">
        <f ca="1">IFERROR(__xludf.DUMMYFUNCTION("""COMPUTED_VALUE"""),0)</f>
        <v>0</v>
      </c>
      <c r="N262" s="23">
        <f ca="1">IFERROR(__xludf.DUMMYFUNCTION("""COMPUTED_VALUE"""),0)</f>
        <v>0</v>
      </c>
      <c r="O262" s="23">
        <f ca="1">IFERROR(__xludf.DUMMYFUNCTION("""COMPUTED_VALUE"""),0)</f>
        <v>0</v>
      </c>
      <c r="P262" s="23">
        <f ca="1">IFERROR(__xludf.DUMMYFUNCTION("""COMPUTED_VALUE"""),0)</f>
        <v>0</v>
      </c>
      <c r="Q262" s="24">
        <f ca="1">IFERROR(__xludf.DUMMYFUNCTION("""COMPUTED_VALUE"""),0)</f>
        <v>0</v>
      </c>
      <c r="R262" s="20"/>
    </row>
    <row r="263" spans="1:18" ht="13.2" hidden="1" outlineLevel="1" x14ac:dyDescent="0.25">
      <c r="A263" s="1"/>
      <c r="B263" s="21" t="str">
        <f ca="1">IFERROR(__xludf.DUMMYFUNCTION("""COMPUTED_VALUE"""),"Bagazo de caña")</f>
        <v>Bagazo de caña</v>
      </c>
      <c r="C263" s="22">
        <f ca="1">IFERROR(__xludf.DUMMYFUNCTION("""COMPUTED_VALUE"""),0)</f>
        <v>0</v>
      </c>
      <c r="D263" s="23">
        <f ca="1">IFERROR(__xludf.DUMMYFUNCTION("""COMPUTED_VALUE"""),0)</f>
        <v>0</v>
      </c>
      <c r="E263" s="23">
        <f ca="1">IFERROR(__xludf.DUMMYFUNCTION("""COMPUTED_VALUE"""),0)</f>
        <v>0</v>
      </c>
      <c r="F263" s="23">
        <f ca="1">IFERROR(__xludf.DUMMYFUNCTION("""COMPUTED_VALUE"""),0)</f>
        <v>0</v>
      </c>
      <c r="G263" s="23">
        <f ca="1">IFERROR(__xludf.DUMMYFUNCTION("""COMPUTED_VALUE"""),0)</f>
        <v>0</v>
      </c>
      <c r="H263" s="23">
        <f ca="1">IFERROR(__xludf.DUMMYFUNCTION("""COMPUTED_VALUE"""),0)</f>
        <v>0</v>
      </c>
      <c r="I263" s="23">
        <f ca="1">IFERROR(__xludf.DUMMYFUNCTION("""COMPUTED_VALUE"""),0)</f>
        <v>0</v>
      </c>
      <c r="J263" s="23">
        <f ca="1">IFERROR(__xludf.DUMMYFUNCTION("""COMPUTED_VALUE"""),0)</f>
        <v>0</v>
      </c>
      <c r="K263" s="23">
        <f ca="1">IFERROR(__xludf.DUMMYFUNCTION("""COMPUTED_VALUE"""),0)</f>
        <v>0</v>
      </c>
      <c r="L263" s="23">
        <f ca="1">IFERROR(__xludf.DUMMYFUNCTION("""COMPUTED_VALUE"""),0)</f>
        <v>0</v>
      </c>
      <c r="M263" s="23">
        <f ca="1">IFERROR(__xludf.DUMMYFUNCTION("""COMPUTED_VALUE"""),0)</f>
        <v>0</v>
      </c>
      <c r="N263" s="23">
        <f ca="1">IFERROR(__xludf.DUMMYFUNCTION("""COMPUTED_VALUE"""),0)</f>
        <v>0</v>
      </c>
      <c r="O263" s="23">
        <f ca="1">IFERROR(__xludf.DUMMYFUNCTION("""COMPUTED_VALUE"""),0)</f>
        <v>0</v>
      </c>
      <c r="P263" s="23">
        <f ca="1">IFERROR(__xludf.DUMMYFUNCTION("""COMPUTED_VALUE"""),0)</f>
        <v>0</v>
      </c>
      <c r="Q263" s="24">
        <f ca="1">IFERROR(__xludf.DUMMYFUNCTION("""COMPUTED_VALUE"""),0)</f>
        <v>0</v>
      </c>
      <c r="R263" s="20"/>
    </row>
    <row r="264" spans="1:18" ht="13.2" hidden="1" outlineLevel="1" x14ac:dyDescent="0.25">
      <c r="A264" s="1"/>
      <c r="B264" s="21" t="str">
        <f ca="1">IFERROR(__xludf.DUMMYFUNCTION("""COMPUTED_VALUE"""),"Leña")</f>
        <v>Leña</v>
      </c>
      <c r="C264" s="22">
        <f ca="1">IFERROR(__xludf.DUMMYFUNCTION("""COMPUTED_VALUE"""),0)</f>
        <v>0</v>
      </c>
      <c r="D264" s="23">
        <f ca="1">IFERROR(__xludf.DUMMYFUNCTION("""COMPUTED_VALUE"""),0)</f>
        <v>0</v>
      </c>
      <c r="E264" s="23">
        <f ca="1">IFERROR(__xludf.DUMMYFUNCTION("""COMPUTED_VALUE"""),0)</f>
        <v>0</v>
      </c>
      <c r="F264" s="23">
        <f ca="1">IFERROR(__xludf.DUMMYFUNCTION("""COMPUTED_VALUE"""),0)</f>
        <v>0</v>
      </c>
      <c r="G264" s="23">
        <f ca="1">IFERROR(__xludf.DUMMYFUNCTION("""COMPUTED_VALUE"""),0)</f>
        <v>0</v>
      </c>
      <c r="H264" s="23">
        <f ca="1">IFERROR(__xludf.DUMMYFUNCTION("""COMPUTED_VALUE"""),0)</f>
        <v>0</v>
      </c>
      <c r="I264" s="23">
        <f ca="1">IFERROR(__xludf.DUMMYFUNCTION("""COMPUTED_VALUE"""),0)</f>
        <v>0</v>
      </c>
      <c r="J264" s="23">
        <f ca="1">IFERROR(__xludf.DUMMYFUNCTION("""COMPUTED_VALUE"""),0)</f>
        <v>0</v>
      </c>
      <c r="K264" s="23">
        <f ca="1">IFERROR(__xludf.DUMMYFUNCTION("""COMPUTED_VALUE"""),0)</f>
        <v>0</v>
      </c>
      <c r="L264" s="23">
        <f ca="1">IFERROR(__xludf.DUMMYFUNCTION("""COMPUTED_VALUE"""),0)</f>
        <v>0</v>
      </c>
      <c r="M264" s="23">
        <f ca="1">IFERROR(__xludf.DUMMYFUNCTION("""COMPUTED_VALUE"""),0)</f>
        <v>0</v>
      </c>
      <c r="N264" s="23">
        <f ca="1">IFERROR(__xludf.DUMMYFUNCTION("""COMPUTED_VALUE"""),0)</f>
        <v>0</v>
      </c>
      <c r="O264" s="23">
        <f ca="1">IFERROR(__xludf.DUMMYFUNCTION("""COMPUTED_VALUE"""),0)</f>
        <v>0</v>
      </c>
      <c r="P264" s="23">
        <f ca="1">IFERROR(__xludf.DUMMYFUNCTION("""COMPUTED_VALUE"""),0)</f>
        <v>0</v>
      </c>
      <c r="Q264" s="24">
        <f ca="1">IFERROR(__xludf.DUMMYFUNCTION("""COMPUTED_VALUE"""),0)</f>
        <v>0</v>
      </c>
      <c r="R264" s="20"/>
    </row>
    <row r="265" spans="1:18" ht="13.2" hidden="1" outlineLevel="1" x14ac:dyDescent="0.25">
      <c r="A265" s="1"/>
      <c r="B265" s="21" t="str">
        <f ca="1">IFERROR(__xludf.DUMMYFUNCTION("""COMPUTED_VALUE"""),"Biogás")</f>
        <v>Biogás</v>
      </c>
      <c r="C265" s="22">
        <f ca="1">IFERROR(__xludf.DUMMYFUNCTION("""COMPUTED_VALUE"""),0)</f>
        <v>0</v>
      </c>
      <c r="D265" s="23">
        <f ca="1">IFERROR(__xludf.DUMMYFUNCTION("""COMPUTED_VALUE"""),0)</f>
        <v>0</v>
      </c>
      <c r="E265" s="23">
        <f ca="1">IFERROR(__xludf.DUMMYFUNCTION("""COMPUTED_VALUE"""),0)</f>
        <v>0</v>
      </c>
      <c r="F265" s="23">
        <f ca="1">IFERROR(__xludf.DUMMYFUNCTION("""COMPUTED_VALUE"""),0)</f>
        <v>0</v>
      </c>
      <c r="G265" s="23">
        <f ca="1">IFERROR(__xludf.DUMMYFUNCTION("""COMPUTED_VALUE"""),0)</f>
        <v>0</v>
      </c>
      <c r="H265" s="23">
        <f ca="1">IFERROR(__xludf.DUMMYFUNCTION("""COMPUTED_VALUE"""),0)</f>
        <v>0</v>
      </c>
      <c r="I265" s="23">
        <f ca="1">IFERROR(__xludf.DUMMYFUNCTION("""COMPUTED_VALUE"""),0)</f>
        <v>0</v>
      </c>
      <c r="J265" s="23">
        <f ca="1">IFERROR(__xludf.DUMMYFUNCTION("""COMPUTED_VALUE"""),0)</f>
        <v>0</v>
      </c>
      <c r="K265" s="23">
        <f ca="1">IFERROR(__xludf.DUMMYFUNCTION("""COMPUTED_VALUE"""),0)</f>
        <v>0</v>
      </c>
      <c r="L265" s="23">
        <f ca="1">IFERROR(__xludf.DUMMYFUNCTION("""COMPUTED_VALUE"""),0)</f>
        <v>0</v>
      </c>
      <c r="M265" s="23">
        <f ca="1">IFERROR(__xludf.DUMMYFUNCTION("""COMPUTED_VALUE"""),0)</f>
        <v>0</v>
      </c>
      <c r="N265" s="23">
        <f ca="1">IFERROR(__xludf.DUMMYFUNCTION("""COMPUTED_VALUE"""),0)</f>
        <v>0</v>
      </c>
      <c r="O265" s="23">
        <f ca="1">IFERROR(__xludf.DUMMYFUNCTION("""COMPUTED_VALUE"""),0)</f>
        <v>0</v>
      </c>
      <c r="P265" s="23">
        <f ca="1">IFERROR(__xludf.DUMMYFUNCTION("""COMPUTED_VALUE"""),0)</f>
        <v>0</v>
      </c>
      <c r="Q265" s="24">
        <f ca="1">IFERROR(__xludf.DUMMYFUNCTION("""COMPUTED_VALUE"""),0)</f>
        <v>0</v>
      </c>
      <c r="R265" s="20"/>
    </row>
    <row r="266" spans="1:18" ht="13.2" hidden="1" outlineLevel="1" x14ac:dyDescent="0.25">
      <c r="A266" s="1"/>
      <c r="B266" s="21" t="str">
        <f ca="1">IFERROR(__xludf.DUMMYFUNCTION("""COMPUTED_VALUE"""),"Coque de carbón")</f>
        <v>Coque de carbón</v>
      </c>
      <c r="C266" s="22">
        <f ca="1">IFERROR(__xludf.DUMMYFUNCTION("""COMPUTED_VALUE"""),0)</f>
        <v>0</v>
      </c>
      <c r="D266" s="23">
        <f ca="1">IFERROR(__xludf.DUMMYFUNCTION("""COMPUTED_VALUE"""),0)</f>
        <v>0</v>
      </c>
      <c r="E266" s="23">
        <f ca="1">IFERROR(__xludf.DUMMYFUNCTION("""COMPUTED_VALUE"""),0)</f>
        <v>0</v>
      </c>
      <c r="F266" s="23">
        <f ca="1">IFERROR(__xludf.DUMMYFUNCTION("""COMPUTED_VALUE"""),0)</f>
        <v>0</v>
      </c>
      <c r="G266" s="23">
        <f ca="1">IFERROR(__xludf.DUMMYFUNCTION("""COMPUTED_VALUE"""),0)</f>
        <v>0</v>
      </c>
      <c r="H266" s="23">
        <f ca="1">IFERROR(__xludf.DUMMYFUNCTION("""COMPUTED_VALUE"""),0)</f>
        <v>0</v>
      </c>
      <c r="I266" s="23">
        <f ca="1">IFERROR(__xludf.DUMMYFUNCTION("""COMPUTED_VALUE"""),0)</f>
        <v>0</v>
      </c>
      <c r="J266" s="23">
        <f ca="1">IFERROR(__xludf.DUMMYFUNCTION("""COMPUTED_VALUE"""),0)</f>
        <v>0</v>
      </c>
      <c r="K266" s="23">
        <f ca="1">IFERROR(__xludf.DUMMYFUNCTION("""COMPUTED_VALUE"""),0)</f>
        <v>0</v>
      </c>
      <c r="L266" s="23">
        <f ca="1">IFERROR(__xludf.DUMMYFUNCTION("""COMPUTED_VALUE"""),0)</f>
        <v>0</v>
      </c>
      <c r="M266" s="23">
        <f ca="1">IFERROR(__xludf.DUMMYFUNCTION("""COMPUTED_VALUE"""),0)</f>
        <v>0</v>
      </c>
      <c r="N266" s="23">
        <f ca="1">IFERROR(__xludf.DUMMYFUNCTION("""COMPUTED_VALUE"""),0)</f>
        <v>0</v>
      </c>
      <c r="O266" s="23">
        <f ca="1">IFERROR(__xludf.DUMMYFUNCTION("""COMPUTED_VALUE"""),0)</f>
        <v>0</v>
      </c>
      <c r="P266" s="23">
        <f ca="1">IFERROR(__xludf.DUMMYFUNCTION("""COMPUTED_VALUE"""),0)</f>
        <v>0</v>
      </c>
      <c r="Q266" s="24">
        <f ca="1">IFERROR(__xludf.DUMMYFUNCTION("""COMPUTED_VALUE"""),0)</f>
        <v>0</v>
      </c>
      <c r="R266" s="20"/>
    </row>
    <row r="267" spans="1:18" ht="13.2" hidden="1" outlineLevel="1" x14ac:dyDescent="0.25">
      <c r="A267" s="1"/>
      <c r="B267" s="21" t="str">
        <f ca="1">IFERROR(__xludf.DUMMYFUNCTION("""COMPUTED_VALUE"""),"Coque de petróleo")</f>
        <v>Coque de petróleo</v>
      </c>
      <c r="C267" s="22">
        <f ca="1">IFERROR(__xludf.DUMMYFUNCTION("""COMPUTED_VALUE"""),0)</f>
        <v>0</v>
      </c>
      <c r="D267" s="23">
        <f ca="1">IFERROR(__xludf.DUMMYFUNCTION("""COMPUTED_VALUE"""),0)</f>
        <v>0</v>
      </c>
      <c r="E267" s="23">
        <f ca="1">IFERROR(__xludf.DUMMYFUNCTION("""COMPUTED_VALUE"""),0)</f>
        <v>0</v>
      </c>
      <c r="F267" s="23">
        <f ca="1">IFERROR(__xludf.DUMMYFUNCTION("""COMPUTED_VALUE"""),0)</f>
        <v>0</v>
      </c>
      <c r="G267" s="23">
        <f ca="1">IFERROR(__xludf.DUMMYFUNCTION("""COMPUTED_VALUE"""),0)</f>
        <v>0</v>
      </c>
      <c r="H267" s="23">
        <f ca="1">IFERROR(__xludf.DUMMYFUNCTION("""COMPUTED_VALUE"""),0)</f>
        <v>0</v>
      </c>
      <c r="I267" s="23">
        <f ca="1">IFERROR(__xludf.DUMMYFUNCTION("""COMPUTED_VALUE"""),0)</f>
        <v>0</v>
      </c>
      <c r="J267" s="23">
        <f ca="1">IFERROR(__xludf.DUMMYFUNCTION("""COMPUTED_VALUE"""),0)</f>
        <v>0</v>
      </c>
      <c r="K267" s="23">
        <f ca="1">IFERROR(__xludf.DUMMYFUNCTION("""COMPUTED_VALUE"""),0)</f>
        <v>0</v>
      </c>
      <c r="L267" s="23">
        <f ca="1">IFERROR(__xludf.DUMMYFUNCTION("""COMPUTED_VALUE"""),0)</f>
        <v>0</v>
      </c>
      <c r="M267" s="23">
        <f ca="1">IFERROR(__xludf.DUMMYFUNCTION("""COMPUTED_VALUE"""),0)</f>
        <v>0</v>
      </c>
      <c r="N267" s="23">
        <f ca="1">IFERROR(__xludf.DUMMYFUNCTION("""COMPUTED_VALUE"""),0)</f>
        <v>0</v>
      </c>
      <c r="O267" s="23">
        <f ca="1">IFERROR(__xludf.DUMMYFUNCTION("""COMPUTED_VALUE"""),0)</f>
        <v>0</v>
      </c>
      <c r="P267" s="23">
        <f ca="1">IFERROR(__xludf.DUMMYFUNCTION("""COMPUTED_VALUE"""),0)</f>
        <v>0</v>
      </c>
      <c r="Q267" s="24">
        <f ca="1">IFERROR(__xludf.DUMMYFUNCTION("""COMPUTED_VALUE"""),0)</f>
        <v>0</v>
      </c>
      <c r="R267" s="20"/>
    </row>
    <row r="268" spans="1:18" ht="13.2" hidden="1" outlineLevel="1" x14ac:dyDescent="0.25">
      <c r="A268" s="1"/>
      <c r="B268" s="21" t="str">
        <f ca="1">IFERROR(__xludf.DUMMYFUNCTION("""COMPUTED_VALUE"""),"Gas licuado de petróleo")</f>
        <v>Gas licuado de petróleo</v>
      </c>
      <c r="C268" s="22">
        <f ca="1">IFERROR(__xludf.DUMMYFUNCTION("""COMPUTED_VALUE"""),286.13)</f>
        <v>286.13</v>
      </c>
      <c r="D268" s="23">
        <f ca="1">IFERROR(__xludf.DUMMYFUNCTION("""COMPUTED_VALUE"""),284.5)</f>
        <v>284.5</v>
      </c>
      <c r="E268" s="23">
        <f ca="1">IFERROR(__xludf.DUMMYFUNCTION("""COMPUTED_VALUE"""),269)</f>
        <v>269</v>
      </c>
      <c r="F268" s="23">
        <f ca="1">IFERROR(__xludf.DUMMYFUNCTION("""COMPUTED_VALUE"""),267.4)</f>
        <v>267.39999999999998</v>
      </c>
      <c r="G268" s="23">
        <f ca="1">IFERROR(__xludf.DUMMYFUNCTION("""COMPUTED_VALUE"""),269.383172989087)</f>
        <v>269.38317298908697</v>
      </c>
      <c r="H268" s="23">
        <f ca="1">IFERROR(__xludf.DUMMYFUNCTION("""COMPUTED_VALUE"""),230.368675888813)</f>
        <v>230.36867588881299</v>
      </c>
      <c r="I268" s="23">
        <f ca="1">IFERROR(__xludf.DUMMYFUNCTION("""COMPUTED_VALUE"""),215.644)</f>
        <v>215.64400000000001</v>
      </c>
      <c r="J268" s="23">
        <f ca="1">IFERROR(__xludf.DUMMYFUNCTION("""COMPUTED_VALUE"""),183.0982988363)</f>
        <v>183.09829883629999</v>
      </c>
      <c r="K268" s="23">
        <f ca="1">IFERROR(__xludf.DUMMYFUNCTION("""COMPUTED_VALUE"""),157.930968051625)</f>
        <v>157.930968051625</v>
      </c>
      <c r="L268" s="23">
        <f ca="1">IFERROR(__xludf.DUMMYFUNCTION("""COMPUTED_VALUE"""),126.402608946278)</f>
        <v>126.40260894627799</v>
      </c>
      <c r="M268" s="23">
        <f ca="1">IFERROR(__xludf.DUMMYFUNCTION("""COMPUTED_VALUE"""),111.561292083382)</f>
        <v>111.561292083382</v>
      </c>
      <c r="N268" s="23">
        <f ca="1">IFERROR(__xludf.DUMMYFUNCTION("""COMPUTED_VALUE"""),146.423937907317)</f>
        <v>146.423937907317</v>
      </c>
      <c r="O268" s="23">
        <f ca="1">IFERROR(__xludf.DUMMYFUNCTION("""COMPUTED_VALUE"""),162.014311973386)</f>
        <v>162.01431197338599</v>
      </c>
      <c r="P268" s="23">
        <f ca="1">IFERROR(__xludf.DUMMYFUNCTION("""COMPUTED_VALUE"""),195.443347938462)</f>
        <v>195.44334793846201</v>
      </c>
      <c r="Q268" s="24">
        <f ca="1">IFERROR(__xludf.DUMMYFUNCTION("""COMPUTED_VALUE"""),150.371396125593)</f>
        <v>150.37139612559301</v>
      </c>
      <c r="R268" s="20"/>
    </row>
    <row r="269" spans="1:18" ht="13.2" hidden="1" outlineLevel="1" x14ac:dyDescent="0.25">
      <c r="A269" s="1"/>
      <c r="B269" s="21" t="str">
        <f ca="1">IFERROR(__xludf.DUMMYFUNCTION("""COMPUTED_VALUE"""),"Gasolinas y naftas")</f>
        <v>Gasolinas y naftas</v>
      </c>
      <c r="C269" s="22">
        <f ca="1">IFERROR(__xludf.DUMMYFUNCTION("""COMPUTED_VALUE"""),146.36)</f>
        <v>146.36000000000001</v>
      </c>
      <c r="D269" s="23">
        <f ca="1">IFERROR(__xludf.DUMMYFUNCTION("""COMPUTED_VALUE"""),153.51)</f>
        <v>153.51</v>
      </c>
      <c r="E269" s="23">
        <f ca="1">IFERROR(__xludf.DUMMYFUNCTION("""COMPUTED_VALUE"""),135.61)</f>
        <v>135.61000000000001</v>
      </c>
      <c r="F269" s="23">
        <f ca="1">IFERROR(__xludf.DUMMYFUNCTION("""COMPUTED_VALUE"""),136.93)</f>
        <v>136.93</v>
      </c>
      <c r="G269" s="23">
        <f ca="1">IFERROR(__xludf.DUMMYFUNCTION("""COMPUTED_VALUE"""),147.078430047391)</f>
        <v>147.07843004739101</v>
      </c>
      <c r="H269" s="23">
        <f ca="1">IFERROR(__xludf.DUMMYFUNCTION("""COMPUTED_VALUE"""),134.789394381602)</f>
        <v>134.78939438160199</v>
      </c>
      <c r="I269" s="23">
        <f ca="1">IFERROR(__xludf.DUMMYFUNCTION("""COMPUTED_VALUE"""),124.905)</f>
        <v>124.905</v>
      </c>
      <c r="J269" s="23">
        <f ca="1">IFERROR(__xludf.DUMMYFUNCTION("""COMPUTED_VALUE"""),94.0681809171859)</f>
        <v>94.068180917185899</v>
      </c>
      <c r="K269" s="23">
        <f ca="1">IFERROR(__xludf.DUMMYFUNCTION("""COMPUTED_VALUE"""),84.0895682860463)</f>
        <v>84.089568286046301</v>
      </c>
      <c r="L269" s="23">
        <f ca="1">IFERROR(__xludf.DUMMYFUNCTION("""COMPUTED_VALUE"""),70.288553582658)</f>
        <v>70.288553582657997</v>
      </c>
      <c r="M269" s="23">
        <f ca="1">IFERROR(__xludf.DUMMYFUNCTION("""COMPUTED_VALUE"""),61.2551388982385)</f>
        <v>61.255138898238499</v>
      </c>
      <c r="N269" s="23">
        <f ca="1">IFERROR(__xludf.DUMMYFUNCTION("""COMPUTED_VALUE"""),78.0849174940771)</f>
        <v>78.084917494077104</v>
      </c>
      <c r="O269" s="23">
        <f ca="1">IFERROR(__xludf.DUMMYFUNCTION("""COMPUTED_VALUE"""),82.3499447299337)</f>
        <v>82.349944729933696</v>
      </c>
      <c r="P269" s="23">
        <f ca="1">IFERROR(__xludf.DUMMYFUNCTION("""COMPUTED_VALUE"""),93.7644019494293)</f>
        <v>93.764401949429299</v>
      </c>
      <c r="Q269" s="24">
        <f ca="1">IFERROR(__xludf.DUMMYFUNCTION("""COMPUTED_VALUE"""),73.6275661438258)</f>
        <v>73.627566143825803</v>
      </c>
      <c r="R269" s="20"/>
    </row>
    <row r="270" spans="1:18" ht="13.2" hidden="1" outlineLevel="1" x14ac:dyDescent="0.25">
      <c r="A270" s="1"/>
      <c r="B270" s="21" t="str">
        <f ca="1">IFERROR(__xludf.DUMMYFUNCTION("""COMPUTED_VALUE"""),"Querosenos")</f>
        <v>Querosenos</v>
      </c>
      <c r="C270" s="22">
        <f ca="1">IFERROR(__xludf.DUMMYFUNCTION("""COMPUTED_VALUE"""),0)</f>
        <v>0</v>
      </c>
      <c r="D270" s="23">
        <f ca="1">IFERROR(__xludf.DUMMYFUNCTION("""COMPUTED_VALUE"""),0)</f>
        <v>0</v>
      </c>
      <c r="E270" s="23">
        <f ca="1">IFERROR(__xludf.DUMMYFUNCTION("""COMPUTED_VALUE"""),0)</f>
        <v>0</v>
      </c>
      <c r="F270" s="23">
        <f ca="1">IFERROR(__xludf.DUMMYFUNCTION("""COMPUTED_VALUE"""),0)</f>
        <v>0</v>
      </c>
      <c r="G270" s="23">
        <f ca="1">IFERROR(__xludf.DUMMYFUNCTION("""COMPUTED_VALUE"""),0)</f>
        <v>0</v>
      </c>
      <c r="H270" s="23">
        <f ca="1">IFERROR(__xludf.DUMMYFUNCTION("""COMPUTED_VALUE"""),0)</f>
        <v>0</v>
      </c>
      <c r="I270" s="23">
        <f ca="1">IFERROR(__xludf.DUMMYFUNCTION("""COMPUTED_VALUE"""),0)</f>
        <v>0</v>
      </c>
      <c r="J270" s="23">
        <f ca="1">IFERROR(__xludf.DUMMYFUNCTION("""COMPUTED_VALUE"""),0)</f>
        <v>0</v>
      </c>
      <c r="K270" s="23">
        <f ca="1">IFERROR(__xludf.DUMMYFUNCTION("""COMPUTED_VALUE"""),0)</f>
        <v>0</v>
      </c>
      <c r="L270" s="23">
        <f ca="1">IFERROR(__xludf.DUMMYFUNCTION("""COMPUTED_VALUE"""),0)</f>
        <v>0</v>
      </c>
      <c r="M270" s="23">
        <f ca="1">IFERROR(__xludf.DUMMYFUNCTION("""COMPUTED_VALUE"""),0)</f>
        <v>0</v>
      </c>
      <c r="N270" s="23">
        <f ca="1">IFERROR(__xludf.DUMMYFUNCTION("""COMPUTED_VALUE"""),0)</f>
        <v>0</v>
      </c>
      <c r="O270" s="23">
        <f ca="1">IFERROR(__xludf.DUMMYFUNCTION("""COMPUTED_VALUE"""),0)</f>
        <v>0</v>
      </c>
      <c r="P270" s="23">
        <f ca="1">IFERROR(__xludf.DUMMYFUNCTION("""COMPUTED_VALUE"""),0)</f>
        <v>0</v>
      </c>
      <c r="Q270" s="24">
        <f ca="1">IFERROR(__xludf.DUMMYFUNCTION("""COMPUTED_VALUE"""),0)</f>
        <v>0</v>
      </c>
      <c r="R270" s="20"/>
    </row>
    <row r="271" spans="1:18" ht="13.2" hidden="1" outlineLevel="1" x14ac:dyDescent="0.25">
      <c r="A271" s="1"/>
      <c r="B271" s="21" t="str">
        <f ca="1">IFERROR(__xludf.DUMMYFUNCTION("""COMPUTED_VALUE"""),"Diesel")</f>
        <v>Diesel</v>
      </c>
      <c r="C271" s="22">
        <f ca="1">IFERROR(__xludf.DUMMYFUNCTION("""COMPUTED_VALUE"""),0)</f>
        <v>0</v>
      </c>
      <c r="D271" s="23">
        <f ca="1">IFERROR(__xludf.DUMMYFUNCTION("""COMPUTED_VALUE"""),0)</f>
        <v>0</v>
      </c>
      <c r="E271" s="23">
        <f ca="1">IFERROR(__xludf.DUMMYFUNCTION("""COMPUTED_VALUE"""),0)</f>
        <v>0</v>
      </c>
      <c r="F271" s="23">
        <f ca="1">IFERROR(__xludf.DUMMYFUNCTION("""COMPUTED_VALUE"""),0)</f>
        <v>0</v>
      </c>
      <c r="G271" s="23">
        <f ca="1">IFERROR(__xludf.DUMMYFUNCTION("""COMPUTED_VALUE"""),0)</f>
        <v>0</v>
      </c>
      <c r="H271" s="23">
        <f ca="1">IFERROR(__xludf.DUMMYFUNCTION("""COMPUTED_VALUE"""),0)</f>
        <v>0</v>
      </c>
      <c r="I271" s="23">
        <f ca="1">IFERROR(__xludf.DUMMYFUNCTION("""COMPUTED_VALUE"""),0)</f>
        <v>0</v>
      </c>
      <c r="J271" s="23">
        <f ca="1">IFERROR(__xludf.DUMMYFUNCTION("""COMPUTED_VALUE"""),0)</f>
        <v>0</v>
      </c>
      <c r="K271" s="23">
        <f ca="1">IFERROR(__xludf.DUMMYFUNCTION("""COMPUTED_VALUE"""),0)</f>
        <v>0</v>
      </c>
      <c r="L271" s="23">
        <f ca="1">IFERROR(__xludf.DUMMYFUNCTION("""COMPUTED_VALUE"""),0)</f>
        <v>0</v>
      </c>
      <c r="M271" s="23">
        <f ca="1">IFERROR(__xludf.DUMMYFUNCTION("""COMPUTED_VALUE"""),0)</f>
        <v>0</v>
      </c>
      <c r="N271" s="23">
        <f ca="1">IFERROR(__xludf.DUMMYFUNCTION("""COMPUTED_VALUE"""),0)</f>
        <v>0</v>
      </c>
      <c r="O271" s="23">
        <f ca="1">IFERROR(__xludf.DUMMYFUNCTION("""COMPUTED_VALUE"""),0)</f>
        <v>0</v>
      </c>
      <c r="P271" s="23">
        <f ca="1">IFERROR(__xludf.DUMMYFUNCTION("""COMPUTED_VALUE"""),0)</f>
        <v>0</v>
      </c>
      <c r="Q271" s="24">
        <f ca="1">IFERROR(__xludf.DUMMYFUNCTION("""COMPUTED_VALUE"""),0)</f>
        <v>0</v>
      </c>
      <c r="R271" s="20"/>
    </row>
    <row r="272" spans="1:18" ht="13.2" hidden="1" outlineLevel="1" x14ac:dyDescent="0.25">
      <c r="A272" s="1"/>
      <c r="B272" s="21" t="str">
        <f ca="1">IFERROR(__xludf.DUMMYFUNCTION("""COMPUTED_VALUE"""),"Combustóleo")</f>
        <v>Combustóleo</v>
      </c>
      <c r="C272" s="22">
        <f ca="1">IFERROR(__xludf.DUMMYFUNCTION("""COMPUTED_VALUE"""),0)</f>
        <v>0</v>
      </c>
      <c r="D272" s="23">
        <f ca="1">IFERROR(__xludf.DUMMYFUNCTION("""COMPUTED_VALUE"""),0)</f>
        <v>0</v>
      </c>
      <c r="E272" s="23">
        <f ca="1">IFERROR(__xludf.DUMMYFUNCTION("""COMPUTED_VALUE"""),0)</f>
        <v>0</v>
      </c>
      <c r="F272" s="23">
        <f ca="1">IFERROR(__xludf.DUMMYFUNCTION("""COMPUTED_VALUE"""),0)</f>
        <v>0</v>
      </c>
      <c r="G272" s="23">
        <f ca="1">IFERROR(__xludf.DUMMYFUNCTION("""COMPUTED_VALUE"""),0)</f>
        <v>0</v>
      </c>
      <c r="H272" s="23">
        <f ca="1">IFERROR(__xludf.DUMMYFUNCTION("""COMPUTED_VALUE"""),0)</f>
        <v>0</v>
      </c>
      <c r="I272" s="23">
        <f ca="1">IFERROR(__xludf.DUMMYFUNCTION("""COMPUTED_VALUE"""),0)</f>
        <v>0</v>
      </c>
      <c r="J272" s="23">
        <f ca="1">IFERROR(__xludf.DUMMYFUNCTION("""COMPUTED_VALUE"""),0)</f>
        <v>0</v>
      </c>
      <c r="K272" s="23">
        <f ca="1">IFERROR(__xludf.DUMMYFUNCTION("""COMPUTED_VALUE"""),0)</f>
        <v>0</v>
      </c>
      <c r="L272" s="23">
        <f ca="1">IFERROR(__xludf.DUMMYFUNCTION("""COMPUTED_VALUE"""),0)</f>
        <v>0</v>
      </c>
      <c r="M272" s="23">
        <f ca="1">IFERROR(__xludf.DUMMYFUNCTION("""COMPUTED_VALUE"""),0)</f>
        <v>0</v>
      </c>
      <c r="N272" s="23">
        <f ca="1">IFERROR(__xludf.DUMMYFUNCTION("""COMPUTED_VALUE"""),0)</f>
        <v>0</v>
      </c>
      <c r="O272" s="23">
        <f ca="1">IFERROR(__xludf.DUMMYFUNCTION("""COMPUTED_VALUE"""),0)</f>
        <v>0</v>
      </c>
      <c r="P272" s="23">
        <f ca="1">IFERROR(__xludf.DUMMYFUNCTION("""COMPUTED_VALUE"""),0)</f>
        <v>0</v>
      </c>
      <c r="Q272" s="24">
        <f ca="1">IFERROR(__xludf.DUMMYFUNCTION("""COMPUTED_VALUE"""),0)</f>
        <v>0</v>
      </c>
      <c r="R272" s="20"/>
    </row>
    <row r="273" spans="1:18" ht="13.2" hidden="1" outlineLevel="1" x14ac:dyDescent="0.25">
      <c r="A273" s="1"/>
      <c r="B273" s="21" t="str">
        <f ca="1">IFERROR(__xludf.DUMMYFUNCTION("""COMPUTED_VALUE"""),"Otros energéticos")</f>
        <v>Otros energéticos</v>
      </c>
      <c r="C273" s="22">
        <f ca="1">IFERROR(__xludf.DUMMYFUNCTION("""COMPUTED_VALUE"""),86.5)</f>
        <v>86.5</v>
      </c>
      <c r="D273" s="23">
        <f ca="1">IFERROR(__xludf.DUMMYFUNCTION("""COMPUTED_VALUE"""),85.95)</f>
        <v>85.95</v>
      </c>
      <c r="E273" s="23">
        <f ca="1">IFERROR(__xludf.DUMMYFUNCTION("""COMPUTED_VALUE"""),87.62)</f>
        <v>87.62</v>
      </c>
      <c r="F273" s="23">
        <f ca="1">IFERROR(__xludf.DUMMYFUNCTION("""COMPUTED_VALUE"""),88.95)</f>
        <v>88.95</v>
      </c>
      <c r="G273" s="23">
        <f ca="1">IFERROR(__xludf.DUMMYFUNCTION("""COMPUTED_VALUE"""),73.7672377647629)</f>
        <v>73.767237764762896</v>
      </c>
      <c r="H273" s="23">
        <f ca="1">IFERROR(__xludf.DUMMYFUNCTION("""COMPUTED_VALUE"""),70.8620208672756)</f>
        <v>70.862020867275604</v>
      </c>
      <c r="I273" s="23">
        <f ca="1">IFERROR(__xludf.DUMMYFUNCTION("""COMPUTED_VALUE"""),95.75)</f>
        <v>95.75</v>
      </c>
      <c r="J273" s="23">
        <f ca="1">IFERROR(__xludf.DUMMYFUNCTION("""COMPUTED_VALUE"""),238.570353219634)</f>
        <v>238.570353219634</v>
      </c>
      <c r="K273" s="23">
        <f ca="1">IFERROR(__xludf.DUMMYFUNCTION("""COMPUTED_VALUE"""),186.635763353816)</f>
        <v>186.635763353816</v>
      </c>
      <c r="L273" s="23">
        <f ca="1">IFERROR(__xludf.DUMMYFUNCTION("""COMPUTED_VALUE"""),154.766027070049)</f>
        <v>154.76602707004901</v>
      </c>
      <c r="M273" s="23">
        <f ca="1">IFERROR(__xludf.DUMMYFUNCTION("""COMPUTED_VALUE"""),125.414992963048)</f>
        <v>125.41499296304799</v>
      </c>
      <c r="N273" s="23">
        <f ca="1">IFERROR(__xludf.DUMMYFUNCTION("""COMPUTED_VALUE"""),52.2460058051093)</f>
        <v>52.246005805109299</v>
      </c>
      <c r="O273" s="23">
        <f ca="1">IFERROR(__xludf.DUMMYFUNCTION("""COMPUTED_VALUE"""),47.3583338174279)</f>
        <v>47.358333817427898</v>
      </c>
      <c r="P273" s="23">
        <f ca="1">IFERROR(__xludf.DUMMYFUNCTION("""COMPUTED_VALUE"""),64.7012207005261)</f>
        <v>64.701220700526093</v>
      </c>
      <c r="Q273" s="24">
        <f ca="1">IFERROR(__xludf.DUMMYFUNCTION("""COMPUTED_VALUE"""),50.0254052560601)</f>
        <v>50.025405256060097</v>
      </c>
      <c r="R273" s="20"/>
    </row>
    <row r="274" spans="1:18" ht="13.2" hidden="1" outlineLevel="1" x14ac:dyDescent="0.25">
      <c r="A274" s="1"/>
      <c r="B274" s="21" t="str">
        <f ca="1">IFERROR(__xludf.DUMMYFUNCTION("""COMPUTED_VALUE"""),"Gas natural seco")</f>
        <v>Gas natural seco</v>
      </c>
      <c r="C274" s="22">
        <f ca="1">IFERROR(__xludf.DUMMYFUNCTION("""COMPUTED_VALUE"""),1359.65)</f>
        <v>1359.65</v>
      </c>
      <c r="D274" s="23">
        <f ca="1">IFERROR(__xludf.DUMMYFUNCTION("""COMPUTED_VALUE"""),1438.12)</f>
        <v>1438.12</v>
      </c>
      <c r="E274" s="23">
        <f ca="1">IFERROR(__xludf.DUMMYFUNCTION("""COMPUTED_VALUE"""),1407.7)</f>
        <v>1407.7</v>
      </c>
      <c r="F274" s="23">
        <f ca="1">IFERROR(__xludf.DUMMYFUNCTION("""COMPUTED_VALUE"""),1464.04)</f>
        <v>1464.04</v>
      </c>
      <c r="G274" s="23">
        <f ca="1">IFERROR(__xludf.DUMMYFUNCTION("""COMPUTED_VALUE"""),1397.72040960416)</f>
        <v>1397.7204096041601</v>
      </c>
      <c r="H274" s="23">
        <f ca="1">IFERROR(__xludf.DUMMYFUNCTION("""COMPUTED_VALUE"""),1301.5528883659)</f>
        <v>1301.5528883658999</v>
      </c>
      <c r="I274" s="23">
        <f ca="1">IFERROR(__xludf.DUMMYFUNCTION("""COMPUTED_VALUE"""),1161.497)</f>
        <v>1161.4970000000001</v>
      </c>
      <c r="J274" s="23">
        <f ca="1">IFERROR(__xludf.DUMMYFUNCTION("""COMPUTED_VALUE"""),928.184560510374)</f>
        <v>928.18456051037401</v>
      </c>
      <c r="K274" s="23">
        <f ca="1">IFERROR(__xludf.DUMMYFUNCTION("""COMPUTED_VALUE"""),833.587229284623)</f>
        <v>833.58722928462305</v>
      </c>
      <c r="L274" s="23">
        <f ca="1">IFERROR(__xludf.DUMMYFUNCTION("""COMPUTED_VALUE"""),709.573022443584)</f>
        <v>709.57302244358402</v>
      </c>
      <c r="M274" s="23">
        <f ca="1">IFERROR(__xludf.DUMMYFUNCTION("""COMPUTED_VALUE"""),644.759219026633)</f>
        <v>644.75921902663299</v>
      </c>
      <c r="N274" s="23">
        <f ca="1">IFERROR(__xludf.DUMMYFUNCTION("""COMPUTED_VALUE"""),889.759017230975)</f>
        <v>889.75901723097502</v>
      </c>
      <c r="O274" s="23">
        <f ca="1">IFERROR(__xludf.DUMMYFUNCTION("""COMPUTED_VALUE"""),1106.11332268726)</f>
        <v>1106.1133226872601</v>
      </c>
      <c r="P274" s="23">
        <f ca="1">IFERROR(__xludf.DUMMYFUNCTION("""COMPUTED_VALUE"""),1122.80055729201)</f>
        <v>1122.8005572920099</v>
      </c>
      <c r="Q274" s="24">
        <f ca="1">IFERROR(__xludf.DUMMYFUNCTION("""COMPUTED_VALUE"""),1027.01287261432)</f>
        <v>1027.01287261432</v>
      </c>
      <c r="R274" s="20"/>
    </row>
    <row r="275" spans="1:18" ht="13.2" hidden="1" outlineLevel="1" x14ac:dyDescent="0.25">
      <c r="A275" s="1"/>
      <c r="B275" s="25" t="str">
        <f ca="1">IFERROR(__xludf.DUMMYFUNCTION("""COMPUTED_VALUE"""),"Energía eléctrica")</f>
        <v>Energía eléctrica</v>
      </c>
      <c r="C275" s="26">
        <f ca="1">IFERROR(__xludf.DUMMYFUNCTION("""COMPUTED_VALUE"""),0)</f>
        <v>0</v>
      </c>
      <c r="D275" s="27">
        <f ca="1">IFERROR(__xludf.DUMMYFUNCTION("""COMPUTED_VALUE"""),0)</f>
        <v>0</v>
      </c>
      <c r="E275" s="27">
        <f ca="1">IFERROR(__xludf.DUMMYFUNCTION("""COMPUTED_VALUE"""),0)</f>
        <v>0</v>
      </c>
      <c r="F275" s="27">
        <f ca="1">IFERROR(__xludf.DUMMYFUNCTION("""COMPUTED_VALUE"""),0)</f>
        <v>0</v>
      </c>
      <c r="G275" s="27">
        <f ca="1">IFERROR(__xludf.DUMMYFUNCTION("""COMPUTED_VALUE"""),0)</f>
        <v>0</v>
      </c>
      <c r="H275" s="27">
        <f ca="1">IFERROR(__xludf.DUMMYFUNCTION("""COMPUTED_VALUE"""),0)</f>
        <v>0</v>
      </c>
      <c r="I275" s="27">
        <f ca="1">IFERROR(__xludf.DUMMYFUNCTION("""COMPUTED_VALUE"""),0)</f>
        <v>0</v>
      </c>
      <c r="J275" s="27">
        <f ca="1">IFERROR(__xludf.DUMMYFUNCTION("""COMPUTED_VALUE"""),0)</f>
        <v>0</v>
      </c>
      <c r="K275" s="27">
        <f ca="1">IFERROR(__xludf.DUMMYFUNCTION("""COMPUTED_VALUE"""),0)</f>
        <v>0</v>
      </c>
      <c r="L275" s="27">
        <f ca="1">IFERROR(__xludf.DUMMYFUNCTION("""COMPUTED_VALUE"""),0)</f>
        <v>0</v>
      </c>
      <c r="M275" s="27">
        <f ca="1">IFERROR(__xludf.DUMMYFUNCTION("""COMPUTED_VALUE"""),0)</f>
        <v>0</v>
      </c>
      <c r="N275" s="27">
        <f ca="1">IFERROR(__xludf.DUMMYFUNCTION("""COMPUTED_VALUE"""),0)</f>
        <v>0</v>
      </c>
      <c r="O275" s="27">
        <f ca="1">IFERROR(__xludf.DUMMYFUNCTION("""COMPUTED_VALUE"""),0)</f>
        <v>0</v>
      </c>
      <c r="P275" s="27">
        <f ca="1">IFERROR(__xludf.DUMMYFUNCTION("""COMPUTED_VALUE"""),0)</f>
        <v>0</v>
      </c>
      <c r="Q275" s="28">
        <f ca="1">IFERROR(__xludf.DUMMYFUNCTION("""COMPUTED_VALUE"""),0)</f>
        <v>0</v>
      </c>
      <c r="R275" s="20"/>
    </row>
    <row r="276" spans="1:18" ht="13.2" hidden="1" outlineLevel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0"/>
    </row>
    <row r="277" spans="1:18" ht="13.2" collapsed="1" x14ac:dyDescent="0.25">
      <c r="A277" s="29"/>
      <c r="B277" s="5" t="str">
        <f ca="1">IFERROR(__xludf.DUMMYFUNCTION("""COMPUTED_VALUE"""),"CE(e,a)")</f>
        <v>CE(e,a)</v>
      </c>
      <c r="C277" s="6" t="str">
        <f ca="1">IFERROR(__xludf.DUMMYFUNCTION("""COMPUTED_VALUE"""),"-/+")</f>
        <v>-/+</v>
      </c>
      <c r="D277" s="7" t="str">
        <f ca="1">IFERROR(__xludf.DUMMYFUNCTION("""COMPUTED_VALUE"""),"Centrales eléctricas por energético e y año a.")</f>
        <v>Centrales eléctricas por energético e y año a.</v>
      </c>
      <c r="E277" s="6" t="str">
        <f ca="1">IFERROR(__xludf.DUMMYFUNCTION("""COMPUTED_VALUE"""),"cbne")</f>
        <v>cbne</v>
      </c>
      <c r="F277" s="6" t="str">
        <f ca="1">IFERROR(__xludf.DUMMYFUNCTION("""COMPUTED_VALUE"""),"a")</f>
        <v>a</v>
      </c>
      <c r="G277" s="8" t="str">
        <f ca="1">IFERROR(__xludf.DUMMYFUNCTION("""COMPUTED_VALUE"""),"PJ")</f>
        <v>PJ</v>
      </c>
      <c r="H277" s="9"/>
      <c r="I277" s="1"/>
      <c r="J277" s="1"/>
      <c r="K277" s="1"/>
      <c r="L277" s="1"/>
      <c r="M277" s="1"/>
      <c r="N277" s="1"/>
      <c r="O277" s="1"/>
      <c r="P277" s="1"/>
      <c r="Q277" s="1"/>
      <c r="R277" s="10"/>
    </row>
    <row r="278" spans="1:18" ht="13.2" hidden="1" outlineLevel="1" x14ac:dyDescent="0.25">
      <c r="A278" s="1"/>
      <c r="B278" s="11"/>
      <c r="C278" s="12">
        <f ca="1">IFERROR(__xludf.DUMMYFUNCTION("""COMPUTED_VALUE"""),2010)</f>
        <v>2010</v>
      </c>
      <c r="D278" s="13">
        <f ca="1">IFERROR(__xludf.DUMMYFUNCTION("""COMPUTED_VALUE"""),2011)</f>
        <v>2011</v>
      </c>
      <c r="E278" s="13">
        <f ca="1">IFERROR(__xludf.DUMMYFUNCTION("""COMPUTED_VALUE"""),2012)</f>
        <v>2012</v>
      </c>
      <c r="F278" s="13">
        <f ca="1">IFERROR(__xludf.DUMMYFUNCTION("""COMPUTED_VALUE"""),2013)</f>
        <v>2013</v>
      </c>
      <c r="G278" s="13">
        <f ca="1">IFERROR(__xludf.DUMMYFUNCTION("""COMPUTED_VALUE"""),2014)</f>
        <v>2014</v>
      </c>
      <c r="H278" s="13">
        <f ca="1">IFERROR(__xludf.DUMMYFUNCTION("""COMPUTED_VALUE"""),2015)</f>
        <v>2015</v>
      </c>
      <c r="I278" s="13">
        <f ca="1">IFERROR(__xludf.DUMMYFUNCTION("""COMPUTED_VALUE"""),2016)</f>
        <v>2016</v>
      </c>
      <c r="J278" s="13">
        <f ca="1">IFERROR(__xludf.DUMMYFUNCTION("""COMPUTED_VALUE"""),2017)</f>
        <v>2017</v>
      </c>
      <c r="K278" s="13">
        <f ca="1">IFERROR(__xludf.DUMMYFUNCTION("""COMPUTED_VALUE"""),2018)</f>
        <v>2018</v>
      </c>
      <c r="L278" s="13">
        <f ca="1">IFERROR(__xludf.DUMMYFUNCTION("""COMPUTED_VALUE"""),2019)</f>
        <v>2019</v>
      </c>
      <c r="M278" s="13">
        <f ca="1">IFERROR(__xludf.DUMMYFUNCTION("""COMPUTED_VALUE"""),2020)</f>
        <v>2020</v>
      </c>
      <c r="N278" s="13">
        <f ca="1">IFERROR(__xludf.DUMMYFUNCTION("""COMPUTED_VALUE"""),2021)</f>
        <v>2021</v>
      </c>
      <c r="O278" s="13">
        <f ca="1">IFERROR(__xludf.DUMMYFUNCTION("""COMPUTED_VALUE"""),2022)</f>
        <v>2022</v>
      </c>
      <c r="P278" s="13">
        <f ca="1">IFERROR(__xludf.DUMMYFUNCTION("""COMPUTED_VALUE"""),2023)</f>
        <v>2023</v>
      </c>
      <c r="Q278" s="14">
        <f ca="1">IFERROR(__xludf.DUMMYFUNCTION("""COMPUTED_VALUE"""),2024)</f>
        <v>2024</v>
      </c>
      <c r="R278" s="15"/>
    </row>
    <row r="279" spans="1:18" ht="13.2" hidden="1" outlineLevel="1" x14ac:dyDescent="0.25">
      <c r="A279" s="1"/>
      <c r="B279" s="16" t="str">
        <f ca="1">IFERROR(__xludf.DUMMYFUNCTION("""COMPUTED_VALUE"""),"Carbón mineral")</f>
        <v>Carbón mineral</v>
      </c>
      <c r="C279" s="17">
        <f ca="1">IFERROR(__xludf.DUMMYFUNCTION("""COMPUTED_VALUE"""),-345.76)</f>
        <v>-345.76</v>
      </c>
      <c r="D279" s="18">
        <f ca="1">IFERROR(__xludf.DUMMYFUNCTION("""COMPUTED_VALUE"""),-359.93)</f>
        <v>-359.93</v>
      </c>
      <c r="E279" s="18">
        <f ca="1">IFERROR(__xludf.DUMMYFUNCTION("""COMPUTED_VALUE"""),-351.49)</f>
        <v>-351.49</v>
      </c>
      <c r="F279" s="18">
        <f ca="1">IFERROR(__xludf.DUMMYFUNCTION("""COMPUTED_VALUE"""),-339.9)</f>
        <v>-339.9</v>
      </c>
      <c r="G279" s="18">
        <f ca="1">IFERROR(__xludf.DUMMYFUNCTION("""COMPUTED_VALUE"""),-357.94)</f>
        <v>-357.94</v>
      </c>
      <c r="H279" s="18">
        <f ca="1">IFERROR(__xludf.DUMMYFUNCTION("""COMPUTED_VALUE"""),-362.94)</f>
        <v>-362.94</v>
      </c>
      <c r="I279" s="18">
        <f ca="1">IFERROR(__xludf.DUMMYFUNCTION("""COMPUTED_VALUE"""),-372.85)</f>
        <v>-372.85</v>
      </c>
      <c r="J279" s="18">
        <f ca="1">IFERROR(__xludf.DUMMYFUNCTION("""COMPUTED_VALUE"""),-316.59)</f>
        <v>-316.58999999999997</v>
      </c>
      <c r="K279" s="18">
        <f ca="1">IFERROR(__xludf.DUMMYFUNCTION("""COMPUTED_VALUE"""),-316.76)</f>
        <v>-316.76</v>
      </c>
      <c r="L279" s="18">
        <f ca="1">IFERROR(__xludf.DUMMYFUNCTION("""COMPUTED_VALUE"""),-245.384)</f>
        <v>-245.38399999999999</v>
      </c>
      <c r="M279" s="18">
        <f ca="1">IFERROR(__xludf.DUMMYFUNCTION("""COMPUTED_VALUE"""),-164.1)</f>
        <v>-164.1</v>
      </c>
      <c r="N279" s="18">
        <f ca="1">IFERROR(__xludf.DUMMYFUNCTION("""COMPUTED_VALUE"""),-99.04)</f>
        <v>-99.04</v>
      </c>
      <c r="O279" s="18">
        <f ca="1">IFERROR(__xludf.DUMMYFUNCTION("""COMPUTED_VALUE"""),-149.981)</f>
        <v>-149.98099999999999</v>
      </c>
      <c r="P279" s="18">
        <f ca="1">IFERROR(__xludf.DUMMYFUNCTION("""COMPUTED_VALUE"""),-145.12)</f>
        <v>-145.12</v>
      </c>
      <c r="Q279" s="19">
        <f ca="1">IFERROR(__xludf.DUMMYFUNCTION("""COMPUTED_VALUE"""),-139.433428431925)</f>
        <v>-139.43342843192499</v>
      </c>
      <c r="R279" s="20"/>
    </row>
    <row r="280" spans="1:18" ht="13.2" hidden="1" outlineLevel="1" x14ac:dyDescent="0.25">
      <c r="A280" s="1"/>
      <c r="B280" s="21" t="str">
        <f ca="1">IFERROR(__xludf.DUMMYFUNCTION("""COMPUTED_VALUE"""),"Petróleo crudo")</f>
        <v>Petróleo crudo</v>
      </c>
      <c r="C280" s="22">
        <f ca="1">IFERROR(__xludf.DUMMYFUNCTION("""COMPUTED_VALUE"""),0)</f>
        <v>0</v>
      </c>
      <c r="D280" s="23">
        <f ca="1">IFERROR(__xludf.DUMMYFUNCTION("""COMPUTED_VALUE"""),0)</f>
        <v>0</v>
      </c>
      <c r="E280" s="23">
        <f ca="1">IFERROR(__xludf.DUMMYFUNCTION("""COMPUTED_VALUE"""),0)</f>
        <v>0</v>
      </c>
      <c r="F280" s="23">
        <f ca="1">IFERROR(__xludf.DUMMYFUNCTION("""COMPUTED_VALUE"""),0)</f>
        <v>0</v>
      </c>
      <c r="G280" s="23">
        <f ca="1">IFERROR(__xludf.DUMMYFUNCTION("""COMPUTED_VALUE"""),0)</f>
        <v>0</v>
      </c>
      <c r="H280" s="23">
        <f ca="1">IFERROR(__xludf.DUMMYFUNCTION("""COMPUTED_VALUE"""),0)</f>
        <v>0</v>
      </c>
      <c r="I280" s="23">
        <f ca="1">IFERROR(__xludf.DUMMYFUNCTION("""COMPUTED_VALUE"""),0)</f>
        <v>0</v>
      </c>
      <c r="J280" s="23">
        <f ca="1">IFERROR(__xludf.DUMMYFUNCTION("""COMPUTED_VALUE"""),0)</f>
        <v>0</v>
      </c>
      <c r="K280" s="23">
        <f ca="1">IFERROR(__xludf.DUMMYFUNCTION("""COMPUTED_VALUE"""),0)</f>
        <v>0</v>
      </c>
      <c r="L280" s="23">
        <f ca="1">IFERROR(__xludf.DUMMYFUNCTION("""COMPUTED_VALUE"""),0)</f>
        <v>0</v>
      </c>
      <c r="M280" s="23">
        <f ca="1">IFERROR(__xludf.DUMMYFUNCTION("""COMPUTED_VALUE"""),0)</f>
        <v>0</v>
      </c>
      <c r="N280" s="23">
        <f ca="1">IFERROR(__xludf.DUMMYFUNCTION("""COMPUTED_VALUE"""),0)</f>
        <v>0</v>
      </c>
      <c r="O280" s="23">
        <f ca="1">IFERROR(__xludf.DUMMYFUNCTION("""COMPUTED_VALUE"""),0)</f>
        <v>0</v>
      </c>
      <c r="P280" s="23">
        <f ca="1">IFERROR(__xludf.DUMMYFUNCTION("""COMPUTED_VALUE"""),0)</f>
        <v>0</v>
      </c>
      <c r="Q280" s="24">
        <f ca="1">IFERROR(__xludf.DUMMYFUNCTION("""COMPUTED_VALUE"""),0)</f>
        <v>0</v>
      </c>
      <c r="R280" s="20"/>
    </row>
    <row r="281" spans="1:18" ht="13.2" hidden="1" outlineLevel="1" x14ac:dyDescent="0.25">
      <c r="A281" s="1"/>
      <c r="B281" s="21" t="str">
        <f ca="1">IFERROR(__xludf.DUMMYFUNCTION("""COMPUTED_VALUE"""),"Condensados")</f>
        <v>Condensados</v>
      </c>
      <c r="C281" s="22">
        <f ca="1">IFERROR(__xludf.DUMMYFUNCTION("""COMPUTED_VALUE"""),0)</f>
        <v>0</v>
      </c>
      <c r="D281" s="23">
        <f ca="1">IFERROR(__xludf.DUMMYFUNCTION("""COMPUTED_VALUE"""),0)</f>
        <v>0</v>
      </c>
      <c r="E281" s="23">
        <f ca="1">IFERROR(__xludf.DUMMYFUNCTION("""COMPUTED_VALUE"""),0)</f>
        <v>0</v>
      </c>
      <c r="F281" s="23">
        <f ca="1">IFERROR(__xludf.DUMMYFUNCTION("""COMPUTED_VALUE"""),0)</f>
        <v>0</v>
      </c>
      <c r="G281" s="23">
        <f ca="1">IFERROR(__xludf.DUMMYFUNCTION("""COMPUTED_VALUE"""),0)</f>
        <v>0</v>
      </c>
      <c r="H281" s="23">
        <f ca="1">IFERROR(__xludf.DUMMYFUNCTION("""COMPUTED_VALUE"""),0)</f>
        <v>0</v>
      </c>
      <c r="I281" s="23">
        <f ca="1">IFERROR(__xludf.DUMMYFUNCTION("""COMPUTED_VALUE"""),0)</f>
        <v>0</v>
      </c>
      <c r="J281" s="23">
        <f ca="1">IFERROR(__xludf.DUMMYFUNCTION("""COMPUTED_VALUE"""),0)</f>
        <v>0</v>
      </c>
      <c r="K281" s="23">
        <f ca="1">IFERROR(__xludf.DUMMYFUNCTION("""COMPUTED_VALUE"""),0)</f>
        <v>0</v>
      </c>
      <c r="L281" s="23">
        <f ca="1">IFERROR(__xludf.DUMMYFUNCTION("""COMPUTED_VALUE"""),0)</f>
        <v>0</v>
      </c>
      <c r="M281" s="23">
        <f ca="1">IFERROR(__xludf.DUMMYFUNCTION("""COMPUTED_VALUE"""),0)</f>
        <v>0</v>
      </c>
      <c r="N281" s="23">
        <f ca="1">IFERROR(__xludf.DUMMYFUNCTION("""COMPUTED_VALUE"""),0)</f>
        <v>0</v>
      </c>
      <c r="O281" s="23">
        <f ca="1">IFERROR(__xludf.DUMMYFUNCTION("""COMPUTED_VALUE"""),0)</f>
        <v>0</v>
      </c>
      <c r="P281" s="23">
        <f ca="1">IFERROR(__xludf.DUMMYFUNCTION("""COMPUTED_VALUE"""),0)</f>
        <v>0</v>
      </c>
      <c r="Q281" s="24">
        <f ca="1">IFERROR(__xludf.DUMMYFUNCTION("""COMPUTED_VALUE"""),0)</f>
        <v>0</v>
      </c>
      <c r="R281" s="20"/>
    </row>
    <row r="282" spans="1:18" ht="13.2" hidden="1" outlineLevel="1" x14ac:dyDescent="0.25">
      <c r="A282" s="1"/>
      <c r="B282" s="21" t="str">
        <f ca="1">IFERROR(__xludf.DUMMYFUNCTION("""COMPUTED_VALUE"""),"Gas natural")</f>
        <v>Gas natural</v>
      </c>
      <c r="C282" s="22">
        <f ca="1">IFERROR(__xludf.DUMMYFUNCTION("""COMPUTED_VALUE"""),0)</f>
        <v>0</v>
      </c>
      <c r="D282" s="23">
        <f ca="1">IFERROR(__xludf.DUMMYFUNCTION("""COMPUTED_VALUE"""),0)</f>
        <v>0</v>
      </c>
      <c r="E282" s="23">
        <f ca="1">IFERROR(__xludf.DUMMYFUNCTION("""COMPUTED_VALUE"""),0)</f>
        <v>0</v>
      </c>
      <c r="F282" s="23">
        <f ca="1">IFERROR(__xludf.DUMMYFUNCTION("""COMPUTED_VALUE"""),0)</f>
        <v>0</v>
      </c>
      <c r="G282" s="23">
        <f ca="1">IFERROR(__xludf.DUMMYFUNCTION("""COMPUTED_VALUE"""),0)</f>
        <v>0</v>
      </c>
      <c r="H282" s="23">
        <f ca="1">IFERROR(__xludf.DUMMYFUNCTION("""COMPUTED_VALUE"""),0)</f>
        <v>0</v>
      </c>
      <c r="I282" s="23">
        <f ca="1">IFERROR(__xludf.DUMMYFUNCTION("""COMPUTED_VALUE"""),0)</f>
        <v>0</v>
      </c>
      <c r="J282" s="23">
        <f ca="1">IFERROR(__xludf.DUMMYFUNCTION("""COMPUTED_VALUE"""),0)</f>
        <v>0</v>
      </c>
      <c r="K282" s="23">
        <f ca="1">IFERROR(__xludf.DUMMYFUNCTION("""COMPUTED_VALUE"""),0)</f>
        <v>0</v>
      </c>
      <c r="L282" s="23">
        <f ca="1">IFERROR(__xludf.DUMMYFUNCTION("""COMPUTED_VALUE"""),0)</f>
        <v>0</v>
      </c>
      <c r="M282" s="23">
        <f ca="1">IFERROR(__xludf.DUMMYFUNCTION("""COMPUTED_VALUE"""),0)</f>
        <v>0</v>
      </c>
      <c r="N282" s="23">
        <f ca="1">IFERROR(__xludf.DUMMYFUNCTION("""COMPUTED_VALUE"""),0)</f>
        <v>0</v>
      </c>
      <c r="O282" s="23">
        <f ca="1">IFERROR(__xludf.DUMMYFUNCTION("""COMPUTED_VALUE"""),0)</f>
        <v>0</v>
      </c>
      <c r="P282" s="23">
        <f ca="1">IFERROR(__xludf.DUMMYFUNCTION("""COMPUTED_VALUE"""),0)</f>
        <v>0</v>
      </c>
      <c r="Q282" s="24">
        <f ca="1">IFERROR(__xludf.DUMMYFUNCTION("""COMPUTED_VALUE"""),0)</f>
        <v>0</v>
      </c>
      <c r="R282" s="20"/>
    </row>
    <row r="283" spans="1:18" ht="13.2" hidden="1" outlineLevel="1" x14ac:dyDescent="0.25">
      <c r="A283" s="1"/>
      <c r="B283" s="21" t="str">
        <f ca="1">IFERROR(__xludf.DUMMYFUNCTION("""COMPUTED_VALUE"""),"Energía Nuclear")</f>
        <v>Energía Nuclear</v>
      </c>
      <c r="C283" s="22">
        <f ca="1">IFERROR(__xludf.DUMMYFUNCTION("""COMPUTED_VALUE"""),-63.94)</f>
        <v>-63.94</v>
      </c>
      <c r="D283" s="23">
        <f ca="1">IFERROR(__xludf.DUMMYFUNCTION("""COMPUTED_VALUE"""),-106.39)</f>
        <v>-106.39</v>
      </c>
      <c r="E283" s="23">
        <f ca="1">IFERROR(__xludf.DUMMYFUNCTION("""COMPUTED_VALUE"""),-91.32)</f>
        <v>-91.32</v>
      </c>
      <c r="F283" s="23">
        <f ca="1">IFERROR(__xludf.DUMMYFUNCTION("""COMPUTED_VALUE"""),-122.6)</f>
        <v>-122.6</v>
      </c>
      <c r="G283" s="23">
        <f ca="1">IFERROR(__xludf.DUMMYFUNCTION("""COMPUTED_VALUE"""),-112.6)</f>
        <v>-112.6</v>
      </c>
      <c r="H283" s="23">
        <f ca="1">IFERROR(__xludf.DUMMYFUNCTION("""COMPUTED_VALUE"""),-130.41)</f>
        <v>-130.41</v>
      </c>
      <c r="I283" s="23">
        <f ca="1">IFERROR(__xludf.DUMMYFUNCTION("""COMPUTED_VALUE"""),-109.95)</f>
        <v>-109.95</v>
      </c>
      <c r="J283" s="23">
        <f ca="1">IFERROR(__xludf.DUMMYFUNCTION("""COMPUTED_VALUE"""),-113.22)</f>
        <v>-113.22</v>
      </c>
      <c r="K283" s="23">
        <f ca="1">IFERROR(__xludf.DUMMYFUNCTION("""COMPUTED_VALUE"""),-141.649958844)</f>
        <v>-141.649958844</v>
      </c>
      <c r="L283" s="23">
        <f ca="1">IFERROR(__xludf.DUMMYFUNCTION("""COMPUTED_VALUE"""),-116.482347758)</f>
        <v>-116.482347758</v>
      </c>
      <c r="M283" s="23">
        <f ca="1">IFERROR(__xludf.DUMMYFUNCTION("""COMPUTED_VALUE"""),-117.464405187)</f>
        <v>-117.464405187</v>
      </c>
      <c r="N283" s="23">
        <f ca="1">IFERROR(__xludf.DUMMYFUNCTION("""COMPUTED_VALUE"""),-124.986917246)</f>
        <v>-124.986917246</v>
      </c>
      <c r="O283" s="23">
        <f ca="1">IFERROR(__xludf.DUMMYFUNCTION("""COMPUTED_VALUE"""),-114.174258473606)</f>
        <v>-114.174258473606</v>
      </c>
      <c r="P283" s="23">
        <f ca="1">IFERROR(__xludf.DUMMYFUNCTION("""COMPUTED_VALUE"""),-130.343389429)</f>
        <v>-130.34338942900001</v>
      </c>
      <c r="Q283" s="24">
        <f ca="1">IFERROR(__xludf.DUMMYFUNCTION("""COMPUTED_VALUE"""),-129.506482099619)</f>
        <v>-129.50648209961901</v>
      </c>
      <c r="R283" s="20"/>
    </row>
    <row r="284" spans="1:18" ht="13.2" hidden="1" outlineLevel="1" x14ac:dyDescent="0.25">
      <c r="A284" s="1"/>
      <c r="B284" s="21" t="str">
        <f ca="1">IFERROR(__xludf.DUMMYFUNCTION("""COMPUTED_VALUE"""),"Energia Hidraúlica")</f>
        <v>Energia Hidraúlica</v>
      </c>
      <c r="C284" s="22">
        <f ca="1">IFERROR(__xludf.DUMMYFUNCTION("""COMPUTED_VALUE"""),-140.650755235208)</f>
        <v>-140.65075523520801</v>
      </c>
      <c r="D284" s="23">
        <f ca="1">IFERROR(__xludf.DUMMYFUNCTION("""COMPUTED_VALUE"""),-136.794558672405)</f>
        <v>-136.794558672405</v>
      </c>
      <c r="E284" s="23">
        <f ca="1">IFERROR(__xludf.DUMMYFUNCTION("""COMPUTED_VALUE"""),-119.376356904078)</f>
        <v>-119.37635690407799</v>
      </c>
      <c r="F284" s="23">
        <f ca="1">IFERROR(__xludf.DUMMYFUNCTION("""COMPUTED_VALUE"""),-104.973810376497)</f>
        <v>-104.973810376497</v>
      </c>
      <c r="G284" s="23">
        <f ca="1">IFERROR(__xludf.DUMMYFUNCTION("""COMPUTED_VALUE"""),-143.244619898085)</f>
        <v>-143.24461989808501</v>
      </c>
      <c r="H284" s="23">
        <f ca="1">IFERROR(__xludf.DUMMYFUNCTION("""COMPUTED_VALUE"""),-113.841109573861)</f>
        <v>-113.841109573861</v>
      </c>
      <c r="I284" s="23">
        <f ca="1">IFERROR(__xludf.DUMMYFUNCTION("""COMPUTED_VALUE"""),-113.379393418838)</f>
        <v>-113.37939341883801</v>
      </c>
      <c r="J284" s="23">
        <f ca="1">IFERROR(__xludf.DUMMYFUNCTION("""COMPUTED_VALUE"""),-115.127888338328)</f>
        <v>-115.12788833832801</v>
      </c>
      <c r="K284" s="23">
        <f ca="1">IFERROR(__xludf.DUMMYFUNCTION("""COMPUTED_VALUE"""),-117.199476436479)</f>
        <v>-117.199476436479</v>
      </c>
      <c r="L284" s="23">
        <f ca="1">IFERROR(__xludf.DUMMYFUNCTION("""COMPUTED_VALUE"""),-85.7683544952812)</f>
        <v>-85.768354495281201</v>
      </c>
      <c r="M284" s="23">
        <f ca="1">IFERROR(__xludf.DUMMYFUNCTION("""COMPUTED_VALUE"""),-97.4546523269544)</f>
        <v>-97.454652326954402</v>
      </c>
      <c r="N284" s="23">
        <f ca="1">IFERROR(__xludf.DUMMYFUNCTION("""COMPUTED_VALUE"""),-126.117339304689)</f>
        <v>-126.117339304689</v>
      </c>
      <c r="O284" s="23">
        <f ca="1">IFERROR(__xludf.DUMMYFUNCTION("""COMPUTED_VALUE"""),-129.225569710392)</f>
        <v>-129.22556971039199</v>
      </c>
      <c r="P284" s="23">
        <f ca="1">IFERROR(__xludf.DUMMYFUNCTION("""COMPUTED_VALUE"""),-74.9299386156002)</f>
        <v>-74.929938615600193</v>
      </c>
      <c r="Q284" s="24">
        <f ca="1">IFERROR(__xludf.DUMMYFUNCTION("""COMPUTED_VALUE"""),-86.517832500333)</f>
        <v>-86.517832500333</v>
      </c>
      <c r="R284" s="20"/>
    </row>
    <row r="285" spans="1:18" ht="13.2" hidden="1" outlineLevel="1" x14ac:dyDescent="0.25">
      <c r="A285" s="1"/>
      <c r="B285" s="21" t="str">
        <f ca="1">IFERROR(__xludf.DUMMYFUNCTION("""COMPUTED_VALUE"""),"Geoenergía")</f>
        <v>Geoenergía</v>
      </c>
      <c r="C285" s="22">
        <f ca="1">IFERROR(__xludf.DUMMYFUNCTION("""COMPUTED_VALUE"""),-28.762373781417)</f>
        <v>-28.762373781417001</v>
      </c>
      <c r="D285" s="23">
        <f ca="1">IFERROR(__xludf.DUMMYFUNCTION("""COMPUTED_VALUE"""),-27.4176420837335)</f>
        <v>-27.417642083733501</v>
      </c>
      <c r="E285" s="23">
        <f ca="1">IFERROR(__xludf.DUMMYFUNCTION("""COMPUTED_VALUE"""),-24.5599069913274)</f>
        <v>-24.559906991327399</v>
      </c>
      <c r="F285" s="23">
        <f ca="1">IFERROR(__xludf.DUMMYFUNCTION("""COMPUTED_VALUE"""),-25.4932891196797)</f>
        <v>-25.493289119679702</v>
      </c>
      <c r="G285" s="23">
        <f ca="1">IFERROR(__xludf.DUMMYFUNCTION("""COMPUTED_VALUE"""),-25.326716568116)</f>
        <v>-25.326716568116002</v>
      </c>
      <c r="H285" s="23">
        <f ca="1">IFERROR(__xludf.DUMMYFUNCTION("""COMPUTED_VALUE"""),-26.5306410704584)</f>
        <v>-26.530641070458401</v>
      </c>
      <c r="I285" s="23">
        <f ca="1">IFERROR(__xludf.DUMMYFUNCTION("""COMPUTED_VALUE"""),-25.7432810093918)</f>
        <v>-25.743281009391801</v>
      </c>
      <c r="J285" s="23">
        <f ca="1">IFERROR(__xludf.DUMMYFUNCTION("""COMPUTED_VALUE"""),-23.7316824624317)</f>
        <v>-23.731682462431699</v>
      </c>
      <c r="K285" s="23">
        <f ca="1">IFERROR(__xludf.DUMMYFUNCTION("""COMPUTED_VALUE"""),-21.1555305711881)</f>
        <v>-21.155530571188098</v>
      </c>
      <c r="L285" s="23">
        <f ca="1">IFERROR(__xludf.DUMMYFUNCTION("""COMPUTED_VALUE"""),-20.9378103741678)</f>
        <v>-20.9378103741678</v>
      </c>
      <c r="M285" s="23">
        <f ca="1">IFERROR(__xludf.DUMMYFUNCTION("""COMPUTED_VALUE"""),-19.1204715569663)</f>
        <v>-19.120471556966301</v>
      </c>
      <c r="N285" s="23">
        <f ca="1">IFERROR(__xludf.DUMMYFUNCTION("""COMPUTED_VALUE"""),-17.5980014093371)</f>
        <v>-17.598001409337101</v>
      </c>
      <c r="O285" s="23">
        <f ca="1">IFERROR(__xludf.DUMMYFUNCTION("""COMPUTED_VALUE"""),-18.4614130254254)</f>
        <v>-18.461413025425401</v>
      </c>
      <c r="P285" s="23">
        <f ca="1">IFERROR(__xludf.DUMMYFUNCTION("""COMPUTED_VALUE"""),-17.2933047562122)</f>
        <v>-17.293304756212201</v>
      </c>
      <c r="Q285" s="24">
        <f ca="1">IFERROR(__xludf.DUMMYFUNCTION("""COMPUTED_VALUE"""),-14.775345960735)</f>
        <v>-14.775345960735001</v>
      </c>
      <c r="R285" s="20"/>
    </row>
    <row r="286" spans="1:18" ht="13.2" hidden="1" outlineLevel="1" x14ac:dyDescent="0.25">
      <c r="A286" s="1"/>
      <c r="B286" s="21" t="str">
        <f ca="1">IFERROR(__xludf.DUMMYFUNCTION("""COMPUTED_VALUE"""),"Energía solar")</f>
        <v>Energía solar</v>
      </c>
      <c r="C286" s="22">
        <f ca="1">IFERROR(__xludf.DUMMYFUNCTION("""COMPUTED_VALUE"""),-0.000397384392433985)</f>
        <v>-3.9738439243398502E-4</v>
      </c>
      <c r="D286" s="23">
        <f ca="1">IFERROR(__xludf.DUMMYFUNCTION("""COMPUTED_VALUE"""),-0.000396878776998109)</f>
        <v>-3.9687877699810901E-4</v>
      </c>
      <c r="E286" s="23">
        <f ca="1">IFERROR(__xludf.DUMMYFUNCTION("""COMPUTED_VALUE"""),-0.0106455052817297)</f>
        <v>-1.06455052817297E-2</v>
      </c>
      <c r="F286" s="23">
        <f ca="1">IFERROR(__xludf.DUMMYFUNCTION("""COMPUTED_VALUE"""),-0.0722697809260149)</f>
        <v>-7.2269780926014895E-2</v>
      </c>
      <c r="G286" s="23">
        <f ca="1">IFERROR(__xludf.DUMMYFUNCTION("""COMPUTED_VALUE"""),-0.31473222566015)</f>
        <v>-0.31473222566015002</v>
      </c>
      <c r="H286" s="23">
        <f ca="1">IFERROR(__xludf.DUMMYFUNCTION("""COMPUTED_VALUE"""),-0.288611840186412)</f>
        <v>-0.28861184018641201</v>
      </c>
      <c r="I286" s="23">
        <f ca="1">IFERROR(__xludf.DUMMYFUNCTION("""COMPUTED_VALUE"""),-0.58853047827557)</f>
        <v>-0.58853047827557003</v>
      </c>
      <c r="J286" s="23">
        <f ca="1">IFERROR(__xludf.DUMMYFUNCTION("""COMPUTED_VALUE"""),-1.27257390865549)</f>
        <v>-1.2725739086554899</v>
      </c>
      <c r="K286" s="23">
        <f ca="1">IFERROR(__xludf.DUMMYFUNCTION("""COMPUTED_VALUE"""),-7.92743128895603)</f>
        <v>-7.9274312889560301</v>
      </c>
      <c r="L286" s="23">
        <f ca="1">IFERROR(__xludf.DUMMYFUNCTION("""COMPUTED_VALUE"""),-30.6022560465888)</f>
        <v>-30.602256046588799</v>
      </c>
      <c r="M286" s="23">
        <f ca="1">IFERROR(__xludf.DUMMYFUNCTION("""COMPUTED_VALUE"""),-49.25516431347)</f>
        <v>-49.255164313469997</v>
      </c>
      <c r="N286" s="23">
        <f ca="1">IFERROR(__xludf.DUMMYFUNCTION("""COMPUTED_VALUE"""),-62.2277737831912)</f>
        <v>-62.227773783191203</v>
      </c>
      <c r="O286" s="23">
        <f ca="1">IFERROR(__xludf.DUMMYFUNCTION("""COMPUTED_VALUE"""),-59.3126296193328)</f>
        <v>-59.312629619332803</v>
      </c>
      <c r="P286" s="23">
        <f ca="1">IFERROR(__xludf.DUMMYFUNCTION("""COMPUTED_VALUE"""),-66.3463914819941)</f>
        <v>-66.346391481994104</v>
      </c>
      <c r="Q286" s="24">
        <f ca="1">IFERROR(__xludf.DUMMYFUNCTION("""COMPUTED_VALUE"""),-67.8802661590502)</f>
        <v>-67.880266159050194</v>
      </c>
      <c r="R286" s="20"/>
    </row>
    <row r="287" spans="1:18" ht="13.2" hidden="1" outlineLevel="1" x14ac:dyDescent="0.25">
      <c r="A287" s="1"/>
      <c r="B287" s="21" t="str">
        <f ca="1">IFERROR(__xludf.DUMMYFUNCTION("""COMPUTED_VALUE"""),"Energía eólica")</f>
        <v>Energía eólica</v>
      </c>
      <c r="C287" s="22">
        <f ca="1">IFERROR(__xludf.DUMMYFUNCTION("""COMPUTED_VALUE"""),-4.72015574438388)</f>
        <v>-4.72015574438388</v>
      </c>
      <c r="D287" s="23">
        <f ca="1">IFERROR(__xludf.DUMMYFUNCTION("""COMPUTED_VALUE"""),-6.09270561652387)</f>
        <v>-6.0927056165238698</v>
      </c>
      <c r="E287" s="23">
        <f ca="1">IFERROR(__xludf.DUMMYFUNCTION("""COMPUTED_VALUE"""),-13.4182747539153)</f>
        <v>-13.4182747539153</v>
      </c>
      <c r="F287" s="23">
        <f ca="1">IFERROR(__xludf.DUMMYFUNCTION("""COMPUTED_VALUE"""),-15.4326807263786)</f>
        <v>-15.432680726378599</v>
      </c>
      <c r="G287" s="23">
        <f ca="1">IFERROR(__xludf.DUMMYFUNCTION("""COMPUTED_VALUE"""),-23.6933194550924)</f>
        <v>-23.6933194550924</v>
      </c>
      <c r="H287" s="23">
        <f ca="1">IFERROR(__xludf.DUMMYFUNCTION("""COMPUTED_VALUE"""),-32.2266686190985)</f>
        <v>-32.226668619098497</v>
      </c>
      <c r="I287" s="23">
        <f ca="1">IFERROR(__xludf.DUMMYFUNCTION("""COMPUTED_VALUE"""),-38.4244589107372)</f>
        <v>-38.424458910737201</v>
      </c>
      <c r="J287" s="23">
        <f ca="1">IFERROR(__xludf.DUMMYFUNCTION("""COMPUTED_VALUE"""),-38.0122580222196)</f>
        <v>-38.012258022219598</v>
      </c>
      <c r="K287" s="23">
        <f ca="1">IFERROR(__xludf.DUMMYFUNCTION("""COMPUTED_VALUE"""),-45.2287222480656)</f>
        <v>-45.228722248065601</v>
      </c>
      <c r="L287" s="23">
        <f ca="1">IFERROR(__xludf.DUMMYFUNCTION("""COMPUTED_VALUE"""),-60.8230933995897)</f>
        <v>-60.823093399589702</v>
      </c>
      <c r="M287" s="23">
        <f ca="1">IFERROR(__xludf.DUMMYFUNCTION("""COMPUTED_VALUE"""),-71.6722117329134)</f>
        <v>-71.672211732913397</v>
      </c>
      <c r="N287" s="23">
        <f ca="1">IFERROR(__xludf.DUMMYFUNCTION("""COMPUTED_VALUE"""),-76.6530766316587)</f>
        <v>-76.653076631658706</v>
      </c>
      <c r="O287" s="23">
        <f ca="1">IFERROR(__xludf.DUMMYFUNCTION("""COMPUTED_VALUE"""),-73.9145440149017)</f>
        <v>-73.914544014901693</v>
      </c>
      <c r="P287" s="23">
        <f ca="1">IFERROR(__xludf.DUMMYFUNCTION("""COMPUTED_VALUE"""),-75.2858005595479)</f>
        <v>-75.285800559547894</v>
      </c>
      <c r="Q287" s="24">
        <f ca="1">IFERROR(__xludf.DUMMYFUNCTION("""COMPUTED_VALUE"""),-72.6585248964424)</f>
        <v>-72.658524896442401</v>
      </c>
      <c r="R287" s="20"/>
    </row>
    <row r="288" spans="1:18" ht="13.2" hidden="1" outlineLevel="1" x14ac:dyDescent="0.25">
      <c r="A288" s="1"/>
      <c r="B288" s="21" t="str">
        <f ca="1">IFERROR(__xludf.DUMMYFUNCTION("""COMPUTED_VALUE"""),"Bagazo de caña")</f>
        <v>Bagazo de caña</v>
      </c>
      <c r="C288" s="22">
        <f ca="1">IFERROR(__xludf.DUMMYFUNCTION("""COMPUTED_VALUE"""),-46.25)</f>
        <v>-46.25</v>
      </c>
      <c r="D288" s="23">
        <f ca="1">IFERROR(__xludf.DUMMYFUNCTION("""COMPUTED_VALUE"""),-47.78)</f>
        <v>-47.78</v>
      </c>
      <c r="E288" s="23">
        <f ca="1">IFERROR(__xludf.DUMMYFUNCTION("""COMPUTED_VALUE"""),-51.6499999999999)</f>
        <v>-51.649999999999899</v>
      </c>
      <c r="F288" s="23">
        <f ca="1">IFERROR(__xludf.DUMMYFUNCTION("""COMPUTED_VALUE"""),-62.62)</f>
        <v>-62.62</v>
      </c>
      <c r="G288" s="23">
        <f ca="1">IFERROR(__xludf.DUMMYFUNCTION("""COMPUTED_VALUE"""),-62.54)</f>
        <v>-62.54</v>
      </c>
      <c r="H288" s="23">
        <f ca="1">IFERROR(__xludf.DUMMYFUNCTION("""COMPUTED_VALUE"""),-63.33)</f>
        <v>-63.33</v>
      </c>
      <c r="I288" s="23">
        <f ca="1">IFERROR(__xludf.DUMMYFUNCTION("""COMPUTED_VALUE"""),-63.35)</f>
        <v>-63.35</v>
      </c>
      <c r="J288" s="23">
        <f ca="1">IFERROR(__xludf.DUMMYFUNCTION("""COMPUTED_VALUE"""),-63.74)</f>
        <v>-63.74</v>
      </c>
      <c r="K288" s="23">
        <f ca="1">IFERROR(__xludf.DUMMYFUNCTION("""COMPUTED_VALUE"""),-63.5)</f>
        <v>-63.5</v>
      </c>
      <c r="L288" s="23">
        <f ca="1">IFERROR(__xludf.DUMMYFUNCTION("""COMPUTED_VALUE"""),-66.59)</f>
        <v>-66.59</v>
      </c>
      <c r="M288" s="23">
        <f ca="1">IFERROR(__xludf.DUMMYFUNCTION("""COMPUTED_VALUE"""),-61.19)</f>
        <v>-61.19</v>
      </c>
      <c r="N288" s="23">
        <f ca="1">IFERROR(__xludf.DUMMYFUNCTION("""COMPUTED_VALUE"""),-62.3899999999999)</f>
        <v>-62.389999999999901</v>
      </c>
      <c r="O288" s="23">
        <f ca="1">IFERROR(__xludf.DUMMYFUNCTION("""COMPUTED_VALUE"""),-66.62)</f>
        <v>-66.62</v>
      </c>
      <c r="P288" s="23">
        <f ca="1">IFERROR(__xludf.DUMMYFUNCTION("""COMPUTED_VALUE"""),-59.34)</f>
        <v>-59.34</v>
      </c>
      <c r="Q288" s="24">
        <f ca="1">IFERROR(__xludf.DUMMYFUNCTION("""COMPUTED_VALUE"""),-61.5)</f>
        <v>-61.5</v>
      </c>
      <c r="R288" s="20"/>
    </row>
    <row r="289" spans="1:18" ht="13.2" hidden="1" outlineLevel="1" x14ac:dyDescent="0.25">
      <c r="A289" s="1"/>
      <c r="B289" s="21" t="str">
        <f ca="1">IFERROR(__xludf.DUMMYFUNCTION("""COMPUTED_VALUE"""),"Leña")</f>
        <v>Leña</v>
      </c>
      <c r="C289" s="22">
        <f ca="1">IFERROR(__xludf.DUMMYFUNCTION("""COMPUTED_VALUE"""),0)</f>
        <v>0</v>
      </c>
      <c r="D289" s="23">
        <f ca="1">IFERROR(__xludf.DUMMYFUNCTION("""COMPUTED_VALUE"""),0)</f>
        <v>0</v>
      </c>
      <c r="E289" s="23">
        <f ca="1">IFERROR(__xludf.DUMMYFUNCTION("""COMPUTED_VALUE"""),0)</f>
        <v>0</v>
      </c>
      <c r="F289" s="23">
        <f ca="1">IFERROR(__xludf.DUMMYFUNCTION("""COMPUTED_VALUE"""),0)</f>
        <v>0</v>
      </c>
      <c r="G289" s="23">
        <f ca="1">IFERROR(__xludf.DUMMYFUNCTION("""COMPUTED_VALUE"""),0)</f>
        <v>0</v>
      </c>
      <c r="H289" s="23">
        <f ca="1">IFERROR(__xludf.DUMMYFUNCTION("""COMPUTED_VALUE"""),0)</f>
        <v>0</v>
      </c>
      <c r="I289" s="23">
        <f ca="1">IFERROR(__xludf.DUMMYFUNCTION("""COMPUTED_VALUE"""),0)</f>
        <v>0</v>
      </c>
      <c r="J289" s="23">
        <f ca="1">IFERROR(__xludf.DUMMYFUNCTION("""COMPUTED_VALUE"""),0)</f>
        <v>0</v>
      </c>
      <c r="K289" s="23">
        <f ca="1">IFERROR(__xludf.DUMMYFUNCTION("""COMPUTED_VALUE"""),0)</f>
        <v>0</v>
      </c>
      <c r="L289" s="23">
        <f ca="1">IFERROR(__xludf.DUMMYFUNCTION("""COMPUTED_VALUE"""),0)</f>
        <v>0</v>
      </c>
      <c r="M289" s="23">
        <f ca="1">IFERROR(__xludf.DUMMYFUNCTION("""COMPUTED_VALUE"""),0)</f>
        <v>0</v>
      </c>
      <c r="N289" s="23">
        <f ca="1">IFERROR(__xludf.DUMMYFUNCTION("""COMPUTED_VALUE"""),0)</f>
        <v>0</v>
      </c>
      <c r="O289" s="23">
        <f ca="1">IFERROR(__xludf.DUMMYFUNCTION("""COMPUTED_VALUE"""),0)</f>
        <v>0</v>
      </c>
      <c r="P289" s="23">
        <f ca="1">IFERROR(__xludf.DUMMYFUNCTION("""COMPUTED_VALUE"""),0)</f>
        <v>0</v>
      </c>
      <c r="Q289" s="24">
        <f ca="1">IFERROR(__xludf.DUMMYFUNCTION("""COMPUTED_VALUE"""),0)</f>
        <v>0</v>
      </c>
      <c r="R289" s="20"/>
    </row>
    <row r="290" spans="1:18" ht="13.2" hidden="1" outlineLevel="1" x14ac:dyDescent="0.25">
      <c r="A290" s="1"/>
      <c r="B290" s="21" t="str">
        <f ca="1">IFERROR(__xludf.DUMMYFUNCTION("""COMPUTED_VALUE"""),"Biogás")</f>
        <v>Biogás</v>
      </c>
      <c r="C290" s="22">
        <f ca="1">IFERROR(__xludf.DUMMYFUNCTION("""COMPUTED_VALUE"""),-1.3)</f>
        <v>-1.3</v>
      </c>
      <c r="D290" s="23">
        <f ca="1">IFERROR(__xludf.DUMMYFUNCTION("""COMPUTED_VALUE"""),-1.47)</f>
        <v>-1.47</v>
      </c>
      <c r="E290" s="23">
        <f ca="1">IFERROR(__xludf.DUMMYFUNCTION("""COMPUTED_VALUE"""),-1.82)</f>
        <v>-1.82</v>
      </c>
      <c r="F290" s="23">
        <f ca="1">IFERROR(__xludf.DUMMYFUNCTION("""COMPUTED_VALUE"""),-1.96999999999999)</f>
        <v>-1.96999999999999</v>
      </c>
      <c r="G290" s="23">
        <f ca="1">IFERROR(__xludf.DUMMYFUNCTION("""COMPUTED_VALUE"""),-1.94)</f>
        <v>-1.94</v>
      </c>
      <c r="H290" s="23">
        <f ca="1">IFERROR(__xludf.DUMMYFUNCTION("""COMPUTED_VALUE"""),-1.87)</f>
        <v>-1.87</v>
      </c>
      <c r="I290" s="23">
        <f ca="1">IFERROR(__xludf.DUMMYFUNCTION("""COMPUTED_VALUE"""),-1.91)</f>
        <v>-1.91</v>
      </c>
      <c r="J290" s="23">
        <f ca="1">IFERROR(__xludf.DUMMYFUNCTION("""COMPUTED_VALUE"""),-2.52)</f>
        <v>-2.52</v>
      </c>
      <c r="K290" s="23">
        <f ca="1">IFERROR(__xludf.DUMMYFUNCTION("""COMPUTED_VALUE"""),-2.84)</f>
        <v>-2.84</v>
      </c>
      <c r="L290" s="23">
        <f ca="1">IFERROR(__xludf.DUMMYFUNCTION("""COMPUTED_VALUE"""),-2.8)</f>
        <v>-2.8</v>
      </c>
      <c r="M290" s="23">
        <f ca="1">IFERROR(__xludf.DUMMYFUNCTION("""COMPUTED_VALUE"""),-2.53)</f>
        <v>-2.5299999999999998</v>
      </c>
      <c r="N290" s="23">
        <f ca="1">IFERROR(__xludf.DUMMYFUNCTION("""COMPUTED_VALUE"""),-2.71)</f>
        <v>-2.71</v>
      </c>
      <c r="O290" s="23">
        <f ca="1">IFERROR(__xludf.DUMMYFUNCTION("""COMPUTED_VALUE"""),-2.89)</f>
        <v>-2.89</v>
      </c>
      <c r="P290" s="23">
        <f ca="1">IFERROR(__xludf.DUMMYFUNCTION("""COMPUTED_VALUE"""),-3.07)</f>
        <v>-3.07</v>
      </c>
      <c r="Q290" s="24">
        <f ca="1">IFERROR(__xludf.DUMMYFUNCTION("""COMPUTED_VALUE"""),-3.25)</f>
        <v>-3.25</v>
      </c>
      <c r="R290" s="20"/>
    </row>
    <row r="291" spans="1:18" ht="13.2" hidden="1" outlineLevel="1" x14ac:dyDescent="0.25">
      <c r="A291" s="1"/>
      <c r="B291" s="21" t="str">
        <f ca="1">IFERROR(__xludf.DUMMYFUNCTION("""COMPUTED_VALUE"""),"Coque de carbón")</f>
        <v>Coque de carbón</v>
      </c>
      <c r="C291" s="22">
        <f ca="1">IFERROR(__xludf.DUMMYFUNCTION("""COMPUTED_VALUE"""),0)</f>
        <v>0</v>
      </c>
      <c r="D291" s="23">
        <f ca="1">IFERROR(__xludf.DUMMYFUNCTION("""COMPUTED_VALUE"""),0)</f>
        <v>0</v>
      </c>
      <c r="E291" s="23">
        <f ca="1">IFERROR(__xludf.DUMMYFUNCTION("""COMPUTED_VALUE"""),0)</f>
        <v>0</v>
      </c>
      <c r="F291" s="23">
        <f ca="1">IFERROR(__xludf.DUMMYFUNCTION("""COMPUTED_VALUE"""),0)</f>
        <v>0</v>
      </c>
      <c r="G291" s="23">
        <f ca="1">IFERROR(__xludf.DUMMYFUNCTION("""COMPUTED_VALUE"""),0)</f>
        <v>0</v>
      </c>
      <c r="H291" s="23">
        <f ca="1">IFERROR(__xludf.DUMMYFUNCTION("""COMPUTED_VALUE"""),0)</f>
        <v>0</v>
      </c>
      <c r="I291" s="23">
        <f ca="1">IFERROR(__xludf.DUMMYFUNCTION("""COMPUTED_VALUE"""),0)</f>
        <v>0</v>
      </c>
      <c r="J291" s="23">
        <f ca="1">IFERROR(__xludf.DUMMYFUNCTION("""COMPUTED_VALUE"""),0)</f>
        <v>0</v>
      </c>
      <c r="K291" s="23">
        <f ca="1">IFERROR(__xludf.DUMMYFUNCTION("""COMPUTED_VALUE"""),0)</f>
        <v>0</v>
      </c>
      <c r="L291" s="23">
        <f ca="1">IFERROR(__xludf.DUMMYFUNCTION("""COMPUTED_VALUE"""),0)</f>
        <v>0</v>
      </c>
      <c r="M291" s="23">
        <f ca="1">IFERROR(__xludf.DUMMYFUNCTION("""COMPUTED_VALUE"""),0)</f>
        <v>0</v>
      </c>
      <c r="N291" s="23">
        <f ca="1">IFERROR(__xludf.DUMMYFUNCTION("""COMPUTED_VALUE"""),0)</f>
        <v>0</v>
      </c>
      <c r="O291" s="23">
        <f ca="1">IFERROR(__xludf.DUMMYFUNCTION("""COMPUTED_VALUE"""),0)</f>
        <v>0</v>
      </c>
      <c r="P291" s="23">
        <f ca="1">IFERROR(__xludf.DUMMYFUNCTION("""COMPUTED_VALUE"""),0)</f>
        <v>0</v>
      </c>
      <c r="Q291" s="24">
        <f ca="1">IFERROR(__xludf.DUMMYFUNCTION("""COMPUTED_VALUE"""),0)</f>
        <v>0</v>
      </c>
      <c r="R291" s="20"/>
    </row>
    <row r="292" spans="1:18" ht="13.2" hidden="1" outlineLevel="1" x14ac:dyDescent="0.25">
      <c r="A292" s="1"/>
      <c r="B292" s="21" t="str">
        <f ca="1">IFERROR(__xludf.DUMMYFUNCTION("""COMPUTED_VALUE"""),"Coque de petróleo")</f>
        <v>Coque de petróleo</v>
      </c>
      <c r="C292" s="22">
        <f ca="1">IFERROR(__xludf.DUMMYFUNCTION("""COMPUTED_VALUE"""),-38.2874168399168)</f>
        <v>-38.287416839916801</v>
      </c>
      <c r="D292" s="23">
        <f ca="1">IFERROR(__xludf.DUMMYFUNCTION("""COMPUTED_VALUE"""),-68.6899441633222)</f>
        <v>-68.689944163322195</v>
      </c>
      <c r="E292" s="23">
        <f ca="1">IFERROR(__xludf.DUMMYFUNCTION("""COMPUTED_VALUE"""),-60.1032863748013)</f>
        <v>-60.1032863748013</v>
      </c>
      <c r="F292" s="23">
        <f ca="1">IFERROR(__xludf.DUMMYFUNCTION("""COMPUTED_VALUE"""),-46.342595233245)</f>
        <v>-46.342595233245</v>
      </c>
      <c r="G292" s="23">
        <f ca="1">IFERROR(__xludf.DUMMYFUNCTION("""COMPUTED_VALUE"""),-19.0446777980693)</f>
        <v>-19.044677798069301</v>
      </c>
      <c r="H292" s="23">
        <f ca="1">IFERROR(__xludf.DUMMYFUNCTION("""COMPUTED_VALUE"""),-18.5410194492357)</f>
        <v>-18.541019449235701</v>
      </c>
      <c r="I292" s="23">
        <f ca="1">IFERROR(__xludf.DUMMYFUNCTION("""COMPUTED_VALUE"""),-6.2687979552937)</f>
        <v>-6.2687979552937003</v>
      </c>
      <c r="J292" s="23">
        <f ca="1">IFERROR(__xludf.DUMMYFUNCTION("""COMPUTED_VALUE"""),-14.0186133687178)</f>
        <v>-14.0186133687178</v>
      </c>
      <c r="K292" s="23">
        <f ca="1">IFERROR(__xludf.DUMMYFUNCTION("""COMPUTED_VALUE"""),-18.843733451015)</f>
        <v>-18.843733451015002</v>
      </c>
      <c r="L292" s="23">
        <f ca="1">IFERROR(__xludf.DUMMYFUNCTION("""COMPUTED_VALUE"""),-32.6164408909194)</f>
        <v>-32.616440890919399</v>
      </c>
      <c r="M292" s="23">
        <f ca="1">IFERROR(__xludf.DUMMYFUNCTION("""COMPUTED_VALUE"""),-35.0952368213047)</f>
        <v>-35.095236821304702</v>
      </c>
      <c r="N292" s="23">
        <f ca="1">IFERROR(__xludf.DUMMYFUNCTION("""COMPUTED_VALUE"""),-43.2578698664027)</f>
        <v>-43.2578698664027</v>
      </c>
      <c r="O292" s="23">
        <f ca="1">IFERROR(__xludf.DUMMYFUNCTION("""COMPUTED_VALUE"""),-44.4608797765488)</f>
        <v>-44.460879776548801</v>
      </c>
      <c r="P292" s="23">
        <f ca="1">IFERROR(__xludf.DUMMYFUNCTION("""COMPUTED_VALUE"""),-41.8793745418286)</f>
        <v>-41.879374541828597</v>
      </c>
      <c r="Q292" s="24">
        <f ca="1">IFERROR(__xludf.DUMMYFUNCTION("""COMPUTED_VALUE"""),-24.9063708395548)</f>
        <v>-24.9063708395548</v>
      </c>
      <c r="R292" s="20"/>
    </row>
    <row r="293" spans="1:18" ht="13.2" hidden="1" outlineLevel="1" x14ac:dyDescent="0.25">
      <c r="A293" s="1"/>
      <c r="B293" s="21" t="str">
        <f ca="1">IFERROR(__xludf.DUMMYFUNCTION("""COMPUTED_VALUE"""),"Gas licuado de petróleo")</f>
        <v>Gas licuado de petróleo</v>
      </c>
      <c r="C293" s="22">
        <f ca="1">IFERROR(__xludf.DUMMYFUNCTION("""COMPUTED_VALUE"""),0)</f>
        <v>0</v>
      </c>
      <c r="D293" s="23">
        <f ca="1">IFERROR(__xludf.DUMMYFUNCTION("""COMPUTED_VALUE"""),0)</f>
        <v>0</v>
      </c>
      <c r="E293" s="23">
        <f ca="1">IFERROR(__xludf.DUMMYFUNCTION("""COMPUTED_VALUE"""),0)</f>
        <v>0</v>
      </c>
      <c r="F293" s="23">
        <f ca="1">IFERROR(__xludf.DUMMYFUNCTION("""COMPUTED_VALUE"""),0)</f>
        <v>0</v>
      </c>
      <c r="G293" s="23">
        <f ca="1">IFERROR(__xludf.DUMMYFUNCTION("""COMPUTED_VALUE"""),0)</f>
        <v>0</v>
      </c>
      <c r="H293" s="23">
        <f ca="1">IFERROR(__xludf.DUMMYFUNCTION("""COMPUTED_VALUE"""),0)</f>
        <v>0</v>
      </c>
      <c r="I293" s="23">
        <f ca="1">IFERROR(__xludf.DUMMYFUNCTION("""COMPUTED_VALUE"""),0)</f>
        <v>0</v>
      </c>
      <c r="J293" s="23">
        <f ca="1">IFERROR(__xludf.DUMMYFUNCTION("""COMPUTED_VALUE"""),0)</f>
        <v>0</v>
      </c>
      <c r="K293" s="23">
        <f ca="1">IFERROR(__xludf.DUMMYFUNCTION("""COMPUTED_VALUE"""),0)</f>
        <v>0</v>
      </c>
      <c r="L293" s="23">
        <f ca="1">IFERROR(__xludf.DUMMYFUNCTION("""COMPUTED_VALUE"""),0)</f>
        <v>0</v>
      </c>
      <c r="M293" s="23">
        <f ca="1">IFERROR(__xludf.DUMMYFUNCTION("""COMPUTED_VALUE"""),0)</f>
        <v>0</v>
      </c>
      <c r="N293" s="23">
        <f ca="1">IFERROR(__xludf.DUMMYFUNCTION("""COMPUTED_VALUE"""),0)</f>
        <v>0</v>
      </c>
      <c r="O293" s="23">
        <f ca="1">IFERROR(__xludf.DUMMYFUNCTION("""COMPUTED_VALUE"""),0)</f>
        <v>0</v>
      </c>
      <c r="P293" s="23">
        <f ca="1">IFERROR(__xludf.DUMMYFUNCTION("""COMPUTED_VALUE"""),0)</f>
        <v>0</v>
      </c>
      <c r="Q293" s="24">
        <f ca="1">IFERROR(__xludf.DUMMYFUNCTION("""COMPUTED_VALUE"""),0)</f>
        <v>0</v>
      </c>
      <c r="R293" s="20"/>
    </row>
    <row r="294" spans="1:18" ht="13.2" hidden="1" outlineLevel="1" x14ac:dyDescent="0.25">
      <c r="A294" s="1"/>
      <c r="B294" s="21" t="str">
        <f ca="1">IFERROR(__xludf.DUMMYFUNCTION("""COMPUTED_VALUE"""),"Gasolinas y naftas")</f>
        <v>Gasolinas y naftas</v>
      </c>
      <c r="C294" s="22">
        <f ca="1">IFERROR(__xludf.DUMMYFUNCTION("""COMPUTED_VALUE"""),0)</f>
        <v>0</v>
      </c>
      <c r="D294" s="23">
        <f ca="1">IFERROR(__xludf.DUMMYFUNCTION("""COMPUTED_VALUE"""),0)</f>
        <v>0</v>
      </c>
      <c r="E294" s="23">
        <f ca="1">IFERROR(__xludf.DUMMYFUNCTION("""COMPUTED_VALUE"""),0)</f>
        <v>0</v>
      </c>
      <c r="F294" s="23">
        <f ca="1">IFERROR(__xludf.DUMMYFUNCTION("""COMPUTED_VALUE"""),0)</f>
        <v>0</v>
      </c>
      <c r="G294" s="23">
        <f ca="1">IFERROR(__xludf.DUMMYFUNCTION("""COMPUTED_VALUE"""),0)</f>
        <v>0</v>
      </c>
      <c r="H294" s="23">
        <f ca="1">IFERROR(__xludf.DUMMYFUNCTION("""COMPUTED_VALUE"""),0)</f>
        <v>0</v>
      </c>
      <c r="I294" s="23">
        <f ca="1">IFERROR(__xludf.DUMMYFUNCTION("""COMPUTED_VALUE"""),0)</f>
        <v>0</v>
      </c>
      <c r="J294" s="23">
        <f ca="1">IFERROR(__xludf.DUMMYFUNCTION("""COMPUTED_VALUE"""),0)</f>
        <v>0</v>
      </c>
      <c r="K294" s="23">
        <f ca="1">IFERROR(__xludf.DUMMYFUNCTION("""COMPUTED_VALUE"""),0)</f>
        <v>0</v>
      </c>
      <c r="L294" s="23">
        <f ca="1">IFERROR(__xludf.DUMMYFUNCTION("""COMPUTED_VALUE"""),0)</f>
        <v>0</v>
      </c>
      <c r="M294" s="23">
        <f ca="1">IFERROR(__xludf.DUMMYFUNCTION("""COMPUTED_VALUE"""),0)</f>
        <v>0</v>
      </c>
      <c r="N294" s="23">
        <f ca="1">IFERROR(__xludf.DUMMYFUNCTION("""COMPUTED_VALUE"""),0)</f>
        <v>0</v>
      </c>
      <c r="O294" s="23">
        <f ca="1">IFERROR(__xludf.DUMMYFUNCTION("""COMPUTED_VALUE"""),0)</f>
        <v>0</v>
      </c>
      <c r="P294" s="23">
        <f ca="1">IFERROR(__xludf.DUMMYFUNCTION("""COMPUTED_VALUE"""),0)</f>
        <v>0</v>
      </c>
      <c r="Q294" s="24">
        <f ca="1">IFERROR(__xludf.DUMMYFUNCTION("""COMPUTED_VALUE"""),0)</f>
        <v>0</v>
      </c>
      <c r="R294" s="20"/>
    </row>
    <row r="295" spans="1:18" ht="13.2" hidden="1" outlineLevel="1" x14ac:dyDescent="0.25">
      <c r="A295" s="1"/>
      <c r="B295" s="21" t="str">
        <f ca="1">IFERROR(__xludf.DUMMYFUNCTION("""COMPUTED_VALUE"""),"Querosenos")</f>
        <v>Querosenos</v>
      </c>
      <c r="C295" s="22">
        <f ca="1">IFERROR(__xludf.DUMMYFUNCTION("""COMPUTED_VALUE"""),0)</f>
        <v>0</v>
      </c>
      <c r="D295" s="23">
        <f ca="1">IFERROR(__xludf.DUMMYFUNCTION("""COMPUTED_VALUE"""),0)</f>
        <v>0</v>
      </c>
      <c r="E295" s="23">
        <f ca="1">IFERROR(__xludf.DUMMYFUNCTION("""COMPUTED_VALUE"""),0)</f>
        <v>0</v>
      </c>
      <c r="F295" s="23">
        <f ca="1">IFERROR(__xludf.DUMMYFUNCTION("""COMPUTED_VALUE"""),0)</f>
        <v>0</v>
      </c>
      <c r="G295" s="23">
        <f ca="1">IFERROR(__xludf.DUMMYFUNCTION("""COMPUTED_VALUE"""),0)</f>
        <v>0</v>
      </c>
      <c r="H295" s="23">
        <f ca="1">IFERROR(__xludf.DUMMYFUNCTION("""COMPUTED_VALUE"""),0)</f>
        <v>0</v>
      </c>
      <c r="I295" s="23">
        <f ca="1">IFERROR(__xludf.DUMMYFUNCTION("""COMPUTED_VALUE"""),0)</f>
        <v>0</v>
      </c>
      <c r="J295" s="23">
        <f ca="1">IFERROR(__xludf.DUMMYFUNCTION("""COMPUTED_VALUE"""),0)</f>
        <v>0</v>
      </c>
      <c r="K295" s="23">
        <f ca="1">IFERROR(__xludf.DUMMYFUNCTION("""COMPUTED_VALUE"""),0)</f>
        <v>0</v>
      </c>
      <c r="L295" s="23">
        <f ca="1">IFERROR(__xludf.DUMMYFUNCTION("""COMPUTED_VALUE"""),0)</f>
        <v>0</v>
      </c>
      <c r="M295" s="23">
        <f ca="1">IFERROR(__xludf.DUMMYFUNCTION("""COMPUTED_VALUE"""),0)</f>
        <v>0</v>
      </c>
      <c r="N295" s="23">
        <f ca="1">IFERROR(__xludf.DUMMYFUNCTION("""COMPUTED_VALUE"""),0)</f>
        <v>0</v>
      </c>
      <c r="O295" s="23">
        <f ca="1">IFERROR(__xludf.DUMMYFUNCTION("""COMPUTED_VALUE"""),0)</f>
        <v>0</v>
      </c>
      <c r="P295" s="23">
        <f ca="1">IFERROR(__xludf.DUMMYFUNCTION("""COMPUTED_VALUE"""),0)</f>
        <v>0</v>
      </c>
      <c r="Q295" s="24">
        <f ca="1">IFERROR(__xludf.DUMMYFUNCTION("""COMPUTED_VALUE"""),0)</f>
        <v>0</v>
      </c>
      <c r="R295" s="20"/>
    </row>
    <row r="296" spans="1:18" ht="13.2" hidden="1" outlineLevel="1" x14ac:dyDescent="0.25">
      <c r="A296" s="1"/>
      <c r="B296" s="21" t="str">
        <f ca="1">IFERROR(__xludf.DUMMYFUNCTION("""COMPUTED_VALUE"""),"Diesel")</f>
        <v>Diesel</v>
      </c>
      <c r="C296" s="22">
        <f ca="1">IFERROR(__xludf.DUMMYFUNCTION("""COMPUTED_VALUE"""),-18.8116819425178)</f>
        <v>-18.811681942517801</v>
      </c>
      <c r="D296" s="23">
        <f ca="1">IFERROR(__xludf.DUMMYFUNCTION("""COMPUTED_VALUE"""),-21.5907806008015)</f>
        <v>-21.590780600801502</v>
      </c>
      <c r="E296" s="23">
        <f ca="1">IFERROR(__xludf.DUMMYFUNCTION("""COMPUTED_VALUE"""),-33.2246245430055)</f>
        <v>-33.224624543005497</v>
      </c>
      <c r="F296" s="23">
        <f ca="1">IFERROR(__xludf.DUMMYFUNCTION("""COMPUTED_VALUE"""),-28.2909842051734)</f>
        <v>-28.290984205173402</v>
      </c>
      <c r="G296" s="23">
        <f ca="1">IFERROR(__xludf.DUMMYFUNCTION("""COMPUTED_VALUE"""),-18.0228908406524)</f>
        <v>-18.022890840652401</v>
      </c>
      <c r="H296" s="23">
        <f ca="1">IFERROR(__xludf.DUMMYFUNCTION("""COMPUTED_VALUE"""),-20.7339729538326)</f>
        <v>-20.733972953832598</v>
      </c>
      <c r="I296" s="23">
        <f ca="1">IFERROR(__xludf.DUMMYFUNCTION("""COMPUTED_VALUE"""),-27.4158546506372)</f>
        <v>-27.415854650637201</v>
      </c>
      <c r="J296" s="23">
        <f ca="1">IFERROR(__xludf.DUMMYFUNCTION("""COMPUTED_VALUE"""),-30.7135585741374)</f>
        <v>-30.713558574137402</v>
      </c>
      <c r="K296" s="23">
        <f ca="1">IFERROR(__xludf.DUMMYFUNCTION("""COMPUTED_VALUE"""),-43.7665483859734)</f>
        <v>-43.766548385973401</v>
      </c>
      <c r="L296" s="23">
        <f ca="1">IFERROR(__xludf.DUMMYFUNCTION("""COMPUTED_VALUE"""),-54.7031818679513)</f>
        <v>-54.703181867951301</v>
      </c>
      <c r="M296" s="23">
        <f ca="1">IFERROR(__xludf.DUMMYFUNCTION("""COMPUTED_VALUE"""),-33.7679138444865)</f>
        <v>-33.7679138444865</v>
      </c>
      <c r="N296" s="23">
        <f ca="1">IFERROR(__xludf.DUMMYFUNCTION("""COMPUTED_VALUE"""),-31.9071692874834)</f>
        <v>-31.907169287483399</v>
      </c>
      <c r="O296" s="23">
        <f ca="1">IFERROR(__xludf.DUMMYFUNCTION("""COMPUTED_VALUE"""),-28.5986981714357)</f>
        <v>-28.5986981714357</v>
      </c>
      <c r="P296" s="23">
        <f ca="1">IFERROR(__xludf.DUMMYFUNCTION("""COMPUTED_VALUE"""),-33.1125156686979)</f>
        <v>-33.112515668697903</v>
      </c>
      <c r="Q296" s="24">
        <f ca="1">IFERROR(__xludf.DUMMYFUNCTION("""COMPUTED_VALUE"""),-33.4308007026333)</f>
        <v>-33.430800702633299</v>
      </c>
      <c r="R296" s="20"/>
    </row>
    <row r="297" spans="1:18" ht="13.2" hidden="1" outlineLevel="1" x14ac:dyDescent="0.25">
      <c r="A297" s="1"/>
      <c r="B297" s="21" t="str">
        <f ca="1">IFERROR(__xludf.DUMMYFUNCTION("""COMPUTED_VALUE"""),"Combustóleo")</f>
        <v>Combustóleo</v>
      </c>
      <c r="C297" s="22">
        <f ca="1">IFERROR(__xludf.DUMMYFUNCTION("""COMPUTED_VALUE"""),-203.562407276818)</f>
        <v>-203.56240727681799</v>
      </c>
      <c r="D297" s="23">
        <f ca="1">IFERROR(__xludf.DUMMYFUNCTION("""COMPUTED_VALUE"""),-226.067881850634)</f>
        <v>-226.067881850634</v>
      </c>
      <c r="E297" s="23">
        <f ca="1">IFERROR(__xludf.DUMMYFUNCTION("""COMPUTED_VALUE"""),-290.611096641401)</f>
        <v>-290.61109664140099</v>
      </c>
      <c r="F297" s="23">
        <f ca="1">IFERROR(__xludf.DUMMYFUNCTION("""COMPUTED_VALUE"""),-301.541138721478)</f>
        <v>-301.54113872147798</v>
      </c>
      <c r="G297" s="23">
        <f ca="1">IFERROR(__xludf.DUMMYFUNCTION("""COMPUTED_VALUE"""),-253.729802834096)</f>
        <v>-253.72980283409601</v>
      </c>
      <c r="H297" s="23">
        <f ca="1">IFERROR(__xludf.DUMMYFUNCTION("""COMPUTED_VALUE"""),-229.633278981027)</f>
        <v>-229.63327898102699</v>
      </c>
      <c r="I297" s="23">
        <f ca="1">IFERROR(__xludf.DUMMYFUNCTION("""COMPUTED_VALUE"""),-218.426886427644)</f>
        <v>-218.42688642764401</v>
      </c>
      <c r="J297" s="23">
        <f ca="1">IFERROR(__xludf.DUMMYFUNCTION("""COMPUTED_VALUE"""),-269.257974720598)</f>
        <v>-269.25797472059799</v>
      </c>
      <c r="K297" s="23">
        <f ca="1">IFERROR(__xludf.DUMMYFUNCTION("""COMPUTED_VALUE"""),-163.004420983938)</f>
        <v>-163.00442098393799</v>
      </c>
      <c r="L297" s="23">
        <f ca="1">IFERROR(__xludf.DUMMYFUNCTION("""COMPUTED_VALUE"""),-236.879718217062)</f>
        <v>-236.87971821706199</v>
      </c>
      <c r="M297" s="23">
        <f ca="1">IFERROR(__xludf.DUMMYFUNCTION("""COMPUTED_VALUE"""),-180.585039069721)</f>
        <v>-180.58503906972101</v>
      </c>
      <c r="N297" s="23">
        <f ca="1">IFERROR(__xludf.DUMMYFUNCTION("""COMPUTED_VALUE"""),-239.389490386174)</f>
        <v>-239.389490386174</v>
      </c>
      <c r="O297" s="23">
        <f ca="1">IFERROR(__xludf.DUMMYFUNCTION("""COMPUTED_VALUE"""),-118.433418703182)</f>
        <v>-118.433418703182</v>
      </c>
      <c r="P297" s="23">
        <f ca="1">IFERROR(__xludf.DUMMYFUNCTION("""COMPUTED_VALUE"""),-147.9079142781)</f>
        <v>-147.90791427810001</v>
      </c>
      <c r="Q297" s="24">
        <f ca="1">IFERROR(__xludf.DUMMYFUNCTION("""COMPUTED_VALUE"""),-146.185058892616)</f>
        <v>-146.18505889261601</v>
      </c>
      <c r="R297" s="20"/>
    </row>
    <row r="298" spans="1:18" ht="13.2" hidden="1" outlineLevel="1" x14ac:dyDescent="0.25">
      <c r="A298" s="1"/>
      <c r="B298" s="21" t="str">
        <f ca="1">IFERROR(__xludf.DUMMYFUNCTION("""COMPUTED_VALUE"""),"Otros energéticos")</f>
        <v>Otros energéticos</v>
      </c>
      <c r="C298" s="22">
        <f ca="1">IFERROR(__xludf.DUMMYFUNCTION("""COMPUTED_VALUE"""),0)</f>
        <v>0</v>
      </c>
      <c r="D298" s="23">
        <f ca="1">IFERROR(__xludf.DUMMYFUNCTION("""COMPUTED_VALUE"""),0)</f>
        <v>0</v>
      </c>
      <c r="E298" s="23">
        <f ca="1">IFERROR(__xludf.DUMMYFUNCTION("""COMPUTED_VALUE"""),0)</f>
        <v>0</v>
      </c>
      <c r="F298" s="23">
        <f ca="1">IFERROR(__xludf.DUMMYFUNCTION("""COMPUTED_VALUE"""),0)</f>
        <v>0</v>
      </c>
      <c r="G298" s="23">
        <f ca="1">IFERROR(__xludf.DUMMYFUNCTION("""COMPUTED_VALUE"""),0)</f>
        <v>0</v>
      </c>
      <c r="H298" s="23">
        <f ca="1">IFERROR(__xludf.DUMMYFUNCTION("""COMPUTED_VALUE"""),0)</f>
        <v>0</v>
      </c>
      <c r="I298" s="23">
        <f ca="1">IFERROR(__xludf.DUMMYFUNCTION("""COMPUTED_VALUE"""),0)</f>
        <v>0</v>
      </c>
      <c r="J298" s="23">
        <f ca="1">IFERROR(__xludf.DUMMYFUNCTION("""COMPUTED_VALUE"""),0)</f>
        <v>0</v>
      </c>
      <c r="K298" s="23">
        <f ca="1">IFERROR(__xludf.DUMMYFUNCTION("""COMPUTED_VALUE"""),0)</f>
        <v>0</v>
      </c>
      <c r="L298" s="23">
        <f ca="1">IFERROR(__xludf.DUMMYFUNCTION("""COMPUTED_VALUE"""),0)</f>
        <v>0</v>
      </c>
      <c r="M298" s="23">
        <f ca="1">IFERROR(__xludf.DUMMYFUNCTION("""COMPUTED_VALUE"""),0)</f>
        <v>0</v>
      </c>
      <c r="N298" s="23">
        <f ca="1">IFERROR(__xludf.DUMMYFUNCTION("""COMPUTED_VALUE"""),0)</f>
        <v>0</v>
      </c>
      <c r="O298" s="23">
        <f ca="1">IFERROR(__xludf.DUMMYFUNCTION("""COMPUTED_VALUE"""),0)</f>
        <v>0</v>
      </c>
      <c r="P298" s="23">
        <f ca="1">IFERROR(__xludf.DUMMYFUNCTION("""COMPUTED_VALUE"""),0)</f>
        <v>0</v>
      </c>
      <c r="Q298" s="24">
        <f ca="1">IFERROR(__xludf.DUMMYFUNCTION("""COMPUTED_VALUE"""),0)</f>
        <v>0</v>
      </c>
      <c r="R298" s="20"/>
    </row>
    <row r="299" spans="1:18" ht="13.2" hidden="1" outlineLevel="1" x14ac:dyDescent="0.25">
      <c r="A299" s="1"/>
      <c r="B299" s="21" t="str">
        <f ca="1">IFERROR(__xludf.DUMMYFUNCTION("""COMPUTED_VALUE"""),"Gas natural seco")</f>
        <v>Gas natural seco</v>
      </c>
      <c r="C299" s="22">
        <f ca="1">IFERROR(__xludf.DUMMYFUNCTION("""COMPUTED_VALUE"""),-1429.92587784692)</f>
        <v>-1429.92587784692</v>
      </c>
      <c r="D299" s="23">
        <f ca="1">IFERROR(__xludf.DUMMYFUNCTION("""COMPUTED_VALUE"""),-1506.98930256974)</f>
        <v>-1506.9893025697399</v>
      </c>
      <c r="E299" s="23">
        <f ca="1">IFERROR(__xludf.DUMMYFUNCTION("""COMPUTED_VALUE"""),-1517.43436951261)</f>
        <v>-1517.4343695126099</v>
      </c>
      <c r="F299" s="23">
        <f ca="1">IFERROR(__xludf.DUMMYFUNCTION("""COMPUTED_VALUE"""),-1630.37386172223)</f>
        <v>-1630.37386172223</v>
      </c>
      <c r="G299" s="23">
        <f ca="1">IFERROR(__xludf.DUMMYFUNCTION("""COMPUTED_VALUE"""),-1163.0582777716)</f>
        <v>-1163.0582777715999</v>
      </c>
      <c r="H299" s="23">
        <f ca="1">IFERROR(__xludf.DUMMYFUNCTION("""COMPUTED_VALUE"""),-1242.3924980789)</f>
        <v>-1242.3924980789</v>
      </c>
      <c r="I299" s="23">
        <f ca="1">IFERROR(__xludf.DUMMYFUNCTION("""COMPUTED_VALUE"""),-1440.56946289418)</f>
        <v>-1440.5694628941801</v>
      </c>
      <c r="J299" s="23">
        <f ca="1">IFERROR(__xludf.DUMMYFUNCTION("""COMPUTED_VALUE"""),-1391.03763936303)</f>
        <v>-1391.0376393630299</v>
      </c>
      <c r="K299" s="23">
        <f ca="1">IFERROR(__xludf.DUMMYFUNCTION("""COMPUTED_VALUE"""),-1988.73210836361)</f>
        <v>-1988.73210836361</v>
      </c>
      <c r="L299" s="23">
        <f ca="1">IFERROR(__xludf.DUMMYFUNCTION("""COMPUTED_VALUE"""),-1999.03954576254)</f>
        <v>-1999.03954576254</v>
      </c>
      <c r="M299" s="23">
        <f ca="1">IFERROR(__xludf.DUMMYFUNCTION("""COMPUTED_VALUE"""),-1694.84434663512)</f>
        <v>-1694.84434663512</v>
      </c>
      <c r="N299" s="23">
        <f ca="1">IFERROR(__xludf.DUMMYFUNCTION("""COMPUTED_VALUE"""),-2175.02697045345)</f>
        <v>-2175.0269704534498</v>
      </c>
      <c r="O299" s="23">
        <f ca="1">IFERROR(__xludf.DUMMYFUNCTION("""COMPUTED_VALUE"""),-2067.81975281473)</f>
        <v>-2067.8197528147298</v>
      </c>
      <c r="P299" s="23">
        <f ca="1">IFERROR(__xludf.DUMMYFUNCTION("""COMPUTED_VALUE"""),-2285.12817856594)</f>
        <v>-2285.1281785659398</v>
      </c>
      <c r="Q299" s="24">
        <f ca="1">IFERROR(__xludf.DUMMYFUNCTION("""COMPUTED_VALUE"""),-2415.29453607329)</f>
        <v>-2415.2945360732901</v>
      </c>
      <c r="R299" s="20"/>
    </row>
    <row r="300" spans="1:18" ht="13.2" hidden="1" outlineLevel="1" x14ac:dyDescent="0.25">
      <c r="A300" s="1"/>
      <c r="B300" s="25" t="str">
        <f ca="1">IFERROR(__xludf.DUMMYFUNCTION("""COMPUTED_VALUE"""),"Energía eléctrica")</f>
        <v>Energía eléctrica</v>
      </c>
      <c r="C300" s="26">
        <f ca="1">IFERROR(__xludf.DUMMYFUNCTION("""COMPUTED_VALUE"""),1051.65745877089)</f>
        <v>1051.6574587708899</v>
      </c>
      <c r="D300" s="27">
        <f ca="1">IFERROR(__xludf.DUMMYFUNCTION("""COMPUTED_VALUE"""),1087.05175103583)</f>
        <v>1087.05175103583</v>
      </c>
      <c r="E300" s="27">
        <f ca="1">IFERROR(__xludf.DUMMYFUNCTION("""COMPUTED_VALUE"""),1093.27924589789)</f>
        <v>1093.27924589789</v>
      </c>
      <c r="F300" s="27">
        <f ca="1">IFERROR(__xludf.DUMMYFUNCTION("""COMPUTED_VALUE"""),1120.14083129021)</f>
        <v>1120.1408312902099</v>
      </c>
      <c r="G300" s="27">
        <f ca="1">IFERROR(__xludf.DUMMYFUNCTION("""COMPUTED_VALUE"""),1137.75697904017)</f>
        <v>1137.7569790401701</v>
      </c>
      <c r="H300" s="27">
        <f ca="1">IFERROR(__xludf.DUMMYFUNCTION("""COMPUTED_VALUE"""),1162.26614974407)</f>
        <v>1162.2661497440699</v>
      </c>
      <c r="I300" s="27">
        <f ca="1">IFERROR(__xludf.DUMMYFUNCTION("""COMPUTED_VALUE"""),1176.76172849828)</f>
        <v>1176.76172849828</v>
      </c>
      <c r="J300" s="27">
        <f ca="1">IFERROR(__xludf.DUMMYFUNCTION("""COMPUTED_VALUE"""),1189.97731977747)</f>
        <v>1189.97731977747</v>
      </c>
      <c r="K300" s="27">
        <f ca="1">IFERROR(__xludf.DUMMYFUNCTION("""COMPUTED_VALUE"""),1219.02922162325)</f>
        <v>1219.0292216232499</v>
      </c>
      <c r="L300" s="27">
        <f ca="1">IFERROR(__xludf.DUMMYFUNCTION("""COMPUTED_VALUE"""),1251.42446655689)</f>
        <v>1251.4244665568899</v>
      </c>
      <c r="M300" s="27">
        <f ca="1">IFERROR(__xludf.DUMMYFUNCTION("""COMPUTED_VALUE"""),1263.86277112231)</f>
        <v>1263.8627711223101</v>
      </c>
      <c r="N300" s="27">
        <f ca="1">IFERROR(__xludf.DUMMYFUNCTION("""COMPUTED_VALUE"""),1278.37575939846)</f>
        <v>1278.3757593984601</v>
      </c>
      <c r="O300" s="27">
        <f ca="1">IFERROR(__xludf.DUMMYFUNCTION("""COMPUTED_VALUE"""),1310.80263095984)</f>
        <v>1310.8026309598399</v>
      </c>
      <c r="P300" s="27">
        <f ca="1">IFERROR(__xludf.DUMMYFUNCTION("""COMPUTED_VALUE"""),1368.68737135421)</f>
        <v>1368.68737135421</v>
      </c>
      <c r="Q300" s="28">
        <f ca="1">IFERROR(__xludf.DUMMYFUNCTION("""COMPUTED_VALUE"""),1381.51533134894)</f>
        <v>1381.51533134894</v>
      </c>
      <c r="R300" s="20"/>
    </row>
    <row r="301" spans="1:18" ht="13.2" hidden="1" outlineLevel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0"/>
    </row>
    <row r="302" spans="1:18" ht="13.2" collapsed="1" x14ac:dyDescent="0.25">
      <c r="A302" s="30"/>
      <c r="B302" s="5" t="str">
        <f ca="1">IFERROR(__xludf.DUMMYFUNCTION("""COMPUTED_VALUE"""),"CE.Car(e,a)")</f>
        <v>CE.Car(e,a)</v>
      </c>
      <c r="C302" s="6" t="str">
        <f ca="1">IFERROR(__xludf.DUMMYFUNCTION("""COMPUTED_VALUE"""),"-/+")</f>
        <v>-/+</v>
      </c>
      <c r="D302" s="7" t="str">
        <f ca="1">IFERROR(__xludf.DUMMYFUNCTION("""COMPUTED_VALUE"""),"Carboeléctrica por energético e y año a.")</f>
        <v>Carboeléctrica por energético e y año a.</v>
      </c>
      <c r="E302" s="6" t="str">
        <f ca="1">IFERROR(__xludf.DUMMYFUNCTION("""COMPUTED_VALUE"""),"cbne")</f>
        <v>cbne</v>
      </c>
      <c r="F302" s="6" t="str">
        <f ca="1">IFERROR(__xludf.DUMMYFUNCTION("""COMPUTED_VALUE"""),"a")</f>
        <v>a</v>
      </c>
      <c r="G302" s="8" t="str">
        <f ca="1">IFERROR(__xludf.DUMMYFUNCTION("""COMPUTED_VALUE"""),"PJ")</f>
        <v>PJ</v>
      </c>
      <c r="H302" s="9"/>
      <c r="I302" s="1"/>
      <c r="J302" s="1"/>
      <c r="K302" s="1"/>
      <c r="L302" s="1"/>
      <c r="M302" s="1"/>
      <c r="N302" s="1"/>
      <c r="O302" s="1"/>
      <c r="P302" s="1"/>
      <c r="Q302" s="1"/>
      <c r="R302" s="10"/>
    </row>
    <row r="303" spans="1:18" ht="13.2" hidden="1" outlineLevel="1" x14ac:dyDescent="0.25">
      <c r="A303" s="1"/>
      <c r="B303" s="11"/>
      <c r="C303" s="12">
        <f ca="1">IFERROR(__xludf.DUMMYFUNCTION("""COMPUTED_VALUE"""),2010)</f>
        <v>2010</v>
      </c>
      <c r="D303" s="13">
        <f ca="1">IFERROR(__xludf.DUMMYFUNCTION("""COMPUTED_VALUE"""),2011)</f>
        <v>2011</v>
      </c>
      <c r="E303" s="13">
        <f ca="1">IFERROR(__xludf.DUMMYFUNCTION("""COMPUTED_VALUE"""),2012)</f>
        <v>2012</v>
      </c>
      <c r="F303" s="13">
        <f ca="1">IFERROR(__xludf.DUMMYFUNCTION("""COMPUTED_VALUE"""),2013)</f>
        <v>2013</v>
      </c>
      <c r="G303" s="13">
        <f ca="1">IFERROR(__xludf.DUMMYFUNCTION("""COMPUTED_VALUE"""),2014)</f>
        <v>2014</v>
      </c>
      <c r="H303" s="13">
        <f ca="1">IFERROR(__xludf.DUMMYFUNCTION("""COMPUTED_VALUE"""),2015)</f>
        <v>2015</v>
      </c>
      <c r="I303" s="13">
        <f ca="1">IFERROR(__xludf.DUMMYFUNCTION("""COMPUTED_VALUE"""),2016)</f>
        <v>2016</v>
      </c>
      <c r="J303" s="13">
        <f ca="1">IFERROR(__xludf.DUMMYFUNCTION("""COMPUTED_VALUE"""),2017)</f>
        <v>2017</v>
      </c>
      <c r="K303" s="13">
        <f ca="1">IFERROR(__xludf.DUMMYFUNCTION("""COMPUTED_VALUE"""),2018)</f>
        <v>2018</v>
      </c>
      <c r="L303" s="13">
        <f ca="1">IFERROR(__xludf.DUMMYFUNCTION("""COMPUTED_VALUE"""),2019)</f>
        <v>2019</v>
      </c>
      <c r="M303" s="13">
        <f ca="1">IFERROR(__xludf.DUMMYFUNCTION("""COMPUTED_VALUE"""),2020)</f>
        <v>2020</v>
      </c>
      <c r="N303" s="13">
        <f ca="1">IFERROR(__xludf.DUMMYFUNCTION("""COMPUTED_VALUE"""),2021)</f>
        <v>2021</v>
      </c>
      <c r="O303" s="13">
        <f ca="1">IFERROR(__xludf.DUMMYFUNCTION("""COMPUTED_VALUE"""),2022)</f>
        <v>2022</v>
      </c>
      <c r="P303" s="13">
        <f ca="1">IFERROR(__xludf.DUMMYFUNCTION("""COMPUTED_VALUE"""),2023)</f>
        <v>2023</v>
      </c>
      <c r="Q303" s="14">
        <f ca="1">IFERROR(__xludf.DUMMYFUNCTION("""COMPUTED_VALUE"""),2024)</f>
        <v>2024</v>
      </c>
      <c r="R303" s="15"/>
    </row>
    <row r="304" spans="1:18" ht="13.2" hidden="1" outlineLevel="1" x14ac:dyDescent="0.25">
      <c r="A304" s="1"/>
      <c r="B304" s="16" t="str">
        <f ca="1">IFERROR(__xludf.DUMMYFUNCTION("""COMPUTED_VALUE"""),"Carbón mineral")</f>
        <v>Carbón mineral</v>
      </c>
      <c r="C304" s="17">
        <f ca="1">IFERROR(__xludf.DUMMYFUNCTION("""COMPUTED_VALUE"""),-345.76)</f>
        <v>-345.76</v>
      </c>
      <c r="D304" s="18">
        <f ca="1">IFERROR(__xludf.DUMMYFUNCTION("""COMPUTED_VALUE"""),-359.93)</f>
        <v>-359.93</v>
      </c>
      <c r="E304" s="18">
        <f ca="1">IFERROR(__xludf.DUMMYFUNCTION("""COMPUTED_VALUE"""),-351.49)</f>
        <v>-351.49</v>
      </c>
      <c r="F304" s="18">
        <f ca="1">IFERROR(__xludf.DUMMYFUNCTION("""COMPUTED_VALUE"""),-339.9)</f>
        <v>-339.9</v>
      </c>
      <c r="G304" s="18">
        <f ca="1">IFERROR(__xludf.DUMMYFUNCTION("""COMPUTED_VALUE"""),-357.94)</f>
        <v>-357.94</v>
      </c>
      <c r="H304" s="18">
        <f ca="1">IFERROR(__xludf.DUMMYFUNCTION("""COMPUTED_VALUE"""),-362.94)</f>
        <v>-362.94</v>
      </c>
      <c r="I304" s="18">
        <f ca="1">IFERROR(__xludf.DUMMYFUNCTION("""COMPUTED_VALUE"""),-372.85)</f>
        <v>-372.85</v>
      </c>
      <c r="J304" s="18">
        <f ca="1">IFERROR(__xludf.DUMMYFUNCTION("""COMPUTED_VALUE"""),-316.59)</f>
        <v>-316.58999999999997</v>
      </c>
      <c r="K304" s="18">
        <f ca="1">IFERROR(__xludf.DUMMYFUNCTION("""COMPUTED_VALUE"""),-316.76)</f>
        <v>-316.76</v>
      </c>
      <c r="L304" s="18">
        <f ca="1">IFERROR(__xludf.DUMMYFUNCTION("""COMPUTED_VALUE"""),-245.384)</f>
        <v>-245.38399999999999</v>
      </c>
      <c r="M304" s="18">
        <f ca="1">IFERROR(__xludf.DUMMYFUNCTION("""COMPUTED_VALUE"""),-164.1)</f>
        <v>-164.1</v>
      </c>
      <c r="N304" s="18">
        <f ca="1">IFERROR(__xludf.DUMMYFUNCTION("""COMPUTED_VALUE"""),-99.04)</f>
        <v>-99.04</v>
      </c>
      <c r="O304" s="18">
        <f ca="1">IFERROR(__xludf.DUMMYFUNCTION("""COMPUTED_VALUE"""),-149.981)</f>
        <v>-149.98099999999999</v>
      </c>
      <c r="P304" s="18">
        <f ca="1">IFERROR(__xludf.DUMMYFUNCTION("""COMPUTED_VALUE"""),-145.12)</f>
        <v>-145.12</v>
      </c>
      <c r="Q304" s="19">
        <f ca="1">IFERROR(__xludf.DUMMYFUNCTION("""COMPUTED_VALUE"""),-139.433428431925)</f>
        <v>-139.43342843192499</v>
      </c>
      <c r="R304" s="20"/>
    </row>
    <row r="305" spans="1:18" ht="13.2" hidden="1" outlineLevel="1" x14ac:dyDescent="0.25">
      <c r="A305" s="1"/>
      <c r="B305" s="21" t="str">
        <f ca="1">IFERROR(__xludf.DUMMYFUNCTION("""COMPUTED_VALUE"""),"Petróleo crudo")</f>
        <v>Petróleo crudo</v>
      </c>
      <c r="C305" s="22">
        <f ca="1">IFERROR(__xludf.DUMMYFUNCTION("""COMPUTED_VALUE"""),0)</f>
        <v>0</v>
      </c>
      <c r="D305" s="23">
        <f ca="1">IFERROR(__xludf.DUMMYFUNCTION("""COMPUTED_VALUE"""),0)</f>
        <v>0</v>
      </c>
      <c r="E305" s="23">
        <f ca="1">IFERROR(__xludf.DUMMYFUNCTION("""COMPUTED_VALUE"""),0)</f>
        <v>0</v>
      </c>
      <c r="F305" s="23">
        <f ca="1">IFERROR(__xludf.DUMMYFUNCTION("""COMPUTED_VALUE"""),0)</f>
        <v>0</v>
      </c>
      <c r="G305" s="23">
        <f ca="1">IFERROR(__xludf.DUMMYFUNCTION("""COMPUTED_VALUE"""),0)</f>
        <v>0</v>
      </c>
      <c r="H305" s="23">
        <f ca="1">IFERROR(__xludf.DUMMYFUNCTION("""COMPUTED_VALUE"""),0)</f>
        <v>0</v>
      </c>
      <c r="I305" s="23">
        <f ca="1">IFERROR(__xludf.DUMMYFUNCTION("""COMPUTED_VALUE"""),0)</f>
        <v>0</v>
      </c>
      <c r="J305" s="23">
        <f ca="1">IFERROR(__xludf.DUMMYFUNCTION("""COMPUTED_VALUE"""),0)</f>
        <v>0</v>
      </c>
      <c r="K305" s="23">
        <f ca="1">IFERROR(__xludf.DUMMYFUNCTION("""COMPUTED_VALUE"""),0)</f>
        <v>0</v>
      </c>
      <c r="L305" s="23">
        <f ca="1">IFERROR(__xludf.DUMMYFUNCTION("""COMPUTED_VALUE"""),0)</f>
        <v>0</v>
      </c>
      <c r="M305" s="23">
        <f ca="1">IFERROR(__xludf.DUMMYFUNCTION("""COMPUTED_VALUE"""),0)</f>
        <v>0</v>
      </c>
      <c r="N305" s="23">
        <f ca="1">IFERROR(__xludf.DUMMYFUNCTION("""COMPUTED_VALUE"""),0)</f>
        <v>0</v>
      </c>
      <c r="O305" s="23">
        <f ca="1">IFERROR(__xludf.DUMMYFUNCTION("""COMPUTED_VALUE"""),0)</f>
        <v>0</v>
      </c>
      <c r="P305" s="23">
        <f ca="1">IFERROR(__xludf.DUMMYFUNCTION("""COMPUTED_VALUE"""),0)</f>
        <v>0</v>
      </c>
      <c r="Q305" s="24">
        <f ca="1">IFERROR(__xludf.DUMMYFUNCTION("""COMPUTED_VALUE"""),0)</f>
        <v>0</v>
      </c>
      <c r="R305" s="20"/>
    </row>
    <row r="306" spans="1:18" ht="13.2" hidden="1" outlineLevel="1" x14ac:dyDescent="0.25">
      <c r="A306" s="1"/>
      <c r="B306" s="21" t="str">
        <f ca="1">IFERROR(__xludf.DUMMYFUNCTION("""COMPUTED_VALUE"""),"Condensados")</f>
        <v>Condensados</v>
      </c>
      <c r="C306" s="22">
        <f ca="1">IFERROR(__xludf.DUMMYFUNCTION("""COMPUTED_VALUE"""),0)</f>
        <v>0</v>
      </c>
      <c r="D306" s="23">
        <f ca="1">IFERROR(__xludf.DUMMYFUNCTION("""COMPUTED_VALUE"""),0)</f>
        <v>0</v>
      </c>
      <c r="E306" s="23">
        <f ca="1">IFERROR(__xludf.DUMMYFUNCTION("""COMPUTED_VALUE"""),0)</f>
        <v>0</v>
      </c>
      <c r="F306" s="23">
        <f ca="1">IFERROR(__xludf.DUMMYFUNCTION("""COMPUTED_VALUE"""),0)</f>
        <v>0</v>
      </c>
      <c r="G306" s="23">
        <f ca="1">IFERROR(__xludf.DUMMYFUNCTION("""COMPUTED_VALUE"""),0)</f>
        <v>0</v>
      </c>
      <c r="H306" s="23">
        <f ca="1">IFERROR(__xludf.DUMMYFUNCTION("""COMPUTED_VALUE"""),0)</f>
        <v>0</v>
      </c>
      <c r="I306" s="23">
        <f ca="1">IFERROR(__xludf.DUMMYFUNCTION("""COMPUTED_VALUE"""),0)</f>
        <v>0</v>
      </c>
      <c r="J306" s="23">
        <f ca="1">IFERROR(__xludf.DUMMYFUNCTION("""COMPUTED_VALUE"""),0)</f>
        <v>0</v>
      </c>
      <c r="K306" s="23">
        <f ca="1">IFERROR(__xludf.DUMMYFUNCTION("""COMPUTED_VALUE"""),0)</f>
        <v>0</v>
      </c>
      <c r="L306" s="23">
        <f ca="1">IFERROR(__xludf.DUMMYFUNCTION("""COMPUTED_VALUE"""),0)</f>
        <v>0</v>
      </c>
      <c r="M306" s="23">
        <f ca="1">IFERROR(__xludf.DUMMYFUNCTION("""COMPUTED_VALUE"""),0)</f>
        <v>0</v>
      </c>
      <c r="N306" s="23">
        <f ca="1">IFERROR(__xludf.DUMMYFUNCTION("""COMPUTED_VALUE"""),0)</f>
        <v>0</v>
      </c>
      <c r="O306" s="23">
        <f ca="1">IFERROR(__xludf.DUMMYFUNCTION("""COMPUTED_VALUE"""),0)</f>
        <v>0</v>
      </c>
      <c r="P306" s="23">
        <f ca="1">IFERROR(__xludf.DUMMYFUNCTION("""COMPUTED_VALUE"""),0)</f>
        <v>0</v>
      </c>
      <c r="Q306" s="24">
        <f ca="1">IFERROR(__xludf.DUMMYFUNCTION("""COMPUTED_VALUE"""),0)</f>
        <v>0</v>
      </c>
      <c r="R306" s="20"/>
    </row>
    <row r="307" spans="1:18" ht="13.2" hidden="1" outlineLevel="1" x14ac:dyDescent="0.25">
      <c r="A307" s="1"/>
      <c r="B307" s="21" t="str">
        <f ca="1">IFERROR(__xludf.DUMMYFUNCTION("""COMPUTED_VALUE"""),"Gas natural")</f>
        <v>Gas natural</v>
      </c>
      <c r="C307" s="22">
        <f ca="1">IFERROR(__xludf.DUMMYFUNCTION("""COMPUTED_VALUE"""),0)</f>
        <v>0</v>
      </c>
      <c r="D307" s="23">
        <f ca="1">IFERROR(__xludf.DUMMYFUNCTION("""COMPUTED_VALUE"""),0)</f>
        <v>0</v>
      </c>
      <c r="E307" s="23">
        <f ca="1">IFERROR(__xludf.DUMMYFUNCTION("""COMPUTED_VALUE"""),0)</f>
        <v>0</v>
      </c>
      <c r="F307" s="23">
        <f ca="1">IFERROR(__xludf.DUMMYFUNCTION("""COMPUTED_VALUE"""),0)</f>
        <v>0</v>
      </c>
      <c r="G307" s="23">
        <f ca="1">IFERROR(__xludf.DUMMYFUNCTION("""COMPUTED_VALUE"""),0)</f>
        <v>0</v>
      </c>
      <c r="H307" s="23">
        <f ca="1">IFERROR(__xludf.DUMMYFUNCTION("""COMPUTED_VALUE"""),0)</f>
        <v>0</v>
      </c>
      <c r="I307" s="23">
        <f ca="1">IFERROR(__xludf.DUMMYFUNCTION("""COMPUTED_VALUE"""),0)</f>
        <v>0</v>
      </c>
      <c r="J307" s="23">
        <f ca="1">IFERROR(__xludf.DUMMYFUNCTION("""COMPUTED_VALUE"""),0)</f>
        <v>0</v>
      </c>
      <c r="K307" s="23">
        <f ca="1">IFERROR(__xludf.DUMMYFUNCTION("""COMPUTED_VALUE"""),0)</f>
        <v>0</v>
      </c>
      <c r="L307" s="23">
        <f ca="1">IFERROR(__xludf.DUMMYFUNCTION("""COMPUTED_VALUE"""),0)</f>
        <v>0</v>
      </c>
      <c r="M307" s="23">
        <f ca="1">IFERROR(__xludf.DUMMYFUNCTION("""COMPUTED_VALUE"""),0)</f>
        <v>0</v>
      </c>
      <c r="N307" s="23">
        <f ca="1">IFERROR(__xludf.DUMMYFUNCTION("""COMPUTED_VALUE"""),0)</f>
        <v>0</v>
      </c>
      <c r="O307" s="23">
        <f ca="1">IFERROR(__xludf.DUMMYFUNCTION("""COMPUTED_VALUE"""),0)</f>
        <v>0</v>
      </c>
      <c r="P307" s="23">
        <f ca="1">IFERROR(__xludf.DUMMYFUNCTION("""COMPUTED_VALUE"""),0)</f>
        <v>0</v>
      </c>
      <c r="Q307" s="24">
        <f ca="1">IFERROR(__xludf.DUMMYFUNCTION("""COMPUTED_VALUE"""),0)</f>
        <v>0</v>
      </c>
      <c r="R307" s="20"/>
    </row>
    <row r="308" spans="1:18" ht="13.2" hidden="1" outlineLevel="1" x14ac:dyDescent="0.25">
      <c r="A308" s="1"/>
      <c r="B308" s="21" t="str">
        <f ca="1">IFERROR(__xludf.DUMMYFUNCTION("""COMPUTED_VALUE"""),"Energía Nuclear")</f>
        <v>Energía Nuclear</v>
      </c>
      <c r="C308" s="22">
        <f ca="1">IFERROR(__xludf.DUMMYFUNCTION("""COMPUTED_VALUE"""),0)</f>
        <v>0</v>
      </c>
      <c r="D308" s="23">
        <f ca="1">IFERROR(__xludf.DUMMYFUNCTION("""COMPUTED_VALUE"""),0)</f>
        <v>0</v>
      </c>
      <c r="E308" s="23">
        <f ca="1">IFERROR(__xludf.DUMMYFUNCTION("""COMPUTED_VALUE"""),0)</f>
        <v>0</v>
      </c>
      <c r="F308" s="23">
        <f ca="1">IFERROR(__xludf.DUMMYFUNCTION("""COMPUTED_VALUE"""),0)</f>
        <v>0</v>
      </c>
      <c r="G308" s="23">
        <f ca="1">IFERROR(__xludf.DUMMYFUNCTION("""COMPUTED_VALUE"""),0)</f>
        <v>0</v>
      </c>
      <c r="H308" s="23">
        <f ca="1">IFERROR(__xludf.DUMMYFUNCTION("""COMPUTED_VALUE"""),0)</f>
        <v>0</v>
      </c>
      <c r="I308" s="23">
        <f ca="1">IFERROR(__xludf.DUMMYFUNCTION("""COMPUTED_VALUE"""),0)</f>
        <v>0</v>
      </c>
      <c r="J308" s="23">
        <f ca="1">IFERROR(__xludf.DUMMYFUNCTION("""COMPUTED_VALUE"""),0)</f>
        <v>0</v>
      </c>
      <c r="K308" s="23">
        <f ca="1">IFERROR(__xludf.DUMMYFUNCTION("""COMPUTED_VALUE"""),0)</f>
        <v>0</v>
      </c>
      <c r="L308" s="23">
        <f ca="1">IFERROR(__xludf.DUMMYFUNCTION("""COMPUTED_VALUE"""),0)</f>
        <v>0</v>
      </c>
      <c r="M308" s="23">
        <f ca="1">IFERROR(__xludf.DUMMYFUNCTION("""COMPUTED_VALUE"""),0)</f>
        <v>0</v>
      </c>
      <c r="N308" s="23">
        <f ca="1">IFERROR(__xludf.DUMMYFUNCTION("""COMPUTED_VALUE"""),0)</f>
        <v>0</v>
      </c>
      <c r="O308" s="23">
        <f ca="1">IFERROR(__xludf.DUMMYFUNCTION("""COMPUTED_VALUE"""),0)</f>
        <v>0</v>
      </c>
      <c r="P308" s="23">
        <f ca="1">IFERROR(__xludf.DUMMYFUNCTION("""COMPUTED_VALUE"""),0)</f>
        <v>0</v>
      </c>
      <c r="Q308" s="24">
        <f ca="1">IFERROR(__xludf.DUMMYFUNCTION("""COMPUTED_VALUE"""),0)</f>
        <v>0</v>
      </c>
      <c r="R308" s="20"/>
    </row>
    <row r="309" spans="1:18" ht="13.2" hidden="1" outlineLevel="1" x14ac:dyDescent="0.25">
      <c r="A309" s="1"/>
      <c r="B309" s="21" t="str">
        <f ca="1">IFERROR(__xludf.DUMMYFUNCTION("""COMPUTED_VALUE"""),"Energia Hidraúlica")</f>
        <v>Energia Hidraúlica</v>
      </c>
      <c r="C309" s="22">
        <f ca="1">IFERROR(__xludf.DUMMYFUNCTION("""COMPUTED_VALUE"""),0)</f>
        <v>0</v>
      </c>
      <c r="D309" s="23">
        <f ca="1">IFERROR(__xludf.DUMMYFUNCTION("""COMPUTED_VALUE"""),0)</f>
        <v>0</v>
      </c>
      <c r="E309" s="23">
        <f ca="1">IFERROR(__xludf.DUMMYFUNCTION("""COMPUTED_VALUE"""),0)</f>
        <v>0</v>
      </c>
      <c r="F309" s="23">
        <f ca="1">IFERROR(__xludf.DUMMYFUNCTION("""COMPUTED_VALUE"""),0)</f>
        <v>0</v>
      </c>
      <c r="G309" s="23">
        <f ca="1">IFERROR(__xludf.DUMMYFUNCTION("""COMPUTED_VALUE"""),0)</f>
        <v>0</v>
      </c>
      <c r="H309" s="23">
        <f ca="1">IFERROR(__xludf.DUMMYFUNCTION("""COMPUTED_VALUE"""),0)</f>
        <v>0</v>
      </c>
      <c r="I309" s="23">
        <f ca="1">IFERROR(__xludf.DUMMYFUNCTION("""COMPUTED_VALUE"""),0)</f>
        <v>0</v>
      </c>
      <c r="J309" s="23">
        <f ca="1">IFERROR(__xludf.DUMMYFUNCTION("""COMPUTED_VALUE"""),0)</f>
        <v>0</v>
      </c>
      <c r="K309" s="23">
        <f ca="1">IFERROR(__xludf.DUMMYFUNCTION("""COMPUTED_VALUE"""),0)</f>
        <v>0</v>
      </c>
      <c r="L309" s="23">
        <f ca="1">IFERROR(__xludf.DUMMYFUNCTION("""COMPUTED_VALUE"""),0)</f>
        <v>0</v>
      </c>
      <c r="M309" s="23">
        <f ca="1">IFERROR(__xludf.DUMMYFUNCTION("""COMPUTED_VALUE"""),0)</f>
        <v>0</v>
      </c>
      <c r="N309" s="23">
        <f ca="1">IFERROR(__xludf.DUMMYFUNCTION("""COMPUTED_VALUE"""),0)</f>
        <v>0</v>
      </c>
      <c r="O309" s="23">
        <f ca="1">IFERROR(__xludf.DUMMYFUNCTION("""COMPUTED_VALUE"""),0)</f>
        <v>0</v>
      </c>
      <c r="P309" s="23">
        <f ca="1">IFERROR(__xludf.DUMMYFUNCTION("""COMPUTED_VALUE"""),0)</f>
        <v>0</v>
      </c>
      <c r="Q309" s="24">
        <f ca="1">IFERROR(__xludf.DUMMYFUNCTION("""COMPUTED_VALUE"""),0)</f>
        <v>0</v>
      </c>
      <c r="R309" s="20"/>
    </row>
    <row r="310" spans="1:18" ht="13.2" hidden="1" outlineLevel="1" x14ac:dyDescent="0.25">
      <c r="A310" s="1"/>
      <c r="B310" s="21" t="str">
        <f ca="1">IFERROR(__xludf.DUMMYFUNCTION("""COMPUTED_VALUE"""),"Geoenergía")</f>
        <v>Geoenergía</v>
      </c>
      <c r="C310" s="22">
        <f ca="1">IFERROR(__xludf.DUMMYFUNCTION("""COMPUTED_VALUE"""),0)</f>
        <v>0</v>
      </c>
      <c r="D310" s="23">
        <f ca="1">IFERROR(__xludf.DUMMYFUNCTION("""COMPUTED_VALUE"""),0)</f>
        <v>0</v>
      </c>
      <c r="E310" s="23">
        <f ca="1">IFERROR(__xludf.DUMMYFUNCTION("""COMPUTED_VALUE"""),0)</f>
        <v>0</v>
      </c>
      <c r="F310" s="23">
        <f ca="1">IFERROR(__xludf.DUMMYFUNCTION("""COMPUTED_VALUE"""),0)</f>
        <v>0</v>
      </c>
      <c r="G310" s="23">
        <f ca="1">IFERROR(__xludf.DUMMYFUNCTION("""COMPUTED_VALUE"""),0)</f>
        <v>0</v>
      </c>
      <c r="H310" s="23">
        <f ca="1">IFERROR(__xludf.DUMMYFUNCTION("""COMPUTED_VALUE"""),0)</f>
        <v>0</v>
      </c>
      <c r="I310" s="23">
        <f ca="1">IFERROR(__xludf.DUMMYFUNCTION("""COMPUTED_VALUE"""),0)</f>
        <v>0</v>
      </c>
      <c r="J310" s="23">
        <f ca="1">IFERROR(__xludf.DUMMYFUNCTION("""COMPUTED_VALUE"""),0)</f>
        <v>0</v>
      </c>
      <c r="K310" s="23">
        <f ca="1">IFERROR(__xludf.DUMMYFUNCTION("""COMPUTED_VALUE"""),0)</f>
        <v>0</v>
      </c>
      <c r="L310" s="23">
        <f ca="1">IFERROR(__xludf.DUMMYFUNCTION("""COMPUTED_VALUE"""),0)</f>
        <v>0</v>
      </c>
      <c r="M310" s="23">
        <f ca="1">IFERROR(__xludf.DUMMYFUNCTION("""COMPUTED_VALUE"""),0)</f>
        <v>0</v>
      </c>
      <c r="N310" s="23">
        <f ca="1">IFERROR(__xludf.DUMMYFUNCTION("""COMPUTED_VALUE"""),0)</f>
        <v>0</v>
      </c>
      <c r="O310" s="23">
        <f ca="1">IFERROR(__xludf.DUMMYFUNCTION("""COMPUTED_VALUE"""),0)</f>
        <v>0</v>
      </c>
      <c r="P310" s="23">
        <f ca="1">IFERROR(__xludf.DUMMYFUNCTION("""COMPUTED_VALUE"""),0)</f>
        <v>0</v>
      </c>
      <c r="Q310" s="24">
        <f ca="1">IFERROR(__xludf.DUMMYFUNCTION("""COMPUTED_VALUE"""),0)</f>
        <v>0</v>
      </c>
      <c r="R310" s="20"/>
    </row>
    <row r="311" spans="1:18" ht="13.2" hidden="1" outlineLevel="1" x14ac:dyDescent="0.25">
      <c r="A311" s="1"/>
      <c r="B311" s="21" t="str">
        <f ca="1">IFERROR(__xludf.DUMMYFUNCTION("""COMPUTED_VALUE"""),"Energía solar")</f>
        <v>Energía solar</v>
      </c>
      <c r="C311" s="22">
        <f ca="1">IFERROR(__xludf.DUMMYFUNCTION("""COMPUTED_VALUE"""),0)</f>
        <v>0</v>
      </c>
      <c r="D311" s="23">
        <f ca="1">IFERROR(__xludf.DUMMYFUNCTION("""COMPUTED_VALUE"""),0)</f>
        <v>0</v>
      </c>
      <c r="E311" s="23">
        <f ca="1">IFERROR(__xludf.DUMMYFUNCTION("""COMPUTED_VALUE"""),0)</f>
        <v>0</v>
      </c>
      <c r="F311" s="23">
        <f ca="1">IFERROR(__xludf.DUMMYFUNCTION("""COMPUTED_VALUE"""),0)</f>
        <v>0</v>
      </c>
      <c r="G311" s="23">
        <f ca="1">IFERROR(__xludf.DUMMYFUNCTION("""COMPUTED_VALUE"""),0)</f>
        <v>0</v>
      </c>
      <c r="H311" s="23">
        <f ca="1">IFERROR(__xludf.DUMMYFUNCTION("""COMPUTED_VALUE"""),0)</f>
        <v>0</v>
      </c>
      <c r="I311" s="23">
        <f ca="1">IFERROR(__xludf.DUMMYFUNCTION("""COMPUTED_VALUE"""),0)</f>
        <v>0</v>
      </c>
      <c r="J311" s="23">
        <f ca="1">IFERROR(__xludf.DUMMYFUNCTION("""COMPUTED_VALUE"""),0)</f>
        <v>0</v>
      </c>
      <c r="K311" s="23">
        <f ca="1">IFERROR(__xludf.DUMMYFUNCTION("""COMPUTED_VALUE"""),0)</f>
        <v>0</v>
      </c>
      <c r="L311" s="23">
        <f ca="1">IFERROR(__xludf.DUMMYFUNCTION("""COMPUTED_VALUE"""),0)</f>
        <v>0</v>
      </c>
      <c r="M311" s="23">
        <f ca="1">IFERROR(__xludf.DUMMYFUNCTION("""COMPUTED_VALUE"""),0)</f>
        <v>0</v>
      </c>
      <c r="N311" s="23">
        <f ca="1">IFERROR(__xludf.DUMMYFUNCTION("""COMPUTED_VALUE"""),0)</f>
        <v>0</v>
      </c>
      <c r="O311" s="23">
        <f ca="1">IFERROR(__xludf.DUMMYFUNCTION("""COMPUTED_VALUE"""),0)</f>
        <v>0</v>
      </c>
      <c r="P311" s="23">
        <f ca="1">IFERROR(__xludf.DUMMYFUNCTION("""COMPUTED_VALUE"""),0)</f>
        <v>0</v>
      </c>
      <c r="Q311" s="24">
        <f ca="1">IFERROR(__xludf.DUMMYFUNCTION("""COMPUTED_VALUE"""),0)</f>
        <v>0</v>
      </c>
      <c r="R311" s="20"/>
    </row>
    <row r="312" spans="1:18" ht="13.2" hidden="1" outlineLevel="1" x14ac:dyDescent="0.25">
      <c r="A312" s="1"/>
      <c r="B312" s="21" t="str">
        <f ca="1">IFERROR(__xludf.DUMMYFUNCTION("""COMPUTED_VALUE"""),"Energía eólica")</f>
        <v>Energía eólica</v>
      </c>
      <c r="C312" s="22">
        <f ca="1">IFERROR(__xludf.DUMMYFUNCTION("""COMPUTED_VALUE"""),0)</f>
        <v>0</v>
      </c>
      <c r="D312" s="23">
        <f ca="1">IFERROR(__xludf.DUMMYFUNCTION("""COMPUTED_VALUE"""),0)</f>
        <v>0</v>
      </c>
      <c r="E312" s="23">
        <f ca="1">IFERROR(__xludf.DUMMYFUNCTION("""COMPUTED_VALUE"""),0)</f>
        <v>0</v>
      </c>
      <c r="F312" s="23">
        <f ca="1">IFERROR(__xludf.DUMMYFUNCTION("""COMPUTED_VALUE"""),0)</f>
        <v>0</v>
      </c>
      <c r="G312" s="23">
        <f ca="1">IFERROR(__xludf.DUMMYFUNCTION("""COMPUTED_VALUE"""),0)</f>
        <v>0</v>
      </c>
      <c r="H312" s="23">
        <f ca="1">IFERROR(__xludf.DUMMYFUNCTION("""COMPUTED_VALUE"""),0)</f>
        <v>0</v>
      </c>
      <c r="I312" s="23">
        <f ca="1">IFERROR(__xludf.DUMMYFUNCTION("""COMPUTED_VALUE"""),0)</f>
        <v>0</v>
      </c>
      <c r="J312" s="23">
        <f ca="1">IFERROR(__xludf.DUMMYFUNCTION("""COMPUTED_VALUE"""),0)</f>
        <v>0</v>
      </c>
      <c r="K312" s="23">
        <f ca="1">IFERROR(__xludf.DUMMYFUNCTION("""COMPUTED_VALUE"""),0)</f>
        <v>0</v>
      </c>
      <c r="L312" s="23">
        <f ca="1">IFERROR(__xludf.DUMMYFUNCTION("""COMPUTED_VALUE"""),0)</f>
        <v>0</v>
      </c>
      <c r="M312" s="23">
        <f ca="1">IFERROR(__xludf.DUMMYFUNCTION("""COMPUTED_VALUE"""),0)</f>
        <v>0</v>
      </c>
      <c r="N312" s="23">
        <f ca="1">IFERROR(__xludf.DUMMYFUNCTION("""COMPUTED_VALUE"""),0)</f>
        <v>0</v>
      </c>
      <c r="O312" s="23">
        <f ca="1">IFERROR(__xludf.DUMMYFUNCTION("""COMPUTED_VALUE"""),0)</f>
        <v>0</v>
      </c>
      <c r="P312" s="23">
        <f ca="1">IFERROR(__xludf.DUMMYFUNCTION("""COMPUTED_VALUE"""),0)</f>
        <v>0</v>
      </c>
      <c r="Q312" s="24">
        <f ca="1">IFERROR(__xludf.DUMMYFUNCTION("""COMPUTED_VALUE"""),0)</f>
        <v>0</v>
      </c>
      <c r="R312" s="20"/>
    </row>
    <row r="313" spans="1:18" ht="13.2" hidden="1" outlineLevel="1" x14ac:dyDescent="0.25">
      <c r="A313" s="1"/>
      <c r="B313" s="21" t="str">
        <f ca="1">IFERROR(__xludf.DUMMYFUNCTION("""COMPUTED_VALUE"""),"Bagazo de caña")</f>
        <v>Bagazo de caña</v>
      </c>
      <c r="C313" s="22">
        <f ca="1">IFERROR(__xludf.DUMMYFUNCTION("""COMPUTED_VALUE"""),0)</f>
        <v>0</v>
      </c>
      <c r="D313" s="23">
        <f ca="1">IFERROR(__xludf.DUMMYFUNCTION("""COMPUTED_VALUE"""),0)</f>
        <v>0</v>
      </c>
      <c r="E313" s="23">
        <f ca="1">IFERROR(__xludf.DUMMYFUNCTION("""COMPUTED_VALUE"""),0)</f>
        <v>0</v>
      </c>
      <c r="F313" s="23">
        <f ca="1">IFERROR(__xludf.DUMMYFUNCTION("""COMPUTED_VALUE"""),0)</f>
        <v>0</v>
      </c>
      <c r="G313" s="23">
        <f ca="1">IFERROR(__xludf.DUMMYFUNCTION("""COMPUTED_VALUE"""),0)</f>
        <v>0</v>
      </c>
      <c r="H313" s="23">
        <f ca="1">IFERROR(__xludf.DUMMYFUNCTION("""COMPUTED_VALUE"""),0)</f>
        <v>0</v>
      </c>
      <c r="I313" s="23">
        <f ca="1">IFERROR(__xludf.DUMMYFUNCTION("""COMPUTED_VALUE"""),0)</f>
        <v>0</v>
      </c>
      <c r="J313" s="23">
        <f ca="1">IFERROR(__xludf.DUMMYFUNCTION("""COMPUTED_VALUE"""),0)</f>
        <v>0</v>
      </c>
      <c r="K313" s="23">
        <f ca="1">IFERROR(__xludf.DUMMYFUNCTION("""COMPUTED_VALUE"""),0)</f>
        <v>0</v>
      </c>
      <c r="L313" s="23">
        <f ca="1">IFERROR(__xludf.DUMMYFUNCTION("""COMPUTED_VALUE"""),0)</f>
        <v>0</v>
      </c>
      <c r="M313" s="23">
        <f ca="1">IFERROR(__xludf.DUMMYFUNCTION("""COMPUTED_VALUE"""),0)</f>
        <v>0</v>
      </c>
      <c r="N313" s="23">
        <f ca="1">IFERROR(__xludf.DUMMYFUNCTION("""COMPUTED_VALUE"""),0)</f>
        <v>0</v>
      </c>
      <c r="O313" s="23">
        <f ca="1">IFERROR(__xludf.DUMMYFUNCTION("""COMPUTED_VALUE"""),0)</f>
        <v>0</v>
      </c>
      <c r="P313" s="23">
        <f ca="1">IFERROR(__xludf.DUMMYFUNCTION("""COMPUTED_VALUE"""),0)</f>
        <v>0</v>
      </c>
      <c r="Q313" s="24">
        <f ca="1">IFERROR(__xludf.DUMMYFUNCTION("""COMPUTED_VALUE"""),0)</f>
        <v>0</v>
      </c>
      <c r="R313" s="20"/>
    </row>
    <row r="314" spans="1:18" ht="13.2" hidden="1" outlineLevel="1" x14ac:dyDescent="0.25">
      <c r="A314" s="1"/>
      <c r="B314" s="21" t="str">
        <f ca="1">IFERROR(__xludf.DUMMYFUNCTION("""COMPUTED_VALUE"""),"Leña")</f>
        <v>Leña</v>
      </c>
      <c r="C314" s="22">
        <f ca="1">IFERROR(__xludf.DUMMYFUNCTION("""COMPUTED_VALUE"""),0)</f>
        <v>0</v>
      </c>
      <c r="D314" s="23">
        <f ca="1">IFERROR(__xludf.DUMMYFUNCTION("""COMPUTED_VALUE"""),0)</f>
        <v>0</v>
      </c>
      <c r="E314" s="23">
        <f ca="1">IFERROR(__xludf.DUMMYFUNCTION("""COMPUTED_VALUE"""),0)</f>
        <v>0</v>
      </c>
      <c r="F314" s="23">
        <f ca="1">IFERROR(__xludf.DUMMYFUNCTION("""COMPUTED_VALUE"""),0)</f>
        <v>0</v>
      </c>
      <c r="G314" s="23">
        <f ca="1">IFERROR(__xludf.DUMMYFUNCTION("""COMPUTED_VALUE"""),0)</f>
        <v>0</v>
      </c>
      <c r="H314" s="23">
        <f ca="1">IFERROR(__xludf.DUMMYFUNCTION("""COMPUTED_VALUE"""),0)</f>
        <v>0</v>
      </c>
      <c r="I314" s="23">
        <f ca="1">IFERROR(__xludf.DUMMYFUNCTION("""COMPUTED_VALUE"""),0)</f>
        <v>0</v>
      </c>
      <c r="J314" s="23">
        <f ca="1">IFERROR(__xludf.DUMMYFUNCTION("""COMPUTED_VALUE"""),0)</f>
        <v>0</v>
      </c>
      <c r="K314" s="23">
        <f ca="1">IFERROR(__xludf.DUMMYFUNCTION("""COMPUTED_VALUE"""),0)</f>
        <v>0</v>
      </c>
      <c r="L314" s="23">
        <f ca="1">IFERROR(__xludf.DUMMYFUNCTION("""COMPUTED_VALUE"""),0)</f>
        <v>0</v>
      </c>
      <c r="M314" s="23">
        <f ca="1">IFERROR(__xludf.DUMMYFUNCTION("""COMPUTED_VALUE"""),0)</f>
        <v>0</v>
      </c>
      <c r="N314" s="23">
        <f ca="1">IFERROR(__xludf.DUMMYFUNCTION("""COMPUTED_VALUE"""),0)</f>
        <v>0</v>
      </c>
      <c r="O314" s="23">
        <f ca="1">IFERROR(__xludf.DUMMYFUNCTION("""COMPUTED_VALUE"""),0)</f>
        <v>0</v>
      </c>
      <c r="P314" s="23">
        <f ca="1">IFERROR(__xludf.DUMMYFUNCTION("""COMPUTED_VALUE"""),0)</f>
        <v>0</v>
      </c>
      <c r="Q314" s="24">
        <f ca="1">IFERROR(__xludf.DUMMYFUNCTION("""COMPUTED_VALUE"""),0)</f>
        <v>0</v>
      </c>
      <c r="R314" s="20"/>
    </row>
    <row r="315" spans="1:18" ht="13.2" hidden="1" outlineLevel="1" x14ac:dyDescent="0.25">
      <c r="A315" s="1"/>
      <c r="B315" s="21" t="str">
        <f ca="1">IFERROR(__xludf.DUMMYFUNCTION("""COMPUTED_VALUE"""),"Biogás")</f>
        <v>Biogás</v>
      </c>
      <c r="C315" s="22">
        <f ca="1">IFERROR(__xludf.DUMMYFUNCTION("""COMPUTED_VALUE"""),0)</f>
        <v>0</v>
      </c>
      <c r="D315" s="23">
        <f ca="1">IFERROR(__xludf.DUMMYFUNCTION("""COMPUTED_VALUE"""),0)</f>
        <v>0</v>
      </c>
      <c r="E315" s="23">
        <f ca="1">IFERROR(__xludf.DUMMYFUNCTION("""COMPUTED_VALUE"""),0)</f>
        <v>0</v>
      </c>
      <c r="F315" s="23">
        <f ca="1">IFERROR(__xludf.DUMMYFUNCTION("""COMPUTED_VALUE"""),0)</f>
        <v>0</v>
      </c>
      <c r="G315" s="23">
        <f ca="1">IFERROR(__xludf.DUMMYFUNCTION("""COMPUTED_VALUE"""),0)</f>
        <v>0</v>
      </c>
      <c r="H315" s="23">
        <f ca="1">IFERROR(__xludf.DUMMYFUNCTION("""COMPUTED_VALUE"""),0)</f>
        <v>0</v>
      </c>
      <c r="I315" s="23">
        <f ca="1">IFERROR(__xludf.DUMMYFUNCTION("""COMPUTED_VALUE"""),0)</f>
        <v>0</v>
      </c>
      <c r="J315" s="23">
        <f ca="1">IFERROR(__xludf.DUMMYFUNCTION("""COMPUTED_VALUE"""),0)</f>
        <v>0</v>
      </c>
      <c r="K315" s="23">
        <f ca="1">IFERROR(__xludf.DUMMYFUNCTION("""COMPUTED_VALUE"""),0)</f>
        <v>0</v>
      </c>
      <c r="L315" s="23">
        <f ca="1">IFERROR(__xludf.DUMMYFUNCTION("""COMPUTED_VALUE"""),0)</f>
        <v>0</v>
      </c>
      <c r="M315" s="23">
        <f ca="1">IFERROR(__xludf.DUMMYFUNCTION("""COMPUTED_VALUE"""),0)</f>
        <v>0</v>
      </c>
      <c r="N315" s="23">
        <f ca="1">IFERROR(__xludf.DUMMYFUNCTION("""COMPUTED_VALUE"""),0)</f>
        <v>0</v>
      </c>
      <c r="O315" s="23">
        <f ca="1">IFERROR(__xludf.DUMMYFUNCTION("""COMPUTED_VALUE"""),0)</f>
        <v>0</v>
      </c>
      <c r="P315" s="23">
        <f ca="1">IFERROR(__xludf.DUMMYFUNCTION("""COMPUTED_VALUE"""),0)</f>
        <v>0</v>
      </c>
      <c r="Q315" s="24">
        <f ca="1">IFERROR(__xludf.DUMMYFUNCTION("""COMPUTED_VALUE"""),0)</f>
        <v>0</v>
      </c>
      <c r="R315" s="20"/>
    </row>
    <row r="316" spans="1:18" ht="13.2" hidden="1" outlineLevel="1" x14ac:dyDescent="0.25">
      <c r="A316" s="1"/>
      <c r="B316" s="21" t="str">
        <f ca="1">IFERROR(__xludf.DUMMYFUNCTION("""COMPUTED_VALUE"""),"Coque de carbón")</f>
        <v>Coque de carbón</v>
      </c>
      <c r="C316" s="22">
        <f ca="1">IFERROR(__xludf.DUMMYFUNCTION("""COMPUTED_VALUE"""),0)</f>
        <v>0</v>
      </c>
      <c r="D316" s="23">
        <f ca="1">IFERROR(__xludf.DUMMYFUNCTION("""COMPUTED_VALUE"""),0)</f>
        <v>0</v>
      </c>
      <c r="E316" s="23">
        <f ca="1">IFERROR(__xludf.DUMMYFUNCTION("""COMPUTED_VALUE"""),0)</f>
        <v>0</v>
      </c>
      <c r="F316" s="23">
        <f ca="1">IFERROR(__xludf.DUMMYFUNCTION("""COMPUTED_VALUE"""),0)</f>
        <v>0</v>
      </c>
      <c r="G316" s="23">
        <f ca="1">IFERROR(__xludf.DUMMYFUNCTION("""COMPUTED_VALUE"""),0)</f>
        <v>0</v>
      </c>
      <c r="H316" s="23">
        <f ca="1">IFERROR(__xludf.DUMMYFUNCTION("""COMPUTED_VALUE"""),0)</f>
        <v>0</v>
      </c>
      <c r="I316" s="23">
        <f ca="1">IFERROR(__xludf.DUMMYFUNCTION("""COMPUTED_VALUE"""),0)</f>
        <v>0</v>
      </c>
      <c r="J316" s="23">
        <f ca="1">IFERROR(__xludf.DUMMYFUNCTION("""COMPUTED_VALUE"""),0)</f>
        <v>0</v>
      </c>
      <c r="K316" s="23">
        <f ca="1">IFERROR(__xludf.DUMMYFUNCTION("""COMPUTED_VALUE"""),0)</f>
        <v>0</v>
      </c>
      <c r="L316" s="23">
        <f ca="1">IFERROR(__xludf.DUMMYFUNCTION("""COMPUTED_VALUE"""),0)</f>
        <v>0</v>
      </c>
      <c r="M316" s="23">
        <f ca="1">IFERROR(__xludf.DUMMYFUNCTION("""COMPUTED_VALUE"""),0)</f>
        <v>0</v>
      </c>
      <c r="N316" s="23">
        <f ca="1">IFERROR(__xludf.DUMMYFUNCTION("""COMPUTED_VALUE"""),0)</f>
        <v>0</v>
      </c>
      <c r="O316" s="23">
        <f ca="1">IFERROR(__xludf.DUMMYFUNCTION("""COMPUTED_VALUE"""),0)</f>
        <v>0</v>
      </c>
      <c r="P316" s="23">
        <f ca="1">IFERROR(__xludf.DUMMYFUNCTION("""COMPUTED_VALUE"""),0)</f>
        <v>0</v>
      </c>
      <c r="Q316" s="24">
        <f ca="1">IFERROR(__xludf.DUMMYFUNCTION("""COMPUTED_VALUE"""),0)</f>
        <v>0</v>
      </c>
      <c r="R316" s="20"/>
    </row>
    <row r="317" spans="1:18" ht="13.2" hidden="1" outlineLevel="1" x14ac:dyDescent="0.25">
      <c r="A317" s="1"/>
      <c r="B317" s="21" t="str">
        <f ca="1">IFERROR(__xludf.DUMMYFUNCTION("""COMPUTED_VALUE"""),"Coque de petróleo")</f>
        <v>Coque de petróleo</v>
      </c>
      <c r="C317" s="22">
        <f ca="1">IFERROR(__xludf.DUMMYFUNCTION("""COMPUTED_VALUE"""),0)</f>
        <v>0</v>
      </c>
      <c r="D317" s="23">
        <f ca="1">IFERROR(__xludf.DUMMYFUNCTION("""COMPUTED_VALUE"""),0)</f>
        <v>0</v>
      </c>
      <c r="E317" s="23">
        <f ca="1">IFERROR(__xludf.DUMMYFUNCTION("""COMPUTED_VALUE"""),0)</f>
        <v>0</v>
      </c>
      <c r="F317" s="23">
        <f ca="1">IFERROR(__xludf.DUMMYFUNCTION("""COMPUTED_VALUE"""),0)</f>
        <v>0</v>
      </c>
      <c r="G317" s="23">
        <f ca="1">IFERROR(__xludf.DUMMYFUNCTION("""COMPUTED_VALUE"""),0)</f>
        <v>0</v>
      </c>
      <c r="H317" s="23">
        <f ca="1">IFERROR(__xludf.DUMMYFUNCTION("""COMPUTED_VALUE"""),0)</f>
        <v>0</v>
      </c>
      <c r="I317" s="23">
        <f ca="1">IFERROR(__xludf.DUMMYFUNCTION("""COMPUTED_VALUE"""),0)</f>
        <v>0</v>
      </c>
      <c r="J317" s="23">
        <f ca="1">IFERROR(__xludf.DUMMYFUNCTION("""COMPUTED_VALUE"""),0)</f>
        <v>0</v>
      </c>
      <c r="K317" s="23">
        <f ca="1">IFERROR(__xludf.DUMMYFUNCTION("""COMPUTED_VALUE"""),0)</f>
        <v>0</v>
      </c>
      <c r="L317" s="23">
        <f ca="1">IFERROR(__xludf.DUMMYFUNCTION("""COMPUTED_VALUE"""),0)</f>
        <v>0</v>
      </c>
      <c r="M317" s="23">
        <f ca="1">IFERROR(__xludf.DUMMYFUNCTION("""COMPUTED_VALUE"""),0)</f>
        <v>0</v>
      </c>
      <c r="N317" s="23">
        <f ca="1">IFERROR(__xludf.DUMMYFUNCTION("""COMPUTED_VALUE"""),0)</f>
        <v>0</v>
      </c>
      <c r="O317" s="23">
        <f ca="1">IFERROR(__xludf.DUMMYFUNCTION("""COMPUTED_VALUE"""),0)</f>
        <v>0</v>
      </c>
      <c r="P317" s="23">
        <f ca="1">IFERROR(__xludf.DUMMYFUNCTION("""COMPUTED_VALUE"""),0)</f>
        <v>0</v>
      </c>
      <c r="Q317" s="24">
        <f ca="1">IFERROR(__xludf.DUMMYFUNCTION("""COMPUTED_VALUE"""),0)</f>
        <v>0</v>
      </c>
      <c r="R317" s="20"/>
    </row>
    <row r="318" spans="1:18" ht="13.2" hidden="1" outlineLevel="1" x14ac:dyDescent="0.25">
      <c r="A318" s="1"/>
      <c r="B318" s="21" t="str">
        <f ca="1">IFERROR(__xludf.DUMMYFUNCTION("""COMPUTED_VALUE"""),"Gas licuado de petróleo")</f>
        <v>Gas licuado de petróleo</v>
      </c>
      <c r="C318" s="22">
        <f ca="1">IFERROR(__xludf.DUMMYFUNCTION("""COMPUTED_VALUE"""),0)</f>
        <v>0</v>
      </c>
      <c r="D318" s="23">
        <f ca="1">IFERROR(__xludf.DUMMYFUNCTION("""COMPUTED_VALUE"""),0)</f>
        <v>0</v>
      </c>
      <c r="E318" s="23">
        <f ca="1">IFERROR(__xludf.DUMMYFUNCTION("""COMPUTED_VALUE"""),0)</f>
        <v>0</v>
      </c>
      <c r="F318" s="23">
        <f ca="1">IFERROR(__xludf.DUMMYFUNCTION("""COMPUTED_VALUE"""),0)</f>
        <v>0</v>
      </c>
      <c r="G318" s="23">
        <f ca="1">IFERROR(__xludf.DUMMYFUNCTION("""COMPUTED_VALUE"""),0)</f>
        <v>0</v>
      </c>
      <c r="H318" s="23">
        <f ca="1">IFERROR(__xludf.DUMMYFUNCTION("""COMPUTED_VALUE"""),0)</f>
        <v>0</v>
      </c>
      <c r="I318" s="23">
        <f ca="1">IFERROR(__xludf.DUMMYFUNCTION("""COMPUTED_VALUE"""),0)</f>
        <v>0</v>
      </c>
      <c r="J318" s="23">
        <f ca="1">IFERROR(__xludf.DUMMYFUNCTION("""COMPUTED_VALUE"""),0)</f>
        <v>0</v>
      </c>
      <c r="K318" s="23">
        <f ca="1">IFERROR(__xludf.DUMMYFUNCTION("""COMPUTED_VALUE"""),0)</f>
        <v>0</v>
      </c>
      <c r="L318" s="23">
        <f ca="1">IFERROR(__xludf.DUMMYFUNCTION("""COMPUTED_VALUE"""),0)</f>
        <v>0</v>
      </c>
      <c r="M318" s="23">
        <f ca="1">IFERROR(__xludf.DUMMYFUNCTION("""COMPUTED_VALUE"""),0)</f>
        <v>0</v>
      </c>
      <c r="N318" s="23">
        <f ca="1">IFERROR(__xludf.DUMMYFUNCTION("""COMPUTED_VALUE"""),0)</f>
        <v>0</v>
      </c>
      <c r="O318" s="23">
        <f ca="1">IFERROR(__xludf.DUMMYFUNCTION("""COMPUTED_VALUE"""),0)</f>
        <v>0</v>
      </c>
      <c r="P318" s="23">
        <f ca="1">IFERROR(__xludf.DUMMYFUNCTION("""COMPUTED_VALUE"""),0)</f>
        <v>0</v>
      </c>
      <c r="Q318" s="24">
        <f ca="1">IFERROR(__xludf.DUMMYFUNCTION("""COMPUTED_VALUE"""),0)</f>
        <v>0</v>
      </c>
      <c r="R318" s="20"/>
    </row>
    <row r="319" spans="1:18" ht="13.2" hidden="1" outlineLevel="1" x14ac:dyDescent="0.25">
      <c r="A319" s="1"/>
      <c r="B319" s="21" t="str">
        <f ca="1">IFERROR(__xludf.DUMMYFUNCTION("""COMPUTED_VALUE"""),"Gasolinas y naftas")</f>
        <v>Gasolinas y naftas</v>
      </c>
      <c r="C319" s="22">
        <f ca="1">IFERROR(__xludf.DUMMYFUNCTION("""COMPUTED_VALUE"""),0)</f>
        <v>0</v>
      </c>
      <c r="D319" s="23">
        <f ca="1">IFERROR(__xludf.DUMMYFUNCTION("""COMPUTED_VALUE"""),0)</f>
        <v>0</v>
      </c>
      <c r="E319" s="23">
        <f ca="1">IFERROR(__xludf.DUMMYFUNCTION("""COMPUTED_VALUE"""),0)</f>
        <v>0</v>
      </c>
      <c r="F319" s="23">
        <f ca="1">IFERROR(__xludf.DUMMYFUNCTION("""COMPUTED_VALUE"""),0)</f>
        <v>0</v>
      </c>
      <c r="G319" s="23">
        <f ca="1">IFERROR(__xludf.DUMMYFUNCTION("""COMPUTED_VALUE"""),0)</f>
        <v>0</v>
      </c>
      <c r="H319" s="23">
        <f ca="1">IFERROR(__xludf.DUMMYFUNCTION("""COMPUTED_VALUE"""),0)</f>
        <v>0</v>
      </c>
      <c r="I319" s="23">
        <f ca="1">IFERROR(__xludf.DUMMYFUNCTION("""COMPUTED_VALUE"""),0)</f>
        <v>0</v>
      </c>
      <c r="J319" s="23">
        <f ca="1">IFERROR(__xludf.DUMMYFUNCTION("""COMPUTED_VALUE"""),0)</f>
        <v>0</v>
      </c>
      <c r="K319" s="23">
        <f ca="1">IFERROR(__xludf.DUMMYFUNCTION("""COMPUTED_VALUE"""),0)</f>
        <v>0</v>
      </c>
      <c r="L319" s="23">
        <f ca="1">IFERROR(__xludf.DUMMYFUNCTION("""COMPUTED_VALUE"""),0)</f>
        <v>0</v>
      </c>
      <c r="M319" s="23">
        <f ca="1">IFERROR(__xludf.DUMMYFUNCTION("""COMPUTED_VALUE"""),0)</f>
        <v>0</v>
      </c>
      <c r="N319" s="23">
        <f ca="1">IFERROR(__xludf.DUMMYFUNCTION("""COMPUTED_VALUE"""),0)</f>
        <v>0</v>
      </c>
      <c r="O319" s="23">
        <f ca="1">IFERROR(__xludf.DUMMYFUNCTION("""COMPUTED_VALUE"""),0)</f>
        <v>0</v>
      </c>
      <c r="P319" s="23">
        <f ca="1">IFERROR(__xludf.DUMMYFUNCTION("""COMPUTED_VALUE"""),0)</f>
        <v>0</v>
      </c>
      <c r="Q319" s="24">
        <f ca="1">IFERROR(__xludf.DUMMYFUNCTION("""COMPUTED_VALUE"""),0)</f>
        <v>0</v>
      </c>
      <c r="R319" s="20"/>
    </row>
    <row r="320" spans="1:18" ht="13.2" hidden="1" outlineLevel="1" x14ac:dyDescent="0.25">
      <c r="A320" s="1"/>
      <c r="B320" s="21" t="str">
        <f ca="1">IFERROR(__xludf.DUMMYFUNCTION("""COMPUTED_VALUE"""),"Querosenos")</f>
        <v>Querosenos</v>
      </c>
      <c r="C320" s="22">
        <f ca="1">IFERROR(__xludf.DUMMYFUNCTION("""COMPUTED_VALUE"""),0)</f>
        <v>0</v>
      </c>
      <c r="D320" s="23">
        <f ca="1">IFERROR(__xludf.DUMMYFUNCTION("""COMPUTED_VALUE"""),0)</f>
        <v>0</v>
      </c>
      <c r="E320" s="23">
        <f ca="1">IFERROR(__xludf.DUMMYFUNCTION("""COMPUTED_VALUE"""),0)</f>
        <v>0</v>
      </c>
      <c r="F320" s="23">
        <f ca="1">IFERROR(__xludf.DUMMYFUNCTION("""COMPUTED_VALUE"""),0)</f>
        <v>0</v>
      </c>
      <c r="G320" s="23">
        <f ca="1">IFERROR(__xludf.DUMMYFUNCTION("""COMPUTED_VALUE"""),0)</f>
        <v>0</v>
      </c>
      <c r="H320" s="23">
        <f ca="1">IFERROR(__xludf.DUMMYFUNCTION("""COMPUTED_VALUE"""),0)</f>
        <v>0</v>
      </c>
      <c r="I320" s="23">
        <f ca="1">IFERROR(__xludf.DUMMYFUNCTION("""COMPUTED_VALUE"""),0)</f>
        <v>0</v>
      </c>
      <c r="J320" s="23">
        <f ca="1">IFERROR(__xludf.DUMMYFUNCTION("""COMPUTED_VALUE"""),0)</f>
        <v>0</v>
      </c>
      <c r="K320" s="23">
        <f ca="1">IFERROR(__xludf.DUMMYFUNCTION("""COMPUTED_VALUE"""),0)</f>
        <v>0</v>
      </c>
      <c r="L320" s="23">
        <f ca="1">IFERROR(__xludf.DUMMYFUNCTION("""COMPUTED_VALUE"""),0)</f>
        <v>0</v>
      </c>
      <c r="M320" s="23">
        <f ca="1">IFERROR(__xludf.DUMMYFUNCTION("""COMPUTED_VALUE"""),0)</f>
        <v>0</v>
      </c>
      <c r="N320" s="23">
        <f ca="1">IFERROR(__xludf.DUMMYFUNCTION("""COMPUTED_VALUE"""),0)</f>
        <v>0</v>
      </c>
      <c r="O320" s="23">
        <f ca="1">IFERROR(__xludf.DUMMYFUNCTION("""COMPUTED_VALUE"""),0)</f>
        <v>0</v>
      </c>
      <c r="P320" s="23">
        <f ca="1">IFERROR(__xludf.DUMMYFUNCTION("""COMPUTED_VALUE"""),0)</f>
        <v>0</v>
      </c>
      <c r="Q320" s="24">
        <f ca="1">IFERROR(__xludf.DUMMYFUNCTION("""COMPUTED_VALUE"""),0)</f>
        <v>0</v>
      </c>
      <c r="R320" s="20"/>
    </row>
    <row r="321" spans="1:18" ht="13.2" hidden="1" outlineLevel="1" x14ac:dyDescent="0.25">
      <c r="A321" s="1"/>
      <c r="B321" s="21" t="str">
        <f ca="1">IFERROR(__xludf.DUMMYFUNCTION("""COMPUTED_VALUE"""),"Diesel")</f>
        <v>Diesel</v>
      </c>
      <c r="C321" s="22">
        <f ca="1">IFERROR(__xludf.DUMMYFUNCTION("""COMPUTED_VALUE"""),0)</f>
        <v>0</v>
      </c>
      <c r="D321" s="23">
        <f ca="1">IFERROR(__xludf.DUMMYFUNCTION("""COMPUTED_VALUE"""),0)</f>
        <v>0</v>
      </c>
      <c r="E321" s="23">
        <f ca="1">IFERROR(__xludf.DUMMYFUNCTION("""COMPUTED_VALUE"""),0)</f>
        <v>0</v>
      </c>
      <c r="F321" s="23">
        <f ca="1">IFERROR(__xludf.DUMMYFUNCTION("""COMPUTED_VALUE"""),0)</f>
        <v>0</v>
      </c>
      <c r="G321" s="23">
        <f ca="1">IFERROR(__xludf.DUMMYFUNCTION("""COMPUTED_VALUE"""),0)</f>
        <v>0</v>
      </c>
      <c r="H321" s="23">
        <f ca="1">IFERROR(__xludf.DUMMYFUNCTION("""COMPUTED_VALUE"""),0)</f>
        <v>0</v>
      </c>
      <c r="I321" s="23">
        <f ca="1">IFERROR(__xludf.DUMMYFUNCTION("""COMPUTED_VALUE"""),0)</f>
        <v>0</v>
      </c>
      <c r="J321" s="23">
        <f ca="1">IFERROR(__xludf.DUMMYFUNCTION("""COMPUTED_VALUE"""),0)</f>
        <v>0</v>
      </c>
      <c r="K321" s="23">
        <f ca="1">IFERROR(__xludf.DUMMYFUNCTION("""COMPUTED_VALUE"""),0)</f>
        <v>0</v>
      </c>
      <c r="L321" s="23">
        <f ca="1">IFERROR(__xludf.DUMMYFUNCTION("""COMPUTED_VALUE"""),0)</f>
        <v>0</v>
      </c>
      <c r="M321" s="23">
        <f ca="1">IFERROR(__xludf.DUMMYFUNCTION("""COMPUTED_VALUE"""),0)</f>
        <v>0</v>
      </c>
      <c r="N321" s="23">
        <f ca="1">IFERROR(__xludf.DUMMYFUNCTION("""COMPUTED_VALUE"""),0)</f>
        <v>0</v>
      </c>
      <c r="O321" s="23">
        <f ca="1">IFERROR(__xludf.DUMMYFUNCTION("""COMPUTED_VALUE"""),0)</f>
        <v>0</v>
      </c>
      <c r="P321" s="23">
        <f ca="1">IFERROR(__xludf.DUMMYFUNCTION("""COMPUTED_VALUE"""),0)</f>
        <v>0</v>
      </c>
      <c r="Q321" s="24">
        <f ca="1">IFERROR(__xludf.DUMMYFUNCTION("""COMPUTED_VALUE"""),0)</f>
        <v>0</v>
      </c>
      <c r="R321" s="20"/>
    </row>
    <row r="322" spans="1:18" ht="13.2" hidden="1" outlineLevel="1" x14ac:dyDescent="0.25">
      <c r="A322" s="1"/>
      <c r="B322" s="21" t="str">
        <f ca="1">IFERROR(__xludf.DUMMYFUNCTION("""COMPUTED_VALUE"""),"Combustóleo")</f>
        <v>Combustóleo</v>
      </c>
      <c r="C322" s="22">
        <f ca="1">IFERROR(__xludf.DUMMYFUNCTION("""COMPUTED_VALUE"""),0)</f>
        <v>0</v>
      </c>
      <c r="D322" s="23">
        <f ca="1">IFERROR(__xludf.DUMMYFUNCTION("""COMPUTED_VALUE"""),0)</f>
        <v>0</v>
      </c>
      <c r="E322" s="23">
        <f ca="1">IFERROR(__xludf.DUMMYFUNCTION("""COMPUTED_VALUE"""),0)</f>
        <v>0</v>
      </c>
      <c r="F322" s="23">
        <f ca="1">IFERROR(__xludf.DUMMYFUNCTION("""COMPUTED_VALUE"""),0)</f>
        <v>0</v>
      </c>
      <c r="G322" s="23">
        <f ca="1">IFERROR(__xludf.DUMMYFUNCTION("""COMPUTED_VALUE"""),0)</f>
        <v>0</v>
      </c>
      <c r="H322" s="23">
        <f ca="1">IFERROR(__xludf.DUMMYFUNCTION("""COMPUTED_VALUE"""),0)</f>
        <v>0</v>
      </c>
      <c r="I322" s="23">
        <f ca="1">IFERROR(__xludf.DUMMYFUNCTION("""COMPUTED_VALUE"""),0)</f>
        <v>0</v>
      </c>
      <c r="J322" s="23">
        <f ca="1">IFERROR(__xludf.DUMMYFUNCTION("""COMPUTED_VALUE"""),0)</f>
        <v>0</v>
      </c>
      <c r="K322" s="23">
        <f ca="1">IFERROR(__xludf.DUMMYFUNCTION("""COMPUTED_VALUE"""),0)</f>
        <v>0</v>
      </c>
      <c r="L322" s="23">
        <f ca="1">IFERROR(__xludf.DUMMYFUNCTION("""COMPUTED_VALUE"""),0)</f>
        <v>0</v>
      </c>
      <c r="M322" s="23">
        <f ca="1">IFERROR(__xludf.DUMMYFUNCTION("""COMPUTED_VALUE"""),0)</f>
        <v>0</v>
      </c>
      <c r="N322" s="23">
        <f ca="1">IFERROR(__xludf.DUMMYFUNCTION("""COMPUTED_VALUE"""),0)</f>
        <v>0</v>
      </c>
      <c r="O322" s="23">
        <f ca="1">IFERROR(__xludf.DUMMYFUNCTION("""COMPUTED_VALUE"""),0)</f>
        <v>0</v>
      </c>
      <c r="P322" s="23">
        <f ca="1">IFERROR(__xludf.DUMMYFUNCTION("""COMPUTED_VALUE"""),0)</f>
        <v>0</v>
      </c>
      <c r="Q322" s="24">
        <f ca="1">IFERROR(__xludf.DUMMYFUNCTION("""COMPUTED_VALUE"""),0)</f>
        <v>0</v>
      </c>
      <c r="R322" s="20"/>
    </row>
    <row r="323" spans="1:18" ht="13.2" hidden="1" outlineLevel="1" x14ac:dyDescent="0.25">
      <c r="A323" s="1"/>
      <c r="B323" s="21" t="str">
        <f ca="1">IFERROR(__xludf.DUMMYFUNCTION("""COMPUTED_VALUE"""),"Otros energéticos")</f>
        <v>Otros energéticos</v>
      </c>
      <c r="C323" s="22">
        <f ca="1">IFERROR(__xludf.DUMMYFUNCTION("""COMPUTED_VALUE"""),0)</f>
        <v>0</v>
      </c>
      <c r="D323" s="23">
        <f ca="1">IFERROR(__xludf.DUMMYFUNCTION("""COMPUTED_VALUE"""),0)</f>
        <v>0</v>
      </c>
      <c r="E323" s="23">
        <f ca="1">IFERROR(__xludf.DUMMYFUNCTION("""COMPUTED_VALUE"""),0)</f>
        <v>0</v>
      </c>
      <c r="F323" s="23">
        <f ca="1">IFERROR(__xludf.DUMMYFUNCTION("""COMPUTED_VALUE"""),0)</f>
        <v>0</v>
      </c>
      <c r="G323" s="23">
        <f ca="1">IFERROR(__xludf.DUMMYFUNCTION("""COMPUTED_VALUE"""),0)</f>
        <v>0</v>
      </c>
      <c r="H323" s="23">
        <f ca="1">IFERROR(__xludf.DUMMYFUNCTION("""COMPUTED_VALUE"""),0)</f>
        <v>0</v>
      </c>
      <c r="I323" s="23">
        <f ca="1">IFERROR(__xludf.DUMMYFUNCTION("""COMPUTED_VALUE"""),0)</f>
        <v>0</v>
      </c>
      <c r="J323" s="23">
        <f ca="1">IFERROR(__xludf.DUMMYFUNCTION("""COMPUTED_VALUE"""),0)</f>
        <v>0</v>
      </c>
      <c r="K323" s="23">
        <f ca="1">IFERROR(__xludf.DUMMYFUNCTION("""COMPUTED_VALUE"""),0)</f>
        <v>0</v>
      </c>
      <c r="L323" s="23">
        <f ca="1">IFERROR(__xludf.DUMMYFUNCTION("""COMPUTED_VALUE"""),0)</f>
        <v>0</v>
      </c>
      <c r="M323" s="23">
        <f ca="1">IFERROR(__xludf.DUMMYFUNCTION("""COMPUTED_VALUE"""),0)</f>
        <v>0</v>
      </c>
      <c r="N323" s="23">
        <f ca="1">IFERROR(__xludf.DUMMYFUNCTION("""COMPUTED_VALUE"""),0)</f>
        <v>0</v>
      </c>
      <c r="O323" s="23">
        <f ca="1">IFERROR(__xludf.DUMMYFUNCTION("""COMPUTED_VALUE"""),0)</f>
        <v>0</v>
      </c>
      <c r="P323" s="23">
        <f ca="1">IFERROR(__xludf.DUMMYFUNCTION("""COMPUTED_VALUE"""),0)</f>
        <v>0</v>
      </c>
      <c r="Q323" s="24">
        <f ca="1">IFERROR(__xludf.DUMMYFUNCTION("""COMPUTED_VALUE"""),0)</f>
        <v>0</v>
      </c>
      <c r="R323" s="20"/>
    </row>
    <row r="324" spans="1:18" ht="13.2" hidden="1" outlineLevel="1" x14ac:dyDescent="0.25">
      <c r="A324" s="1"/>
      <c r="B324" s="21" t="str">
        <f ca="1">IFERROR(__xludf.DUMMYFUNCTION("""COMPUTED_VALUE"""),"Gas natural seco")</f>
        <v>Gas natural seco</v>
      </c>
      <c r="C324" s="22">
        <f ca="1">IFERROR(__xludf.DUMMYFUNCTION("""COMPUTED_VALUE"""),0)</f>
        <v>0</v>
      </c>
      <c r="D324" s="23">
        <f ca="1">IFERROR(__xludf.DUMMYFUNCTION("""COMPUTED_VALUE"""),0)</f>
        <v>0</v>
      </c>
      <c r="E324" s="23">
        <f ca="1">IFERROR(__xludf.DUMMYFUNCTION("""COMPUTED_VALUE"""),0)</f>
        <v>0</v>
      </c>
      <c r="F324" s="23">
        <f ca="1">IFERROR(__xludf.DUMMYFUNCTION("""COMPUTED_VALUE"""),0)</f>
        <v>0</v>
      </c>
      <c r="G324" s="23">
        <f ca="1">IFERROR(__xludf.DUMMYFUNCTION("""COMPUTED_VALUE"""),0)</f>
        <v>0</v>
      </c>
      <c r="H324" s="23">
        <f ca="1">IFERROR(__xludf.DUMMYFUNCTION("""COMPUTED_VALUE"""),0)</f>
        <v>0</v>
      </c>
      <c r="I324" s="23">
        <f ca="1">IFERROR(__xludf.DUMMYFUNCTION("""COMPUTED_VALUE"""),0)</f>
        <v>0</v>
      </c>
      <c r="J324" s="23">
        <f ca="1">IFERROR(__xludf.DUMMYFUNCTION("""COMPUTED_VALUE"""),0)</f>
        <v>0</v>
      </c>
      <c r="K324" s="23">
        <f ca="1">IFERROR(__xludf.DUMMYFUNCTION("""COMPUTED_VALUE"""),0)</f>
        <v>0</v>
      </c>
      <c r="L324" s="23">
        <f ca="1">IFERROR(__xludf.DUMMYFUNCTION("""COMPUTED_VALUE"""),0)</f>
        <v>0</v>
      </c>
      <c r="M324" s="23">
        <f ca="1">IFERROR(__xludf.DUMMYFUNCTION("""COMPUTED_VALUE"""),0)</f>
        <v>0</v>
      </c>
      <c r="N324" s="23">
        <f ca="1">IFERROR(__xludf.DUMMYFUNCTION("""COMPUTED_VALUE"""),0)</f>
        <v>0</v>
      </c>
      <c r="O324" s="23">
        <f ca="1">IFERROR(__xludf.DUMMYFUNCTION("""COMPUTED_VALUE"""),0)</f>
        <v>0</v>
      </c>
      <c r="P324" s="23">
        <f ca="1">IFERROR(__xludf.DUMMYFUNCTION("""COMPUTED_VALUE"""),0)</f>
        <v>0</v>
      </c>
      <c r="Q324" s="24">
        <f ca="1">IFERROR(__xludf.DUMMYFUNCTION("""COMPUTED_VALUE"""),0)</f>
        <v>0</v>
      </c>
      <c r="R324" s="20"/>
    </row>
    <row r="325" spans="1:18" ht="13.2" hidden="1" outlineLevel="1" x14ac:dyDescent="0.25">
      <c r="A325" s="1"/>
      <c r="B325" s="25" t="str">
        <f ca="1">IFERROR(__xludf.DUMMYFUNCTION("""COMPUTED_VALUE"""),"Energía eléctrica")</f>
        <v>Energía eléctrica</v>
      </c>
      <c r="C325" s="26">
        <f ca="1">IFERROR(__xludf.DUMMYFUNCTION("""COMPUTED_VALUE"""),136.129154586164)</f>
        <v>136.12915458616399</v>
      </c>
      <c r="D325" s="27">
        <f ca="1">IFERROR(__xludf.DUMMYFUNCTION("""COMPUTED_VALUE"""),139.049400975498)</f>
        <v>139.049400975498</v>
      </c>
      <c r="E325" s="27">
        <f ca="1">IFERROR(__xludf.DUMMYFUNCTION("""COMPUTED_VALUE"""),136.142482937256)</f>
        <v>136.14248293725601</v>
      </c>
      <c r="F325" s="27">
        <f ca="1">IFERROR(__xludf.DUMMYFUNCTION("""COMPUTED_VALUE"""),137.862931240216)</f>
        <v>137.862931240216</v>
      </c>
      <c r="G325" s="27">
        <f ca="1">IFERROR(__xludf.DUMMYFUNCTION("""COMPUTED_VALUE"""),133.887210916923)</f>
        <v>133.88721091692301</v>
      </c>
      <c r="H325" s="27">
        <f ca="1">IFERROR(__xludf.DUMMYFUNCTION("""COMPUTED_VALUE"""),135.190963942994)</f>
        <v>135.19096394299399</v>
      </c>
      <c r="I325" s="27">
        <f ca="1">IFERROR(__xludf.DUMMYFUNCTION("""COMPUTED_VALUE"""),135.835481643248)</f>
        <v>135.83548164324799</v>
      </c>
      <c r="J325" s="27">
        <f ca="1">IFERROR(__xludf.DUMMYFUNCTION("""COMPUTED_VALUE"""),114.386538077726)</f>
        <v>114.386538077726</v>
      </c>
      <c r="K325" s="27">
        <f ca="1">IFERROR(__xludf.DUMMYFUNCTION("""COMPUTED_VALUE"""),108.225526385137)</f>
        <v>108.225526385137</v>
      </c>
      <c r="L325" s="27">
        <f ca="1">IFERROR(__xludf.DUMMYFUNCTION("""COMPUTED_VALUE"""),83.6854582615509)</f>
        <v>83.685458261550906</v>
      </c>
      <c r="M325" s="27">
        <f ca="1">IFERROR(__xludf.DUMMYFUNCTION("""COMPUTED_VALUE"""),49.4748179999604)</f>
        <v>49.474817999960401</v>
      </c>
      <c r="N325" s="27">
        <f ca="1">IFERROR(__xludf.DUMMYFUNCTION("""COMPUTED_VALUE"""),33.9954935039728)</f>
        <v>33.995493503972803</v>
      </c>
      <c r="O325" s="27">
        <f ca="1">IFERROR(__xludf.DUMMYFUNCTION("""COMPUTED_VALUE"""),53.8914941999568)</f>
        <v>53.891494199956803</v>
      </c>
      <c r="P325" s="27">
        <f ca="1">IFERROR(__xludf.DUMMYFUNCTION("""COMPUTED_VALUE"""),55.1057201999559)</f>
        <v>55.105720199955897</v>
      </c>
      <c r="Q325" s="28">
        <f ca="1">IFERROR(__xludf.DUMMYFUNCTION("""COMPUTED_VALUE"""),50.4445395599596)</f>
        <v>50.444539559959601</v>
      </c>
      <c r="R325" s="20"/>
    </row>
    <row r="326" spans="1:18" ht="13.2" hidden="1" outlineLevel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0"/>
    </row>
    <row r="327" spans="1:18" ht="13.2" collapsed="1" x14ac:dyDescent="0.25">
      <c r="A327" s="30"/>
      <c r="B327" s="5" t="str">
        <f ca="1">IFERROR(__xludf.DUMMYFUNCTION("""COMPUTED_VALUE"""),"CE.TC(e,a)")</f>
        <v>CE.TC(e,a)</v>
      </c>
      <c r="C327" s="6" t="str">
        <f ca="1">IFERROR(__xludf.DUMMYFUNCTION("""COMPUTED_VALUE"""),"-/+")</f>
        <v>-/+</v>
      </c>
      <c r="D327" s="7" t="str">
        <f ca="1">IFERROR(__xludf.DUMMYFUNCTION("""COMPUTED_VALUE"""),"Termica convencional por energético e y año a.")</f>
        <v>Termica convencional por energético e y año a.</v>
      </c>
      <c r="E327" s="6" t="str">
        <f ca="1">IFERROR(__xludf.DUMMYFUNCTION("""COMPUTED_VALUE"""),"cbne")</f>
        <v>cbne</v>
      </c>
      <c r="F327" s="6" t="str">
        <f ca="1">IFERROR(__xludf.DUMMYFUNCTION("""COMPUTED_VALUE"""),"a")</f>
        <v>a</v>
      </c>
      <c r="G327" s="8" t="str">
        <f ca="1">IFERROR(__xludf.DUMMYFUNCTION("""COMPUTED_VALUE"""),"PJ")</f>
        <v>PJ</v>
      </c>
      <c r="H327" s="9"/>
      <c r="I327" s="1"/>
      <c r="J327" s="1"/>
      <c r="K327" s="1"/>
      <c r="L327" s="1"/>
      <c r="M327" s="1"/>
      <c r="N327" s="1"/>
      <c r="O327" s="1"/>
      <c r="P327" s="1"/>
      <c r="Q327" s="1"/>
      <c r="R327" s="10"/>
    </row>
    <row r="328" spans="1:18" ht="13.2" hidden="1" outlineLevel="1" x14ac:dyDescent="0.25">
      <c r="A328" s="1"/>
      <c r="B328" s="11"/>
      <c r="C328" s="12">
        <f ca="1">IFERROR(__xludf.DUMMYFUNCTION("""COMPUTED_VALUE"""),2010)</f>
        <v>2010</v>
      </c>
      <c r="D328" s="13">
        <f ca="1">IFERROR(__xludf.DUMMYFUNCTION("""COMPUTED_VALUE"""),2011)</f>
        <v>2011</v>
      </c>
      <c r="E328" s="13">
        <f ca="1">IFERROR(__xludf.DUMMYFUNCTION("""COMPUTED_VALUE"""),2012)</f>
        <v>2012</v>
      </c>
      <c r="F328" s="13">
        <f ca="1">IFERROR(__xludf.DUMMYFUNCTION("""COMPUTED_VALUE"""),2013)</f>
        <v>2013</v>
      </c>
      <c r="G328" s="13">
        <f ca="1">IFERROR(__xludf.DUMMYFUNCTION("""COMPUTED_VALUE"""),2014)</f>
        <v>2014</v>
      </c>
      <c r="H328" s="13">
        <f ca="1">IFERROR(__xludf.DUMMYFUNCTION("""COMPUTED_VALUE"""),2015)</f>
        <v>2015</v>
      </c>
      <c r="I328" s="13">
        <f ca="1">IFERROR(__xludf.DUMMYFUNCTION("""COMPUTED_VALUE"""),2016)</f>
        <v>2016</v>
      </c>
      <c r="J328" s="13">
        <f ca="1">IFERROR(__xludf.DUMMYFUNCTION("""COMPUTED_VALUE"""),2017)</f>
        <v>2017</v>
      </c>
      <c r="K328" s="13">
        <f ca="1">IFERROR(__xludf.DUMMYFUNCTION("""COMPUTED_VALUE"""),2018)</f>
        <v>2018</v>
      </c>
      <c r="L328" s="13">
        <f ca="1">IFERROR(__xludf.DUMMYFUNCTION("""COMPUTED_VALUE"""),2019)</f>
        <v>2019</v>
      </c>
      <c r="M328" s="13">
        <f ca="1">IFERROR(__xludf.DUMMYFUNCTION("""COMPUTED_VALUE"""),2020)</f>
        <v>2020</v>
      </c>
      <c r="N328" s="13">
        <f ca="1">IFERROR(__xludf.DUMMYFUNCTION("""COMPUTED_VALUE"""),2021)</f>
        <v>2021</v>
      </c>
      <c r="O328" s="13">
        <f ca="1">IFERROR(__xludf.DUMMYFUNCTION("""COMPUTED_VALUE"""),2022)</f>
        <v>2022</v>
      </c>
      <c r="P328" s="13">
        <f ca="1">IFERROR(__xludf.DUMMYFUNCTION("""COMPUTED_VALUE"""),2023)</f>
        <v>2023</v>
      </c>
      <c r="Q328" s="14">
        <f ca="1">IFERROR(__xludf.DUMMYFUNCTION("""COMPUTED_VALUE"""),2024)</f>
        <v>2024</v>
      </c>
      <c r="R328" s="15"/>
    </row>
    <row r="329" spans="1:18" ht="13.2" hidden="1" outlineLevel="1" x14ac:dyDescent="0.25">
      <c r="A329" s="1"/>
      <c r="B329" s="16" t="str">
        <f ca="1">IFERROR(__xludf.DUMMYFUNCTION("""COMPUTED_VALUE"""),"Carbón mineral")</f>
        <v>Carbón mineral</v>
      </c>
      <c r="C329" s="17">
        <f ca="1">IFERROR(__xludf.DUMMYFUNCTION("""COMPUTED_VALUE"""),0)</f>
        <v>0</v>
      </c>
      <c r="D329" s="18">
        <f ca="1">IFERROR(__xludf.DUMMYFUNCTION("""COMPUTED_VALUE"""),0)</f>
        <v>0</v>
      </c>
      <c r="E329" s="18">
        <f ca="1">IFERROR(__xludf.DUMMYFUNCTION("""COMPUTED_VALUE"""),0)</f>
        <v>0</v>
      </c>
      <c r="F329" s="18">
        <f ca="1">IFERROR(__xludf.DUMMYFUNCTION("""COMPUTED_VALUE"""),0)</f>
        <v>0</v>
      </c>
      <c r="G329" s="18">
        <f ca="1">IFERROR(__xludf.DUMMYFUNCTION("""COMPUTED_VALUE"""),0)</f>
        <v>0</v>
      </c>
      <c r="H329" s="18">
        <f ca="1">IFERROR(__xludf.DUMMYFUNCTION("""COMPUTED_VALUE"""),0)</f>
        <v>0</v>
      </c>
      <c r="I329" s="18">
        <f ca="1">IFERROR(__xludf.DUMMYFUNCTION("""COMPUTED_VALUE"""),0)</f>
        <v>0</v>
      </c>
      <c r="J329" s="18">
        <f ca="1">IFERROR(__xludf.DUMMYFUNCTION("""COMPUTED_VALUE"""),0)</f>
        <v>0</v>
      </c>
      <c r="K329" s="18">
        <f ca="1">IFERROR(__xludf.DUMMYFUNCTION("""COMPUTED_VALUE"""),0)</f>
        <v>0</v>
      </c>
      <c r="L329" s="18">
        <f ca="1">IFERROR(__xludf.DUMMYFUNCTION("""COMPUTED_VALUE"""),0)</f>
        <v>0</v>
      </c>
      <c r="M329" s="18">
        <f ca="1">IFERROR(__xludf.DUMMYFUNCTION("""COMPUTED_VALUE"""),0)</f>
        <v>0</v>
      </c>
      <c r="N329" s="18">
        <f ca="1">IFERROR(__xludf.DUMMYFUNCTION("""COMPUTED_VALUE"""),0)</f>
        <v>0</v>
      </c>
      <c r="O329" s="18">
        <f ca="1">IFERROR(__xludf.DUMMYFUNCTION("""COMPUTED_VALUE"""),0)</f>
        <v>0</v>
      </c>
      <c r="P329" s="18">
        <f ca="1">IFERROR(__xludf.DUMMYFUNCTION("""COMPUTED_VALUE"""),0)</f>
        <v>0</v>
      </c>
      <c r="Q329" s="19">
        <f ca="1">IFERROR(__xludf.DUMMYFUNCTION("""COMPUTED_VALUE"""),0)</f>
        <v>0</v>
      </c>
      <c r="R329" s="20"/>
    </row>
    <row r="330" spans="1:18" ht="13.2" hidden="1" outlineLevel="1" x14ac:dyDescent="0.25">
      <c r="A330" s="1"/>
      <c r="B330" s="21" t="str">
        <f ca="1">IFERROR(__xludf.DUMMYFUNCTION("""COMPUTED_VALUE"""),"Petróleo crudo")</f>
        <v>Petróleo crudo</v>
      </c>
      <c r="C330" s="22">
        <f ca="1">IFERROR(__xludf.DUMMYFUNCTION("""COMPUTED_VALUE"""),0)</f>
        <v>0</v>
      </c>
      <c r="D330" s="23">
        <f ca="1">IFERROR(__xludf.DUMMYFUNCTION("""COMPUTED_VALUE"""),0)</f>
        <v>0</v>
      </c>
      <c r="E330" s="23">
        <f ca="1">IFERROR(__xludf.DUMMYFUNCTION("""COMPUTED_VALUE"""),0)</f>
        <v>0</v>
      </c>
      <c r="F330" s="23">
        <f ca="1">IFERROR(__xludf.DUMMYFUNCTION("""COMPUTED_VALUE"""),0)</f>
        <v>0</v>
      </c>
      <c r="G330" s="23">
        <f ca="1">IFERROR(__xludf.DUMMYFUNCTION("""COMPUTED_VALUE"""),0)</f>
        <v>0</v>
      </c>
      <c r="H330" s="23">
        <f ca="1">IFERROR(__xludf.DUMMYFUNCTION("""COMPUTED_VALUE"""),0)</f>
        <v>0</v>
      </c>
      <c r="I330" s="23">
        <f ca="1">IFERROR(__xludf.DUMMYFUNCTION("""COMPUTED_VALUE"""),0)</f>
        <v>0</v>
      </c>
      <c r="J330" s="23">
        <f ca="1">IFERROR(__xludf.DUMMYFUNCTION("""COMPUTED_VALUE"""),0)</f>
        <v>0</v>
      </c>
      <c r="K330" s="23">
        <f ca="1">IFERROR(__xludf.DUMMYFUNCTION("""COMPUTED_VALUE"""),0)</f>
        <v>0</v>
      </c>
      <c r="L330" s="23">
        <f ca="1">IFERROR(__xludf.DUMMYFUNCTION("""COMPUTED_VALUE"""),0)</f>
        <v>0</v>
      </c>
      <c r="M330" s="23">
        <f ca="1">IFERROR(__xludf.DUMMYFUNCTION("""COMPUTED_VALUE"""),0)</f>
        <v>0</v>
      </c>
      <c r="N330" s="23">
        <f ca="1">IFERROR(__xludf.DUMMYFUNCTION("""COMPUTED_VALUE"""),0)</f>
        <v>0</v>
      </c>
      <c r="O330" s="23">
        <f ca="1">IFERROR(__xludf.DUMMYFUNCTION("""COMPUTED_VALUE"""),0)</f>
        <v>0</v>
      </c>
      <c r="P330" s="23">
        <f ca="1">IFERROR(__xludf.DUMMYFUNCTION("""COMPUTED_VALUE"""),0)</f>
        <v>0</v>
      </c>
      <c r="Q330" s="24">
        <f ca="1">IFERROR(__xludf.DUMMYFUNCTION("""COMPUTED_VALUE"""),0)</f>
        <v>0</v>
      </c>
      <c r="R330" s="20"/>
    </row>
    <row r="331" spans="1:18" ht="13.2" hidden="1" outlineLevel="1" x14ac:dyDescent="0.25">
      <c r="A331" s="1"/>
      <c r="B331" s="21" t="str">
        <f ca="1">IFERROR(__xludf.DUMMYFUNCTION("""COMPUTED_VALUE"""),"Condensados")</f>
        <v>Condensados</v>
      </c>
      <c r="C331" s="22">
        <f ca="1">IFERROR(__xludf.DUMMYFUNCTION("""COMPUTED_VALUE"""),0)</f>
        <v>0</v>
      </c>
      <c r="D331" s="23">
        <f ca="1">IFERROR(__xludf.DUMMYFUNCTION("""COMPUTED_VALUE"""),0)</f>
        <v>0</v>
      </c>
      <c r="E331" s="23">
        <f ca="1">IFERROR(__xludf.DUMMYFUNCTION("""COMPUTED_VALUE"""),0)</f>
        <v>0</v>
      </c>
      <c r="F331" s="23">
        <f ca="1">IFERROR(__xludf.DUMMYFUNCTION("""COMPUTED_VALUE"""),0)</f>
        <v>0</v>
      </c>
      <c r="G331" s="23">
        <f ca="1">IFERROR(__xludf.DUMMYFUNCTION("""COMPUTED_VALUE"""),0)</f>
        <v>0</v>
      </c>
      <c r="H331" s="23">
        <f ca="1">IFERROR(__xludf.DUMMYFUNCTION("""COMPUTED_VALUE"""),0)</f>
        <v>0</v>
      </c>
      <c r="I331" s="23">
        <f ca="1">IFERROR(__xludf.DUMMYFUNCTION("""COMPUTED_VALUE"""),0)</f>
        <v>0</v>
      </c>
      <c r="J331" s="23">
        <f ca="1">IFERROR(__xludf.DUMMYFUNCTION("""COMPUTED_VALUE"""),0)</f>
        <v>0</v>
      </c>
      <c r="K331" s="23">
        <f ca="1">IFERROR(__xludf.DUMMYFUNCTION("""COMPUTED_VALUE"""),0)</f>
        <v>0</v>
      </c>
      <c r="L331" s="23">
        <f ca="1">IFERROR(__xludf.DUMMYFUNCTION("""COMPUTED_VALUE"""),0)</f>
        <v>0</v>
      </c>
      <c r="M331" s="23">
        <f ca="1">IFERROR(__xludf.DUMMYFUNCTION("""COMPUTED_VALUE"""),0)</f>
        <v>0</v>
      </c>
      <c r="N331" s="23">
        <f ca="1">IFERROR(__xludf.DUMMYFUNCTION("""COMPUTED_VALUE"""),0)</f>
        <v>0</v>
      </c>
      <c r="O331" s="23">
        <f ca="1">IFERROR(__xludf.DUMMYFUNCTION("""COMPUTED_VALUE"""),0)</f>
        <v>0</v>
      </c>
      <c r="P331" s="23">
        <f ca="1">IFERROR(__xludf.DUMMYFUNCTION("""COMPUTED_VALUE"""),0)</f>
        <v>0</v>
      </c>
      <c r="Q331" s="24">
        <f ca="1">IFERROR(__xludf.DUMMYFUNCTION("""COMPUTED_VALUE"""),0)</f>
        <v>0</v>
      </c>
      <c r="R331" s="20"/>
    </row>
    <row r="332" spans="1:18" ht="13.2" hidden="1" outlineLevel="1" x14ac:dyDescent="0.25">
      <c r="A332" s="1"/>
      <c r="B332" s="21" t="str">
        <f ca="1">IFERROR(__xludf.DUMMYFUNCTION("""COMPUTED_VALUE"""),"Gas natural")</f>
        <v>Gas natural</v>
      </c>
      <c r="C332" s="22">
        <f ca="1">IFERROR(__xludf.DUMMYFUNCTION("""COMPUTED_VALUE"""),0)</f>
        <v>0</v>
      </c>
      <c r="D332" s="23">
        <f ca="1">IFERROR(__xludf.DUMMYFUNCTION("""COMPUTED_VALUE"""),0)</f>
        <v>0</v>
      </c>
      <c r="E332" s="23">
        <f ca="1">IFERROR(__xludf.DUMMYFUNCTION("""COMPUTED_VALUE"""),0)</f>
        <v>0</v>
      </c>
      <c r="F332" s="23">
        <f ca="1">IFERROR(__xludf.DUMMYFUNCTION("""COMPUTED_VALUE"""),0)</f>
        <v>0</v>
      </c>
      <c r="G332" s="23">
        <f ca="1">IFERROR(__xludf.DUMMYFUNCTION("""COMPUTED_VALUE"""),0)</f>
        <v>0</v>
      </c>
      <c r="H332" s="23">
        <f ca="1">IFERROR(__xludf.DUMMYFUNCTION("""COMPUTED_VALUE"""),0)</f>
        <v>0</v>
      </c>
      <c r="I332" s="23">
        <f ca="1">IFERROR(__xludf.DUMMYFUNCTION("""COMPUTED_VALUE"""),0)</f>
        <v>0</v>
      </c>
      <c r="J332" s="23">
        <f ca="1">IFERROR(__xludf.DUMMYFUNCTION("""COMPUTED_VALUE"""),0)</f>
        <v>0</v>
      </c>
      <c r="K332" s="23">
        <f ca="1">IFERROR(__xludf.DUMMYFUNCTION("""COMPUTED_VALUE"""),0)</f>
        <v>0</v>
      </c>
      <c r="L332" s="23">
        <f ca="1">IFERROR(__xludf.DUMMYFUNCTION("""COMPUTED_VALUE"""),0)</f>
        <v>0</v>
      </c>
      <c r="M332" s="23">
        <f ca="1">IFERROR(__xludf.DUMMYFUNCTION("""COMPUTED_VALUE"""),0)</f>
        <v>0</v>
      </c>
      <c r="N332" s="23">
        <f ca="1">IFERROR(__xludf.DUMMYFUNCTION("""COMPUTED_VALUE"""),0)</f>
        <v>0</v>
      </c>
      <c r="O332" s="23">
        <f ca="1">IFERROR(__xludf.DUMMYFUNCTION("""COMPUTED_VALUE"""),0)</f>
        <v>0</v>
      </c>
      <c r="P332" s="23">
        <f ca="1">IFERROR(__xludf.DUMMYFUNCTION("""COMPUTED_VALUE"""),0)</f>
        <v>0</v>
      </c>
      <c r="Q332" s="24">
        <f ca="1">IFERROR(__xludf.DUMMYFUNCTION("""COMPUTED_VALUE"""),0)</f>
        <v>0</v>
      </c>
      <c r="R332" s="20"/>
    </row>
    <row r="333" spans="1:18" ht="13.2" hidden="1" outlineLevel="1" x14ac:dyDescent="0.25">
      <c r="A333" s="1"/>
      <c r="B333" s="21" t="str">
        <f ca="1">IFERROR(__xludf.DUMMYFUNCTION("""COMPUTED_VALUE"""),"Energía Nuclear")</f>
        <v>Energía Nuclear</v>
      </c>
      <c r="C333" s="22">
        <f ca="1">IFERROR(__xludf.DUMMYFUNCTION("""COMPUTED_VALUE"""),0)</f>
        <v>0</v>
      </c>
      <c r="D333" s="23">
        <f ca="1">IFERROR(__xludf.DUMMYFUNCTION("""COMPUTED_VALUE"""),0)</f>
        <v>0</v>
      </c>
      <c r="E333" s="23">
        <f ca="1">IFERROR(__xludf.DUMMYFUNCTION("""COMPUTED_VALUE"""),0)</f>
        <v>0</v>
      </c>
      <c r="F333" s="23">
        <f ca="1">IFERROR(__xludf.DUMMYFUNCTION("""COMPUTED_VALUE"""),0)</f>
        <v>0</v>
      </c>
      <c r="G333" s="23">
        <f ca="1">IFERROR(__xludf.DUMMYFUNCTION("""COMPUTED_VALUE"""),0)</f>
        <v>0</v>
      </c>
      <c r="H333" s="23">
        <f ca="1">IFERROR(__xludf.DUMMYFUNCTION("""COMPUTED_VALUE"""),0)</f>
        <v>0</v>
      </c>
      <c r="I333" s="23">
        <f ca="1">IFERROR(__xludf.DUMMYFUNCTION("""COMPUTED_VALUE"""),0)</f>
        <v>0</v>
      </c>
      <c r="J333" s="23">
        <f ca="1">IFERROR(__xludf.DUMMYFUNCTION("""COMPUTED_VALUE"""),0)</f>
        <v>0</v>
      </c>
      <c r="K333" s="23">
        <f ca="1">IFERROR(__xludf.DUMMYFUNCTION("""COMPUTED_VALUE"""),0)</f>
        <v>0</v>
      </c>
      <c r="L333" s="23">
        <f ca="1">IFERROR(__xludf.DUMMYFUNCTION("""COMPUTED_VALUE"""),0)</f>
        <v>0</v>
      </c>
      <c r="M333" s="23">
        <f ca="1">IFERROR(__xludf.DUMMYFUNCTION("""COMPUTED_VALUE"""),0)</f>
        <v>0</v>
      </c>
      <c r="N333" s="23">
        <f ca="1">IFERROR(__xludf.DUMMYFUNCTION("""COMPUTED_VALUE"""),0)</f>
        <v>0</v>
      </c>
      <c r="O333" s="23">
        <f ca="1">IFERROR(__xludf.DUMMYFUNCTION("""COMPUTED_VALUE"""),0)</f>
        <v>0</v>
      </c>
      <c r="P333" s="23">
        <f ca="1">IFERROR(__xludf.DUMMYFUNCTION("""COMPUTED_VALUE"""),0)</f>
        <v>0</v>
      </c>
      <c r="Q333" s="24">
        <f ca="1">IFERROR(__xludf.DUMMYFUNCTION("""COMPUTED_VALUE"""),0)</f>
        <v>0</v>
      </c>
      <c r="R333" s="20"/>
    </row>
    <row r="334" spans="1:18" ht="13.2" hidden="1" outlineLevel="1" x14ac:dyDescent="0.25">
      <c r="A334" s="1"/>
      <c r="B334" s="21" t="str">
        <f ca="1">IFERROR(__xludf.DUMMYFUNCTION("""COMPUTED_VALUE"""),"Energia Hidraúlica")</f>
        <v>Energia Hidraúlica</v>
      </c>
      <c r="C334" s="22">
        <f ca="1">IFERROR(__xludf.DUMMYFUNCTION("""COMPUTED_VALUE"""),0)</f>
        <v>0</v>
      </c>
      <c r="D334" s="23">
        <f ca="1">IFERROR(__xludf.DUMMYFUNCTION("""COMPUTED_VALUE"""),0)</f>
        <v>0</v>
      </c>
      <c r="E334" s="23">
        <f ca="1">IFERROR(__xludf.DUMMYFUNCTION("""COMPUTED_VALUE"""),0)</f>
        <v>0</v>
      </c>
      <c r="F334" s="23">
        <f ca="1">IFERROR(__xludf.DUMMYFUNCTION("""COMPUTED_VALUE"""),0)</f>
        <v>0</v>
      </c>
      <c r="G334" s="23">
        <f ca="1">IFERROR(__xludf.DUMMYFUNCTION("""COMPUTED_VALUE"""),0)</f>
        <v>0</v>
      </c>
      <c r="H334" s="23">
        <f ca="1">IFERROR(__xludf.DUMMYFUNCTION("""COMPUTED_VALUE"""),0)</f>
        <v>0</v>
      </c>
      <c r="I334" s="23">
        <f ca="1">IFERROR(__xludf.DUMMYFUNCTION("""COMPUTED_VALUE"""),0)</f>
        <v>0</v>
      </c>
      <c r="J334" s="23">
        <f ca="1">IFERROR(__xludf.DUMMYFUNCTION("""COMPUTED_VALUE"""),0)</f>
        <v>0</v>
      </c>
      <c r="K334" s="23">
        <f ca="1">IFERROR(__xludf.DUMMYFUNCTION("""COMPUTED_VALUE"""),0)</f>
        <v>0</v>
      </c>
      <c r="L334" s="23">
        <f ca="1">IFERROR(__xludf.DUMMYFUNCTION("""COMPUTED_VALUE"""),0)</f>
        <v>0</v>
      </c>
      <c r="M334" s="23">
        <f ca="1">IFERROR(__xludf.DUMMYFUNCTION("""COMPUTED_VALUE"""),0)</f>
        <v>0</v>
      </c>
      <c r="N334" s="23">
        <f ca="1">IFERROR(__xludf.DUMMYFUNCTION("""COMPUTED_VALUE"""),0)</f>
        <v>0</v>
      </c>
      <c r="O334" s="23">
        <f ca="1">IFERROR(__xludf.DUMMYFUNCTION("""COMPUTED_VALUE"""),0)</f>
        <v>0</v>
      </c>
      <c r="P334" s="23">
        <f ca="1">IFERROR(__xludf.DUMMYFUNCTION("""COMPUTED_VALUE"""),0)</f>
        <v>0</v>
      </c>
      <c r="Q334" s="24">
        <f ca="1">IFERROR(__xludf.DUMMYFUNCTION("""COMPUTED_VALUE"""),0)</f>
        <v>0</v>
      </c>
      <c r="R334" s="20"/>
    </row>
    <row r="335" spans="1:18" ht="13.2" hidden="1" outlineLevel="1" x14ac:dyDescent="0.25">
      <c r="A335" s="1"/>
      <c r="B335" s="21" t="str">
        <f ca="1">IFERROR(__xludf.DUMMYFUNCTION("""COMPUTED_VALUE"""),"Geoenergía")</f>
        <v>Geoenergía</v>
      </c>
      <c r="C335" s="22">
        <f ca="1">IFERROR(__xludf.DUMMYFUNCTION("""COMPUTED_VALUE"""),0)</f>
        <v>0</v>
      </c>
      <c r="D335" s="23">
        <f ca="1">IFERROR(__xludf.DUMMYFUNCTION("""COMPUTED_VALUE"""),0)</f>
        <v>0</v>
      </c>
      <c r="E335" s="23">
        <f ca="1">IFERROR(__xludf.DUMMYFUNCTION("""COMPUTED_VALUE"""),0)</f>
        <v>0</v>
      </c>
      <c r="F335" s="23">
        <f ca="1">IFERROR(__xludf.DUMMYFUNCTION("""COMPUTED_VALUE"""),0)</f>
        <v>0</v>
      </c>
      <c r="G335" s="23">
        <f ca="1">IFERROR(__xludf.DUMMYFUNCTION("""COMPUTED_VALUE"""),0)</f>
        <v>0</v>
      </c>
      <c r="H335" s="23">
        <f ca="1">IFERROR(__xludf.DUMMYFUNCTION("""COMPUTED_VALUE"""),0)</f>
        <v>0</v>
      </c>
      <c r="I335" s="23">
        <f ca="1">IFERROR(__xludf.DUMMYFUNCTION("""COMPUTED_VALUE"""),0)</f>
        <v>0</v>
      </c>
      <c r="J335" s="23">
        <f ca="1">IFERROR(__xludf.DUMMYFUNCTION("""COMPUTED_VALUE"""),0)</f>
        <v>0</v>
      </c>
      <c r="K335" s="23">
        <f ca="1">IFERROR(__xludf.DUMMYFUNCTION("""COMPUTED_VALUE"""),0)</f>
        <v>0</v>
      </c>
      <c r="L335" s="23">
        <f ca="1">IFERROR(__xludf.DUMMYFUNCTION("""COMPUTED_VALUE"""),0)</f>
        <v>0</v>
      </c>
      <c r="M335" s="23">
        <f ca="1">IFERROR(__xludf.DUMMYFUNCTION("""COMPUTED_VALUE"""),0)</f>
        <v>0</v>
      </c>
      <c r="N335" s="23">
        <f ca="1">IFERROR(__xludf.DUMMYFUNCTION("""COMPUTED_VALUE"""),0)</f>
        <v>0</v>
      </c>
      <c r="O335" s="23">
        <f ca="1">IFERROR(__xludf.DUMMYFUNCTION("""COMPUTED_VALUE"""),0)</f>
        <v>0</v>
      </c>
      <c r="P335" s="23">
        <f ca="1">IFERROR(__xludf.DUMMYFUNCTION("""COMPUTED_VALUE"""),0)</f>
        <v>0</v>
      </c>
      <c r="Q335" s="24">
        <f ca="1">IFERROR(__xludf.DUMMYFUNCTION("""COMPUTED_VALUE"""),0)</f>
        <v>0</v>
      </c>
      <c r="R335" s="20"/>
    </row>
    <row r="336" spans="1:18" ht="13.2" hidden="1" outlineLevel="1" x14ac:dyDescent="0.25">
      <c r="A336" s="1"/>
      <c r="B336" s="21" t="str">
        <f ca="1">IFERROR(__xludf.DUMMYFUNCTION("""COMPUTED_VALUE"""),"Energía solar")</f>
        <v>Energía solar</v>
      </c>
      <c r="C336" s="22">
        <f ca="1">IFERROR(__xludf.DUMMYFUNCTION("""COMPUTED_VALUE"""),0)</f>
        <v>0</v>
      </c>
      <c r="D336" s="23">
        <f ca="1">IFERROR(__xludf.DUMMYFUNCTION("""COMPUTED_VALUE"""),0)</f>
        <v>0</v>
      </c>
      <c r="E336" s="23">
        <f ca="1">IFERROR(__xludf.DUMMYFUNCTION("""COMPUTED_VALUE"""),0)</f>
        <v>0</v>
      </c>
      <c r="F336" s="23">
        <f ca="1">IFERROR(__xludf.DUMMYFUNCTION("""COMPUTED_VALUE"""),0)</f>
        <v>0</v>
      </c>
      <c r="G336" s="23">
        <f ca="1">IFERROR(__xludf.DUMMYFUNCTION("""COMPUTED_VALUE"""),0)</f>
        <v>0</v>
      </c>
      <c r="H336" s="23">
        <f ca="1">IFERROR(__xludf.DUMMYFUNCTION("""COMPUTED_VALUE"""),0)</f>
        <v>0</v>
      </c>
      <c r="I336" s="23">
        <f ca="1">IFERROR(__xludf.DUMMYFUNCTION("""COMPUTED_VALUE"""),0)</f>
        <v>0</v>
      </c>
      <c r="J336" s="23">
        <f ca="1">IFERROR(__xludf.DUMMYFUNCTION("""COMPUTED_VALUE"""),0)</f>
        <v>0</v>
      </c>
      <c r="K336" s="23">
        <f ca="1">IFERROR(__xludf.DUMMYFUNCTION("""COMPUTED_VALUE"""),0)</f>
        <v>0</v>
      </c>
      <c r="L336" s="23">
        <f ca="1">IFERROR(__xludf.DUMMYFUNCTION("""COMPUTED_VALUE"""),0)</f>
        <v>0</v>
      </c>
      <c r="M336" s="23">
        <f ca="1">IFERROR(__xludf.DUMMYFUNCTION("""COMPUTED_VALUE"""),0)</f>
        <v>0</v>
      </c>
      <c r="N336" s="23">
        <f ca="1">IFERROR(__xludf.DUMMYFUNCTION("""COMPUTED_VALUE"""),0)</f>
        <v>0</v>
      </c>
      <c r="O336" s="23">
        <f ca="1">IFERROR(__xludf.DUMMYFUNCTION("""COMPUTED_VALUE"""),0)</f>
        <v>0</v>
      </c>
      <c r="P336" s="23">
        <f ca="1">IFERROR(__xludf.DUMMYFUNCTION("""COMPUTED_VALUE"""),0)</f>
        <v>0</v>
      </c>
      <c r="Q336" s="24">
        <f ca="1">IFERROR(__xludf.DUMMYFUNCTION("""COMPUTED_VALUE"""),0)</f>
        <v>0</v>
      </c>
      <c r="R336" s="20"/>
    </row>
    <row r="337" spans="1:18" ht="13.2" hidden="1" outlineLevel="1" x14ac:dyDescent="0.25">
      <c r="A337" s="1"/>
      <c r="B337" s="21" t="str">
        <f ca="1">IFERROR(__xludf.DUMMYFUNCTION("""COMPUTED_VALUE"""),"Energía eólica")</f>
        <v>Energía eólica</v>
      </c>
      <c r="C337" s="22">
        <f ca="1">IFERROR(__xludf.DUMMYFUNCTION("""COMPUTED_VALUE"""),0)</f>
        <v>0</v>
      </c>
      <c r="D337" s="23">
        <f ca="1">IFERROR(__xludf.DUMMYFUNCTION("""COMPUTED_VALUE"""),0)</f>
        <v>0</v>
      </c>
      <c r="E337" s="23">
        <f ca="1">IFERROR(__xludf.DUMMYFUNCTION("""COMPUTED_VALUE"""),0)</f>
        <v>0</v>
      </c>
      <c r="F337" s="23">
        <f ca="1">IFERROR(__xludf.DUMMYFUNCTION("""COMPUTED_VALUE"""),0)</f>
        <v>0</v>
      </c>
      <c r="G337" s="23">
        <f ca="1">IFERROR(__xludf.DUMMYFUNCTION("""COMPUTED_VALUE"""),0)</f>
        <v>0</v>
      </c>
      <c r="H337" s="23">
        <f ca="1">IFERROR(__xludf.DUMMYFUNCTION("""COMPUTED_VALUE"""),0)</f>
        <v>0</v>
      </c>
      <c r="I337" s="23">
        <f ca="1">IFERROR(__xludf.DUMMYFUNCTION("""COMPUTED_VALUE"""),0)</f>
        <v>0</v>
      </c>
      <c r="J337" s="23">
        <f ca="1">IFERROR(__xludf.DUMMYFUNCTION("""COMPUTED_VALUE"""),0)</f>
        <v>0</v>
      </c>
      <c r="K337" s="23">
        <f ca="1">IFERROR(__xludf.DUMMYFUNCTION("""COMPUTED_VALUE"""),0)</f>
        <v>0</v>
      </c>
      <c r="L337" s="23">
        <f ca="1">IFERROR(__xludf.DUMMYFUNCTION("""COMPUTED_VALUE"""),0)</f>
        <v>0</v>
      </c>
      <c r="M337" s="23">
        <f ca="1">IFERROR(__xludf.DUMMYFUNCTION("""COMPUTED_VALUE"""),0)</f>
        <v>0</v>
      </c>
      <c r="N337" s="23">
        <f ca="1">IFERROR(__xludf.DUMMYFUNCTION("""COMPUTED_VALUE"""),0)</f>
        <v>0</v>
      </c>
      <c r="O337" s="23">
        <f ca="1">IFERROR(__xludf.DUMMYFUNCTION("""COMPUTED_VALUE"""),0)</f>
        <v>0</v>
      </c>
      <c r="P337" s="23">
        <f ca="1">IFERROR(__xludf.DUMMYFUNCTION("""COMPUTED_VALUE"""),0)</f>
        <v>0</v>
      </c>
      <c r="Q337" s="24">
        <f ca="1">IFERROR(__xludf.DUMMYFUNCTION("""COMPUTED_VALUE"""),0)</f>
        <v>0</v>
      </c>
      <c r="R337" s="20"/>
    </row>
    <row r="338" spans="1:18" ht="13.2" hidden="1" outlineLevel="1" x14ac:dyDescent="0.25">
      <c r="A338" s="1"/>
      <c r="B338" s="21" t="str">
        <f ca="1">IFERROR(__xludf.DUMMYFUNCTION("""COMPUTED_VALUE"""),"Bagazo de caña")</f>
        <v>Bagazo de caña</v>
      </c>
      <c r="C338" s="22">
        <f ca="1">IFERROR(__xludf.DUMMYFUNCTION("""COMPUTED_VALUE"""),-41.0569908907979)</f>
        <v>-41.056990890797898</v>
      </c>
      <c r="D338" s="23">
        <f ca="1">IFERROR(__xludf.DUMMYFUNCTION("""COMPUTED_VALUE"""),-40.3190569254915)</f>
        <v>-40.319056925491502</v>
      </c>
      <c r="E338" s="23">
        <f ca="1">IFERROR(__xludf.DUMMYFUNCTION("""COMPUTED_VALUE"""),-44.9666576693528)</f>
        <v>-44.966657669352799</v>
      </c>
      <c r="F338" s="23">
        <f ca="1">IFERROR(__xludf.DUMMYFUNCTION("""COMPUTED_VALUE"""),-57.0759678304976)</f>
        <v>-57.075967830497603</v>
      </c>
      <c r="G338" s="23">
        <f ca="1">IFERROR(__xludf.DUMMYFUNCTION("""COMPUTED_VALUE"""),-53.7544298864933)</f>
        <v>-53.754429886493298</v>
      </c>
      <c r="H338" s="23">
        <f ca="1">IFERROR(__xludf.DUMMYFUNCTION("""COMPUTED_VALUE"""),-52.057329703171)</f>
        <v>-52.057329703171</v>
      </c>
      <c r="I338" s="23">
        <f ca="1">IFERROR(__xludf.DUMMYFUNCTION("""COMPUTED_VALUE"""),-56.6948214061361)</f>
        <v>-56.6948214061361</v>
      </c>
      <c r="J338" s="23">
        <f ca="1">IFERROR(__xludf.DUMMYFUNCTION("""COMPUTED_VALUE"""),-55.8794252690403)</f>
        <v>-55.879425269040297</v>
      </c>
      <c r="K338" s="23">
        <f ca="1">IFERROR(__xludf.DUMMYFUNCTION("""COMPUTED_VALUE"""),-55.8614858480174)</f>
        <v>-55.861485848017402</v>
      </c>
      <c r="L338" s="23">
        <f ca="1">IFERROR(__xludf.DUMMYFUNCTION("""COMPUTED_VALUE"""),-59.8057499205472)</f>
        <v>-59.8057499205472</v>
      </c>
      <c r="M338" s="23">
        <f ca="1">IFERROR(__xludf.DUMMYFUNCTION("""COMPUTED_VALUE"""),-54.631363833357)</f>
        <v>-54.631363833357</v>
      </c>
      <c r="N338" s="23">
        <f ca="1">IFERROR(__xludf.DUMMYFUNCTION("""COMPUTED_VALUE"""),-56.3357361617034)</f>
        <v>-56.335736161703402</v>
      </c>
      <c r="O338" s="23">
        <f ca="1">IFERROR(__xludf.DUMMYFUNCTION("""COMPUTED_VALUE"""),-55.3665924360064)</f>
        <v>-55.3665924360064</v>
      </c>
      <c r="P338" s="23">
        <f ca="1">IFERROR(__xludf.DUMMYFUNCTION("""COMPUTED_VALUE"""),-51.9209637909368)</f>
        <v>-51.920963790936803</v>
      </c>
      <c r="Q338" s="24">
        <f ca="1">IFERROR(__xludf.DUMMYFUNCTION("""COMPUTED_VALUE"""),-56.6687374460707)</f>
        <v>-56.668737446070701</v>
      </c>
      <c r="R338" s="20"/>
    </row>
    <row r="339" spans="1:18" ht="13.2" hidden="1" outlineLevel="1" x14ac:dyDescent="0.25">
      <c r="A339" s="1"/>
      <c r="B339" s="21" t="str">
        <f ca="1">IFERROR(__xludf.DUMMYFUNCTION("""COMPUTED_VALUE"""),"Leña")</f>
        <v>Leña</v>
      </c>
      <c r="C339" s="22">
        <f ca="1">IFERROR(__xludf.DUMMYFUNCTION("""COMPUTED_VALUE"""),0)</f>
        <v>0</v>
      </c>
      <c r="D339" s="23">
        <f ca="1">IFERROR(__xludf.DUMMYFUNCTION("""COMPUTED_VALUE"""),0)</f>
        <v>0</v>
      </c>
      <c r="E339" s="23">
        <f ca="1">IFERROR(__xludf.DUMMYFUNCTION("""COMPUTED_VALUE"""),0)</f>
        <v>0</v>
      </c>
      <c r="F339" s="23">
        <f ca="1">IFERROR(__xludf.DUMMYFUNCTION("""COMPUTED_VALUE"""),0)</f>
        <v>0</v>
      </c>
      <c r="G339" s="23">
        <f ca="1">IFERROR(__xludf.DUMMYFUNCTION("""COMPUTED_VALUE"""),0)</f>
        <v>0</v>
      </c>
      <c r="H339" s="23">
        <f ca="1">IFERROR(__xludf.DUMMYFUNCTION("""COMPUTED_VALUE"""),0)</f>
        <v>0</v>
      </c>
      <c r="I339" s="23">
        <f ca="1">IFERROR(__xludf.DUMMYFUNCTION("""COMPUTED_VALUE"""),0)</f>
        <v>0</v>
      </c>
      <c r="J339" s="23">
        <f ca="1">IFERROR(__xludf.DUMMYFUNCTION("""COMPUTED_VALUE"""),0)</f>
        <v>0</v>
      </c>
      <c r="K339" s="23">
        <f ca="1">IFERROR(__xludf.DUMMYFUNCTION("""COMPUTED_VALUE"""),0)</f>
        <v>0</v>
      </c>
      <c r="L339" s="23">
        <f ca="1">IFERROR(__xludf.DUMMYFUNCTION("""COMPUTED_VALUE"""),0)</f>
        <v>0</v>
      </c>
      <c r="M339" s="23">
        <f ca="1">IFERROR(__xludf.DUMMYFUNCTION("""COMPUTED_VALUE"""),0)</f>
        <v>0</v>
      </c>
      <c r="N339" s="23">
        <f ca="1">IFERROR(__xludf.DUMMYFUNCTION("""COMPUTED_VALUE"""),0)</f>
        <v>0</v>
      </c>
      <c r="O339" s="23">
        <f ca="1">IFERROR(__xludf.DUMMYFUNCTION("""COMPUTED_VALUE"""),0)</f>
        <v>0</v>
      </c>
      <c r="P339" s="23">
        <f ca="1">IFERROR(__xludf.DUMMYFUNCTION("""COMPUTED_VALUE"""),0)</f>
        <v>0</v>
      </c>
      <c r="Q339" s="24">
        <f ca="1">IFERROR(__xludf.DUMMYFUNCTION("""COMPUTED_VALUE"""),0)</f>
        <v>0</v>
      </c>
      <c r="R339" s="20"/>
    </row>
    <row r="340" spans="1:18" ht="13.2" hidden="1" outlineLevel="1" x14ac:dyDescent="0.25">
      <c r="A340" s="1"/>
      <c r="B340" s="21" t="str">
        <f ca="1">IFERROR(__xludf.DUMMYFUNCTION("""COMPUTED_VALUE"""),"Biogás")</f>
        <v>Biogás</v>
      </c>
      <c r="C340" s="22">
        <f ca="1">IFERROR(__xludf.DUMMYFUNCTION("""COMPUTED_VALUE"""),-0.101596299999999)</f>
        <v>-0.101596299999999</v>
      </c>
      <c r="D340" s="23">
        <f ca="1">IFERROR(__xludf.DUMMYFUNCTION("""COMPUTED_VALUE"""),-0.211240469999999)</f>
        <v>-0.21124046999999899</v>
      </c>
      <c r="E340" s="23">
        <f ca="1">IFERROR(__xludf.DUMMYFUNCTION("""COMPUTED_VALUE"""),-0.12251512)</f>
        <v>-0.12251512000000001</v>
      </c>
      <c r="F340" s="23">
        <f ca="1">IFERROR(__xludf.DUMMYFUNCTION("""COMPUTED_VALUE"""),-0.259519919999999)</f>
        <v>-0.25951991999999902</v>
      </c>
      <c r="G340" s="23">
        <f ca="1">IFERROR(__xludf.DUMMYFUNCTION("""COMPUTED_VALUE"""),-0.239196179999999)</f>
        <v>-0.23919617999999901</v>
      </c>
      <c r="H340" s="23">
        <f ca="1">IFERROR(__xludf.DUMMYFUNCTION("""COMPUTED_VALUE"""),-0.162820899999999)</f>
        <v>-0.16282089999999899</v>
      </c>
      <c r="I340" s="23">
        <f ca="1">IFERROR(__xludf.DUMMYFUNCTION("""COMPUTED_VALUE"""),-0.23901167)</f>
        <v>-0.23901167000000001</v>
      </c>
      <c r="J340" s="23">
        <f ca="1">IFERROR(__xludf.DUMMYFUNCTION("""COMPUTED_VALUE"""),-0.26159868)</f>
        <v>-0.26159867999999997</v>
      </c>
      <c r="K340" s="23">
        <f ca="1">IFERROR(__xludf.DUMMYFUNCTION("""COMPUTED_VALUE"""),-0.15047456)</f>
        <v>-0.15047456000000001</v>
      </c>
      <c r="L340" s="23">
        <f ca="1">IFERROR(__xludf.DUMMYFUNCTION("""COMPUTED_VALUE"""),-0.277384799999999)</f>
        <v>-0.27738479999999899</v>
      </c>
      <c r="M340" s="23">
        <f ca="1">IFERROR(__xludf.DUMMYFUNCTION("""COMPUTED_VALUE"""),-0.25443198)</f>
        <v>-0.25443198</v>
      </c>
      <c r="N340" s="23">
        <f ca="1">IFERROR(__xludf.DUMMYFUNCTION("""COMPUTED_VALUE"""),-0.23004919)</f>
        <v>-0.23004918999999999</v>
      </c>
      <c r="O340" s="23">
        <f ca="1">IFERROR(__xludf.DUMMYFUNCTION("""COMPUTED_VALUE"""),-0.39092163)</f>
        <v>-0.39092163000000002</v>
      </c>
      <c r="P340" s="23">
        <f ca="1">IFERROR(__xludf.DUMMYFUNCTION("""COMPUTED_VALUE"""),-0.287287529999999)</f>
        <v>-0.28728752999999901</v>
      </c>
      <c r="Q340" s="24">
        <f ca="1">IFERROR(__xludf.DUMMYFUNCTION("""COMPUTED_VALUE"""),-0.41515175)</f>
        <v>-0.41515174999999999</v>
      </c>
      <c r="R340" s="20"/>
    </row>
    <row r="341" spans="1:18" ht="13.2" hidden="1" outlineLevel="1" x14ac:dyDescent="0.25">
      <c r="A341" s="1"/>
      <c r="B341" s="21" t="str">
        <f ca="1">IFERROR(__xludf.DUMMYFUNCTION("""COMPUTED_VALUE"""),"Coque de carbón")</f>
        <v>Coque de carbón</v>
      </c>
      <c r="C341" s="22">
        <f ca="1">IFERROR(__xludf.DUMMYFUNCTION("""COMPUTED_VALUE"""),0)</f>
        <v>0</v>
      </c>
      <c r="D341" s="23">
        <f ca="1">IFERROR(__xludf.DUMMYFUNCTION("""COMPUTED_VALUE"""),0)</f>
        <v>0</v>
      </c>
      <c r="E341" s="23">
        <f ca="1">IFERROR(__xludf.DUMMYFUNCTION("""COMPUTED_VALUE"""),0)</f>
        <v>0</v>
      </c>
      <c r="F341" s="23">
        <f ca="1">IFERROR(__xludf.DUMMYFUNCTION("""COMPUTED_VALUE"""),0)</f>
        <v>0</v>
      </c>
      <c r="G341" s="23">
        <f ca="1">IFERROR(__xludf.DUMMYFUNCTION("""COMPUTED_VALUE"""),0)</f>
        <v>0</v>
      </c>
      <c r="H341" s="23">
        <f ca="1">IFERROR(__xludf.DUMMYFUNCTION("""COMPUTED_VALUE"""),0)</f>
        <v>0</v>
      </c>
      <c r="I341" s="23">
        <f ca="1">IFERROR(__xludf.DUMMYFUNCTION("""COMPUTED_VALUE"""),0)</f>
        <v>0</v>
      </c>
      <c r="J341" s="23">
        <f ca="1">IFERROR(__xludf.DUMMYFUNCTION("""COMPUTED_VALUE"""),0)</f>
        <v>0</v>
      </c>
      <c r="K341" s="23">
        <f ca="1">IFERROR(__xludf.DUMMYFUNCTION("""COMPUTED_VALUE"""),0)</f>
        <v>0</v>
      </c>
      <c r="L341" s="23">
        <f ca="1">IFERROR(__xludf.DUMMYFUNCTION("""COMPUTED_VALUE"""),0)</f>
        <v>0</v>
      </c>
      <c r="M341" s="23">
        <f ca="1">IFERROR(__xludf.DUMMYFUNCTION("""COMPUTED_VALUE"""),0)</f>
        <v>0</v>
      </c>
      <c r="N341" s="23">
        <f ca="1">IFERROR(__xludf.DUMMYFUNCTION("""COMPUTED_VALUE"""),0)</f>
        <v>0</v>
      </c>
      <c r="O341" s="23">
        <f ca="1">IFERROR(__xludf.DUMMYFUNCTION("""COMPUTED_VALUE"""),0)</f>
        <v>0</v>
      </c>
      <c r="P341" s="23">
        <f ca="1">IFERROR(__xludf.DUMMYFUNCTION("""COMPUTED_VALUE"""),0)</f>
        <v>0</v>
      </c>
      <c r="Q341" s="24">
        <f ca="1">IFERROR(__xludf.DUMMYFUNCTION("""COMPUTED_VALUE"""),0)</f>
        <v>0</v>
      </c>
      <c r="R341" s="20"/>
    </row>
    <row r="342" spans="1:18" ht="13.2" hidden="1" outlineLevel="1" x14ac:dyDescent="0.25">
      <c r="A342" s="1"/>
      <c r="B342" s="21" t="str">
        <f ca="1">IFERROR(__xludf.DUMMYFUNCTION("""COMPUTED_VALUE"""),"Coque de petróleo")</f>
        <v>Coque de petróleo</v>
      </c>
      <c r="C342" s="22">
        <f ca="1">IFERROR(__xludf.DUMMYFUNCTION("""COMPUTED_VALUE"""),-38.2874168399168)</f>
        <v>-38.287416839916801</v>
      </c>
      <c r="D342" s="23">
        <f ca="1">IFERROR(__xludf.DUMMYFUNCTION("""COMPUTED_VALUE"""),-68.6899441633222)</f>
        <v>-68.689944163322195</v>
      </c>
      <c r="E342" s="23">
        <f ca="1">IFERROR(__xludf.DUMMYFUNCTION("""COMPUTED_VALUE"""),-60.1032863748013)</f>
        <v>-60.1032863748013</v>
      </c>
      <c r="F342" s="23">
        <f ca="1">IFERROR(__xludf.DUMMYFUNCTION("""COMPUTED_VALUE"""),-46.342595233245)</f>
        <v>-46.342595233245</v>
      </c>
      <c r="G342" s="23">
        <f ca="1">IFERROR(__xludf.DUMMYFUNCTION("""COMPUTED_VALUE"""),-19.0446777980693)</f>
        <v>-19.044677798069301</v>
      </c>
      <c r="H342" s="23">
        <f ca="1">IFERROR(__xludf.DUMMYFUNCTION("""COMPUTED_VALUE"""),-18.5410194492357)</f>
        <v>-18.541019449235701</v>
      </c>
      <c r="I342" s="23">
        <f ca="1">IFERROR(__xludf.DUMMYFUNCTION("""COMPUTED_VALUE"""),-6.2687979552937)</f>
        <v>-6.2687979552937003</v>
      </c>
      <c r="J342" s="23">
        <f ca="1">IFERROR(__xludf.DUMMYFUNCTION("""COMPUTED_VALUE"""),-14.0186133687178)</f>
        <v>-14.0186133687178</v>
      </c>
      <c r="K342" s="23">
        <f ca="1">IFERROR(__xludf.DUMMYFUNCTION("""COMPUTED_VALUE"""),-18.843733451015)</f>
        <v>-18.843733451015002</v>
      </c>
      <c r="L342" s="23">
        <f ca="1">IFERROR(__xludf.DUMMYFUNCTION("""COMPUTED_VALUE"""),-32.6164408909194)</f>
        <v>-32.616440890919399</v>
      </c>
      <c r="M342" s="23">
        <f ca="1">IFERROR(__xludf.DUMMYFUNCTION("""COMPUTED_VALUE"""),-35.0952368213047)</f>
        <v>-35.095236821304702</v>
      </c>
      <c r="N342" s="23">
        <f ca="1">IFERROR(__xludf.DUMMYFUNCTION("""COMPUTED_VALUE"""),-43.2578698664027)</f>
        <v>-43.2578698664027</v>
      </c>
      <c r="O342" s="23">
        <f ca="1">IFERROR(__xludf.DUMMYFUNCTION("""COMPUTED_VALUE"""),-44.4608797765488)</f>
        <v>-44.460879776548801</v>
      </c>
      <c r="P342" s="23">
        <f ca="1">IFERROR(__xludf.DUMMYFUNCTION("""COMPUTED_VALUE"""),-41.8793745418286)</f>
        <v>-41.879374541828597</v>
      </c>
      <c r="Q342" s="24">
        <f ca="1">IFERROR(__xludf.DUMMYFUNCTION("""COMPUTED_VALUE"""),-24.9063708395548)</f>
        <v>-24.9063708395548</v>
      </c>
      <c r="R342" s="20"/>
    </row>
    <row r="343" spans="1:18" ht="13.2" hidden="1" outlineLevel="1" x14ac:dyDescent="0.25">
      <c r="A343" s="1"/>
      <c r="B343" s="21" t="str">
        <f ca="1">IFERROR(__xludf.DUMMYFUNCTION("""COMPUTED_VALUE"""),"Gas licuado de petróleo")</f>
        <v>Gas licuado de petróleo</v>
      </c>
      <c r="C343" s="22">
        <f ca="1">IFERROR(__xludf.DUMMYFUNCTION("""COMPUTED_VALUE"""),0)</f>
        <v>0</v>
      </c>
      <c r="D343" s="23">
        <f ca="1">IFERROR(__xludf.DUMMYFUNCTION("""COMPUTED_VALUE"""),0)</f>
        <v>0</v>
      </c>
      <c r="E343" s="23">
        <f ca="1">IFERROR(__xludf.DUMMYFUNCTION("""COMPUTED_VALUE"""),0)</f>
        <v>0</v>
      </c>
      <c r="F343" s="23">
        <f ca="1">IFERROR(__xludf.DUMMYFUNCTION("""COMPUTED_VALUE"""),0)</f>
        <v>0</v>
      </c>
      <c r="G343" s="23">
        <f ca="1">IFERROR(__xludf.DUMMYFUNCTION("""COMPUTED_VALUE"""),0)</f>
        <v>0</v>
      </c>
      <c r="H343" s="23">
        <f ca="1">IFERROR(__xludf.DUMMYFUNCTION("""COMPUTED_VALUE"""),0)</f>
        <v>0</v>
      </c>
      <c r="I343" s="23">
        <f ca="1">IFERROR(__xludf.DUMMYFUNCTION("""COMPUTED_VALUE"""),0)</f>
        <v>0</v>
      </c>
      <c r="J343" s="23">
        <f ca="1">IFERROR(__xludf.DUMMYFUNCTION("""COMPUTED_VALUE"""),0)</f>
        <v>0</v>
      </c>
      <c r="K343" s="23">
        <f ca="1">IFERROR(__xludf.DUMMYFUNCTION("""COMPUTED_VALUE"""),0)</f>
        <v>0</v>
      </c>
      <c r="L343" s="23">
        <f ca="1">IFERROR(__xludf.DUMMYFUNCTION("""COMPUTED_VALUE"""),0)</f>
        <v>0</v>
      </c>
      <c r="M343" s="23">
        <f ca="1">IFERROR(__xludf.DUMMYFUNCTION("""COMPUTED_VALUE"""),0)</f>
        <v>0</v>
      </c>
      <c r="N343" s="23">
        <f ca="1">IFERROR(__xludf.DUMMYFUNCTION("""COMPUTED_VALUE"""),0)</f>
        <v>0</v>
      </c>
      <c r="O343" s="23">
        <f ca="1">IFERROR(__xludf.DUMMYFUNCTION("""COMPUTED_VALUE"""),0)</f>
        <v>0</v>
      </c>
      <c r="P343" s="23">
        <f ca="1">IFERROR(__xludf.DUMMYFUNCTION("""COMPUTED_VALUE"""),0)</f>
        <v>0</v>
      </c>
      <c r="Q343" s="24">
        <f ca="1">IFERROR(__xludf.DUMMYFUNCTION("""COMPUTED_VALUE"""),0)</f>
        <v>0</v>
      </c>
      <c r="R343" s="20"/>
    </row>
    <row r="344" spans="1:18" ht="13.2" hidden="1" outlineLevel="1" x14ac:dyDescent="0.25">
      <c r="A344" s="1"/>
      <c r="B344" s="21" t="str">
        <f ca="1">IFERROR(__xludf.DUMMYFUNCTION("""COMPUTED_VALUE"""),"Gasolinas y naftas")</f>
        <v>Gasolinas y naftas</v>
      </c>
      <c r="C344" s="22">
        <f ca="1">IFERROR(__xludf.DUMMYFUNCTION("""COMPUTED_VALUE"""),0)</f>
        <v>0</v>
      </c>
      <c r="D344" s="23">
        <f ca="1">IFERROR(__xludf.DUMMYFUNCTION("""COMPUTED_VALUE"""),0)</f>
        <v>0</v>
      </c>
      <c r="E344" s="23">
        <f ca="1">IFERROR(__xludf.DUMMYFUNCTION("""COMPUTED_VALUE"""),0)</f>
        <v>0</v>
      </c>
      <c r="F344" s="23">
        <f ca="1">IFERROR(__xludf.DUMMYFUNCTION("""COMPUTED_VALUE"""),0)</f>
        <v>0</v>
      </c>
      <c r="G344" s="23">
        <f ca="1">IFERROR(__xludf.DUMMYFUNCTION("""COMPUTED_VALUE"""),0)</f>
        <v>0</v>
      </c>
      <c r="H344" s="23">
        <f ca="1">IFERROR(__xludf.DUMMYFUNCTION("""COMPUTED_VALUE"""),0)</f>
        <v>0</v>
      </c>
      <c r="I344" s="23">
        <f ca="1">IFERROR(__xludf.DUMMYFUNCTION("""COMPUTED_VALUE"""),0)</f>
        <v>0</v>
      </c>
      <c r="J344" s="23">
        <f ca="1">IFERROR(__xludf.DUMMYFUNCTION("""COMPUTED_VALUE"""),0)</f>
        <v>0</v>
      </c>
      <c r="K344" s="23">
        <f ca="1">IFERROR(__xludf.DUMMYFUNCTION("""COMPUTED_VALUE"""),0)</f>
        <v>0</v>
      </c>
      <c r="L344" s="23">
        <f ca="1">IFERROR(__xludf.DUMMYFUNCTION("""COMPUTED_VALUE"""),0)</f>
        <v>0</v>
      </c>
      <c r="M344" s="23">
        <f ca="1">IFERROR(__xludf.DUMMYFUNCTION("""COMPUTED_VALUE"""),0)</f>
        <v>0</v>
      </c>
      <c r="N344" s="23">
        <f ca="1">IFERROR(__xludf.DUMMYFUNCTION("""COMPUTED_VALUE"""),0)</f>
        <v>0</v>
      </c>
      <c r="O344" s="23">
        <f ca="1">IFERROR(__xludf.DUMMYFUNCTION("""COMPUTED_VALUE"""),0)</f>
        <v>0</v>
      </c>
      <c r="P344" s="23">
        <f ca="1">IFERROR(__xludf.DUMMYFUNCTION("""COMPUTED_VALUE"""),0)</f>
        <v>0</v>
      </c>
      <c r="Q344" s="24">
        <f ca="1">IFERROR(__xludf.DUMMYFUNCTION("""COMPUTED_VALUE"""),0)</f>
        <v>0</v>
      </c>
      <c r="R344" s="20"/>
    </row>
    <row r="345" spans="1:18" ht="13.2" hidden="1" outlineLevel="1" x14ac:dyDescent="0.25">
      <c r="A345" s="1"/>
      <c r="B345" s="21" t="str">
        <f ca="1">IFERROR(__xludf.DUMMYFUNCTION("""COMPUTED_VALUE"""),"Querosenos")</f>
        <v>Querosenos</v>
      </c>
      <c r="C345" s="22">
        <f ca="1">IFERROR(__xludf.DUMMYFUNCTION("""COMPUTED_VALUE"""),0)</f>
        <v>0</v>
      </c>
      <c r="D345" s="23">
        <f ca="1">IFERROR(__xludf.DUMMYFUNCTION("""COMPUTED_VALUE"""),0)</f>
        <v>0</v>
      </c>
      <c r="E345" s="23">
        <f ca="1">IFERROR(__xludf.DUMMYFUNCTION("""COMPUTED_VALUE"""),0)</f>
        <v>0</v>
      </c>
      <c r="F345" s="23">
        <f ca="1">IFERROR(__xludf.DUMMYFUNCTION("""COMPUTED_VALUE"""),0)</f>
        <v>0</v>
      </c>
      <c r="G345" s="23">
        <f ca="1">IFERROR(__xludf.DUMMYFUNCTION("""COMPUTED_VALUE"""),0)</f>
        <v>0</v>
      </c>
      <c r="H345" s="23">
        <f ca="1">IFERROR(__xludf.DUMMYFUNCTION("""COMPUTED_VALUE"""),0)</f>
        <v>0</v>
      </c>
      <c r="I345" s="23">
        <f ca="1">IFERROR(__xludf.DUMMYFUNCTION("""COMPUTED_VALUE"""),0)</f>
        <v>0</v>
      </c>
      <c r="J345" s="23">
        <f ca="1">IFERROR(__xludf.DUMMYFUNCTION("""COMPUTED_VALUE"""),0)</f>
        <v>0</v>
      </c>
      <c r="K345" s="23">
        <f ca="1">IFERROR(__xludf.DUMMYFUNCTION("""COMPUTED_VALUE"""),0)</f>
        <v>0</v>
      </c>
      <c r="L345" s="23">
        <f ca="1">IFERROR(__xludf.DUMMYFUNCTION("""COMPUTED_VALUE"""),0)</f>
        <v>0</v>
      </c>
      <c r="M345" s="23">
        <f ca="1">IFERROR(__xludf.DUMMYFUNCTION("""COMPUTED_VALUE"""),0)</f>
        <v>0</v>
      </c>
      <c r="N345" s="23">
        <f ca="1">IFERROR(__xludf.DUMMYFUNCTION("""COMPUTED_VALUE"""),0)</f>
        <v>0</v>
      </c>
      <c r="O345" s="23">
        <f ca="1">IFERROR(__xludf.DUMMYFUNCTION("""COMPUTED_VALUE"""),0)</f>
        <v>0</v>
      </c>
      <c r="P345" s="23">
        <f ca="1">IFERROR(__xludf.DUMMYFUNCTION("""COMPUTED_VALUE"""),0)</f>
        <v>0</v>
      </c>
      <c r="Q345" s="24">
        <f ca="1">IFERROR(__xludf.DUMMYFUNCTION("""COMPUTED_VALUE"""),0)</f>
        <v>0</v>
      </c>
      <c r="R345" s="20"/>
    </row>
    <row r="346" spans="1:18" ht="13.2" hidden="1" outlineLevel="1" x14ac:dyDescent="0.25">
      <c r="A346" s="1"/>
      <c r="B346" s="21" t="str">
        <f ca="1">IFERROR(__xludf.DUMMYFUNCTION("""COMPUTED_VALUE"""),"Diesel")</f>
        <v>Diesel</v>
      </c>
      <c r="C346" s="22">
        <f ca="1">IFERROR(__xludf.DUMMYFUNCTION("""COMPUTED_VALUE"""),0)</f>
        <v>0</v>
      </c>
      <c r="D346" s="23">
        <f ca="1">IFERROR(__xludf.DUMMYFUNCTION("""COMPUTED_VALUE"""),0)</f>
        <v>0</v>
      </c>
      <c r="E346" s="23">
        <f ca="1">IFERROR(__xludf.DUMMYFUNCTION("""COMPUTED_VALUE"""),0)</f>
        <v>0</v>
      </c>
      <c r="F346" s="23">
        <f ca="1">IFERROR(__xludf.DUMMYFUNCTION("""COMPUTED_VALUE"""),0)</f>
        <v>0</v>
      </c>
      <c r="G346" s="23">
        <f ca="1">IFERROR(__xludf.DUMMYFUNCTION("""COMPUTED_VALUE"""),0)</f>
        <v>0</v>
      </c>
      <c r="H346" s="23">
        <f ca="1">IFERROR(__xludf.DUMMYFUNCTION("""COMPUTED_VALUE"""),0)</f>
        <v>0</v>
      </c>
      <c r="I346" s="23">
        <f ca="1">IFERROR(__xludf.DUMMYFUNCTION("""COMPUTED_VALUE"""),0)</f>
        <v>0</v>
      </c>
      <c r="J346" s="23">
        <f ca="1">IFERROR(__xludf.DUMMYFUNCTION("""COMPUTED_VALUE"""),0)</f>
        <v>0</v>
      </c>
      <c r="K346" s="23">
        <f ca="1">IFERROR(__xludf.DUMMYFUNCTION("""COMPUTED_VALUE"""),0)</f>
        <v>0</v>
      </c>
      <c r="L346" s="23">
        <f ca="1">IFERROR(__xludf.DUMMYFUNCTION("""COMPUTED_VALUE"""),0)</f>
        <v>0</v>
      </c>
      <c r="M346" s="23">
        <f ca="1">IFERROR(__xludf.DUMMYFUNCTION("""COMPUTED_VALUE"""),0)</f>
        <v>0</v>
      </c>
      <c r="N346" s="23">
        <f ca="1">IFERROR(__xludf.DUMMYFUNCTION("""COMPUTED_VALUE"""),0)</f>
        <v>0</v>
      </c>
      <c r="O346" s="23">
        <f ca="1">IFERROR(__xludf.DUMMYFUNCTION("""COMPUTED_VALUE"""),0)</f>
        <v>0</v>
      </c>
      <c r="P346" s="23">
        <f ca="1">IFERROR(__xludf.DUMMYFUNCTION("""COMPUTED_VALUE"""),0)</f>
        <v>0</v>
      </c>
      <c r="Q346" s="24">
        <f ca="1">IFERROR(__xludf.DUMMYFUNCTION("""COMPUTED_VALUE"""),0)</f>
        <v>0</v>
      </c>
      <c r="R346" s="20"/>
    </row>
    <row r="347" spans="1:18" ht="13.2" hidden="1" outlineLevel="1" x14ac:dyDescent="0.25">
      <c r="A347" s="1"/>
      <c r="B347" s="21" t="str">
        <f ca="1">IFERROR(__xludf.DUMMYFUNCTION("""COMPUTED_VALUE"""),"Combustóleo")</f>
        <v>Combustóleo</v>
      </c>
      <c r="C347" s="22">
        <f ca="1">IFERROR(__xludf.DUMMYFUNCTION("""COMPUTED_VALUE"""),-197.77)</f>
        <v>-197.77</v>
      </c>
      <c r="D347" s="23">
        <f ca="1">IFERROR(__xludf.DUMMYFUNCTION("""COMPUTED_VALUE"""),-212.2)</f>
        <v>-212.2</v>
      </c>
      <c r="E347" s="23">
        <f ca="1">IFERROR(__xludf.DUMMYFUNCTION("""COMPUTED_VALUE"""),-281.95)</f>
        <v>-281.95</v>
      </c>
      <c r="F347" s="23">
        <f ca="1">IFERROR(__xludf.DUMMYFUNCTION("""COMPUTED_VALUE"""),-293.47)</f>
        <v>-293.47000000000003</v>
      </c>
      <c r="G347" s="23">
        <f ca="1">IFERROR(__xludf.DUMMYFUNCTION("""COMPUTED_VALUE"""),-246.87)</f>
        <v>-246.87</v>
      </c>
      <c r="H347" s="23">
        <f ca="1">IFERROR(__xludf.DUMMYFUNCTION("""COMPUTED_VALUE"""),-226.52)</f>
        <v>-226.52</v>
      </c>
      <c r="I347" s="23">
        <f ca="1">IFERROR(__xludf.DUMMYFUNCTION("""COMPUTED_VALUE"""),-213.01)</f>
        <v>-213.01</v>
      </c>
      <c r="J347" s="23">
        <f ca="1">IFERROR(__xludf.DUMMYFUNCTION("""COMPUTED_VALUE"""),-262.95)</f>
        <v>-262.95</v>
      </c>
      <c r="K347" s="23">
        <f ca="1">IFERROR(__xludf.DUMMYFUNCTION("""COMPUTED_VALUE"""),-159.3)</f>
        <v>-159.30000000000001</v>
      </c>
      <c r="L347" s="23">
        <f ca="1">IFERROR(__xludf.DUMMYFUNCTION("""COMPUTED_VALUE"""),-231.37)</f>
        <v>-231.37</v>
      </c>
      <c r="M347" s="23">
        <f ca="1">IFERROR(__xludf.DUMMYFUNCTION("""COMPUTED_VALUE"""),-175.55)</f>
        <v>-175.55</v>
      </c>
      <c r="N347" s="23">
        <f ca="1">IFERROR(__xludf.DUMMYFUNCTION("""COMPUTED_VALUE"""),-234.17)</f>
        <v>-234.17</v>
      </c>
      <c r="O347" s="23">
        <f ca="1">IFERROR(__xludf.DUMMYFUNCTION("""COMPUTED_VALUE"""),-114.79)</f>
        <v>-114.79</v>
      </c>
      <c r="P347" s="23">
        <f ca="1">IFERROR(__xludf.DUMMYFUNCTION("""COMPUTED_VALUE"""),-144.58)</f>
        <v>-144.58000000000001</v>
      </c>
      <c r="Q347" s="24">
        <f ca="1">IFERROR(__xludf.DUMMYFUNCTION("""COMPUTED_VALUE"""),-143.65)</f>
        <v>-143.65</v>
      </c>
      <c r="R347" s="20"/>
    </row>
    <row r="348" spans="1:18" ht="13.2" hidden="1" outlineLevel="1" x14ac:dyDescent="0.25">
      <c r="A348" s="1"/>
      <c r="B348" s="21" t="str">
        <f ca="1">IFERROR(__xludf.DUMMYFUNCTION("""COMPUTED_VALUE"""),"Otros energéticos")</f>
        <v>Otros energéticos</v>
      </c>
      <c r="C348" s="22">
        <f ca="1">IFERROR(__xludf.DUMMYFUNCTION("""COMPUTED_VALUE"""),0)</f>
        <v>0</v>
      </c>
      <c r="D348" s="23">
        <f ca="1">IFERROR(__xludf.DUMMYFUNCTION("""COMPUTED_VALUE"""),0)</f>
        <v>0</v>
      </c>
      <c r="E348" s="23">
        <f ca="1">IFERROR(__xludf.DUMMYFUNCTION("""COMPUTED_VALUE"""),0)</f>
        <v>0</v>
      </c>
      <c r="F348" s="23">
        <f ca="1">IFERROR(__xludf.DUMMYFUNCTION("""COMPUTED_VALUE"""),0)</f>
        <v>0</v>
      </c>
      <c r="G348" s="23">
        <f ca="1">IFERROR(__xludf.DUMMYFUNCTION("""COMPUTED_VALUE"""),0)</f>
        <v>0</v>
      </c>
      <c r="H348" s="23">
        <f ca="1">IFERROR(__xludf.DUMMYFUNCTION("""COMPUTED_VALUE"""),0)</f>
        <v>0</v>
      </c>
      <c r="I348" s="23">
        <f ca="1">IFERROR(__xludf.DUMMYFUNCTION("""COMPUTED_VALUE"""),0)</f>
        <v>0</v>
      </c>
      <c r="J348" s="23">
        <f ca="1">IFERROR(__xludf.DUMMYFUNCTION("""COMPUTED_VALUE"""),0)</f>
        <v>0</v>
      </c>
      <c r="K348" s="23">
        <f ca="1">IFERROR(__xludf.DUMMYFUNCTION("""COMPUTED_VALUE"""),0)</f>
        <v>0</v>
      </c>
      <c r="L348" s="23">
        <f ca="1">IFERROR(__xludf.DUMMYFUNCTION("""COMPUTED_VALUE"""),0)</f>
        <v>0</v>
      </c>
      <c r="M348" s="23">
        <f ca="1">IFERROR(__xludf.DUMMYFUNCTION("""COMPUTED_VALUE"""),0)</f>
        <v>0</v>
      </c>
      <c r="N348" s="23">
        <f ca="1">IFERROR(__xludf.DUMMYFUNCTION("""COMPUTED_VALUE"""),0)</f>
        <v>0</v>
      </c>
      <c r="O348" s="23">
        <f ca="1">IFERROR(__xludf.DUMMYFUNCTION("""COMPUTED_VALUE"""),0)</f>
        <v>0</v>
      </c>
      <c r="P348" s="23">
        <f ca="1">IFERROR(__xludf.DUMMYFUNCTION("""COMPUTED_VALUE"""),0)</f>
        <v>0</v>
      </c>
      <c r="Q348" s="24">
        <f ca="1">IFERROR(__xludf.DUMMYFUNCTION("""COMPUTED_VALUE"""),0)</f>
        <v>0</v>
      </c>
      <c r="R348" s="20"/>
    </row>
    <row r="349" spans="1:18" ht="13.2" hidden="1" outlineLevel="1" x14ac:dyDescent="0.25">
      <c r="A349" s="1"/>
      <c r="B349" s="21" t="str">
        <f ca="1">IFERROR(__xludf.DUMMYFUNCTION("""COMPUTED_VALUE"""),"Gas natural seco")</f>
        <v>Gas natural seco</v>
      </c>
      <c r="C349" s="22">
        <f ca="1">IFERROR(__xludf.DUMMYFUNCTION("""COMPUTED_VALUE"""),-174.802029448046)</f>
        <v>-174.802029448046</v>
      </c>
      <c r="D349" s="23">
        <f ca="1">IFERROR(__xludf.DUMMYFUNCTION("""COMPUTED_VALUE"""),-212.164317268297)</f>
        <v>-212.164317268297</v>
      </c>
      <c r="E349" s="23">
        <f ca="1">IFERROR(__xludf.DUMMYFUNCTION("""COMPUTED_VALUE"""),-122.172687292379)</f>
        <v>-122.172687292379</v>
      </c>
      <c r="F349" s="23">
        <f ca="1">IFERROR(__xludf.DUMMYFUNCTION("""COMPUTED_VALUE"""),-107.47041278936)</f>
        <v>-107.47041278936</v>
      </c>
      <c r="G349" s="23">
        <f ca="1">IFERROR(__xludf.DUMMYFUNCTION("""COMPUTED_VALUE"""),-114.45581506354)</f>
        <v>-114.45581506354</v>
      </c>
      <c r="H349" s="23">
        <f ca="1">IFERROR(__xludf.DUMMYFUNCTION("""COMPUTED_VALUE"""),-114.100612536261)</f>
        <v>-114.100612536261</v>
      </c>
      <c r="I349" s="23">
        <f ca="1">IFERROR(__xludf.DUMMYFUNCTION("""COMPUTED_VALUE"""),-263.6534448407)</f>
        <v>-263.65344484069999</v>
      </c>
      <c r="J349" s="23">
        <f ca="1">IFERROR(__xludf.DUMMYFUNCTION("""COMPUTED_VALUE"""),-229.015392239665)</f>
        <v>-229.015392239665</v>
      </c>
      <c r="K349" s="23">
        <f ca="1">IFERROR(__xludf.DUMMYFUNCTION("""COMPUTED_VALUE"""),-333.371115151746)</f>
        <v>-333.37111515174598</v>
      </c>
      <c r="L349" s="23">
        <f ca="1">IFERROR(__xludf.DUMMYFUNCTION("""COMPUTED_VALUE"""),-260.321315655754)</f>
        <v>-260.32131565575401</v>
      </c>
      <c r="M349" s="23">
        <f ca="1">IFERROR(__xludf.DUMMYFUNCTION("""COMPUTED_VALUE"""),-158.23864648952)</f>
        <v>-158.23864648951999</v>
      </c>
      <c r="N349" s="23">
        <f ca="1">IFERROR(__xludf.DUMMYFUNCTION("""COMPUTED_VALUE"""),-4.59333917948645)</f>
        <v>-4.59333917948645</v>
      </c>
      <c r="O349" s="23">
        <f ca="1">IFERROR(__xludf.DUMMYFUNCTION("""COMPUTED_VALUE"""),-91.9393480581937)</f>
        <v>-91.939348058193701</v>
      </c>
      <c r="P349" s="23">
        <f ca="1">IFERROR(__xludf.DUMMYFUNCTION("""COMPUTED_VALUE"""),-252.690653182357)</f>
        <v>-252.69065318235701</v>
      </c>
      <c r="Q349" s="24">
        <f ca="1">IFERROR(__xludf.DUMMYFUNCTION("""COMPUTED_VALUE"""),-154.56735453342)</f>
        <v>-154.56735453342</v>
      </c>
      <c r="R349" s="20"/>
    </row>
    <row r="350" spans="1:18" ht="13.2" hidden="1" outlineLevel="1" x14ac:dyDescent="0.25">
      <c r="A350" s="1"/>
      <c r="B350" s="25" t="str">
        <f ca="1">IFERROR(__xludf.DUMMYFUNCTION("""COMPUTED_VALUE"""),"Energía eléctrica")</f>
        <v>Energía eléctrica</v>
      </c>
      <c r="C350" s="26">
        <f ca="1">IFERROR(__xludf.DUMMYFUNCTION("""COMPUTED_VALUE"""),189.485432963848)</f>
        <v>189.48543296384801</v>
      </c>
      <c r="D350" s="27">
        <f ca="1">IFERROR(__xludf.DUMMYFUNCTION("""COMPUTED_VALUE"""),205.830970768635)</f>
        <v>205.83097076863501</v>
      </c>
      <c r="E350" s="27">
        <f ca="1">IFERROR(__xludf.DUMMYFUNCTION("""COMPUTED_VALUE"""),231.745129570614)</f>
        <v>231.74512957061401</v>
      </c>
      <c r="F350" s="27">
        <f ca="1">IFERROR(__xludf.DUMMYFUNCTION("""COMPUTED_VALUE"""),214.000819988228)</f>
        <v>214.00081998822799</v>
      </c>
      <c r="G350" s="27">
        <f ca="1">IFERROR(__xludf.DUMMYFUNCTION("""COMPUTED_VALUE"""),158.803733429872)</f>
        <v>158.80373342987201</v>
      </c>
      <c r="H350" s="27">
        <f ca="1">IFERROR(__xludf.DUMMYFUNCTION("""COMPUTED_VALUE"""),166.666833525466)</f>
        <v>166.66683352546599</v>
      </c>
      <c r="I350" s="27">
        <f ca="1">IFERROR(__xludf.DUMMYFUNCTION("""COMPUTED_VALUE"""),165.203642120267)</f>
        <v>165.20364212026701</v>
      </c>
      <c r="J350" s="27">
        <f ca="1">IFERROR(__xludf.DUMMYFUNCTION("""COMPUTED_VALUE"""),173.679111226661)</f>
        <v>173.67911122666101</v>
      </c>
      <c r="K350" s="27">
        <f ca="1">IFERROR(__xludf.DUMMYFUNCTION("""COMPUTED_VALUE"""),158.873894225872)</f>
        <v>158.87389422587199</v>
      </c>
      <c r="L350" s="27">
        <f ca="1">IFERROR(__xludf.DUMMYFUNCTION("""COMPUTED_VALUE"""),153.350059586277)</f>
        <v>153.35005958627701</v>
      </c>
      <c r="M350" s="27">
        <f ca="1">IFERROR(__xludf.DUMMYFUNCTION("""COMPUTED_VALUE"""),111.789167927042)</f>
        <v>111.789167927042</v>
      </c>
      <c r="N350" s="27">
        <f ca="1">IFERROR(__xludf.DUMMYFUNCTION("""COMPUTED_VALUE"""),91.9840233909812)</f>
        <v>91.984023390981207</v>
      </c>
      <c r="O350" s="27">
        <f ca="1">IFERROR(__xludf.DUMMYFUNCTION("""COMPUTED_VALUE"""),92.2150222562522)</f>
        <v>92.215022256252198</v>
      </c>
      <c r="P350" s="27">
        <f ca="1">IFERROR(__xludf.DUMMYFUNCTION("""COMPUTED_VALUE"""),125.957903910329)</f>
        <v>125.95790391032899</v>
      </c>
      <c r="Q350" s="28">
        <f ca="1">IFERROR(__xludf.DUMMYFUNCTION("""COMPUTED_VALUE"""),122.589081608301)</f>
        <v>122.589081608301</v>
      </c>
      <c r="R350" s="20"/>
    </row>
    <row r="351" spans="1:18" ht="13.2" hidden="1" outlineLevel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0"/>
    </row>
    <row r="352" spans="1:18" ht="13.2" collapsed="1" x14ac:dyDescent="0.25">
      <c r="A352" s="30"/>
      <c r="B352" s="5" t="str">
        <f ca="1">IFERROR(__xludf.DUMMYFUNCTION("""COMPUTED_VALUE"""),"CE.CI(e,a)")</f>
        <v>CE.CI(e,a)</v>
      </c>
      <c r="C352" s="6" t="str">
        <f ca="1">IFERROR(__xludf.DUMMYFUNCTION("""COMPUTED_VALUE"""),"-/+")</f>
        <v>-/+</v>
      </c>
      <c r="D352" s="7" t="str">
        <f ca="1">IFERROR(__xludf.DUMMYFUNCTION("""COMPUTED_VALUE"""),"Combustión interna por energético e y año a.")</f>
        <v>Combustión interna por energético e y año a.</v>
      </c>
      <c r="E352" s="6" t="str">
        <f ca="1">IFERROR(__xludf.DUMMYFUNCTION("""COMPUTED_VALUE"""),"cbne")</f>
        <v>cbne</v>
      </c>
      <c r="F352" s="6" t="str">
        <f ca="1">IFERROR(__xludf.DUMMYFUNCTION("""COMPUTED_VALUE"""),"a")</f>
        <v>a</v>
      </c>
      <c r="G352" s="8" t="str">
        <f ca="1">IFERROR(__xludf.DUMMYFUNCTION("""COMPUTED_VALUE"""),"PJ")</f>
        <v>PJ</v>
      </c>
      <c r="H352" s="9"/>
      <c r="I352" s="1"/>
      <c r="J352" s="1"/>
      <c r="K352" s="1"/>
      <c r="L352" s="1"/>
      <c r="M352" s="1"/>
      <c r="N352" s="1"/>
      <c r="O352" s="1"/>
      <c r="P352" s="1"/>
      <c r="Q352" s="1"/>
      <c r="R352" s="10"/>
    </row>
    <row r="353" spans="1:18" ht="13.2" hidden="1" outlineLevel="1" x14ac:dyDescent="0.25">
      <c r="A353" s="1"/>
      <c r="B353" s="11"/>
      <c r="C353" s="12">
        <f ca="1">IFERROR(__xludf.DUMMYFUNCTION("""COMPUTED_VALUE"""),2010)</f>
        <v>2010</v>
      </c>
      <c r="D353" s="13">
        <f ca="1">IFERROR(__xludf.DUMMYFUNCTION("""COMPUTED_VALUE"""),2011)</f>
        <v>2011</v>
      </c>
      <c r="E353" s="13">
        <f ca="1">IFERROR(__xludf.DUMMYFUNCTION("""COMPUTED_VALUE"""),2012)</f>
        <v>2012</v>
      </c>
      <c r="F353" s="13">
        <f ca="1">IFERROR(__xludf.DUMMYFUNCTION("""COMPUTED_VALUE"""),2013)</f>
        <v>2013</v>
      </c>
      <c r="G353" s="13">
        <f ca="1">IFERROR(__xludf.DUMMYFUNCTION("""COMPUTED_VALUE"""),2014)</f>
        <v>2014</v>
      </c>
      <c r="H353" s="13">
        <f ca="1">IFERROR(__xludf.DUMMYFUNCTION("""COMPUTED_VALUE"""),2015)</f>
        <v>2015</v>
      </c>
      <c r="I353" s="13">
        <f ca="1">IFERROR(__xludf.DUMMYFUNCTION("""COMPUTED_VALUE"""),2016)</f>
        <v>2016</v>
      </c>
      <c r="J353" s="13">
        <f ca="1">IFERROR(__xludf.DUMMYFUNCTION("""COMPUTED_VALUE"""),2017)</f>
        <v>2017</v>
      </c>
      <c r="K353" s="13">
        <f ca="1">IFERROR(__xludf.DUMMYFUNCTION("""COMPUTED_VALUE"""),2018)</f>
        <v>2018</v>
      </c>
      <c r="L353" s="13">
        <f ca="1">IFERROR(__xludf.DUMMYFUNCTION("""COMPUTED_VALUE"""),2019)</f>
        <v>2019</v>
      </c>
      <c r="M353" s="13">
        <f ca="1">IFERROR(__xludf.DUMMYFUNCTION("""COMPUTED_VALUE"""),2020)</f>
        <v>2020</v>
      </c>
      <c r="N353" s="13">
        <f ca="1">IFERROR(__xludf.DUMMYFUNCTION("""COMPUTED_VALUE"""),2021)</f>
        <v>2021</v>
      </c>
      <c r="O353" s="13">
        <f ca="1">IFERROR(__xludf.DUMMYFUNCTION("""COMPUTED_VALUE"""),2022)</f>
        <v>2022</v>
      </c>
      <c r="P353" s="13">
        <f ca="1">IFERROR(__xludf.DUMMYFUNCTION("""COMPUTED_VALUE"""),2023)</f>
        <v>2023</v>
      </c>
      <c r="Q353" s="14">
        <f ca="1">IFERROR(__xludf.DUMMYFUNCTION("""COMPUTED_VALUE"""),2024)</f>
        <v>2024</v>
      </c>
      <c r="R353" s="15"/>
    </row>
    <row r="354" spans="1:18" ht="13.2" hidden="1" outlineLevel="1" x14ac:dyDescent="0.25">
      <c r="A354" s="1"/>
      <c r="B354" s="16" t="str">
        <f ca="1">IFERROR(__xludf.DUMMYFUNCTION("""COMPUTED_VALUE"""),"Carbón mineral")</f>
        <v>Carbón mineral</v>
      </c>
      <c r="C354" s="17">
        <f ca="1">IFERROR(__xludf.DUMMYFUNCTION("""COMPUTED_VALUE"""),0)</f>
        <v>0</v>
      </c>
      <c r="D354" s="18">
        <f ca="1">IFERROR(__xludf.DUMMYFUNCTION("""COMPUTED_VALUE"""),0)</f>
        <v>0</v>
      </c>
      <c r="E354" s="18">
        <f ca="1">IFERROR(__xludf.DUMMYFUNCTION("""COMPUTED_VALUE"""),0)</f>
        <v>0</v>
      </c>
      <c r="F354" s="18">
        <f ca="1">IFERROR(__xludf.DUMMYFUNCTION("""COMPUTED_VALUE"""),0)</f>
        <v>0</v>
      </c>
      <c r="G354" s="18">
        <f ca="1">IFERROR(__xludf.DUMMYFUNCTION("""COMPUTED_VALUE"""),0)</f>
        <v>0</v>
      </c>
      <c r="H354" s="18">
        <f ca="1">IFERROR(__xludf.DUMMYFUNCTION("""COMPUTED_VALUE"""),0)</f>
        <v>0</v>
      </c>
      <c r="I354" s="18">
        <f ca="1">IFERROR(__xludf.DUMMYFUNCTION("""COMPUTED_VALUE"""),0)</f>
        <v>0</v>
      </c>
      <c r="J354" s="18">
        <f ca="1">IFERROR(__xludf.DUMMYFUNCTION("""COMPUTED_VALUE"""),0)</f>
        <v>0</v>
      </c>
      <c r="K354" s="18">
        <f ca="1">IFERROR(__xludf.DUMMYFUNCTION("""COMPUTED_VALUE"""),0)</f>
        <v>0</v>
      </c>
      <c r="L354" s="18">
        <f ca="1">IFERROR(__xludf.DUMMYFUNCTION("""COMPUTED_VALUE"""),0)</f>
        <v>0</v>
      </c>
      <c r="M354" s="18">
        <f ca="1">IFERROR(__xludf.DUMMYFUNCTION("""COMPUTED_VALUE"""),0)</f>
        <v>0</v>
      </c>
      <c r="N354" s="18">
        <f ca="1">IFERROR(__xludf.DUMMYFUNCTION("""COMPUTED_VALUE"""),0)</f>
        <v>0</v>
      </c>
      <c r="O354" s="18">
        <f ca="1">IFERROR(__xludf.DUMMYFUNCTION("""COMPUTED_VALUE"""),0)</f>
        <v>0</v>
      </c>
      <c r="P354" s="18">
        <f ca="1">IFERROR(__xludf.DUMMYFUNCTION("""COMPUTED_VALUE"""),0)</f>
        <v>0</v>
      </c>
      <c r="Q354" s="19">
        <f ca="1">IFERROR(__xludf.DUMMYFUNCTION("""COMPUTED_VALUE"""),0)</f>
        <v>0</v>
      </c>
      <c r="R354" s="20"/>
    </row>
    <row r="355" spans="1:18" ht="13.2" hidden="1" outlineLevel="1" x14ac:dyDescent="0.25">
      <c r="A355" s="1"/>
      <c r="B355" s="21" t="str">
        <f ca="1">IFERROR(__xludf.DUMMYFUNCTION("""COMPUTED_VALUE"""),"Petróleo crudo")</f>
        <v>Petróleo crudo</v>
      </c>
      <c r="C355" s="22">
        <f ca="1">IFERROR(__xludf.DUMMYFUNCTION("""COMPUTED_VALUE"""),0)</f>
        <v>0</v>
      </c>
      <c r="D355" s="23">
        <f ca="1">IFERROR(__xludf.DUMMYFUNCTION("""COMPUTED_VALUE"""),0)</f>
        <v>0</v>
      </c>
      <c r="E355" s="23">
        <f ca="1">IFERROR(__xludf.DUMMYFUNCTION("""COMPUTED_VALUE"""),0)</f>
        <v>0</v>
      </c>
      <c r="F355" s="23">
        <f ca="1">IFERROR(__xludf.DUMMYFUNCTION("""COMPUTED_VALUE"""),0)</f>
        <v>0</v>
      </c>
      <c r="G355" s="23">
        <f ca="1">IFERROR(__xludf.DUMMYFUNCTION("""COMPUTED_VALUE"""),0)</f>
        <v>0</v>
      </c>
      <c r="H355" s="23">
        <f ca="1">IFERROR(__xludf.DUMMYFUNCTION("""COMPUTED_VALUE"""),0)</f>
        <v>0</v>
      </c>
      <c r="I355" s="23">
        <f ca="1">IFERROR(__xludf.DUMMYFUNCTION("""COMPUTED_VALUE"""),0)</f>
        <v>0</v>
      </c>
      <c r="J355" s="23">
        <f ca="1">IFERROR(__xludf.DUMMYFUNCTION("""COMPUTED_VALUE"""),0)</f>
        <v>0</v>
      </c>
      <c r="K355" s="23">
        <f ca="1">IFERROR(__xludf.DUMMYFUNCTION("""COMPUTED_VALUE"""),0)</f>
        <v>0</v>
      </c>
      <c r="L355" s="23">
        <f ca="1">IFERROR(__xludf.DUMMYFUNCTION("""COMPUTED_VALUE"""),0)</f>
        <v>0</v>
      </c>
      <c r="M355" s="23">
        <f ca="1">IFERROR(__xludf.DUMMYFUNCTION("""COMPUTED_VALUE"""),0)</f>
        <v>0</v>
      </c>
      <c r="N355" s="23">
        <f ca="1">IFERROR(__xludf.DUMMYFUNCTION("""COMPUTED_VALUE"""),0)</f>
        <v>0</v>
      </c>
      <c r="O355" s="23">
        <f ca="1">IFERROR(__xludf.DUMMYFUNCTION("""COMPUTED_VALUE"""),0)</f>
        <v>0</v>
      </c>
      <c r="P355" s="23">
        <f ca="1">IFERROR(__xludf.DUMMYFUNCTION("""COMPUTED_VALUE"""),0)</f>
        <v>0</v>
      </c>
      <c r="Q355" s="24">
        <f ca="1">IFERROR(__xludf.DUMMYFUNCTION("""COMPUTED_VALUE"""),0)</f>
        <v>0</v>
      </c>
      <c r="R355" s="20"/>
    </row>
    <row r="356" spans="1:18" ht="13.2" hidden="1" outlineLevel="1" x14ac:dyDescent="0.25">
      <c r="A356" s="1"/>
      <c r="B356" s="21" t="str">
        <f ca="1">IFERROR(__xludf.DUMMYFUNCTION("""COMPUTED_VALUE"""),"Condensados")</f>
        <v>Condensados</v>
      </c>
      <c r="C356" s="22">
        <f ca="1">IFERROR(__xludf.DUMMYFUNCTION("""COMPUTED_VALUE"""),0)</f>
        <v>0</v>
      </c>
      <c r="D356" s="23">
        <f ca="1">IFERROR(__xludf.DUMMYFUNCTION("""COMPUTED_VALUE"""),0)</f>
        <v>0</v>
      </c>
      <c r="E356" s="23">
        <f ca="1">IFERROR(__xludf.DUMMYFUNCTION("""COMPUTED_VALUE"""),0)</f>
        <v>0</v>
      </c>
      <c r="F356" s="23">
        <f ca="1">IFERROR(__xludf.DUMMYFUNCTION("""COMPUTED_VALUE"""),0)</f>
        <v>0</v>
      </c>
      <c r="G356" s="23">
        <f ca="1">IFERROR(__xludf.DUMMYFUNCTION("""COMPUTED_VALUE"""),0)</f>
        <v>0</v>
      </c>
      <c r="H356" s="23">
        <f ca="1">IFERROR(__xludf.DUMMYFUNCTION("""COMPUTED_VALUE"""),0)</f>
        <v>0</v>
      </c>
      <c r="I356" s="23">
        <f ca="1">IFERROR(__xludf.DUMMYFUNCTION("""COMPUTED_VALUE"""),0)</f>
        <v>0</v>
      </c>
      <c r="J356" s="23">
        <f ca="1">IFERROR(__xludf.DUMMYFUNCTION("""COMPUTED_VALUE"""),0)</f>
        <v>0</v>
      </c>
      <c r="K356" s="23">
        <f ca="1">IFERROR(__xludf.DUMMYFUNCTION("""COMPUTED_VALUE"""),0)</f>
        <v>0</v>
      </c>
      <c r="L356" s="23">
        <f ca="1">IFERROR(__xludf.DUMMYFUNCTION("""COMPUTED_VALUE"""),0)</f>
        <v>0</v>
      </c>
      <c r="M356" s="23">
        <f ca="1">IFERROR(__xludf.DUMMYFUNCTION("""COMPUTED_VALUE"""),0)</f>
        <v>0</v>
      </c>
      <c r="N356" s="23">
        <f ca="1">IFERROR(__xludf.DUMMYFUNCTION("""COMPUTED_VALUE"""),0)</f>
        <v>0</v>
      </c>
      <c r="O356" s="23">
        <f ca="1">IFERROR(__xludf.DUMMYFUNCTION("""COMPUTED_VALUE"""),0)</f>
        <v>0</v>
      </c>
      <c r="P356" s="23">
        <f ca="1">IFERROR(__xludf.DUMMYFUNCTION("""COMPUTED_VALUE"""),0)</f>
        <v>0</v>
      </c>
      <c r="Q356" s="24">
        <f ca="1">IFERROR(__xludf.DUMMYFUNCTION("""COMPUTED_VALUE"""),0)</f>
        <v>0</v>
      </c>
      <c r="R356" s="20"/>
    </row>
    <row r="357" spans="1:18" ht="13.2" hidden="1" outlineLevel="1" x14ac:dyDescent="0.25">
      <c r="A357" s="1"/>
      <c r="B357" s="21" t="str">
        <f ca="1">IFERROR(__xludf.DUMMYFUNCTION("""COMPUTED_VALUE"""),"Gas natural")</f>
        <v>Gas natural</v>
      </c>
      <c r="C357" s="22">
        <f ca="1">IFERROR(__xludf.DUMMYFUNCTION("""COMPUTED_VALUE"""),0)</f>
        <v>0</v>
      </c>
      <c r="D357" s="23">
        <f ca="1">IFERROR(__xludf.DUMMYFUNCTION("""COMPUTED_VALUE"""),0)</f>
        <v>0</v>
      </c>
      <c r="E357" s="23">
        <f ca="1">IFERROR(__xludf.DUMMYFUNCTION("""COMPUTED_VALUE"""),0)</f>
        <v>0</v>
      </c>
      <c r="F357" s="23">
        <f ca="1">IFERROR(__xludf.DUMMYFUNCTION("""COMPUTED_VALUE"""),0)</f>
        <v>0</v>
      </c>
      <c r="G357" s="23">
        <f ca="1">IFERROR(__xludf.DUMMYFUNCTION("""COMPUTED_VALUE"""),0)</f>
        <v>0</v>
      </c>
      <c r="H357" s="23">
        <f ca="1">IFERROR(__xludf.DUMMYFUNCTION("""COMPUTED_VALUE"""),0)</f>
        <v>0</v>
      </c>
      <c r="I357" s="23">
        <f ca="1">IFERROR(__xludf.DUMMYFUNCTION("""COMPUTED_VALUE"""),0)</f>
        <v>0</v>
      </c>
      <c r="J357" s="23">
        <f ca="1">IFERROR(__xludf.DUMMYFUNCTION("""COMPUTED_VALUE"""),0)</f>
        <v>0</v>
      </c>
      <c r="K357" s="23">
        <f ca="1">IFERROR(__xludf.DUMMYFUNCTION("""COMPUTED_VALUE"""),0)</f>
        <v>0</v>
      </c>
      <c r="L357" s="23">
        <f ca="1">IFERROR(__xludf.DUMMYFUNCTION("""COMPUTED_VALUE"""),0)</f>
        <v>0</v>
      </c>
      <c r="M357" s="23">
        <f ca="1">IFERROR(__xludf.DUMMYFUNCTION("""COMPUTED_VALUE"""),0)</f>
        <v>0</v>
      </c>
      <c r="N357" s="23">
        <f ca="1">IFERROR(__xludf.DUMMYFUNCTION("""COMPUTED_VALUE"""),0)</f>
        <v>0</v>
      </c>
      <c r="O357" s="23">
        <f ca="1">IFERROR(__xludf.DUMMYFUNCTION("""COMPUTED_VALUE"""),0)</f>
        <v>0</v>
      </c>
      <c r="P357" s="23">
        <f ca="1">IFERROR(__xludf.DUMMYFUNCTION("""COMPUTED_VALUE"""),0)</f>
        <v>0</v>
      </c>
      <c r="Q357" s="24">
        <f ca="1">IFERROR(__xludf.DUMMYFUNCTION("""COMPUTED_VALUE"""),0)</f>
        <v>0</v>
      </c>
      <c r="R357" s="20"/>
    </row>
    <row r="358" spans="1:18" ht="13.2" hidden="1" outlineLevel="1" x14ac:dyDescent="0.25">
      <c r="A358" s="1"/>
      <c r="B358" s="21" t="str">
        <f ca="1">IFERROR(__xludf.DUMMYFUNCTION("""COMPUTED_VALUE"""),"Energía Nuclear")</f>
        <v>Energía Nuclear</v>
      </c>
      <c r="C358" s="22">
        <f ca="1">IFERROR(__xludf.DUMMYFUNCTION("""COMPUTED_VALUE"""),0)</f>
        <v>0</v>
      </c>
      <c r="D358" s="23">
        <f ca="1">IFERROR(__xludf.DUMMYFUNCTION("""COMPUTED_VALUE"""),0)</f>
        <v>0</v>
      </c>
      <c r="E358" s="23">
        <f ca="1">IFERROR(__xludf.DUMMYFUNCTION("""COMPUTED_VALUE"""),0)</f>
        <v>0</v>
      </c>
      <c r="F358" s="23">
        <f ca="1">IFERROR(__xludf.DUMMYFUNCTION("""COMPUTED_VALUE"""),0)</f>
        <v>0</v>
      </c>
      <c r="G358" s="23">
        <f ca="1">IFERROR(__xludf.DUMMYFUNCTION("""COMPUTED_VALUE"""),0)</f>
        <v>0</v>
      </c>
      <c r="H358" s="23">
        <f ca="1">IFERROR(__xludf.DUMMYFUNCTION("""COMPUTED_VALUE"""),0)</f>
        <v>0</v>
      </c>
      <c r="I358" s="23">
        <f ca="1">IFERROR(__xludf.DUMMYFUNCTION("""COMPUTED_VALUE"""),0)</f>
        <v>0</v>
      </c>
      <c r="J358" s="23">
        <f ca="1">IFERROR(__xludf.DUMMYFUNCTION("""COMPUTED_VALUE"""),0)</f>
        <v>0</v>
      </c>
      <c r="K358" s="23">
        <f ca="1">IFERROR(__xludf.DUMMYFUNCTION("""COMPUTED_VALUE"""),0)</f>
        <v>0</v>
      </c>
      <c r="L358" s="23">
        <f ca="1">IFERROR(__xludf.DUMMYFUNCTION("""COMPUTED_VALUE"""),0)</f>
        <v>0</v>
      </c>
      <c r="M358" s="23">
        <f ca="1">IFERROR(__xludf.DUMMYFUNCTION("""COMPUTED_VALUE"""),0)</f>
        <v>0</v>
      </c>
      <c r="N358" s="23">
        <f ca="1">IFERROR(__xludf.DUMMYFUNCTION("""COMPUTED_VALUE"""),0)</f>
        <v>0</v>
      </c>
      <c r="O358" s="23">
        <f ca="1">IFERROR(__xludf.DUMMYFUNCTION("""COMPUTED_VALUE"""),0)</f>
        <v>0</v>
      </c>
      <c r="P358" s="23">
        <f ca="1">IFERROR(__xludf.DUMMYFUNCTION("""COMPUTED_VALUE"""),0)</f>
        <v>0</v>
      </c>
      <c r="Q358" s="24">
        <f ca="1">IFERROR(__xludf.DUMMYFUNCTION("""COMPUTED_VALUE"""),0)</f>
        <v>0</v>
      </c>
      <c r="R358" s="20"/>
    </row>
    <row r="359" spans="1:18" ht="13.2" hidden="1" outlineLevel="1" x14ac:dyDescent="0.25">
      <c r="A359" s="1"/>
      <c r="B359" s="21" t="str">
        <f ca="1">IFERROR(__xludf.DUMMYFUNCTION("""COMPUTED_VALUE"""),"Energia Hidraúlica")</f>
        <v>Energia Hidraúlica</v>
      </c>
      <c r="C359" s="22">
        <f ca="1">IFERROR(__xludf.DUMMYFUNCTION("""COMPUTED_VALUE"""),0)</f>
        <v>0</v>
      </c>
      <c r="D359" s="23">
        <f ca="1">IFERROR(__xludf.DUMMYFUNCTION("""COMPUTED_VALUE"""),0)</f>
        <v>0</v>
      </c>
      <c r="E359" s="23">
        <f ca="1">IFERROR(__xludf.DUMMYFUNCTION("""COMPUTED_VALUE"""),0)</f>
        <v>0</v>
      </c>
      <c r="F359" s="23">
        <f ca="1">IFERROR(__xludf.DUMMYFUNCTION("""COMPUTED_VALUE"""),0)</f>
        <v>0</v>
      </c>
      <c r="G359" s="23">
        <f ca="1">IFERROR(__xludf.DUMMYFUNCTION("""COMPUTED_VALUE"""),0)</f>
        <v>0</v>
      </c>
      <c r="H359" s="23">
        <f ca="1">IFERROR(__xludf.DUMMYFUNCTION("""COMPUTED_VALUE"""),0)</f>
        <v>0</v>
      </c>
      <c r="I359" s="23">
        <f ca="1">IFERROR(__xludf.DUMMYFUNCTION("""COMPUTED_VALUE"""),0)</f>
        <v>0</v>
      </c>
      <c r="J359" s="23">
        <f ca="1">IFERROR(__xludf.DUMMYFUNCTION("""COMPUTED_VALUE"""),0)</f>
        <v>0</v>
      </c>
      <c r="K359" s="23">
        <f ca="1">IFERROR(__xludf.DUMMYFUNCTION("""COMPUTED_VALUE"""),0)</f>
        <v>0</v>
      </c>
      <c r="L359" s="23">
        <f ca="1">IFERROR(__xludf.DUMMYFUNCTION("""COMPUTED_VALUE"""),0)</f>
        <v>0</v>
      </c>
      <c r="M359" s="23">
        <f ca="1">IFERROR(__xludf.DUMMYFUNCTION("""COMPUTED_VALUE"""),0)</f>
        <v>0</v>
      </c>
      <c r="N359" s="23">
        <f ca="1">IFERROR(__xludf.DUMMYFUNCTION("""COMPUTED_VALUE"""),0)</f>
        <v>0</v>
      </c>
      <c r="O359" s="23">
        <f ca="1">IFERROR(__xludf.DUMMYFUNCTION("""COMPUTED_VALUE"""),0)</f>
        <v>0</v>
      </c>
      <c r="P359" s="23">
        <f ca="1">IFERROR(__xludf.DUMMYFUNCTION("""COMPUTED_VALUE"""),0)</f>
        <v>0</v>
      </c>
      <c r="Q359" s="24">
        <f ca="1">IFERROR(__xludf.DUMMYFUNCTION("""COMPUTED_VALUE"""),0)</f>
        <v>0</v>
      </c>
      <c r="R359" s="20"/>
    </row>
    <row r="360" spans="1:18" ht="13.2" hidden="1" outlineLevel="1" x14ac:dyDescent="0.25">
      <c r="A360" s="1"/>
      <c r="B360" s="21" t="str">
        <f ca="1">IFERROR(__xludf.DUMMYFUNCTION("""COMPUTED_VALUE"""),"Geoenergía")</f>
        <v>Geoenergía</v>
      </c>
      <c r="C360" s="22">
        <f ca="1">IFERROR(__xludf.DUMMYFUNCTION("""COMPUTED_VALUE"""),0)</f>
        <v>0</v>
      </c>
      <c r="D360" s="23">
        <f ca="1">IFERROR(__xludf.DUMMYFUNCTION("""COMPUTED_VALUE"""),0)</f>
        <v>0</v>
      </c>
      <c r="E360" s="23">
        <f ca="1">IFERROR(__xludf.DUMMYFUNCTION("""COMPUTED_VALUE"""),0)</f>
        <v>0</v>
      </c>
      <c r="F360" s="23">
        <f ca="1">IFERROR(__xludf.DUMMYFUNCTION("""COMPUTED_VALUE"""),0)</f>
        <v>0</v>
      </c>
      <c r="G360" s="23">
        <f ca="1">IFERROR(__xludf.DUMMYFUNCTION("""COMPUTED_VALUE"""),0)</f>
        <v>0</v>
      </c>
      <c r="H360" s="23">
        <f ca="1">IFERROR(__xludf.DUMMYFUNCTION("""COMPUTED_VALUE"""),0)</f>
        <v>0</v>
      </c>
      <c r="I360" s="23">
        <f ca="1">IFERROR(__xludf.DUMMYFUNCTION("""COMPUTED_VALUE"""),0)</f>
        <v>0</v>
      </c>
      <c r="J360" s="23">
        <f ca="1">IFERROR(__xludf.DUMMYFUNCTION("""COMPUTED_VALUE"""),0)</f>
        <v>0</v>
      </c>
      <c r="K360" s="23">
        <f ca="1">IFERROR(__xludf.DUMMYFUNCTION("""COMPUTED_VALUE"""),0)</f>
        <v>0</v>
      </c>
      <c r="L360" s="23">
        <f ca="1">IFERROR(__xludf.DUMMYFUNCTION("""COMPUTED_VALUE"""),0)</f>
        <v>0</v>
      </c>
      <c r="M360" s="23">
        <f ca="1">IFERROR(__xludf.DUMMYFUNCTION("""COMPUTED_VALUE"""),0)</f>
        <v>0</v>
      </c>
      <c r="N360" s="23">
        <f ca="1">IFERROR(__xludf.DUMMYFUNCTION("""COMPUTED_VALUE"""),0)</f>
        <v>0</v>
      </c>
      <c r="O360" s="23">
        <f ca="1">IFERROR(__xludf.DUMMYFUNCTION("""COMPUTED_VALUE"""),0)</f>
        <v>0</v>
      </c>
      <c r="P360" s="23">
        <f ca="1">IFERROR(__xludf.DUMMYFUNCTION("""COMPUTED_VALUE"""),0)</f>
        <v>0</v>
      </c>
      <c r="Q360" s="24">
        <f ca="1">IFERROR(__xludf.DUMMYFUNCTION("""COMPUTED_VALUE"""),0)</f>
        <v>0</v>
      </c>
      <c r="R360" s="20"/>
    </row>
    <row r="361" spans="1:18" ht="13.2" hidden="1" outlineLevel="1" x14ac:dyDescent="0.25">
      <c r="A361" s="1"/>
      <c r="B361" s="21" t="str">
        <f ca="1">IFERROR(__xludf.DUMMYFUNCTION("""COMPUTED_VALUE"""),"Energía solar")</f>
        <v>Energía solar</v>
      </c>
      <c r="C361" s="22">
        <f ca="1">IFERROR(__xludf.DUMMYFUNCTION("""COMPUTED_VALUE"""),0)</f>
        <v>0</v>
      </c>
      <c r="D361" s="23">
        <f ca="1">IFERROR(__xludf.DUMMYFUNCTION("""COMPUTED_VALUE"""),0)</f>
        <v>0</v>
      </c>
      <c r="E361" s="23">
        <f ca="1">IFERROR(__xludf.DUMMYFUNCTION("""COMPUTED_VALUE"""),0)</f>
        <v>0</v>
      </c>
      <c r="F361" s="23">
        <f ca="1">IFERROR(__xludf.DUMMYFUNCTION("""COMPUTED_VALUE"""),0)</f>
        <v>0</v>
      </c>
      <c r="G361" s="23">
        <f ca="1">IFERROR(__xludf.DUMMYFUNCTION("""COMPUTED_VALUE"""),0)</f>
        <v>0</v>
      </c>
      <c r="H361" s="23">
        <f ca="1">IFERROR(__xludf.DUMMYFUNCTION("""COMPUTED_VALUE"""),0)</f>
        <v>0</v>
      </c>
      <c r="I361" s="23">
        <f ca="1">IFERROR(__xludf.DUMMYFUNCTION("""COMPUTED_VALUE"""),0)</f>
        <v>0</v>
      </c>
      <c r="J361" s="23">
        <f ca="1">IFERROR(__xludf.DUMMYFUNCTION("""COMPUTED_VALUE"""),0)</f>
        <v>0</v>
      </c>
      <c r="K361" s="23">
        <f ca="1">IFERROR(__xludf.DUMMYFUNCTION("""COMPUTED_VALUE"""),0)</f>
        <v>0</v>
      </c>
      <c r="L361" s="23">
        <f ca="1">IFERROR(__xludf.DUMMYFUNCTION("""COMPUTED_VALUE"""),0)</f>
        <v>0</v>
      </c>
      <c r="M361" s="23">
        <f ca="1">IFERROR(__xludf.DUMMYFUNCTION("""COMPUTED_VALUE"""),0)</f>
        <v>0</v>
      </c>
      <c r="N361" s="23">
        <f ca="1">IFERROR(__xludf.DUMMYFUNCTION("""COMPUTED_VALUE"""),0)</f>
        <v>0</v>
      </c>
      <c r="O361" s="23">
        <f ca="1">IFERROR(__xludf.DUMMYFUNCTION("""COMPUTED_VALUE"""),0)</f>
        <v>0</v>
      </c>
      <c r="P361" s="23">
        <f ca="1">IFERROR(__xludf.DUMMYFUNCTION("""COMPUTED_VALUE"""),0)</f>
        <v>0</v>
      </c>
      <c r="Q361" s="24">
        <f ca="1">IFERROR(__xludf.DUMMYFUNCTION("""COMPUTED_VALUE"""),0)</f>
        <v>0</v>
      </c>
      <c r="R361" s="20"/>
    </row>
    <row r="362" spans="1:18" ht="13.2" hidden="1" outlineLevel="1" x14ac:dyDescent="0.25">
      <c r="A362" s="1"/>
      <c r="B362" s="21" t="str">
        <f ca="1">IFERROR(__xludf.DUMMYFUNCTION("""COMPUTED_VALUE"""),"Energía eólica")</f>
        <v>Energía eólica</v>
      </c>
      <c r="C362" s="22">
        <f ca="1">IFERROR(__xludf.DUMMYFUNCTION("""COMPUTED_VALUE"""),0)</f>
        <v>0</v>
      </c>
      <c r="D362" s="23">
        <f ca="1">IFERROR(__xludf.DUMMYFUNCTION("""COMPUTED_VALUE"""),0)</f>
        <v>0</v>
      </c>
      <c r="E362" s="23">
        <f ca="1">IFERROR(__xludf.DUMMYFUNCTION("""COMPUTED_VALUE"""),0)</f>
        <v>0</v>
      </c>
      <c r="F362" s="23">
        <f ca="1">IFERROR(__xludf.DUMMYFUNCTION("""COMPUTED_VALUE"""),0)</f>
        <v>0</v>
      </c>
      <c r="G362" s="23">
        <f ca="1">IFERROR(__xludf.DUMMYFUNCTION("""COMPUTED_VALUE"""),0)</f>
        <v>0</v>
      </c>
      <c r="H362" s="23">
        <f ca="1">IFERROR(__xludf.DUMMYFUNCTION("""COMPUTED_VALUE"""),0)</f>
        <v>0</v>
      </c>
      <c r="I362" s="23">
        <f ca="1">IFERROR(__xludf.DUMMYFUNCTION("""COMPUTED_VALUE"""),0)</f>
        <v>0</v>
      </c>
      <c r="J362" s="23">
        <f ca="1">IFERROR(__xludf.DUMMYFUNCTION("""COMPUTED_VALUE"""),0)</f>
        <v>0</v>
      </c>
      <c r="K362" s="23">
        <f ca="1">IFERROR(__xludf.DUMMYFUNCTION("""COMPUTED_VALUE"""),0)</f>
        <v>0</v>
      </c>
      <c r="L362" s="23">
        <f ca="1">IFERROR(__xludf.DUMMYFUNCTION("""COMPUTED_VALUE"""),0)</f>
        <v>0</v>
      </c>
      <c r="M362" s="23">
        <f ca="1">IFERROR(__xludf.DUMMYFUNCTION("""COMPUTED_VALUE"""),0)</f>
        <v>0</v>
      </c>
      <c r="N362" s="23">
        <f ca="1">IFERROR(__xludf.DUMMYFUNCTION("""COMPUTED_VALUE"""),0)</f>
        <v>0</v>
      </c>
      <c r="O362" s="23">
        <f ca="1">IFERROR(__xludf.DUMMYFUNCTION("""COMPUTED_VALUE"""),0)</f>
        <v>0</v>
      </c>
      <c r="P362" s="23">
        <f ca="1">IFERROR(__xludf.DUMMYFUNCTION("""COMPUTED_VALUE"""),0)</f>
        <v>0</v>
      </c>
      <c r="Q362" s="24">
        <f ca="1">IFERROR(__xludf.DUMMYFUNCTION("""COMPUTED_VALUE"""),0)</f>
        <v>0</v>
      </c>
      <c r="R362" s="20"/>
    </row>
    <row r="363" spans="1:18" ht="13.2" hidden="1" outlineLevel="1" x14ac:dyDescent="0.25">
      <c r="A363" s="1"/>
      <c r="B363" s="21" t="str">
        <f ca="1">IFERROR(__xludf.DUMMYFUNCTION("""COMPUTED_VALUE"""),"Bagazo de caña")</f>
        <v>Bagazo de caña</v>
      </c>
      <c r="C363" s="22">
        <f ca="1">IFERROR(__xludf.DUMMYFUNCTION("""COMPUTED_VALUE"""),0)</f>
        <v>0</v>
      </c>
      <c r="D363" s="23">
        <f ca="1">IFERROR(__xludf.DUMMYFUNCTION("""COMPUTED_VALUE"""),0)</f>
        <v>0</v>
      </c>
      <c r="E363" s="23">
        <f ca="1">IFERROR(__xludf.DUMMYFUNCTION("""COMPUTED_VALUE"""),0)</f>
        <v>0</v>
      </c>
      <c r="F363" s="23">
        <f ca="1">IFERROR(__xludf.DUMMYFUNCTION("""COMPUTED_VALUE"""),0)</f>
        <v>0</v>
      </c>
      <c r="G363" s="23">
        <f ca="1">IFERROR(__xludf.DUMMYFUNCTION("""COMPUTED_VALUE"""),0)</f>
        <v>0</v>
      </c>
      <c r="H363" s="23">
        <f ca="1">IFERROR(__xludf.DUMMYFUNCTION("""COMPUTED_VALUE"""),0)</f>
        <v>0</v>
      </c>
      <c r="I363" s="23">
        <f ca="1">IFERROR(__xludf.DUMMYFUNCTION("""COMPUTED_VALUE"""),0)</f>
        <v>0</v>
      </c>
      <c r="J363" s="23">
        <f ca="1">IFERROR(__xludf.DUMMYFUNCTION("""COMPUTED_VALUE"""),0)</f>
        <v>0</v>
      </c>
      <c r="K363" s="23">
        <f ca="1">IFERROR(__xludf.DUMMYFUNCTION("""COMPUTED_VALUE"""),0)</f>
        <v>0</v>
      </c>
      <c r="L363" s="23">
        <f ca="1">IFERROR(__xludf.DUMMYFUNCTION("""COMPUTED_VALUE"""),0)</f>
        <v>0</v>
      </c>
      <c r="M363" s="23">
        <f ca="1">IFERROR(__xludf.DUMMYFUNCTION("""COMPUTED_VALUE"""),0)</f>
        <v>0</v>
      </c>
      <c r="N363" s="23">
        <f ca="1">IFERROR(__xludf.DUMMYFUNCTION("""COMPUTED_VALUE"""),0)</f>
        <v>0</v>
      </c>
      <c r="O363" s="23">
        <f ca="1">IFERROR(__xludf.DUMMYFUNCTION("""COMPUTED_VALUE"""),0)</f>
        <v>0</v>
      </c>
      <c r="P363" s="23">
        <f ca="1">IFERROR(__xludf.DUMMYFUNCTION("""COMPUTED_VALUE"""),0)</f>
        <v>0</v>
      </c>
      <c r="Q363" s="24">
        <f ca="1">IFERROR(__xludf.DUMMYFUNCTION("""COMPUTED_VALUE"""),0)</f>
        <v>0</v>
      </c>
      <c r="R363" s="20"/>
    </row>
    <row r="364" spans="1:18" ht="13.2" hidden="1" outlineLevel="1" x14ac:dyDescent="0.25">
      <c r="A364" s="1"/>
      <c r="B364" s="21" t="str">
        <f ca="1">IFERROR(__xludf.DUMMYFUNCTION("""COMPUTED_VALUE"""),"Leña")</f>
        <v>Leña</v>
      </c>
      <c r="C364" s="22">
        <f ca="1">IFERROR(__xludf.DUMMYFUNCTION("""COMPUTED_VALUE"""),0)</f>
        <v>0</v>
      </c>
      <c r="D364" s="23">
        <f ca="1">IFERROR(__xludf.DUMMYFUNCTION("""COMPUTED_VALUE"""),0)</f>
        <v>0</v>
      </c>
      <c r="E364" s="23">
        <f ca="1">IFERROR(__xludf.DUMMYFUNCTION("""COMPUTED_VALUE"""),0)</f>
        <v>0</v>
      </c>
      <c r="F364" s="23">
        <f ca="1">IFERROR(__xludf.DUMMYFUNCTION("""COMPUTED_VALUE"""),0)</f>
        <v>0</v>
      </c>
      <c r="G364" s="23">
        <f ca="1">IFERROR(__xludf.DUMMYFUNCTION("""COMPUTED_VALUE"""),0)</f>
        <v>0</v>
      </c>
      <c r="H364" s="23">
        <f ca="1">IFERROR(__xludf.DUMMYFUNCTION("""COMPUTED_VALUE"""),0)</f>
        <v>0</v>
      </c>
      <c r="I364" s="23">
        <f ca="1">IFERROR(__xludf.DUMMYFUNCTION("""COMPUTED_VALUE"""),0)</f>
        <v>0</v>
      </c>
      <c r="J364" s="23">
        <f ca="1">IFERROR(__xludf.DUMMYFUNCTION("""COMPUTED_VALUE"""),0)</f>
        <v>0</v>
      </c>
      <c r="K364" s="23">
        <f ca="1">IFERROR(__xludf.DUMMYFUNCTION("""COMPUTED_VALUE"""),0)</f>
        <v>0</v>
      </c>
      <c r="L364" s="23">
        <f ca="1">IFERROR(__xludf.DUMMYFUNCTION("""COMPUTED_VALUE"""),0)</f>
        <v>0</v>
      </c>
      <c r="M364" s="23">
        <f ca="1">IFERROR(__xludf.DUMMYFUNCTION("""COMPUTED_VALUE"""),0)</f>
        <v>0</v>
      </c>
      <c r="N364" s="23">
        <f ca="1">IFERROR(__xludf.DUMMYFUNCTION("""COMPUTED_VALUE"""),0)</f>
        <v>0</v>
      </c>
      <c r="O364" s="23">
        <f ca="1">IFERROR(__xludf.DUMMYFUNCTION("""COMPUTED_VALUE"""),0)</f>
        <v>0</v>
      </c>
      <c r="P364" s="23">
        <f ca="1">IFERROR(__xludf.DUMMYFUNCTION("""COMPUTED_VALUE"""),0)</f>
        <v>0</v>
      </c>
      <c r="Q364" s="24">
        <f ca="1">IFERROR(__xludf.DUMMYFUNCTION("""COMPUTED_VALUE"""),0)</f>
        <v>0</v>
      </c>
      <c r="R364" s="20"/>
    </row>
    <row r="365" spans="1:18" ht="13.2" hidden="1" outlineLevel="1" x14ac:dyDescent="0.25">
      <c r="A365" s="1"/>
      <c r="B365" s="21" t="str">
        <f ca="1">IFERROR(__xludf.DUMMYFUNCTION("""COMPUTED_VALUE"""),"Biogás")</f>
        <v>Biogás</v>
      </c>
      <c r="C365" s="22">
        <f ca="1">IFERROR(__xludf.DUMMYFUNCTION("""COMPUTED_VALUE"""),-1.1984037)</f>
        <v>-1.1984037000000001</v>
      </c>
      <c r="D365" s="23">
        <f ca="1">IFERROR(__xludf.DUMMYFUNCTION("""COMPUTED_VALUE"""),-1.25875953)</f>
        <v>-1.2587595300000001</v>
      </c>
      <c r="E365" s="23">
        <f ca="1">IFERROR(__xludf.DUMMYFUNCTION("""COMPUTED_VALUE"""),-1.69748488)</f>
        <v>-1.69748488</v>
      </c>
      <c r="F365" s="23">
        <f ca="1">IFERROR(__xludf.DUMMYFUNCTION("""COMPUTED_VALUE"""),-1.71048008)</f>
        <v>-1.71048008</v>
      </c>
      <c r="G365" s="23">
        <f ca="1">IFERROR(__xludf.DUMMYFUNCTION("""COMPUTED_VALUE"""),-1.70080382)</f>
        <v>-1.70080382</v>
      </c>
      <c r="H365" s="23">
        <f ca="1">IFERROR(__xludf.DUMMYFUNCTION("""COMPUTED_VALUE"""),-1.7071791)</f>
        <v>-1.7071791000000001</v>
      </c>
      <c r="I365" s="23">
        <f ca="1">IFERROR(__xludf.DUMMYFUNCTION("""COMPUTED_VALUE"""),-1.67098833)</f>
        <v>-1.6709883299999999</v>
      </c>
      <c r="J365" s="23">
        <f ca="1">IFERROR(__xludf.DUMMYFUNCTION("""COMPUTED_VALUE"""),-2.25840132)</f>
        <v>-2.2584013199999999</v>
      </c>
      <c r="K365" s="23">
        <f ca="1">IFERROR(__xludf.DUMMYFUNCTION("""COMPUTED_VALUE"""),-2.68952543999999)</f>
        <v>-2.6895254399999899</v>
      </c>
      <c r="L365" s="23">
        <f ca="1">IFERROR(__xludf.DUMMYFUNCTION("""COMPUTED_VALUE"""),-2.52261519999999)</f>
        <v>-2.52261519999999</v>
      </c>
      <c r="M365" s="23">
        <f ca="1">IFERROR(__xludf.DUMMYFUNCTION("""COMPUTED_VALUE"""),-2.27556801999999)</f>
        <v>-2.2755680199999899</v>
      </c>
      <c r="N365" s="23">
        <f ca="1">IFERROR(__xludf.DUMMYFUNCTION("""COMPUTED_VALUE"""),-2.47995081)</f>
        <v>-2.4799508100000001</v>
      </c>
      <c r="O365" s="23">
        <f ca="1">IFERROR(__xludf.DUMMYFUNCTION("""COMPUTED_VALUE"""),-2.49907837)</f>
        <v>-2.4990783699999999</v>
      </c>
      <c r="P365" s="23">
        <f ca="1">IFERROR(__xludf.DUMMYFUNCTION("""COMPUTED_VALUE"""),-2.78271247)</f>
        <v>-2.7827124699999999</v>
      </c>
      <c r="Q365" s="24">
        <f ca="1">IFERROR(__xludf.DUMMYFUNCTION("""COMPUTED_VALUE"""),-2.83484825)</f>
        <v>-2.8348482499999998</v>
      </c>
      <c r="R365" s="20"/>
    </row>
    <row r="366" spans="1:18" ht="13.2" hidden="1" outlineLevel="1" x14ac:dyDescent="0.25">
      <c r="A366" s="1"/>
      <c r="B366" s="21" t="str">
        <f ca="1">IFERROR(__xludf.DUMMYFUNCTION("""COMPUTED_VALUE"""),"Coque de carbón")</f>
        <v>Coque de carbón</v>
      </c>
      <c r="C366" s="22">
        <f ca="1">IFERROR(__xludf.DUMMYFUNCTION("""COMPUTED_VALUE"""),0)</f>
        <v>0</v>
      </c>
      <c r="D366" s="23">
        <f ca="1">IFERROR(__xludf.DUMMYFUNCTION("""COMPUTED_VALUE"""),0)</f>
        <v>0</v>
      </c>
      <c r="E366" s="23">
        <f ca="1">IFERROR(__xludf.DUMMYFUNCTION("""COMPUTED_VALUE"""),0)</f>
        <v>0</v>
      </c>
      <c r="F366" s="23">
        <f ca="1">IFERROR(__xludf.DUMMYFUNCTION("""COMPUTED_VALUE"""),0)</f>
        <v>0</v>
      </c>
      <c r="G366" s="23">
        <f ca="1">IFERROR(__xludf.DUMMYFUNCTION("""COMPUTED_VALUE"""),0)</f>
        <v>0</v>
      </c>
      <c r="H366" s="23">
        <f ca="1">IFERROR(__xludf.DUMMYFUNCTION("""COMPUTED_VALUE"""),0)</f>
        <v>0</v>
      </c>
      <c r="I366" s="23">
        <f ca="1">IFERROR(__xludf.DUMMYFUNCTION("""COMPUTED_VALUE"""),0)</f>
        <v>0</v>
      </c>
      <c r="J366" s="23">
        <f ca="1">IFERROR(__xludf.DUMMYFUNCTION("""COMPUTED_VALUE"""),0)</f>
        <v>0</v>
      </c>
      <c r="K366" s="23">
        <f ca="1">IFERROR(__xludf.DUMMYFUNCTION("""COMPUTED_VALUE"""),0)</f>
        <v>0</v>
      </c>
      <c r="L366" s="23">
        <f ca="1">IFERROR(__xludf.DUMMYFUNCTION("""COMPUTED_VALUE"""),0)</f>
        <v>0</v>
      </c>
      <c r="M366" s="23">
        <f ca="1">IFERROR(__xludf.DUMMYFUNCTION("""COMPUTED_VALUE"""),0)</f>
        <v>0</v>
      </c>
      <c r="N366" s="23">
        <f ca="1">IFERROR(__xludf.DUMMYFUNCTION("""COMPUTED_VALUE"""),0)</f>
        <v>0</v>
      </c>
      <c r="O366" s="23">
        <f ca="1">IFERROR(__xludf.DUMMYFUNCTION("""COMPUTED_VALUE"""),0)</f>
        <v>0</v>
      </c>
      <c r="P366" s="23">
        <f ca="1">IFERROR(__xludf.DUMMYFUNCTION("""COMPUTED_VALUE"""),0)</f>
        <v>0</v>
      </c>
      <c r="Q366" s="24">
        <f ca="1">IFERROR(__xludf.DUMMYFUNCTION("""COMPUTED_VALUE"""),0)</f>
        <v>0</v>
      </c>
      <c r="R366" s="20"/>
    </row>
    <row r="367" spans="1:18" ht="13.2" hidden="1" outlineLevel="1" x14ac:dyDescent="0.25">
      <c r="A367" s="1"/>
      <c r="B367" s="21" t="str">
        <f ca="1">IFERROR(__xludf.DUMMYFUNCTION("""COMPUTED_VALUE"""),"Coque de petróleo")</f>
        <v>Coque de petróleo</v>
      </c>
      <c r="C367" s="22">
        <f ca="1">IFERROR(__xludf.DUMMYFUNCTION("""COMPUTED_VALUE"""),0)</f>
        <v>0</v>
      </c>
      <c r="D367" s="23">
        <f ca="1">IFERROR(__xludf.DUMMYFUNCTION("""COMPUTED_VALUE"""),0)</f>
        <v>0</v>
      </c>
      <c r="E367" s="23">
        <f ca="1">IFERROR(__xludf.DUMMYFUNCTION("""COMPUTED_VALUE"""),0)</f>
        <v>0</v>
      </c>
      <c r="F367" s="23">
        <f ca="1">IFERROR(__xludf.DUMMYFUNCTION("""COMPUTED_VALUE"""),0)</f>
        <v>0</v>
      </c>
      <c r="G367" s="23">
        <f ca="1">IFERROR(__xludf.DUMMYFUNCTION("""COMPUTED_VALUE"""),0)</f>
        <v>0</v>
      </c>
      <c r="H367" s="23">
        <f ca="1">IFERROR(__xludf.DUMMYFUNCTION("""COMPUTED_VALUE"""),0)</f>
        <v>0</v>
      </c>
      <c r="I367" s="23">
        <f ca="1">IFERROR(__xludf.DUMMYFUNCTION("""COMPUTED_VALUE"""),0)</f>
        <v>0</v>
      </c>
      <c r="J367" s="23">
        <f ca="1">IFERROR(__xludf.DUMMYFUNCTION("""COMPUTED_VALUE"""),0)</f>
        <v>0</v>
      </c>
      <c r="K367" s="23">
        <f ca="1">IFERROR(__xludf.DUMMYFUNCTION("""COMPUTED_VALUE"""),0)</f>
        <v>0</v>
      </c>
      <c r="L367" s="23">
        <f ca="1">IFERROR(__xludf.DUMMYFUNCTION("""COMPUTED_VALUE"""),0)</f>
        <v>0</v>
      </c>
      <c r="M367" s="23">
        <f ca="1">IFERROR(__xludf.DUMMYFUNCTION("""COMPUTED_VALUE"""),0)</f>
        <v>0</v>
      </c>
      <c r="N367" s="23">
        <f ca="1">IFERROR(__xludf.DUMMYFUNCTION("""COMPUTED_VALUE"""),0)</f>
        <v>0</v>
      </c>
      <c r="O367" s="23">
        <f ca="1">IFERROR(__xludf.DUMMYFUNCTION("""COMPUTED_VALUE"""),0)</f>
        <v>0</v>
      </c>
      <c r="P367" s="23">
        <f ca="1">IFERROR(__xludf.DUMMYFUNCTION("""COMPUTED_VALUE"""),0)</f>
        <v>0</v>
      </c>
      <c r="Q367" s="24">
        <f ca="1">IFERROR(__xludf.DUMMYFUNCTION("""COMPUTED_VALUE"""),0)</f>
        <v>0</v>
      </c>
      <c r="R367" s="20"/>
    </row>
    <row r="368" spans="1:18" ht="13.2" hidden="1" outlineLevel="1" x14ac:dyDescent="0.25">
      <c r="A368" s="1"/>
      <c r="B368" s="21" t="str">
        <f ca="1">IFERROR(__xludf.DUMMYFUNCTION("""COMPUTED_VALUE"""),"Gas licuado de petróleo")</f>
        <v>Gas licuado de petróleo</v>
      </c>
      <c r="C368" s="22">
        <f ca="1">IFERROR(__xludf.DUMMYFUNCTION("""COMPUTED_VALUE"""),0)</f>
        <v>0</v>
      </c>
      <c r="D368" s="23">
        <f ca="1">IFERROR(__xludf.DUMMYFUNCTION("""COMPUTED_VALUE"""),0)</f>
        <v>0</v>
      </c>
      <c r="E368" s="23">
        <f ca="1">IFERROR(__xludf.DUMMYFUNCTION("""COMPUTED_VALUE"""),0)</f>
        <v>0</v>
      </c>
      <c r="F368" s="23">
        <f ca="1">IFERROR(__xludf.DUMMYFUNCTION("""COMPUTED_VALUE"""),0)</f>
        <v>0</v>
      </c>
      <c r="G368" s="23">
        <f ca="1">IFERROR(__xludf.DUMMYFUNCTION("""COMPUTED_VALUE"""),0)</f>
        <v>0</v>
      </c>
      <c r="H368" s="23">
        <f ca="1">IFERROR(__xludf.DUMMYFUNCTION("""COMPUTED_VALUE"""),0)</f>
        <v>0</v>
      </c>
      <c r="I368" s="23">
        <f ca="1">IFERROR(__xludf.DUMMYFUNCTION("""COMPUTED_VALUE"""),0)</f>
        <v>0</v>
      </c>
      <c r="J368" s="23">
        <f ca="1">IFERROR(__xludf.DUMMYFUNCTION("""COMPUTED_VALUE"""),0)</f>
        <v>0</v>
      </c>
      <c r="K368" s="23">
        <f ca="1">IFERROR(__xludf.DUMMYFUNCTION("""COMPUTED_VALUE"""),0)</f>
        <v>0</v>
      </c>
      <c r="L368" s="23">
        <f ca="1">IFERROR(__xludf.DUMMYFUNCTION("""COMPUTED_VALUE"""),0)</f>
        <v>0</v>
      </c>
      <c r="M368" s="23">
        <f ca="1">IFERROR(__xludf.DUMMYFUNCTION("""COMPUTED_VALUE"""),0)</f>
        <v>0</v>
      </c>
      <c r="N368" s="23">
        <f ca="1">IFERROR(__xludf.DUMMYFUNCTION("""COMPUTED_VALUE"""),0)</f>
        <v>0</v>
      </c>
      <c r="O368" s="23">
        <f ca="1">IFERROR(__xludf.DUMMYFUNCTION("""COMPUTED_VALUE"""),0)</f>
        <v>0</v>
      </c>
      <c r="P368" s="23">
        <f ca="1">IFERROR(__xludf.DUMMYFUNCTION("""COMPUTED_VALUE"""),0)</f>
        <v>0</v>
      </c>
      <c r="Q368" s="24">
        <f ca="1">IFERROR(__xludf.DUMMYFUNCTION("""COMPUTED_VALUE"""),0)</f>
        <v>0</v>
      </c>
      <c r="R368" s="20"/>
    </row>
    <row r="369" spans="1:18" ht="13.2" hidden="1" outlineLevel="1" x14ac:dyDescent="0.25">
      <c r="A369" s="1"/>
      <c r="B369" s="21" t="str">
        <f ca="1">IFERROR(__xludf.DUMMYFUNCTION("""COMPUTED_VALUE"""),"Gasolinas y naftas")</f>
        <v>Gasolinas y naftas</v>
      </c>
      <c r="C369" s="22">
        <f ca="1">IFERROR(__xludf.DUMMYFUNCTION("""COMPUTED_VALUE"""),0)</f>
        <v>0</v>
      </c>
      <c r="D369" s="23">
        <f ca="1">IFERROR(__xludf.DUMMYFUNCTION("""COMPUTED_VALUE"""),0)</f>
        <v>0</v>
      </c>
      <c r="E369" s="23">
        <f ca="1">IFERROR(__xludf.DUMMYFUNCTION("""COMPUTED_VALUE"""),0)</f>
        <v>0</v>
      </c>
      <c r="F369" s="23">
        <f ca="1">IFERROR(__xludf.DUMMYFUNCTION("""COMPUTED_VALUE"""),0)</f>
        <v>0</v>
      </c>
      <c r="G369" s="23">
        <f ca="1">IFERROR(__xludf.DUMMYFUNCTION("""COMPUTED_VALUE"""),0)</f>
        <v>0</v>
      </c>
      <c r="H369" s="23">
        <f ca="1">IFERROR(__xludf.DUMMYFUNCTION("""COMPUTED_VALUE"""),0)</f>
        <v>0</v>
      </c>
      <c r="I369" s="23">
        <f ca="1">IFERROR(__xludf.DUMMYFUNCTION("""COMPUTED_VALUE"""),0)</f>
        <v>0</v>
      </c>
      <c r="J369" s="23">
        <f ca="1">IFERROR(__xludf.DUMMYFUNCTION("""COMPUTED_VALUE"""),0)</f>
        <v>0</v>
      </c>
      <c r="K369" s="23">
        <f ca="1">IFERROR(__xludf.DUMMYFUNCTION("""COMPUTED_VALUE"""),0)</f>
        <v>0</v>
      </c>
      <c r="L369" s="23">
        <f ca="1">IFERROR(__xludf.DUMMYFUNCTION("""COMPUTED_VALUE"""),0)</f>
        <v>0</v>
      </c>
      <c r="M369" s="23">
        <f ca="1">IFERROR(__xludf.DUMMYFUNCTION("""COMPUTED_VALUE"""),0)</f>
        <v>0</v>
      </c>
      <c r="N369" s="23">
        <f ca="1">IFERROR(__xludf.DUMMYFUNCTION("""COMPUTED_VALUE"""),0)</f>
        <v>0</v>
      </c>
      <c r="O369" s="23">
        <f ca="1">IFERROR(__xludf.DUMMYFUNCTION("""COMPUTED_VALUE"""),0)</f>
        <v>0</v>
      </c>
      <c r="P369" s="23">
        <f ca="1">IFERROR(__xludf.DUMMYFUNCTION("""COMPUTED_VALUE"""),0)</f>
        <v>0</v>
      </c>
      <c r="Q369" s="24">
        <f ca="1">IFERROR(__xludf.DUMMYFUNCTION("""COMPUTED_VALUE"""),0)</f>
        <v>0</v>
      </c>
      <c r="R369" s="20"/>
    </row>
    <row r="370" spans="1:18" ht="13.2" hidden="1" outlineLevel="1" x14ac:dyDescent="0.25">
      <c r="A370" s="1"/>
      <c r="B370" s="21" t="str">
        <f ca="1">IFERROR(__xludf.DUMMYFUNCTION("""COMPUTED_VALUE"""),"Querosenos")</f>
        <v>Querosenos</v>
      </c>
      <c r="C370" s="22">
        <f ca="1">IFERROR(__xludf.DUMMYFUNCTION("""COMPUTED_VALUE"""),0)</f>
        <v>0</v>
      </c>
      <c r="D370" s="23">
        <f ca="1">IFERROR(__xludf.DUMMYFUNCTION("""COMPUTED_VALUE"""),0)</f>
        <v>0</v>
      </c>
      <c r="E370" s="23">
        <f ca="1">IFERROR(__xludf.DUMMYFUNCTION("""COMPUTED_VALUE"""),0)</f>
        <v>0</v>
      </c>
      <c r="F370" s="23">
        <f ca="1">IFERROR(__xludf.DUMMYFUNCTION("""COMPUTED_VALUE"""),0)</f>
        <v>0</v>
      </c>
      <c r="G370" s="23">
        <f ca="1">IFERROR(__xludf.DUMMYFUNCTION("""COMPUTED_VALUE"""),0)</f>
        <v>0</v>
      </c>
      <c r="H370" s="23">
        <f ca="1">IFERROR(__xludf.DUMMYFUNCTION("""COMPUTED_VALUE"""),0)</f>
        <v>0</v>
      </c>
      <c r="I370" s="23">
        <f ca="1">IFERROR(__xludf.DUMMYFUNCTION("""COMPUTED_VALUE"""),0)</f>
        <v>0</v>
      </c>
      <c r="J370" s="23">
        <f ca="1">IFERROR(__xludf.DUMMYFUNCTION("""COMPUTED_VALUE"""),0)</f>
        <v>0</v>
      </c>
      <c r="K370" s="23">
        <f ca="1">IFERROR(__xludf.DUMMYFUNCTION("""COMPUTED_VALUE"""),0)</f>
        <v>0</v>
      </c>
      <c r="L370" s="23">
        <f ca="1">IFERROR(__xludf.DUMMYFUNCTION("""COMPUTED_VALUE"""),0)</f>
        <v>0</v>
      </c>
      <c r="M370" s="23">
        <f ca="1">IFERROR(__xludf.DUMMYFUNCTION("""COMPUTED_VALUE"""),0)</f>
        <v>0</v>
      </c>
      <c r="N370" s="23">
        <f ca="1">IFERROR(__xludf.DUMMYFUNCTION("""COMPUTED_VALUE"""),0)</f>
        <v>0</v>
      </c>
      <c r="O370" s="23">
        <f ca="1">IFERROR(__xludf.DUMMYFUNCTION("""COMPUTED_VALUE"""),0)</f>
        <v>0</v>
      </c>
      <c r="P370" s="23">
        <f ca="1">IFERROR(__xludf.DUMMYFUNCTION("""COMPUTED_VALUE"""),0)</f>
        <v>0</v>
      </c>
      <c r="Q370" s="24">
        <f ca="1">IFERROR(__xludf.DUMMYFUNCTION("""COMPUTED_VALUE"""),0)</f>
        <v>0</v>
      </c>
      <c r="R370" s="20"/>
    </row>
    <row r="371" spans="1:18" ht="13.2" hidden="1" outlineLevel="1" x14ac:dyDescent="0.25">
      <c r="A371" s="1"/>
      <c r="B371" s="21" t="str">
        <f ca="1">IFERROR(__xludf.DUMMYFUNCTION("""COMPUTED_VALUE"""),"Diesel")</f>
        <v>Diesel</v>
      </c>
      <c r="C371" s="22">
        <f ca="1">IFERROR(__xludf.DUMMYFUNCTION("""COMPUTED_VALUE"""),-3.61176154115405)</f>
        <v>-3.61176154115405</v>
      </c>
      <c r="D371" s="23">
        <f ca="1">IFERROR(__xludf.DUMMYFUNCTION("""COMPUTED_VALUE"""),-4.7784473777745)</f>
        <v>-4.7784473777744996</v>
      </c>
      <c r="E371" s="23">
        <f ca="1">IFERROR(__xludf.DUMMYFUNCTION("""COMPUTED_VALUE"""),-6.90555043775255)</f>
        <v>-6.9055504377525496</v>
      </c>
      <c r="F371" s="23">
        <f ca="1">IFERROR(__xludf.DUMMYFUNCTION("""COMPUTED_VALUE"""),-6.5887279589261)</f>
        <v>-6.5887279589260999</v>
      </c>
      <c r="G371" s="23">
        <f ca="1">IFERROR(__xludf.DUMMYFUNCTION("""COMPUTED_VALUE"""),-3.63495382685068)</f>
        <v>-3.6349538268506798</v>
      </c>
      <c r="H371" s="23">
        <f ca="1">IFERROR(__xludf.DUMMYFUNCTION("""COMPUTED_VALUE"""),-3.8162529929518)</f>
        <v>-3.8162529929517999</v>
      </c>
      <c r="I371" s="23">
        <f ca="1">IFERROR(__xludf.DUMMYFUNCTION("""COMPUTED_VALUE"""),-5.43540811714724)</f>
        <v>-5.4354081171472401</v>
      </c>
      <c r="J371" s="23">
        <f ca="1">IFERROR(__xludf.DUMMYFUNCTION("""COMPUTED_VALUE"""),-4.20091233258995)</f>
        <v>-4.20091233258995</v>
      </c>
      <c r="K371" s="23">
        <f ca="1">IFERROR(__xludf.DUMMYFUNCTION("""COMPUTED_VALUE"""),-6.60688755789253)</f>
        <v>-6.6068875578925299</v>
      </c>
      <c r="L371" s="23">
        <f ca="1">IFERROR(__xludf.DUMMYFUNCTION("""COMPUTED_VALUE"""),-8.86258719904619)</f>
        <v>-8.8625871990461906</v>
      </c>
      <c r="M371" s="23">
        <f ca="1">IFERROR(__xludf.DUMMYFUNCTION("""COMPUTED_VALUE"""),-4.03404565158493)</f>
        <v>-4.0340456515849299</v>
      </c>
      <c r="N371" s="23">
        <f ca="1">IFERROR(__xludf.DUMMYFUNCTION("""COMPUTED_VALUE"""),-3.0354821726859)</f>
        <v>-3.0354821726858998</v>
      </c>
      <c r="O371" s="23">
        <f ca="1">IFERROR(__xludf.DUMMYFUNCTION("""COMPUTED_VALUE"""),-4.83646845840114)</f>
        <v>-4.8364684584011401</v>
      </c>
      <c r="P371" s="23">
        <f ca="1">IFERROR(__xludf.DUMMYFUNCTION("""COMPUTED_VALUE"""),-5.41798886994847)</f>
        <v>-5.41798886994847</v>
      </c>
      <c r="Q371" s="24">
        <f ca="1">IFERROR(__xludf.DUMMYFUNCTION("""COMPUTED_VALUE"""),-5.11880823766607)</f>
        <v>-5.1188082376660704</v>
      </c>
      <c r="R371" s="20"/>
    </row>
    <row r="372" spans="1:18" ht="13.2" hidden="1" outlineLevel="1" x14ac:dyDescent="0.25">
      <c r="A372" s="1"/>
      <c r="B372" s="21" t="str">
        <f ca="1">IFERROR(__xludf.DUMMYFUNCTION("""COMPUTED_VALUE"""),"Combustóleo")</f>
        <v>Combustóleo</v>
      </c>
      <c r="C372" s="22">
        <f ca="1">IFERROR(__xludf.DUMMYFUNCTION("""COMPUTED_VALUE"""),-5.79240727681806)</f>
        <v>-5.7924072768180599</v>
      </c>
      <c r="D372" s="23">
        <f ca="1">IFERROR(__xludf.DUMMYFUNCTION("""COMPUTED_VALUE"""),-13.8678818506349)</f>
        <v>-13.8678818506349</v>
      </c>
      <c r="E372" s="23">
        <f ca="1">IFERROR(__xludf.DUMMYFUNCTION("""COMPUTED_VALUE"""),-8.66109664140171)</f>
        <v>-8.6610966414017092</v>
      </c>
      <c r="F372" s="23">
        <f ca="1">IFERROR(__xludf.DUMMYFUNCTION("""COMPUTED_VALUE"""),-8.07113872147887)</f>
        <v>-8.0711387214788708</v>
      </c>
      <c r="G372" s="23">
        <f ca="1">IFERROR(__xludf.DUMMYFUNCTION("""COMPUTED_VALUE"""),-6.8598028340962)</f>
        <v>-6.8598028340962003</v>
      </c>
      <c r="H372" s="23">
        <f ca="1">IFERROR(__xludf.DUMMYFUNCTION("""COMPUTED_VALUE"""),-3.11327898102732)</f>
        <v>-3.11327898102732</v>
      </c>
      <c r="I372" s="23">
        <f ca="1">IFERROR(__xludf.DUMMYFUNCTION("""COMPUTED_VALUE"""),-5.41688642764477)</f>
        <v>-5.4168864276447701</v>
      </c>
      <c r="J372" s="23">
        <f ca="1">IFERROR(__xludf.DUMMYFUNCTION("""COMPUTED_VALUE"""),-6.30797472059807)</f>
        <v>-6.3079747205980699</v>
      </c>
      <c r="K372" s="23">
        <f ca="1">IFERROR(__xludf.DUMMYFUNCTION("""COMPUTED_VALUE"""),-3.70442098393896)</f>
        <v>-3.7044209839389599</v>
      </c>
      <c r="L372" s="23">
        <f ca="1">IFERROR(__xludf.DUMMYFUNCTION("""COMPUTED_VALUE"""),-5.50971821706292)</f>
        <v>-5.50971821706292</v>
      </c>
      <c r="M372" s="23">
        <f ca="1">IFERROR(__xludf.DUMMYFUNCTION("""COMPUTED_VALUE"""),-5.03503906972116)</f>
        <v>-5.0350390697211598</v>
      </c>
      <c r="N372" s="23">
        <f ca="1">IFERROR(__xludf.DUMMYFUNCTION("""COMPUTED_VALUE"""),-5.21949038617455)</f>
        <v>-5.2194903861745496</v>
      </c>
      <c r="O372" s="23">
        <f ca="1">IFERROR(__xludf.DUMMYFUNCTION("""COMPUTED_VALUE"""),-3.64341870318206)</f>
        <v>-3.6434187031820602</v>
      </c>
      <c r="P372" s="23">
        <f ca="1">IFERROR(__xludf.DUMMYFUNCTION("""COMPUTED_VALUE"""),-3.32791427810094)</f>
        <v>-3.3279142781009399</v>
      </c>
      <c r="Q372" s="24">
        <f ca="1">IFERROR(__xludf.DUMMYFUNCTION("""COMPUTED_VALUE"""),-2.53505889261641)</f>
        <v>-2.5350588926164099</v>
      </c>
      <c r="R372" s="20"/>
    </row>
    <row r="373" spans="1:18" ht="13.2" hidden="1" outlineLevel="1" x14ac:dyDescent="0.25">
      <c r="A373" s="1"/>
      <c r="B373" s="21" t="str">
        <f ca="1">IFERROR(__xludf.DUMMYFUNCTION("""COMPUTED_VALUE"""),"Otros energéticos")</f>
        <v>Otros energéticos</v>
      </c>
      <c r="C373" s="22">
        <f ca="1">IFERROR(__xludf.DUMMYFUNCTION("""COMPUTED_VALUE"""),0)</f>
        <v>0</v>
      </c>
      <c r="D373" s="23">
        <f ca="1">IFERROR(__xludf.DUMMYFUNCTION("""COMPUTED_VALUE"""),0)</f>
        <v>0</v>
      </c>
      <c r="E373" s="23">
        <f ca="1">IFERROR(__xludf.DUMMYFUNCTION("""COMPUTED_VALUE"""),0)</f>
        <v>0</v>
      </c>
      <c r="F373" s="23">
        <f ca="1">IFERROR(__xludf.DUMMYFUNCTION("""COMPUTED_VALUE"""),0)</f>
        <v>0</v>
      </c>
      <c r="G373" s="23">
        <f ca="1">IFERROR(__xludf.DUMMYFUNCTION("""COMPUTED_VALUE"""),0)</f>
        <v>0</v>
      </c>
      <c r="H373" s="23">
        <f ca="1">IFERROR(__xludf.DUMMYFUNCTION("""COMPUTED_VALUE"""),0)</f>
        <v>0</v>
      </c>
      <c r="I373" s="23">
        <f ca="1">IFERROR(__xludf.DUMMYFUNCTION("""COMPUTED_VALUE"""),0)</f>
        <v>0</v>
      </c>
      <c r="J373" s="23">
        <f ca="1">IFERROR(__xludf.DUMMYFUNCTION("""COMPUTED_VALUE"""),0)</f>
        <v>0</v>
      </c>
      <c r="K373" s="23">
        <f ca="1">IFERROR(__xludf.DUMMYFUNCTION("""COMPUTED_VALUE"""),0)</f>
        <v>0</v>
      </c>
      <c r="L373" s="23">
        <f ca="1">IFERROR(__xludf.DUMMYFUNCTION("""COMPUTED_VALUE"""),0)</f>
        <v>0</v>
      </c>
      <c r="M373" s="23">
        <f ca="1">IFERROR(__xludf.DUMMYFUNCTION("""COMPUTED_VALUE"""),0)</f>
        <v>0</v>
      </c>
      <c r="N373" s="23">
        <f ca="1">IFERROR(__xludf.DUMMYFUNCTION("""COMPUTED_VALUE"""),0)</f>
        <v>0</v>
      </c>
      <c r="O373" s="23">
        <f ca="1">IFERROR(__xludf.DUMMYFUNCTION("""COMPUTED_VALUE"""),0)</f>
        <v>0</v>
      </c>
      <c r="P373" s="23">
        <f ca="1">IFERROR(__xludf.DUMMYFUNCTION("""COMPUTED_VALUE"""),0)</f>
        <v>0</v>
      </c>
      <c r="Q373" s="24">
        <f ca="1">IFERROR(__xludf.DUMMYFUNCTION("""COMPUTED_VALUE"""),0)</f>
        <v>0</v>
      </c>
      <c r="R373" s="20"/>
    </row>
    <row r="374" spans="1:18" ht="13.2" hidden="1" outlineLevel="1" x14ac:dyDescent="0.25">
      <c r="A374" s="1"/>
      <c r="B374" s="21" t="str">
        <f ca="1">IFERROR(__xludf.DUMMYFUNCTION("""COMPUTED_VALUE"""),"Gas natural seco")</f>
        <v>Gas natural seco</v>
      </c>
      <c r="C374" s="22">
        <f ca="1">IFERROR(__xludf.DUMMYFUNCTION("""COMPUTED_VALUE"""),-15.7681486404834)</f>
        <v>-15.7681486404834</v>
      </c>
      <c r="D374" s="23">
        <f ca="1">IFERROR(__xludf.DUMMYFUNCTION("""COMPUTED_VALUE"""),-9.17579446142805)</f>
        <v>-9.1757944614280493</v>
      </c>
      <c r="E374" s="23">
        <f ca="1">IFERROR(__xludf.DUMMYFUNCTION("""COMPUTED_VALUE"""),-8.26164807786307)</f>
        <v>-8.2616480778630699</v>
      </c>
      <c r="F374" s="23">
        <f ca="1">IFERROR(__xludf.DUMMYFUNCTION("""COMPUTED_VALUE"""),-14.9855392899638)</f>
        <v>-14.9855392899638</v>
      </c>
      <c r="G374" s="23">
        <f ca="1">IFERROR(__xludf.DUMMYFUNCTION("""COMPUTED_VALUE"""),-13.944587522081)</f>
        <v>-13.944587522080999</v>
      </c>
      <c r="H374" s="23">
        <f ca="1">IFERROR(__xludf.DUMMYFUNCTION("""COMPUTED_VALUE"""),-28.1345713127178)</f>
        <v>-28.134571312717799</v>
      </c>
      <c r="I374" s="23">
        <f ca="1">IFERROR(__xludf.DUMMYFUNCTION("""COMPUTED_VALUE"""),-28.8164976920306)</f>
        <v>-28.816497692030602</v>
      </c>
      <c r="J374" s="23">
        <f ca="1">IFERROR(__xludf.DUMMYFUNCTION("""COMPUTED_VALUE"""),-15.0248563426233)</f>
        <v>-15.0248563426233</v>
      </c>
      <c r="K374" s="23">
        <f ca="1">IFERROR(__xludf.DUMMYFUNCTION("""COMPUTED_VALUE"""),-24.540016136264)</f>
        <v>-24.540016136264001</v>
      </c>
      <c r="L374" s="23">
        <f ca="1">IFERROR(__xludf.DUMMYFUNCTION("""COMPUTED_VALUE"""),-32.3057831745644)</f>
        <v>-32.305783174564397</v>
      </c>
      <c r="M374" s="23">
        <f ca="1">IFERROR(__xludf.DUMMYFUNCTION("""COMPUTED_VALUE"""),-65.3391948284004)</f>
        <v>-65.339194828400394</v>
      </c>
      <c r="N374" s="23">
        <f ca="1">IFERROR(__xludf.DUMMYFUNCTION("""COMPUTED_VALUE"""),-46.7489115390246)</f>
        <v>-46.748911539024597</v>
      </c>
      <c r="O374" s="23">
        <f ca="1">IFERROR(__xludf.DUMMYFUNCTION("""COMPUTED_VALUE"""),-53.5213641537187)</f>
        <v>-53.5213641537187</v>
      </c>
      <c r="P374" s="23">
        <f ca="1">IFERROR(__xludf.DUMMYFUNCTION("""COMPUTED_VALUE"""),-50.6447381570957)</f>
        <v>-50.644738157095702</v>
      </c>
      <c r="Q374" s="24">
        <f ca="1">IFERROR(__xludf.DUMMYFUNCTION("""COMPUTED_VALUE"""),-36.6994263565891)</f>
        <v>-36.6994263565891</v>
      </c>
      <c r="R374" s="20"/>
    </row>
    <row r="375" spans="1:18" ht="13.2" hidden="1" outlineLevel="1" x14ac:dyDescent="0.25">
      <c r="A375" s="1"/>
      <c r="B375" s="25" t="str">
        <f ca="1">IFERROR(__xludf.DUMMYFUNCTION("""COMPUTED_VALUE"""),"Energía eléctrica")</f>
        <v>Energía eléctrica</v>
      </c>
      <c r="C375" s="26">
        <f ca="1">IFERROR(__xludf.DUMMYFUNCTION("""COMPUTED_VALUE"""),7.26786494279418)</f>
        <v>7.2678649427941799</v>
      </c>
      <c r="D375" s="27">
        <f ca="1">IFERROR(__xludf.DUMMYFUNCTION("""COMPUTED_VALUE"""),7.41800918375406)</f>
        <v>7.4180091837540596</v>
      </c>
      <c r="E375" s="27">
        <f ca="1">IFERROR(__xludf.DUMMYFUNCTION("""COMPUTED_VALUE"""),7.92572933915366)</f>
        <v>7.9257293391536603</v>
      </c>
      <c r="F375" s="27">
        <f ca="1">IFERROR(__xludf.DUMMYFUNCTION("""COMPUTED_VALUE"""),8.43002768267325)</f>
        <v>8.4300276826732503</v>
      </c>
      <c r="G375" s="27">
        <f ca="1">IFERROR(__xludf.DUMMYFUNCTION("""COMPUTED_VALUE"""),9.2520489509926)</f>
        <v>9.2520489509926005</v>
      </c>
      <c r="H375" s="27">
        <f ca="1">IFERROR(__xludf.DUMMYFUNCTION("""COMPUTED_VALUE"""),10.5350520751115)</f>
        <v>10.5350520751115</v>
      </c>
      <c r="I375" s="27">
        <f ca="1">IFERROR(__xludf.DUMMYFUNCTION("""COMPUTED_VALUE"""),12.3644800990701)</f>
        <v>12.3644800990701</v>
      </c>
      <c r="J375" s="27">
        <f ca="1">IFERROR(__xludf.DUMMYFUNCTION("""COMPUTED_VALUE"""),9.42639165035245)</f>
        <v>9.4263916503524499</v>
      </c>
      <c r="K375" s="27">
        <f ca="1">IFERROR(__xludf.DUMMYFUNCTION("""COMPUTED_VALUE"""),10.3317121601917)</f>
        <v>10.331712160191699</v>
      </c>
      <c r="L375" s="27">
        <f ca="1">IFERROR(__xludf.DUMMYFUNCTION("""COMPUTED_VALUE"""),12.5210242072699)</f>
        <v>12.5210242072699</v>
      </c>
      <c r="M375" s="27">
        <f ca="1">IFERROR(__xludf.DUMMYFUNCTION("""COMPUTED_VALUE"""),19.9728293820389)</f>
        <v>19.972829382038899</v>
      </c>
      <c r="N375" s="27">
        <f ca="1">IFERROR(__xludf.DUMMYFUNCTION("""COMPUTED_VALUE"""),20.1758233142328)</f>
        <v>20.175823314232801</v>
      </c>
      <c r="O375" s="27">
        <f ca="1">IFERROR(__xludf.DUMMYFUNCTION("""COMPUTED_VALUE"""),16.4198994351287)</f>
        <v>16.419899435128698</v>
      </c>
      <c r="P375" s="27">
        <f ca="1">IFERROR(__xludf.DUMMYFUNCTION("""COMPUTED_VALUE"""),19.2547272316988)</f>
        <v>19.254727231698801</v>
      </c>
      <c r="Q375" s="28">
        <f ca="1">IFERROR(__xludf.DUMMYFUNCTION("""COMPUTED_VALUE"""),16.9129756727864)</f>
        <v>16.912975672786398</v>
      </c>
      <c r="R375" s="20"/>
    </row>
    <row r="376" spans="1:18" ht="13.2" hidden="1" outlineLevel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0"/>
    </row>
    <row r="377" spans="1:18" ht="13.2" collapsed="1" x14ac:dyDescent="0.25">
      <c r="A377" s="30"/>
      <c r="B377" s="5" t="str">
        <f ca="1">IFERROR(__xludf.DUMMYFUNCTION("""COMPUTED_VALUE"""),"CE.TG(e,a)")</f>
        <v>CE.TG(e,a)</v>
      </c>
      <c r="C377" s="6" t="str">
        <f ca="1">IFERROR(__xludf.DUMMYFUNCTION("""COMPUTED_VALUE"""),"-/+")</f>
        <v>-/+</v>
      </c>
      <c r="D377" s="7" t="str">
        <f ca="1">IFERROR(__xludf.DUMMYFUNCTION("""COMPUTED_VALUE"""),"Turbogas por energético e y año a.")</f>
        <v>Turbogas por energético e y año a.</v>
      </c>
      <c r="E377" s="6" t="str">
        <f ca="1">IFERROR(__xludf.DUMMYFUNCTION("""COMPUTED_VALUE"""),"cbne")</f>
        <v>cbne</v>
      </c>
      <c r="F377" s="6" t="str">
        <f ca="1">IFERROR(__xludf.DUMMYFUNCTION("""COMPUTED_VALUE"""),"a")</f>
        <v>a</v>
      </c>
      <c r="G377" s="8" t="str">
        <f ca="1">IFERROR(__xludf.DUMMYFUNCTION("""COMPUTED_VALUE"""),"PJ")</f>
        <v>PJ</v>
      </c>
      <c r="H377" s="9"/>
      <c r="I377" s="1"/>
      <c r="J377" s="1"/>
      <c r="K377" s="1"/>
      <c r="L377" s="1"/>
      <c r="M377" s="1"/>
      <c r="N377" s="1"/>
      <c r="O377" s="1"/>
      <c r="P377" s="1"/>
      <c r="Q377" s="1"/>
      <c r="R377" s="10"/>
    </row>
    <row r="378" spans="1:18" ht="13.2" hidden="1" outlineLevel="1" x14ac:dyDescent="0.25">
      <c r="A378" s="1"/>
      <c r="B378" s="11"/>
      <c r="C378" s="12">
        <f ca="1">IFERROR(__xludf.DUMMYFUNCTION("""COMPUTED_VALUE"""),2010)</f>
        <v>2010</v>
      </c>
      <c r="D378" s="13">
        <f ca="1">IFERROR(__xludf.DUMMYFUNCTION("""COMPUTED_VALUE"""),2011)</f>
        <v>2011</v>
      </c>
      <c r="E378" s="13">
        <f ca="1">IFERROR(__xludf.DUMMYFUNCTION("""COMPUTED_VALUE"""),2012)</f>
        <v>2012</v>
      </c>
      <c r="F378" s="13">
        <f ca="1">IFERROR(__xludf.DUMMYFUNCTION("""COMPUTED_VALUE"""),2013)</f>
        <v>2013</v>
      </c>
      <c r="G378" s="13">
        <f ca="1">IFERROR(__xludf.DUMMYFUNCTION("""COMPUTED_VALUE"""),2014)</f>
        <v>2014</v>
      </c>
      <c r="H378" s="13">
        <f ca="1">IFERROR(__xludf.DUMMYFUNCTION("""COMPUTED_VALUE"""),2015)</f>
        <v>2015</v>
      </c>
      <c r="I378" s="13">
        <f ca="1">IFERROR(__xludf.DUMMYFUNCTION("""COMPUTED_VALUE"""),2016)</f>
        <v>2016</v>
      </c>
      <c r="J378" s="13">
        <f ca="1">IFERROR(__xludf.DUMMYFUNCTION("""COMPUTED_VALUE"""),2017)</f>
        <v>2017</v>
      </c>
      <c r="K378" s="13">
        <f ca="1">IFERROR(__xludf.DUMMYFUNCTION("""COMPUTED_VALUE"""),2018)</f>
        <v>2018</v>
      </c>
      <c r="L378" s="13">
        <f ca="1">IFERROR(__xludf.DUMMYFUNCTION("""COMPUTED_VALUE"""),2019)</f>
        <v>2019</v>
      </c>
      <c r="M378" s="13">
        <f ca="1">IFERROR(__xludf.DUMMYFUNCTION("""COMPUTED_VALUE"""),2020)</f>
        <v>2020</v>
      </c>
      <c r="N378" s="13">
        <f ca="1">IFERROR(__xludf.DUMMYFUNCTION("""COMPUTED_VALUE"""),2021)</f>
        <v>2021</v>
      </c>
      <c r="O378" s="13">
        <f ca="1">IFERROR(__xludf.DUMMYFUNCTION("""COMPUTED_VALUE"""),2022)</f>
        <v>2022</v>
      </c>
      <c r="P378" s="13">
        <f ca="1">IFERROR(__xludf.DUMMYFUNCTION("""COMPUTED_VALUE"""),2023)</f>
        <v>2023</v>
      </c>
      <c r="Q378" s="14">
        <f ca="1">IFERROR(__xludf.DUMMYFUNCTION("""COMPUTED_VALUE"""),2024)</f>
        <v>2024</v>
      </c>
      <c r="R378" s="15"/>
    </row>
    <row r="379" spans="1:18" ht="13.2" hidden="1" outlineLevel="1" x14ac:dyDescent="0.25">
      <c r="A379" s="1"/>
      <c r="B379" s="16" t="str">
        <f ca="1">IFERROR(__xludf.DUMMYFUNCTION("""COMPUTED_VALUE"""),"Carbón mineral")</f>
        <v>Carbón mineral</v>
      </c>
      <c r="C379" s="17">
        <f ca="1">IFERROR(__xludf.DUMMYFUNCTION("""COMPUTED_VALUE"""),0)</f>
        <v>0</v>
      </c>
      <c r="D379" s="18">
        <f ca="1">IFERROR(__xludf.DUMMYFUNCTION("""COMPUTED_VALUE"""),0)</f>
        <v>0</v>
      </c>
      <c r="E379" s="18">
        <f ca="1">IFERROR(__xludf.DUMMYFUNCTION("""COMPUTED_VALUE"""),0)</f>
        <v>0</v>
      </c>
      <c r="F379" s="18">
        <f ca="1">IFERROR(__xludf.DUMMYFUNCTION("""COMPUTED_VALUE"""),0)</f>
        <v>0</v>
      </c>
      <c r="G379" s="18">
        <f ca="1">IFERROR(__xludf.DUMMYFUNCTION("""COMPUTED_VALUE"""),0)</f>
        <v>0</v>
      </c>
      <c r="H379" s="18">
        <f ca="1">IFERROR(__xludf.DUMMYFUNCTION("""COMPUTED_VALUE"""),0)</f>
        <v>0</v>
      </c>
      <c r="I379" s="18">
        <f ca="1">IFERROR(__xludf.DUMMYFUNCTION("""COMPUTED_VALUE"""),0)</f>
        <v>0</v>
      </c>
      <c r="J379" s="18">
        <f ca="1">IFERROR(__xludf.DUMMYFUNCTION("""COMPUTED_VALUE"""),0)</f>
        <v>0</v>
      </c>
      <c r="K379" s="18">
        <f ca="1">IFERROR(__xludf.DUMMYFUNCTION("""COMPUTED_VALUE"""),0)</f>
        <v>0</v>
      </c>
      <c r="L379" s="18">
        <f ca="1">IFERROR(__xludf.DUMMYFUNCTION("""COMPUTED_VALUE"""),0)</f>
        <v>0</v>
      </c>
      <c r="M379" s="18">
        <f ca="1">IFERROR(__xludf.DUMMYFUNCTION("""COMPUTED_VALUE"""),0)</f>
        <v>0</v>
      </c>
      <c r="N379" s="18">
        <f ca="1">IFERROR(__xludf.DUMMYFUNCTION("""COMPUTED_VALUE"""),0)</f>
        <v>0</v>
      </c>
      <c r="O379" s="18">
        <f ca="1">IFERROR(__xludf.DUMMYFUNCTION("""COMPUTED_VALUE"""),0)</f>
        <v>0</v>
      </c>
      <c r="P379" s="18">
        <f ca="1">IFERROR(__xludf.DUMMYFUNCTION("""COMPUTED_VALUE"""),0)</f>
        <v>0</v>
      </c>
      <c r="Q379" s="19">
        <f ca="1">IFERROR(__xludf.DUMMYFUNCTION("""COMPUTED_VALUE"""),0)</f>
        <v>0</v>
      </c>
      <c r="R379" s="20"/>
    </row>
    <row r="380" spans="1:18" ht="13.2" hidden="1" outlineLevel="1" x14ac:dyDescent="0.25">
      <c r="A380" s="1"/>
      <c r="B380" s="21" t="str">
        <f ca="1">IFERROR(__xludf.DUMMYFUNCTION("""COMPUTED_VALUE"""),"Petróleo crudo")</f>
        <v>Petróleo crudo</v>
      </c>
      <c r="C380" s="22">
        <f ca="1">IFERROR(__xludf.DUMMYFUNCTION("""COMPUTED_VALUE"""),0)</f>
        <v>0</v>
      </c>
      <c r="D380" s="23">
        <f ca="1">IFERROR(__xludf.DUMMYFUNCTION("""COMPUTED_VALUE"""),0)</f>
        <v>0</v>
      </c>
      <c r="E380" s="23">
        <f ca="1">IFERROR(__xludf.DUMMYFUNCTION("""COMPUTED_VALUE"""),0)</f>
        <v>0</v>
      </c>
      <c r="F380" s="23">
        <f ca="1">IFERROR(__xludf.DUMMYFUNCTION("""COMPUTED_VALUE"""),0)</f>
        <v>0</v>
      </c>
      <c r="G380" s="23">
        <f ca="1">IFERROR(__xludf.DUMMYFUNCTION("""COMPUTED_VALUE"""),0)</f>
        <v>0</v>
      </c>
      <c r="H380" s="23">
        <f ca="1">IFERROR(__xludf.DUMMYFUNCTION("""COMPUTED_VALUE"""),0)</f>
        <v>0</v>
      </c>
      <c r="I380" s="23">
        <f ca="1">IFERROR(__xludf.DUMMYFUNCTION("""COMPUTED_VALUE"""),0)</f>
        <v>0</v>
      </c>
      <c r="J380" s="23">
        <f ca="1">IFERROR(__xludf.DUMMYFUNCTION("""COMPUTED_VALUE"""),0)</f>
        <v>0</v>
      </c>
      <c r="K380" s="23">
        <f ca="1">IFERROR(__xludf.DUMMYFUNCTION("""COMPUTED_VALUE"""),0)</f>
        <v>0</v>
      </c>
      <c r="L380" s="23">
        <f ca="1">IFERROR(__xludf.DUMMYFUNCTION("""COMPUTED_VALUE"""),0)</f>
        <v>0</v>
      </c>
      <c r="M380" s="23">
        <f ca="1">IFERROR(__xludf.DUMMYFUNCTION("""COMPUTED_VALUE"""),0)</f>
        <v>0</v>
      </c>
      <c r="N380" s="23">
        <f ca="1">IFERROR(__xludf.DUMMYFUNCTION("""COMPUTED_VALUE"""),0)</f>
        <v>0</v>
      </c>
      <c r="O380" s="23">
        <f ca="1">IFERROR(__xludf.DUMMYFUNCTION("""COMPUTED_VALUE"""),0)</f>
        <v>0</v>
      </c>
      <c r="P380" s="23">
        <f ca="1">IFERROR(__xludf.DUMMYFUNCTION("""COMPUTED_VALUE"""),0)</f>
        <v>0</v>
      </c>
      <c r="Q380" s="24">
        <f ca="1">IFERROR(__xludf.DUMMYFUNCTION("""COMPUTED_VALUE"""),0)</f>
        <v>0</v>
      </c>
      <c r="R380" s="20"/>
    </row>
    <row r="381" spans="1:18" ht="13.2" hidden="1" outlineLevel="1" x14ac:dyDescent="0.25">
      <c r="A381" s="1"/>
      <c r="B381" s="21" t="str">
        <f ca="1">IFERROR(__xludf.DUMMYFUNCTION("""COMPUTED_VALUE"""),"Condensados")</f>
        <v>Condensados</v>
      </c>
      <c r="C381" s="22">
        <f ca="1">IFERROR(__xludf.DUMMYFUNCTION("""COMPUTED_VALUE"""),0)</f>
        <v>0</v>
      </c>
      <c r="D381" s="23">
        <f ca="1">IFERROR(__xludf.DUMMYFUNCTION("""COMPUTED_VALUE"""),0)</f>
        <v>0</v>
      </c>
      <c r="E381" s="23">
        <f ca="1">IFERROR(__xludf.DUMMYFUNCTION("""COMPUTED_VALUE"""),0)</f>
        <v>0</v>
      </c>
      <c r="F381" s="23">
        <f ca="1">IFERROR(__xludf.DUMMYFUNCTION("""COMPUTED_VALUE"""),0)</f>
        <v>0</v>
      </c>
      <c r="G381" s="23">
        <f ca="1">IFERROR(__xludf.DUMMYFUNCTION("""COMPUTED_VALUE"""),0)</f>
        <v>0</v>
      </c>
      <c r="H381" s="23">
        <f ca="1">IFERROR(__xludf.DUMMYFUNCTION("""COMPUTED_VALUE"""),0)</f>
        <v>0</v>
      </c>
      <c r="I381" s="23">
        <f ca="1">IFERROR(__xludf.DUMMYFUNCTION("""COMPUTED_VALUE"""),0)</f>
        <v>0</v>
      </c>
      <c r="J381" s="23">
        <f ca="1">IFERROR(__xludf.DUMMYFUNCTION("""COMPUTED_VALUE"""),0)</f>
        <v>0</v>
      </c>
      <c r="K381" s="23">
        <f ca="1">IFERROR(__xludf.DUMMYFUNCTION("""COMPUTED_VALUE"""),0)</f>
        <v>0</v>
      </c>
      <c r="L381" s="23">
        <f ca="1">IFERROR(__xludf.DUMMYFUNCTION("""COMPUTED_VALUE"""),0)</f>
        <v>0</v>
      </c>
      <c r="M381" s="23">
        <f ca="1">IFERROR(__xludf.DUMMYFUNCTION("""COMPUTED_VALUE"""),0)</f>
        <v>0</v>
      </c>
      <c r="N381" s="23">
        <f ca="1">IFERROR(__xludf.DUMMYFUNCTION("""COMPUTED_VALUE"""),0)</f>
        <v>0</v>
      </c>
      <c r="O381" s="23">
        <f ca="1">IFERROR(__xludf.DUMMYFUNCTION("""COMPUTED_VALUE"""),0)</f>
        <v>0</v>
      </c>
      <c r="P381" s="23">
        <f ca="1">IFERROR(__xludf.DUMMYFUNCTION("""COMPUTED_VALUE"""),0)</f>
        <v>0</v>
      </c>
      <c r="Q381" s="24">
        <f ca="1">IFERROR(__xludf.DUMMYFUNCTION("""COMPUTED_VALUE"""),0)</f>
        <v>0</v>
      </c>
      <c r="R381" s="20"/>
    </row>
    <row r="382" spans="1:18" ht="13.2" hidden="1" outlineLevel="1" x14ac:dyDescent="0.25">
      <c r="A382" s="1"/>
      <c r="B382" s="21" t="str">
        <f ca="1">IFERROR(__xludf.DUMMYFUNCTION("""COMPUTED_VALUE"""),"Gas natural")</f>
        <v>Gas natural</v>
      </c>
      <c r="C382" s="22">
        <f ca="1">IFERROR(__xludf.DUMMYFUNCTION("""COMPUTED_VALUE"""),0)</f>
        <v>0</v>
      </c>
      <c r="D382" s="23">
        <f ca="1">IFERROR(__xludf.DUMMYFUNCTION("""COMPUTED_VALUE"""),0)</f>
        <v>0</v>
      </c>
      <c r="E382" s="23">
        <f ca="1">IFERROR(__xludf.DUMMYFUNCTION("""COMPUTED_VALUE"""),0)</f>
        <v>0</v>
      </c>
      <c r="F382" s="23">
        <f ca="1">IFERROR(__xludf.DUMMYFUNCTION("""COMPUTED_VALUE"""),0)</f>
        <v>0</v>
      </c>
      <c r="G382" s="23">
        <f ca="1">IFERROR(__xludf.DUMMYFUNCTION("""COMPUTED_VALUE"""),0)</f>
        <v>0</v>
      </c>
      <c r="H382" s="23">
        <f ca="1">IFERROR(__xludf.DUMMYFUNCTION("""COMPUTED_VALUE"""),0)</f>
        <v>0</v>
      </c>
      <c r="I382" s="23">
        <f ca="1">IFERROR(__xludf.DUMMYFUNCTION("""COMPUTED_VALUE"""),0)</f>
        <v>0</v>
      </c>
      <c r="J382" s="23">
        <f ca="1">IFERROR(__xludf.DUMMYFUNCTION("""COMPUTED_VALUE"""),0)</f>
        <v>0</v>
      </c>
      <c r="K382" s="23">
        <f ca="1">IFERROR(__xludf.DUMMYFUNCTION("""COMPUTED_VALUE"""),0)</f>
        <v>0</v>
      </c>
      <c r="L382" s="23">
        <f ca="1">IFERROR(__xludf.DUMMYFUNCTION("""COMPUTED_VALUE"""),0)</f>
        <v>0</v>
      </c>
      <c r="M382" s="23">
        <f ca="1">IFERROR(__xludf.DUMMYFUNCTION("""COMPUTED_VALUE"""),0)</f>
        <v>0</v>
      </c>
      <c r="N382" s="23">
        <f ca="1">IFERROR(__xludf.DUMMYFUNCTION("""COMPUTED_VALUE"""),0)</f>
        <v>0</v>
      </c>
      <c r="O382" s="23">
        <f ca="1">IFERROR(__xludf.DUMMYFUNCTION("""COMPUTED_VALUE"""),0)</f>
        <v>0</v>
      </c>
      <c r="P382" s="23">
        <f ca="1">IFERROR(__xludf.DUMMYFUNCTION("""COMPUTED_VALUE"""),0)</f>
        <v>0</v>
      </c>
      <c r="Q382" s="24">
        <f ca="1">IFERROR(__xludf.DUMMYFUNCTION("""COMPUTED_VALUE"""),0)</f>
        <v>0</v>
      </c>
      <c r="R382" s="20"/>
    </row>
    <row r="383" spans="1:18" ht="13.2" hidden="1" outlineLevel="1" x14ac:dyDescent="0.25">
      <c r="A383" s="1"/>
      <c r="B383" s="21" t="str">
        <f ca="1">IFERROR(__xludf.DUMMYFUNCTION("""COMPUTED_VALUE"""),"Energía Nuclear")</f>
        <v>Energía Nuclear</v>
      </c>
      <c r="C383" s="22">
        <f ca="1">IFERROR(__xludf.DUMMYFUNCTION("""COMPUTED_VALUE"""),0)</f>
        <v>0</v>
      </c>
      <c r="D383" s="23">
        <f ca="1">IFERROR(__xludf.DUMMYFUNCTION("""COMPUTED_VALUE"""),0)</f>
        <v>0</v>
      </c>
      <c r="E383" s="23">
        <f ca="1">IFERROR(__xludf.DUMMYFUNCTION("""COMPUTED_VALUE"""),0)</f>
        <v>0</v>
      </c>
      <c r="F383" s="23">
        <f ca="1">IFERROR(__xludf.DUMMYFUNCTION("""COMPUTED_VALUE"""),0)</f>
        <v>0</v>
      </c>
      <c r="G383" s="23">
        <f ca="1">IFERROR(__xludf.DUMMYFUNCTION("""COMPUTED_VALUE"""),0)</f>
        <v>0</v>
      </c>
      <c r="H383" s="23">
        <f ca="1">IFERROR(__xludf.DUMMYFUNCTION("""COMPUTED_VALUE"""),0)</f>
        <v>0</v>
      </c>
      <c r="I383" s="23">
        <f ca="1">IFERROR(__xludf.DUMMYFUNCTION("""COMPUTED_VALUE"""),0)</f>
        <v>0</v>
      </c>
      <c r="J383" s="23">
        <f ca="1">IFERROR(__xludf.DUMMYFUNCTION("""COMPUTED_VALUE"""),0)</f>
        <v>0</v>
      </c>
      <c r="K383" s="23">
        <f ca="1">IFERROR(__xludf.DUMMYFUNCTION("""COMPUTED_VALUE"""),0)</f>
        <v>0</v>
      </c>
      <c r="L383" s="23">
        <f ca="1">IFERROR(__xludf.DUMMYFUNCTION("""COMPUTED_VALUE"""),0)</f>
        <v>0</v>
      </c>
      <c r="M383" s="23">
        <f ca="1">IFERROR(__xludf.DUMMYFUNCTION("""COMPUTED_VALUE"""),0)</f>
        <v>0</v>
      </c>
      <c r="N383" s="23">
        <f ca="1">IFERROR(__xludf.DUMMYFUNCTION("""COMPUTED_VALUE"""),0)</f>
        <v>0</v>
      </c>
      <c r="O383" s="23">
        <f ca="1">IFERROR(__xludf.DUMMYFUNCTION("""COMPUTED_VALUE"""),0)</f>
        <v>0</v>
      </c>
      <c r="P383" s="23">
        <f ca="1">IFERROR(__xludf.DUMMYFUNCTION("""COMPUTED_VALUE"""),0)</f>
        <v>0</v>
      </c>
      <c r="Q383" s="24">
        <f ca="1">IFERROR(__xludf.DUMMYFUNCTION("""COMPUTED_VALUE"""),0)</f>
        <v>0</v>
      </c>
      <c r="R383" s="20"/>
    </row>
    <row r="384" spans="1:18" ht="13.2" hidden="1" outlineLevel="1" x14ac:dyDescent="0.25">
      <c r="A384" s="1"/>
      <c r="B384" s="21" t="str">
        <f ca="1">IFERROR(__xludf.DUMMYFUNCTION("""COMPUTED_VALUE"""),"Energia Hidraúlica")</f>
        <v>Energia Hidraúlica</v>
      </c>
      <c r="C384" s="22">
        <f ca="1">IFERROR(__xludf.DUMMYFUNCTION("""COMPUTED_VALUE"""),0)</f>
        <v>0</v>
      </c>
      <c r="D384" s="23">
        <f ca="1">IFERROR(__xludf.DUMMYFUNCTION("""COMPUTED_VALUE"""),0)</f>
        <v>0</v>
      </c>
      <c r="E384" s="23">
        <f ca="1">IFERROR(__xludf.DUMMYFUNCTION("""COMPUTED_VALUE"""),0)</f>
        <v>0</v>
      </c>
      <c r="F384" s="23">
        <f ca="1">IFERROR(__xludf.DUMMYFUNCTION("""COMPUTED_VALUE"""),0)</f>
        <v>0</v>
      </c>
      <c r="G384" s="23">
        <f ca="1">IFERROR(__xludf.DUMMYFUNCTION("""COMPUTED_VALUE"""),0)</f>
        <v>0</v>
      </c>
      <c r="H384" s="23">
        <f ca="1">IFERROR(__xludf.DUMMYFUNCTION("""COMPUTED_VALUE"""),0)</f>
        <v>0</v>
      </c>
      <c r="I384" s="23">
        <f ca="1">IFERROR(__xludf.DUMMYFUNCTION("""COMPUTED_VALUE"""),0)</f>
        <v>0</v>
      </c>
      <c r="J384" s="23">
        <f ca="1">IFERROR(__xludf.DUMMYFUNCTION("""COMPUTED_VALUE"""),0)</f>
        <v>0</v>
      </c>
      <c r="K384" s="23">
        <f ca="1">IFERROR(__xludf.DUMMYFUNCTION("""COMPUTED_VALUE"""),0)</f>
        <v>0</v>
      </c>
      <c r="L384" s="23">
        <f ca="1">IFERROR(__xludf.DUMMYFUNCTION("""COMPUTED_VALUE"""),0)</f>
        <v>0</v>
      </c>
      <c r="M384" s="23">
        <f ca="1">IFERROR(__xludf.DUMMYFUNCTION("""COMPUTED_VALUE"""),0)</f>
        <v>0</v>
      </c>
      <c r="N384" s="23">
        <f ca="1">IFERROR(__xludf.DUMMYFUNCTION("""COMPUTED_VALUE"""),0)</f>
        <v>0</v>
      </c>
      <c r="O384" s="23">
        <f ca="1">IFERROR(__xludf.DUMMYFUNCTION("""COMPUTED_VALUE"""),0)</f>
        <v>0</v>
      </c>
      <c r="P384" s="23">
        <f ca="1">IFERROR(__xludf.DUMMYFUNCTION("""COMPUTED_VALUE"""),0)</f>
        <v>0</v>
      </c>
      <c r="Q384" s="24">
        <f ca="1">IFERROR(__xludf.DUMMYFUNCTION("""COMPUTED_VALUE"""),0)</f>
        <v>0</v>
      </c>
      <c r="R384" s="20"/>
    </row>
    <row r="385" spans="1:18" ht="13.2" hidden="1" outlineLevel="1" x14ac:dyDescent="0.25">
      <c r="A385" s="1"/>
      <c r="B385" s="21" t="str">
        <f ca="1">IFERROR(__xludf.DUMMYFUNCTION("""COMPUTED_VALUE"""),"Geoenergía")</f>
        <v>Geoenergía</v>
      </c>
      <c r="C385" s="22">
        <f ca="1">IFERROR(__xludf.DUMMYFUNCTION("""COMPUTED_VALUE"""),0)</f>
        <v>0</v>
      </c>
      <c r="D385" s="23">
        <f ca="1">IFERROR(__xludf.DUMMYFUNCTION("""COMPUTED_VALUE"""),0)</f>
        <v>0</v>
      </c>
      <c r="E385" s="23">
        <f ca="1">IFERROR(__xludf.DUMMYFUNCTION("""COMPUTED_VALUE"""),0)</f>
        <v>0</v>
      </c>
      <c r="F385" s="23">
        <f ca="1">IFERROR(__xludf.DUMMYFUNCTION("""COMPUTED_VALUE"""),0)</f>
        <v>0</v>
      </c>
      <c r="G385" s="23">
        <f ca="1">IFERROR(__xludf.DUMMYFUNCTION("""COMPUTED_VALUE"""),0)</f>
        <v>0</v>
      </c>
      <c r="H385" s="23">
        <f ca="1">IFERROR(__xludf.DUMMYFUNCTION("""COMPUTED_VALUE"""),0)</f>
        <v>0</v>
      </c>
      <c r="I385" s="23">
        <f ca="1">IFERROR(__xludf.DUMMYFUNCTION("""COMPUTED_VALUE"""),0)</f>
        <v>0</v>
      </c>
      <c r="J385" s="23">
        <f ca="1">IFERROR(__xludf.DUMMYFUNCTION("""COMPUTED_VALUE"""),0)</f>
        <v>0</v>
      </c>
      <c r="K385" s="23">
        <f ca="1">IFERROR(__xludf.DUMMYFUNCTION("""COMPUTED_VALUE"""),0)</f>
        <v>0</v>
      </c>
      <c r="L385" s="23">
        <f ca="1">IFERROR(__xludf.DUMMYFUNCTION("""COMPUTED_VALUE"""),0)</f>
        <v>0</v>
      </c>
      <c r="M385" s="23">
        <f ca="1">IFERROR(__xludf.DUMMYFUNCTION("""COMPUTED_VALUE"""),0)</f>
        <v>0</v>
      </c>
      <c r="N385" s="23">
        <f ca="1">IFERROR(__xludf.DUMMYFUNCTION("""COMPUTED_VALUE"""),0)</f>
        <v>0</v>
      </c>
      <c r="O385" s="23">
        <f ca="1">IFERROR(__xludf.DUMMYFUNCTION("""COMPUTED_VALUE"""),0)</f>
        <v>0</v>
      </c>
      <c r="P385" s="23">
        <f ca="1">IFERROR(__xludf.DUMMYFUNCTION("""COMPUTED_VALUE"""),0)</f>
        <v>0</v>
      </c>
      <c r="Q385" s="24">
        <f ca="1">IFERROR(__xludf.DUMMYFUNCTION("""COMPUTED_VALUE"""),0)</f>
        <v>0</v>
      </c>
      <c r="R385" s="20"/>
    </row>
    <row r="386" spans="1:18" ht="13.2" hidden="1" outlineLevel="1" x14ac:dyDescent="0.25">
      <c r="A386" s="1"/>
      <c r="B386" s="21" t="str">
        <f ca="1">IFERROR(__xludf.DUMMYFUNCTION("""COMPUTED_VALUE"""),"Energía solar")</f>
        <v>Energía solar</v>
      </c>
      <c r="C386" s="22">
        <f ca="1">IFERROR(__xludf.DUMMYFUNCTION("""COMPUTED_VALUE"""),0)</f>
        <v>0</v>
      </c>
      <c r="D386" s="23">
        <f ca="1">IFERROR(__xludf.DUMMYFUNCTION("""COMPUTED_VALUE"""),0)</f>
        <v>0</v>
      </c>
      <c r="E386" s="23">
        <f ca="1">IFERROR(__xludf.DUMMYFUNCTION("""COMPUTED_VALUE"""),0)</f>
        <v>0</v>
      </c>
      <c r="F386" s="23">
        <f ca="1">IFERROR(__xludf.DUMMYFUNCTION("""COMPUTED_VALUE"""),0)</f>
        <v>0</v>
      </c>
      <c r="G386" s="23">
        <f ca="1">IFERROR(__xludf.DUMMYFUNCTION("""COMPUTED_VALUE"""),0)</f>
        <v>0</v>
      </c>
      <c r="H386" s="23">
        <f ca="1">IFERROR(__xludf.DUMMYFUNCTION("""COMPUTED_VALUE"""),0)</f>
        <v>0</v>
      </c>
      <c r="I386" s="23">
        <f ca="1">IFERROR(__xludf.DUMMYFUNCTION("""COMPUTED_VALUE"""),0)</f>
        <v>0</v>
      </c>
      <c r="J386" s="23">
        <f ca="1">IFERROR(__xludf.DUMMYFUNCTION("""COMPUTED_VALUE"""),0)</f>
        <v>0</v>
      </c>
      <c r="K386" s="23">
        <f ca="1">IFERROR(__xludf.DUMMYFUNCTION("""COMPUTED_VALUE"""),0)</f>
        <v>0</v>
      </c>
      <c r="L386" s="23">
        <f ca="1">IFERROR(__xludf.DUMMYFUNCTION("""COMPUTED_VALUE"""),0)</f>
        <v>0</v>
      </c>
      <c r="M386" s="23">
        <f ca="1">IFERROR(__xludf.DUMMYFUNCTION("""COMPUTED_VALUE"""),0)</f>
        <v>0</v>
      </c>
      <c r="N386" s="23">
        <f ca="1">IFERROR(__xludf.DUMMYFUNCTION("""COMPUTED_VALUE"""),0)</f>
        <v>0</v>
      </c>
      <c r="O386" s="23">
        <f ca="1">IFERROR(__xludf.DUMMYFUNCTION("""COMPUTED_VALUE"""),0)</f>
        <v>0</v>
      </c>
      <c r="P386" s="23">
        <f ca="1">IFERROR(__xludf.DUMMYFUNCTION("""COMPUTED_VALUE"""),0)</f>
        <v>0</v>
      </c>
      <c r="Q386" s="24">
        <f ca="1">IFERROR(__xludf.DUMMYFUNCTION("""COMPUTED_VALUE"""),0)</f>
        <v>0</v>
      </c>
      <c r="R386" s="20"/>
    </row>
    <row r="387" spans="1:18" ht="13.2" hidden="1" outlineLevel="1" x14ac:dyDescent="0.25">
      <c r="A387" s="1"/>
      <c r="B387" s="21" t="str">
        <f ca="1">IFERROR(__xludf.DUMMYFUNCTION("""COMPUTED_VALUE"""),"Energía eólica")</f>
        <v>Energía eólica</v>
      </c>
      <c r="C387" s="22">
        <f ca="1">IFERROR(__xludf.DUMMYFUNCTION("""COMPUTED_VALUE"""),0)</f>
        <v>0</v>
      </c>
      <c r="D387" s="23">
        <f ca="1">IFERROR(__xludf.DUMMYFUNCTION("""COMPUTED_VALUE"""),0)</f>
        <v>0</v>
      </c>
      <c r="E387" s="23">
        <f ca="1">IFERROR(__xludf.DUMMYFUNCTION("""COMPUTED_VALUE"""),0)</f>
        <v>0</v>
      </c>
      <c r="F387" s="23">
        <f ca="1">IFERROR(__xludf.DUMMYFUNCTION("""COMPUTED_VALUE"""),0)</f>
        <v>0</v>
      </c>
      <c r="G387" s="23">
        <f ca="1">IFERROR(__xludf.DUMMYFUNCTION("""COMPUTED_VALUE"""),0)</f>
        <v>0</v>
      </c>
      <c r="H387" s="23">
        <f ca="1">IFERROR(__xludf.DUMMYFUNCTION("""COMPUTED_VALUE"""),0)</f>
        <v>0</v>
      </c>
      <c r="I387" s="23">
        <f ca="1">IFERROR(__xludf.DUMMYFUNCTION("""COMPUTED_VALUE"""),0)</f>
        <v>0</v>
      </c>
      <c r="J387" s="23">
        <f ca="1">IFERROR(__xludf.DUMMYFUNCTION("""COMPUTED_VALUE"""),0)</f>
        <v>0</v>
      </c>
      <c r="K387" s="23">
        <f ca="1">IFERROR(__xludf.DUMMYFUNCTION("""COMPUTED_VALUE"""),0)</f>
        <v>0</v>
      </c>
      <c r="L387" s="23">
        <f ca="1">IFERROR(__xludf.DUMMYFUNCTION("""COMPUTED_VALUE"""),0)</f>
        <v>0</v>
      </c>
      <c r="M387" s="23">
        <f ca="1">IFERROR(__xludf.DUMMYFUNCTION("""COMPUTED_VALUE"""),0)</f>
        <v>0</v>
      </c>
      <c r="N387" s="23">
        <f ca="1">IFERROR(__xludf.DUMMYFUNCTION("""COMPUTED_VALUE"""),0)</f>
        <v>0</v>
      </c>
      <c r="O387" s="23">
        <f ca="1">IFERROR(__xludf.DUMMYFUNCTION("""COMPUTED_VALUE"""),0)</f>
        <v>0</v>
      </c>
      <c r="P387" s="23">
        <f ca="1">IFERROR(__xludf.DUMMYFUNCTION("""COMPUTED_VALUE"""),0)</f>
        <v>0</v>
      </c>
      <c r="Q387" s="24">
        <f ca="1">IFERROR(__xludf.DUMMYFUNCTION("""COMPUTED_VALUE"""),0)</f>
        <v>0</v>
      </c>
      <c r="R387" s="20"/>
    </row>
    <row r="388" spans="1:18" ht="13.2" hidden="1" outlineLevel="1" x14ac:dyDescent="0.25">
      <c r="A388" s="1"/>
      <c r="B388" s="21" t="str">
        <f ca="1">IFERROR(__xludf.DUMMYFUNCTION("""COMPUTED_VALUE"""),"Bagazo de caña")</f>
        <v>Bagazo de caña</v>
      </c>
      <c r="C388" s="22">
        <f ca="1">IFERROR(__xludf.DUMMYFUNCTION("""COMPUTED_VALUE"""),-5.19300910920204)</f>
        <v>-5.1930091092020403</v>
      </c>
      <c r="D388" s="23">
        <f ca="1">IFERROR(__xludf.DUMMYFUNCTION("""COMPUTED_VALUE"""),-7.46094307450846)</f>
        <v>-7.4609430745084602</v>
      </c>
      <c r="E388" s="23">
        <f ca="1">IFERROR(__xludf.DUMMYFUNCTION("""COMPUTED_VALUE"""),-6.68334233064711)</f>
        <v>-6.6833423306471103</v>
      </c>
      <c r="F388" s="23">
        <f ca="1">IFERROR(__xludf.DUMMYFUNCTION("""COMPUTED_VALUE"""),-5.54403216950233)</f>
        <v>-5.54403216950233</v>
      </c>
      <c r="G388" s="23">
        <f ca="1">IFERROR(__xludf.DUMMYFUNCTION("""COMPUTED_VALUE"""),-8.78557011350666)</f>
        <v>-8.78557011350666</v>
      </c>
      <c r="H388" s="23">
        <f ca="1">IFERROR(__xludf.DUMMYFUNCTION("""COMPUTED_VALUE"""),-11.2726702968289)</f>
        <v>-11.272670296828901</v>
      </c>
      <c r="I388" s="23">
        <f ca="1">IFERROR(__xludf.DUMMYFUNCTION("""COMPUTED_VALUE"""),-6.65517859386387)</f>
        <v>-6.6551785938638703</v>
      </c>
      <c r="J388" s="23">
        <f ca="1">IFERROR(__xludf.DUMMYFUNCTION("""COMPUTED_VALUE"""),-7.86057473095967)</f>
        <v>-7.8605747309596703</v>
      </c>
      <c r="K388" s="23">
        <f ca="1">IFERROR(__xludf.DUMMYFUNCTION("""COMPUTED_VALUE"""),-7.6385141519825)</f>
        <v>-7.6385141519825002</v>
      </c>
      <c r="L388" s="23">
        <f ca="1">IFERROR(__xludf.DUMMYFUNCTION("""COMPUTED_VALUE"""),-6.78425007945271)</f>
        <v>-6.7842500794527103</v>
      </c>
      <c r="M388" s="23">
        <f ca="1">IFERROR(__xludf.DUMMYFUNCTION("""COMPUTED_VALUE"""),-6.55863616664299)</f>
        <v>-6.55863616664299</v>
      </c>
      <c r="N388" s="23">
        <f ca="1">IFERROR(__xludf.DUMMYFUNCTION("""COMPUTED_VALUE"""),-6.05426383829657)</f>
        <v>-6.0542638382965697</v>
      </c>
      <c r="O388" s="23">
        <f ca="1">IFERROR(__xludf.DUMMYFUNCTION("""COMPUTED_VALUE"""),-11.2534075639935)</f>
        <v>-11.2534075639935</v>
      </c>
      <c r="P388" s="23">
        <f ca="1">IFERROR(__xludf.DUMMYFUNCTION("""COMPUTED_VALUE"""),-7.41903620906315)</f>
        <v>-7.4190362090631501</v>
      </c>
      <c r="Q388" s="24">
        <f ca="1">IFERROR(__xludf.DUMMYFUNCTION("""COMPUTED_VALUE"""),-4.83126255392927)</f>
        <v>-4.8312625539292702</v>
      </c>
      <c r="R388" s="20"/>
    </row>
    <row r="389" spans="1:18" ht="13.2" hidden="1" outlineLevel="1" x14ac:dyDescent="0.25">
      <c r="A389" s="1"/>
      <c r="B389" s="21" t="str">
        <f ca="1">IFERROR(__xludf.DUMMYFUNCTION("""COMPUTED_VALUE"""),"Leña")</f>
        <v>Leña</v>
      </c>
      <c r="C389" s="22">
        <f ca="1">IFERROR(__xludf.DUMMYFUNCTION("""COMPUTED_VALUE"""),0)</f>
        <v>0</v>
      </c>
      <c r="D389" s="23">
        <f ca="1">IFERROR(__xludf.DUMMYFUNCTION("""COMPUTED_VALUE"""),0)</f>
        <v>0</v>
      </c>
      <c r="E389" s="23">
        <f ca="1">IFERROR(__xludf.DUMMYFUNCTION("""COMPUTED_VALUE"""),0)</f>
        <v>0</v>
      </c>
      <c r="F389" s="23">
        <f ca="1">IFERROR(__xludf.DUMMYFUNCTION("""COMPUTED_VALUE"""),0)</f>
        <v>0</v>
      </c>
      <c r="G389" s="23">
        <f ca="1">IFERROR(__xludf.DUMMYFUNCTION("""COMPUTED_VALUE"""),0)</f>
        <v>0</v>
      </c>
      <c r="H389" s="23">
        <f ca="1">IFERROR(__xludf.DUMMYFUNCTION("""COMPUTED_VALUE"""),0)</f>
        <v>0</v>
      </c>
      <c r="I389" s="23">
        <f ca="1">IFERROR(__xludf.DUMMYFUNCTION("""COMPUTED_VALUE"""),0)</f>
        <v>0</v>
      </c>
      <c r="J389" s="23">
        <f ca="1">IFERROR(__xludf.DUMMYFUNCTION("""COMPUTED_VALUE"""),0)</f>
        <v>0</v>
      </c>
      <c r="K389" s="23">
        <f ca="1">IFERROR(__xludf.DUMMYFUNCTION("""COMPUTED_VALUE"""),0)</f>
        <v>0</v>
      </c>
      <c r="L389" s="23">
        <f ca="1">IFERROR(__xludf.DUMMYFUNCTION("""COMPUTED_VALUE"""),0)</f>
        <v>0</v>
      </c>
      <c r="M389" s="23">
        <f ca="1">IFERROR(__xludf.DUMMYFUNCTION("""COMPUTED_VALUE"""),0)</f>
        <v>0</v>
      </c>
      <c r="N389" s="23">
        <f ca="1">IFERROR(__xludf.DUMMYFUNCTION("""COMPUTED_VALUE"""),0)</f>
        <v>0</v>
      </c>
      <c r="O389" s="23">
        <f ca="1">IFERROR(__xludf.DUMMYFUNCTION("""COMPUTED_VALUE"""),0)</f>
        <v>0</v>
      </c>
      <c r="P389" s="23">
        <f ca="1">IFERROR(__xludf.DUMMYFUNCTION("""COMPUTED_VALUE"""),0)</f>
        <v>0</v>
      </c>
      <c r="Q389" s="24">
        <f ca="1">IFERROR(__xludf.DUMMYFUNCTION("""COMPUTED_VALUE"""),0)</f>
        <v>0</v>
      </c>
      <c r="R389" s="20"/>
    </row>
    <row r="390" spans="1:18" ht="13.2" hidden="1" outlineLevel="1" x14ac:dyDescent="0.25">
      <c r="A390" s="1"/>
      <c r="B390" s="21" t="str">
        <f ca="1">IFERROR(__xludf.DUMMYFUNCTION("""COMPUTED_VALUE"""),"Biogás")</f>
        <v>Biogás</v>
      </c>
      <c r="C390" s="22">
        <f ca="1">IFERROR(__xludf.DUMMYFUNCTION("""COMPUTED_VALUE"""),0)</f>
        <v>0</v>
      </c>
      <c r="D390" s="23">
        <f ca="1">IFERROR(__xludf.DUMMYFUNCTION("""COMPUTED_VALUE"""),0)</f>
        <v>0</v>
      </c>
      <c r="E390" s="23">
        <f ca="1">IFERROR(__xludf.DUMMYFUNCTION("""COMPUTED_VALUE"""),0)</f>
        <v>0</v>
      </c>
      <c r="F390" s="23">
        <f ca="1">IFERROR(__xludf.DUMMYFUNCTION("""COMPUTED_VALUE"""),0)</f>
        <v>0</v>
      </c>
      <c r="G390" s="23">
        <f ca="1">IFERROR(__xludf.DUMMYFUNCTION("""COMPUTED_VALUE"""),0)</f>
        <v>0</v>
      </c>
      <c r="H390" s="23">
        <f ca="1">IFERROR(__xludf.DUMMYFUNCTION("""COMPUTED_VALUE"""),0)</f>
        <v>0</v>
      </c>
      <c r="I390" s="23">
        <f ca="1">IFERROR(__xludf.DUMMYFUNCTION("""COMPUTED_VALUE"""),0)</f>
        <v>0</v>
      </c>
      <c r="J390" s="23">
        <f ca="1">IFERROR(__xludf.DUMMYFUNCTION("""COMPUTED_VALUE"""),0)</f>
        <v>0</v>
      </c>
      <c r="K390" s="23">
        <f ca="1">IFERROR(__xludf.DUMMYFUNCTION("""COMPUTED_VALUE"""),0)</f>
        <v>0</v>
      </c>
      <c r="L390" s="23">
        <f ca="1">IFERROR(__xludf.DUMMYFUNCTION("""COMPUTED_VALUE"""),0)</f>
        <v>0</v>
      </c>
      <c r="M390" s="23">
        <f ca="1">IFERROR(__xludf.DUMMYFUNCTION("""COMPUTED_VALUE"""),0)</f>
        <v>0</v>
      </c>
      <c r="N390" s="23">
        <f ca="1">IFERROR(__xludf.DUMMYFUNCTION("""COMPUTED_VALUE"""),0)</f>
        <v>0</v>
      </c>
      <c r="O390" s="23">
        <f ca="1">IFERROR(__xludf.DUMMYFUNCTION("""COMPUTED_VALUE"""),0)</f>
        <v>0</v>
      </c>
      <c r="P390" s="23">
        <f ca="1">IFERROR(__xludf.DUMMYFUNCTION("""COMPUTED_VALUE"""),0)</f>
        <v>0</v>
      </c>
      <c r="Q390" s="24">
        <f ca="1">IFERROR(__xludf.DUMMYFUNCTION("""COMPUTED_VALUE"""),0)</f>
        <v>0</v>
      </c>
      <c r="R390" s="20"/>
    </row>
    <row r="391" spans="1:18" ht="13.2" hidden="1" outlineLevel="1" x14ac:dyDescent="0.25">
      <c r="A391" s="1"/>
      <c r="B391" s="21" t="str">
        <f ca="1">IFERROR(__xludf.DUMMYFUNCTION("""COMPUTED_VALUE"""),"Coque de carbón")</f>
        <v>Coque de carbón</v>
      </c>
      <c r="C391" s="22">
        <f ca="1">IFERROR(__xludf.DUMMYFUNCTION("""COMPUTED_VALUE"""),0)</f>
        <v>0</v>
      </c>
      <c r="D391" s="23">
        <f ca="1">IFERROR(__xludf.DUMMYFUNCTION("""COMPUTED_VALUE"""),0)</f>
        <v>0</v>
      </c>
      <c r="E391" s="23">
        <f ca="1">IFERROR(__xludf.DUMMYFUNCTION("""COMPUTED_VALUE"""),0)</f>
        <v>0</v>
      </c>
      <c r="F391" s="23">
        <f ca="1">IFERROR(__xludf.DUMMYFUNCTION("""COMPUTED_VALUE"""),0)</f>
        <v>0</v>
      </c>
      <c r="G391" s="23">
        <f ca="1">IFERROR(__xludf.DUMMYFUNCTION("""COMPUTED_VALUE"""),0)</f>
        <v>0</v>
      </c>
      <c r="H391" s="23">
        <f ca="1">IFERROR(__xludf.DUMMYFUNCTION("""COMPUTED_VALUE"""),0)</f>
        <v>0</v>
      </c>
      <c r="I391" s="23">
        <f ca="1">IFERROR(__xludf.DUMMYFUNCTION("""COMPUTED_VALUE"""),0)</f>
        <v>0</v>
      </c>
      <c r="J391" s="23">
        <f ca="1">IFERROR(__xludf.DUMMYFUNCTION("""COMPUTED_VALUE"""),0)</f>
        <v>0</v>
      </c>
      <c r="K391" s="23">
        <f ca="1">IFERROR(__xludf.DUMMYFUNCTION("""COMPUTED_VALUE"""),0)</f>
        <v>0</v>
      </c>
      <c r="L391" s="23">
        <f ca="1">IFERROR(__xludf.DUMMYFUNCTION("""COMPUTED_VALUE"""),0)</f>
        <v>0</v>
      </c>
      <c r="M391" s="23">
        <f ca="1">IFERROR(__xludf.DUMMYFUNCTION("""COMPUTED_VALUE"""),0)</f>
        <v>0</v>
      </c>
      <c r="N391" s="23">
        <f ca="1">IFERROR(__xludf.DUMMYFUNCTION("""COMPUTED_VALUE"""),0)</f>
        <v>0</v>
      </c>
      <c r="O391" s="23">
        <f ca="1">IFERROR(__xludf.DUMMYFUNCTION("""COMPUTED_VALUE"""),0)</f>
        <v>0</v>
      </c>
      <c r="P391" s="23">
        <f ca="1">IFERROR(__xludf.DUMMYFUNCTION("""COMPUTED_VALUE"""),0)</f>
        <v>0</v>
      </c>
      <c r="Q391" s="24">
        <f ca="1">IFERROR(__xludf.DUMMYFUNCTION("""COMPUTED_VALUE"""),0)</f>
        <v>0</v>
      </c>
      <c r="R391" s="20"/>
    </row>
    <row r="392" spans="1:18" ht="13.2" hidden="1" outlineLevel="1" x14ac:dyDescent="0.25">
      <c r="A392" s="1"/>
      <c r="B392" s="21" t="str">
        <f ca="1">IFERROR(__xludf.DUMMYFUNCTION("""COMPUTED_VALUE"""),"Coque de petróleo")</f>
        <v>Coque de petróleo</v>
      </c>
      <c r="C392" s="22">
        <f ca="1">IFERROR(__xludf.DUMMYFUNCTION("""COMPUTED_VALUE"""),0)</f>
        <v>0</v>
      </c>
      <c r="D392" s="23">
        <f ca="1">IFERROR(__xludf.DUMMYFUNCTION("""COMPUTED_VALUE"""),0)</f>
        <v>0</v>
      </c>
      <c r="E392" s="23">
        <f ca="1">IFERROR(__xludf.DUMMYFUNCTION("""COMPUTED_VALUE"""),0)</f>
        <v>0</v>
      </c>
      <c r="F392" s="23">
        <f ca="1">IFERROR(__xludf.DUMMYFUNCTION("""COMPUTED_VALUE"""),0)</f>
        <v>0</v>
      </c>
      <c r="G392" s="23">
        <f ca="1">IFERROR(__xludf.DUMMYFUNCTION("""COMPUTED_VALUE"""),0)</f>
        <v>0</v>
      </c>
      <c r="H392" s="23">
        <f ca="1">IFERROR(__xludf.DUMMYFUNCTION("""COMPUTED_VALUE"""),0)</f>
        <v>0</v>
      </c>
      <c r="I392" s="23">
        <f ca="1">IFERROR(__xludf.DUMMYFUNCTION("""COMPUTED_VALUE"""),0)</f>
        <v>0</v>
      </c>
      <c r="J392" s="23">
        <f ca="1">IFERROR(__xludf.DUMMYFUNCTION("""COMPUTED_VALUE"""),0)</f>
        <v>0</v>
      </c>
      <c r="K392" s="23">
        <f ca="1">IFERROR(__xludf.DUMMYFUNCTION("""COMPUTED_VALUE"""),0)</f>
        <v>0</v>
      </c>
      <c r="L392" s="23">
        <f ca="1">IFERROR(__xludf.DUMMYFUNCTION("""COMPUTED_VALUE"""),0)</f>
        <v>0</v>
      </c>
      <c r="M392" s="23">
        <f ca="1">IFERROR(__xludf.DUMMYFUNCTION("""COMPUTED_VALUE"""),0)</f>
        <v>0</v>
      </c>
      <c r="N392" s="23">
        <f ca="1">IFERROR(__xludf.DUMMYFUNCTION("""COMPUTED_VALUE"""),0)</f>
        <v>0</v>
      </c>
      <c r="O392" s="23">
        <f ca="1">IFERROR(__xludf.DUMMYFUNCTION("""COMPUTED_VALUE"""),0)</f>
        <v>0</v>
      </c>
      <c r="P392" s="23">
        <f ca="1">IFERROR(__xludf.DUMMYFUNCTION("""COMPUTED_VALUE"""),0)</f>
        <v>0</v>
      </c>
      <c r="Q392" s="24">
        <f ca="1">IFERROR(__xludf.DUMMYFUNCTION("""COMPUTED_VALUE"""),0)</f>
        <v>0</v>
      </c>
      <c r="R392" s="20"/>
    </row>
    <row r="393" spans="1:18" ht="13.2" hidden="1" outlineLevel="1" x14ac:dyDescent="0.25">
      <c r="A393" s="1"/>
      <c r="B393" s="21" t="str">
        <f ca="1">IFERROR(__xludf.DUMMYFUNCTION("""COMPUTED_VALUE"""),"Gas licuado de petróleo")</f>
        <v>Gas licuado de petróleo</v>
      </c>
      <c r="C393" s="22">
        <f ca="1">IFERROR(__xludf.DUMMYFUNCTION("""COMPUTED_VALUE"""),0)</f>
        <v>0</v>
      </c>
      <c r="D393" s="23">
        <f ca="1">IFERROR(__xludf.DUMMYFUNCTION("""COMPUTED_VALUE"""),0)</f>
        <v>0</v>
      </c>
      <c r="E393" s="23">
        <f ca="1">IFERROR(__xludf.DUMMYFUNCTION("""COMPUTED_VALUE"""),0)</f>
        <v>0</v>
      </c>
      <c r="F393" s="23">
        <f ca="1">IFERROR(__xludf.DUMMYFUNCTION("""COMPUTED_VALUE"""),0)</f>
        <v>0</v>
      </c>
      <c r="G393" s="23">
        <f ca="1">IFERROR(__xludf.DUMMYFUNCTION("""COMPUTED_VALUE"""),0)</f>
        <v>0</v>
      </c>
      <c r="H393" s="23">
        <f ca="1">IFERROR(__xludf.DUMMYFUNCTION("""COMPUTED_VALUE"""),0)</f>
        <v>0</v>
      </c>
      <c r="I393" s="23">
        <f ca="1">IFERROR(__xludf.DUMMYFUNCTION("""COMPUTED_VALUE"""),0)</f>
        <v>0</v>
      </c>
      <c r="J393" s="23">
        <f ca="1">IFERROR(__xludf.DUMMYFUNCTION("""COMPUTED_VALUE"""),0)</f>
        <v>0</v>
      </c>
      <c r="K393" s="23">
        <f ca="1">IFERROR(__xludf.DUMMYFUNCTION("""COMPUTED_VALUE"""),0)</f>
        <v>0</v>
      </c>
      <c r="L393" s="23">
        <f ca="1">IFERROR(__xludf.DUMMYFUNCTION("""COMPUTED_VALUE"""),0)</f>
        <v>0</v>
      </c>
      <c r="M393" s="23">
        <f ca="1">IFERROR(__xludf.DUMMYFUNCTION("""COMPUTED_VALUE"""),0)</f>
        <v>0</v>
      </c>
      <c r="N393" s="23">
        <f ca="1">IFERROR(__xludf.DUMMYFUNCTION("""COMPUTED_VALUE"""),0)</f>
        <v>0</v>
      </c>
      <c r="O393" s="23">
        <f ca="1">IFERROR(__xludf.DUMMYFUNCTION("""COMPUTED_VALUE"""),0)</f>
        <v>0</v>
      </c>
      <c r="P393" s="23">
        <f ca="1">IFERROR(__xludf.DUMMYFUNCTION("""COMPUTED_VALUE"""),0)</f>
        <v>0</v>
      </c>
      <c r="Q393" s="24">
        <f ca="1">IFERROR(__xludf.DUMMYFUNCTION("""COMPUTED_VALUE"""),0)</f>
        <v>0</v>
      </c>
      <c r="R393" s="20"/>
    </row>
    <row r="394" spans="1:18" ht="13.2" hidden="1" outlineLevel="1" x14ac:dyDescent="0.25">
      <c r="A394" s="1"/>
      <c r="B394" s="21" t="str">
        <f ca="1">IFERROR(__xludf.DUMMYFUNCTION("""COMPUTED_VALUE"""),"Gasolinas y naftas")</f>
        <v>Gasolinas y naftas</v>
      </c>
      <c r="C394" s="22">
        <f ca="1">IFERROR(__xludf.DUMMYFUNCTION("""COMPUTED_VALUE"""),0)</f>
        <v>0</v>
      </c>
      <c r="D394" s="23">
        <f ca="1">IFERROR(__xludf.DUMMYFUNCTION("""COMPUTED_VALUE"""),0)</f>
        <v>0</v>
      </c>
      <c r="E394" s="23">
        <f ca="1">IFERROR(__xludf.DUMMYFUNCTION("""COMPUTED_VALUE"""),0)</f>
        <v>0</v>
      </c>
      <c r="F394" s="23">
        <f ca="1">IFERROR(__xludf.DUMMYFUNCTION("""COMPUTED_VALUE"""),0)</f>
        <v>0</v>
      </c>
      <c r="G394" s="23">
        <f ca="1">IFERROR(__xludf.DUMMYFUNCTION("""COMPUTED_VALUE"""),0)</f>
        <v>0</v>
      </c>
      <c r="H394" s="23">
        <f ca="1">IFERROR(__xludf.DUMMYFUNCTION("""COMPUTED_VALUE"""),0)</f>
        <v>0</v>
      </c>
      <c r="I394" s="23">
        <f ca="1">IFERROR(__xludf.DUMMYFUNCTION("""COMPUTED_VALUE"""),0)</f>
        <v>0</v>
      </c>
      <c r="J394" s="23">
        <f ca="1">IFERROR(__xludf.DUMMYFUNCTION("""COMPUTED_VALUE"""),0)</f>
        <v>0</v>
      </c>
      <c r="K394" s="23">
        <f ca="1">IFERROR(__xludf.DUMMYFUNCTION("""COMPUTED_VALUE"""),0)</f>
        <v>0</v>
      </c>
      <c r="L394" s="23">
        <f ca="1">IFERROR(__xludf.DUMMYFUNCTION("""COMPUTED_VALUE"""),0)</f>
        <v>0</v>
      </c>
      <c r="M394" s="23">
        <f ca="1">IFERROR(__xludf.DUMMYFUNCTION("""COMPUTED_VALUE"""),0)</f>
        <v>0</v>
      </c>
      <c r="N394" s="23">
        <f ca="1">IFERROR(__xludf.DUMMYFUNCTION("""COMPUTED_VALUE"""),0)</f>
        <v>0</v>
      </c>
      <c r="O394" s="23">
        <f ca="1">IFERROR(__xludf.DUMMYFUNCTION("""COMPUTED_VALUE"""),0)</f>
        <v>0</v>
      </c>
      <c r="P394" s="23">
        <f ca="1">IFERROR(__xludf.DUMMYFUNCTION("""COMPUTED_VALUE"""),0)</f>
        <v>0</v>
      </c>
      <c r="Q394" s="24">
        <f ca="1">IFERROR(__xludf.DUMMYFUNCTION("""COMPUTED_VALUE"""),0)</f>
        <v>0</v>
      </c>
      <c r="R394" s="20"/>
    </row>
    <row r="395" spans="1:18" ht="13.2" hidden="1" outlineLevel="1" x14ac:dyDescent="0.25">
      <c r="A395" s="1"/>
      <c r="B395" s="21" t="str">
        <f ca="1">IFERROR(__xludf.DUMMYFUNCTION("""COMPUTED_VALUE"""),"Querosenos")</f>
        <v>Querosenos</v>
      </c>
      <c r="C395" s="22">
        <f ca="1">IFERROR(__xludf.DUMMYFUNCTION("""COMPUTED_VALUE"""),0)</f>
        <v>0</v>
      </c>
      <c r="D395" s="23">
        <f ca="1">IFERROR(__xludf.DUMMYFUNCTION("""COMPUTED_VALUE"""),0)</f>
        <v>0</v>
      </c>
      <c r="E395" s="23">
        <f ca="1">IFERROR(__xludf.DUMMYFUNCTION("""COMPUTED_VALUE"""),0)</f>
        <v>0</v>
      </c>
      <c r="F395" s="23">
        <f ca="1">IFERROR(__xludf.DUMMYFUNCTION("""COMPUTED_VALUE"""),0)</f>
        <v>0</v>
      </c>
      <c r="G395" s="23">
        <f ca="1">IFERROR(__xludf.DUMMYFUNCTION("""COMPUTED_VALUE"""),0)</f>
        <v>0</v>
      </c>
      <c r="H395" s="23">
        <f ca="1">IFERROR(__xludf.DUMMYFUNCTION("""COMPUTED_VALUE"""),0)</f>
        <v>0</v>
      </c>
      <c r="I395" s="23">
        <f ca="1">IFERROR(__xludf.DUMMYFUNCTION("""COMPUTED_VALUE"""),0)</f>
        <v>0</v>
      </c>
      <c r="J395" s="23">
        <f ca="1">IFERROR(__xludf.DUMMYFUNCTION("""COMPUTED_VALUE"""),0)</f>
        <v>0</v>
      </c>
      <c r="K395" s="23">
        <f ca="1">IFERROR(__xludf.DUMMYFUNCTION("""COMPUTED_VALUE"""),0)</f>
        <v>0</v>
      </c>
      <c r="L395" s="23">
        <f ca="1">IFERROR(__xludf.DUMMYFUNCTION("""COMPUTED_VALUE"""),0)</f>
        <v>0</v>
      </c>
      <c r="M395" s="23">
        <f ca="1">IFERROR(__xludf.DUMMYFUNCTION("""COMPUTED_VALUE"""),0)</f>
        <v>0</v>
      </c>
      <c r="N395" s="23">
        <f ca="1">IFERROR(__xludf.DUMMYFUNCTION("""COMPUTED_VALUE"""),0)</f>
        <v>0</v>
      </c>
      <c r="O395" s="23">
        <f ca="1">IFERROR(__xludf.DUMMYFUNCTION("""COMPUTED_VALUE"""),0)</f>
        <v>0</v>
      </c>
      <c r="P395" s="23">
        <f ca="1">IFERROR(__xludf.DUMMYFUNCTION("""COMPUTED_VALUE"""),0)</f>
        <v>0</v>
      </c>
      <c r="Q395" s="24">
        <f ca="1">IFERROR(__xludf.DUMMYFUNCTION("""COMPUTED_VALUE"""),0)</f>
        <v>0</v>
      </c>
      <c r="R395" s="20"/>
    </row>
    <row r="396" spans="1:18" ht="13.2" hidden="1" outlineLevel="1" x14ac:dyDescent="0.25">
      <c r="A396" s="1"/>
      <c r="B396" s="21" t="str">
        <f ca="1">IFERROR(__xludf.DUMMYFUNCTION("""COMPUTED_VALUE"""),"Diesel")</f>
        <v>Diesel</v>
      </c>
      <c r="C396" s="22">
        <f ca="1">IFERROR(__xludf.DUMMYFUNCTION("""COMPUTED_VALUE"""),-15.1999204013638)</f>
        <v>-15.1999204013638</v>
      </c>
      <c r="D396" s="23">
        <f ca="1">IFERROR(__xludf.DUMMYFUNCTION("""COMPUTED_VALUE"""),-16.812333223027)</f>
        <v>-16.812333223027</v>
      </c>
      <c r="E396" s="23">
        <f ca="1">IFERROR(__xludf.DUMMYFUNCTION("""COMPUTED_VALUE"""),-26.319074105253)</f>
        <v>-26.319074105253002</v>
      </c>
      <c r="F396" s="23">
        <f ca="1">IFERROR(__xludf.DUMMYFUNCTION("""COMPUTED_VALUE"""),-21.7022562462473)</f>
        <v>-21.702256246247298</v>
      </c>
      <c r="G396" s="23">
        <f ca="1">IFERROR(__xludf.DUMMYFUNCTION("""COMPUTED_VALUE"""),-14.3879370138017)</f>
        <v>-14.3879370138017</v>
      </c>
      <c r="H396" s="23">
        <f ca="1">IFERROR(__xludf.DUMMYFUNCTION("""COMPUTED_VALUE"""),-16.9177199608808)</f>
        <v>-16.917719960880799</v>
      </c>
      <c r="I396" s="23">
        <f ca="1">IFERROR(__xludf.DUMMYFUNCTION("""COMPUTED_VALUE"""),-21.98044653349)</f>
        <v>-21.980446533489999</v>
      </c>
      <c r="J396" s="23">
        <f ca="1">IFERROR(__xludf.DUMMYFUNCTION("""COMPUTED_VALUE"""),-26.5126462415475)</f>
        <v>-26.5126462415475</v>
      </c>
      <c r="K396" s="23">
        <f ca="1">IFERROR(__xludf.DUMMYFUNCTION("""COMPUTED_VALUE"""),-37.1596608280809)</f>
        <v>-37.159660828080902</v>
      </c>
      <c r="L396" s="23">
        <f ca="1">IFERROR(__xludf.DUMMYFUNCTION("""COMPUTED_VALUE"""),-45.8405946689051)</f>
        <v>-45.840594668905098</v>
      </c>
      <c r="M396" s="23">
        <f ca="1">IFERROR(__xludf.DUMMYFUNCTION("""COMPUTED_VALUE"""),-29.7338681929016)</f>
        <v>-29.7338681929016</v>
      </c>
      <c r="N396" s="23">
        <f ca="1">IFERROR(__xludf.DUMMYFUNCTION("""COMPUTED_VALUE"""),-28.8716871147975)</f>
        <v>-28.871687114797499</v>
      </c>
      <c r="O396" s="23">
        <f ca="1">IFERROR(__xludf.DUMMYFUNCTION("""COMPUTED_VALUE"""),-23.7622297130346)</f>
        <v>-23.7622297130346</v>
      </c>
      <c r="P396" s="23">
        <f ca="1">IFERROR(__xludf.DUMMYFUNCTION("""COMPUTED_VALUE"""),-27.6945267987495)</f>
        <v>-27.6945267987495</v>
      </c>
      <c r="Q396" s="24">
        <f ca="1">IFERROR(__xludf.DUMMYFUNCTION("""COMPUTED_VALUE"""),-28.3119924649672)</f>
        <v>-28.311992464967201</v>
      </c>
      <c r="R396" s="20"/>
    </row>
    <row r="397" spans="1:18" ht="13.2" hidden="1" outlineLevel="1" x14ac:dyDescent="0.25">
      <c r="A397" s="1"/>
      <c r="B397" s="21" t="str">
        <f ca="1">IFERROR(__xludf.DUMMYFUNCTION("""COMPUTED_VALUE"""),"Combustóleo")</f>
        <v>Combustóleo</v>
      </c>
      <c r="C397" s="22">
        <f ca="1">IFERROR(__xludf.DUMMYFUNCTION("""COMPUTED_VALUE"""),0)</f>
        <v>0</v>
      </c>
      <c r="D397" s="23">
        <f ca="1">IFERROR(__xludf.DUMMYFUNCTION("""COMPUTED_VALUE"""),0)</f>
        <v>0</v>
      </c>
      <c r="E397" s="23">
        <f ca="1">IFERROR(__xludf.DUMMYFUNCTION("""COMPUTED_VALUE"""),0)</f>
        <v>0</v>
      </c>
      <c r="F397" s="23">
        <f ca="1">IFERROR(__xludf.DUMMYFUNCTION("""COMPUTED_VALUE"""),0)</f>
        <v>0</v>
      </c>
      <c r="G397" s="23">
        <f ca="1">IFERROR(__xludf.DUMMYFUNCTION("""COMPUTED_VALUE"""),0)</f>
        <v>0</v>
      </c>
      <c r="H397" s="23">
        <f ca="1">IFERROR(__xludf.DUMMYFUNCTION("""COMPUTED_VALUE"""),0)</f>
        <v>0</v>
      </c>
      <c r="I397" s="23">
        <f ca="1">IFERROR(__xludf.DUMMYFUNCTION("""COMPUTED_VALUE"""),0)</f>
        <v>0</v>
      </c>
      <c r="J397" s="23">
        <f ca="1">IFERROR(__xludf.DUMMYFUNCTION("""COMPUTED_VALUE"""),0)</f>
        <v>0</v>
      </c>
      <c r="K397" s="23">
        <f ca="1">IFERROR(__xludf.DUMMYFUNCTION("""COMPUTED_VALUE"""),0)</f>
        <v>0</v>
      </c>
      <c r="L397" s="23">
        <f ca="1">IFERROR(__xludf.DUMMYFUNCTION("""COMPUTED_VALUE"""),0)</f>
        <v>0</v>
      </c>
      <c r="M397" s="23">
        <f ca="1">IFERROR(__xludf.DUMMYFUNCTION("""COMPUTED_VALUE"""),0)</f>
        <v>0</v>
      </c>
      <c r="N397" s="23">
        <f ca="1">IFERROR(__xludf.DUMMYFUNCTION("""COMPUTED_VALUE"""),0)</f>
        <v>0</v>
      </c>
      <c r="O397" s="23">
        <f ca="1">IFERROR(__xludf.DUMMYFUNCTION("""COMPUTED_VALUE"""),0)</f>
        <v>0</v>
      </c>
      <c r="P397" s="23">
        <f ca="1">IFERROR(__xludf.DUMMYFUNCTION("""COMPUTED_VALUE"""),0)</f>
        <v>0</v>
      </c>
      <c r="Q397" s="24">
        <f ca="1">IFERROR(__xludf.DUMMYFUNCTION("""COMPUTED_VALUE"""),0)</f>
        <v>0</v>
      </c>
      <c r="R397" s="20"/>
    </row>
    <row r="398" spans="1:18" ht="13.2" hidden="1" outlineLevel="1" x14ac:dyDescent="0.25">
      <c r="A398" s="1"/>
      <c r="B398" s="21" t="str">
        <f ca="1">IFERROR(__xludf.DUMMYFUNCTION("""COMPUTED_VALUE"""),"Otros energéticos")</f>
        <v>Otros energéticos</v>
      </c>
      <c r="C398" s="22">
        <f ca="1">IFERROR(__xludf.DUMMYFUNCTION("""COMPUTED_VALUE"""),0)</f>
        <v>0</v>
      </c>
      <c r="D398" s="23">
        <f ca="1">IFERROR(__xludf.DUMMYFUNCTION("""COMPUTED_VALUE"""),0)</f>
        <v>0</v>
      </c>
      <c r="E398" s="23">
        <f ca="1">IFERROR(__xludf.DUMMYFUNCTION("""COMPUTED_VALUE"""),0)</f>
        <v>0</v>
      </c>
      <c r="F398" s="23">
        <f ca="1">IFERROR(__xludf.DUMMYFUNCTION("""COMPUTED_VALUE"""),0)</f>
        <v>0</v>
      </c>
      <c r="G398" s="23">
        <f ca="1">IFERROR(__xludf.DUMMYFUNCTION("""COMPUTED_VALUE"""),0)</f>
        <v>0</v>
      </c>
      <c r="H398" s="23">
        <f ca="1">IFERROR(__xludf.DUMMYFUNCTION("""COMPUTED_VALUE"""),0)</f>
        <v>0</v>
      </c>
      <c r="I398" s="23">
        <f ca="1">IFERROR(__xludf.DUMMYFUNCTION("""COMPUTED_VALUE"""),0)</f>
        <v>0</v>
      </c>
      <c r="J398" s="23">
        <f ca="1">IFERROR(__xludf.DUMMYFUNCTION("""COMPUTED_VALUE"""),0)</f>
        <v>0</v>
      </c>
      <c r="K398" s="23">
        <f ca="1">IFERROR(__xludf.DUMMYFUNCTION("""COMPUTED_VALUE"""),0)</f>
        <v>0</v>
      </c>
      <c r="L398" s="23">
        <f ca="1">IFERROR(__xludf.DUMMYFUNCTION("""COMPUTED_VALUE"""),0)</f>
        <v>0</v>
      </c>
      <c r="M398" s="23">
        <f ca="1">IFERROR(__xludf.DUMMYFUNCTION("""COMPUTED_VALUE"""),0)</f>
        <v>0</v>
      </c>
      <c r="N398" s="23">
        <f ca="1">IFERROR(__xludf.DUMMYFUNCTION("""COMPUTED_VALUE"""),0)</f>
        <v>0</v>
      </c>
      <c r="O398" s="23">
        <f ca="1">IFERROR(__xludf.DUMMYFUNCTION("""COMPUTED_VALUE"""),0)</f>
        <v>0</v>
      </c>
      <c r="P398" s="23">
        <f ca="1">IFERROR(__xludf.DUMMYFUNCTION("""COMPUTED_VALUE"""),0)</f>
        <v>0</v>
      </c>
      <c r="Q398" s="24">
        <f ca="1">IFERROR(__xludf.DUMMYFUNCTION("""COMPUTED_VALUE"""),0)</f>
        <v>0</v>
      </c>
      <c r="R398" s="20"/>
    </row>
    <row r="399" spans="1:18" ht="13.2" hidden="1" outlineLevel="1" x14ac:dyDescent="0.25">
      <c r="A399" s="1"/>
      <c r="B399" s="21" t="str">
        <f ca="1">IFERROR(__xludf.DUMMYFUNCTION("""COMPUTED_VALUE"""),"Gas natural seco")</f>
        <v>Gas natural seco</v>
      </c>
      <c r="C399" s="22">
        <f ca="1">IFERROR(__xludf.DUMMYFUNCTION("""COMPUTED_VALUE"""),-39.8196690372725)</f>
        <v>-39.819669037272497</v>
      </c>
      <c r="D399" s="23">
        <f ca="1">IFERROR(__xludf.DUMMYFUNCTION("""COMPUTED_VALUE"""),-41.5368122108996)</f>
        <v>-41.536812210899598</v>
      </c>
      <c r="E399" s="23">
        <f ca="1">IFERROR(__xludf.DUMMYFUNCTION("""COMPUTED_VALUE"""),-43.8091138498112)</f>
        <v>-43.809113849811197</v>
      </c>
      <c r="F399" s="23">
        <f ca="1">IFERROR(__xludf.DUMMYFUNCTION("""COMPUTED_VALUE"""),-41.3111033196834)</f>
        <v>-41.311103319683397</v>
      </c>
      <c r="G399" s="23">
        <f ca="1">IFERROR(__xludf.DUMMYFUNCTION("""COMPUTED_VALUE"""),-55.0996880768063)</f>
        <v>-55.099688076806302</v>
      </c>
      <c r="H399" s="23">
        <f ca="1">IFERROR(__xludf.DUMMYFUNCTION("""COMPUTED_VALUE"""),-78.4683591424804)</f>
        <v>-78.468359142480395</v>
      </c>
      <c r="I399" s="23">
        <f ca="1">IFERROR(__xludf.DUMMYFUNCTION("""COMPUTED_VALUE"""),-81.403566751488)</f>
        <v>-81.403566751488</v>
      </c>
      <c r="J399" s="23">
        <f ca="1">IFERROR(__xludf.DUMMYFUNCTION("""COMPUTED_VALUE"""),-100.02445970064)</f>
        <v>-100.02445970063999</v>
      </c>
      <c r="K399" s="23">
        <f ca="1">IFERROR(__xludf.DUMMYFUNCTION("""COMPUTED_VALUE"""),-101.6689865146)</f>
        <v>-101.66898651459999</v>
      </c>
      <c r="L399" s="23">
        <f ca="1">IFERROR(__xludf.DUMMYFUNCTION("""COMPUTED_VALUE"""),-101.963457654834)</f>
        <v>-101.963457654834</v>
      </c>
      <c r="M399" s="23">
        <f ca="1">IFERROR(__xludf.DUMMYFUNCTION("""COMPUTED_VALUE"""),-88.2588600479719)</f>
        <v>-88.258860047971893</v>
      </c>
      <c r="N399" s="23">
        <f ca="1">IFERROR(__xludf.DUMMYFUNCTION("""COMPUTED_VALUE"""),-124.094751576877)</f>
        <v>-124.094751576877</v>
      </c>
      <c r="O399" s="23">
        <f ca="1">IFERROR(__xludf.DUMMYFUNCTION("""COMPUTED_VALUE"""),-85.1794404873392)</f>
        <v>-85.179440487339207</v>
      </c>
      <c r="P399" s="23">
        <f ca="1">IFERROR(__xludf.DUMMYFUNCTION("""COMPUTED_VALUE"""),-96.6145945912182)</f>
        <v>-96.614594591218193</v>
      </c>
      <c r="Q399" s="24">
        <f ca="1">IFERROR(__xludf.DUMMYFUNCTION("""COMPUTED_VALUE"""),-104.418345064679)</f>
        <v>-104.418345064679</v>
      </c>
      <c r="R399" s="20"/>
    </row>
    <row r="400" spans="1:18" ht="13.2" hidden="1" outlineLevel="1" x14ac:dyDescent="0.25">
      <c r="A400" s="1"/>
      <c r="B400" s="25" t="str">
        <f ca="1">IFERROR(__xludf.DUMMYFUNCTION("""COMPUTED_VALUE"""),"Energía eléctrica")</f>
        <v>Energía eléctrica</v>
      </c>
      <c r="C400" s="26">
        <f ca="1">IFERROR(__xludf.DUMMYFUNCTION("""COMPUTED_VALUE"""),25.3279804931797)</f>
        <v>25.327980493179702</v>
      </c>
      <c r="D400" s="27">
        <f ca="1">IFERROR(__xludf.DUMMYFUNCTION("""COMPUTED_VALUE"""),24.97872324742)</f>
        <v>24.97872324742</v>
      </c>
      <c r="E400" s="27">
        <f ca="1">IFERROR(__xludf.DUMMYFUNCTION("""COMPUTED_VALUE"""),28.8428018900169)</f>
        <v>28.842801890016901</v>
      </c>
      <c r="F400" s="27">
        <f ca="1">IFERROR(__xludf.DUMMYFUNCTION("""COMPUTED_VALUE"""),26.7845307288985)</f>
        <v>26.784530728898499</v>
      </c>
      <c r="G400" s="27">
        <f ca="1">IFERROR(__xludf.DUMMYFUNCTION("""COMPUTED_VALUE"""),34.941471218972)</f>
        <v>34.941471218971998</v>
      </c>
      <c r="H400" s="27">
        <f ca="1">IFERROR(__xludf.DUMMYFUNCTION("""COMPUTED_VALUE"""),44.3835971992445)</f>
        <v>44.383597199244498</v>
      </c>
      <c r="I400" s="27">
        <f ca="1">IFERROR(__xludf.DUMMYFUNCTION("""COMPUTED_VALUE"""),47.8090389804817)</f>
        <v>47.809038980481702</v>
      </c>
      <c r="J400" s="27">
        <f ca="1">IFERROR(__xludf.DUMMYFUNCTION("""COMPUTED_VALUE"""),55.2963827227957)</f>
        <v>55.296382722795698</v>
      </c>
      <c r="K400" s="27">
        <f ca="1">IFERROR(__xludf.DUMMYFUNCTION("""COMPUTED_VALUE"""),54.2634396137565)</f>
        <v>54.263439613756503</v>
      </c>
      <c r="L400" s="27">
        <f ca="1">IFERROR(__xludf.DUMMYFUNCTION("""COMPUTED_VALUE"""),61.4390074062708)</f>
        <v>61.439007406270797</v>
      </c>
      <c r="M400" s="27">
        <f ca="1">IFERROR(__xludf.DUMMYFUNCTION("""COMPUTED_VALUE"""),51.7519203754496)</f>
        <v>51.7519203754496</v>
      </c>
      <c r="N400" s="27">
        <f ca="1">IFERROR(__xludf.DUMMYFUNCTION("""COMPUTED_VALUE"""),58.6489082846078)</f>
        <v>58.648908284607799</v>
      </c>
      <c r="O400" s="27">
        <f ca="1">IFERROR(__xludf.DUMMYFUNCTION("""COMPUTED_VALUE"""),48.4979205564775)</f>
        <v>48.497920556477503</v>
      </c>
      <c r="P400" s="27">
        <f ca="1">IFERROR(__xludf.DUMMYFUNCTION("""COMPUTED_VALUE"""),54.8536985927033)</f>
        <v>54.853698592703303</v>
      </c>
      <c r="Q400" s="28">
        <f ca="1">IFERROR(__xludf.DUMMYFUNCTION("""COMPUTED_VALUE"""),57.9430604879536)</f>
        <v>57.943060487953602</v>
      </c>
      <c r="R400" s="20"/>
    </row>
    <row r="401" spans="1:18" ht="13.2" hidden="1" outlineLevel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0"/>
    </row>
    <row r="402" spans="1:18" ht="13.2" collapsed="1" x14ac:dyDescent="0.25">
      <c r="A402" s="30"/>
      <c r="B402" s="5" t="str">
        <f ca="1">IFERROR(__xludf.DUMMYFUNCTION("""COMPUTED_VALUE"""),"CE.CC(e,a)")</f>
        <v>CE.CC(e,a)</v>
      </c>
      <c r="C402" s="6" t="str">
        <f ca="1">IFERROR(__xludf.DUMMYFUNCTION("""COMPUTED_VALUE"""),"-/+")</f>
        <v>-/+</v>
      </c>
      <c r="D402" s="7" t="str">
        <f ca="1">IFERROR(__xludf.DUMMYFUNCTION("""COMPUTED_VALUE"""),"Ciclo combinado por energético e y año a.")</f>
        <v>Ciclo combinado por energético e y año a.</v>
      </c>
      <c r="E402" s="6" t="str">
        <f ca="1">IFERROR(__xludf.DUMMYFUNCTION("""COMPUTED_VALUE"""),"cbne")</f>
        <v>cbne</v>
      </c>
      <c r="F402" s="6" t="str">
        <f ca="1">IFERROR(__xludf.DUMMYFUNCTION("""COMPUTED_VALUE"""),"a")</f>
        <v>a</v>
      </c>
      <c r="G402" s="8" t="str">
        <f ca="1">IFERROR(__xludf.DUMMYFUNCTION("""COMPUTED_VALUE"""),"PJ")</f>
        <v>PJ</v>
      </c>
      <c r="H402" s="9"/>
      <c r="I402" s="1"/>
      <c r="J402" s="1"/>
      <c r="K402" s="1"/>
      <c r="L402" s="1"/>
      <c r="M402" s="1"/>
      <c r="N402" s="1"/>
      <c r="O402" s="1"/>
      <c r="P402" s="1"/>
      <c r="Q402" s="1"/>
      <c r="R402" s="10"/>
    </row>
    <row r="403" spans="1:18" ht="13.2" hidden="1" outlineLevel="1" x14ac:dyDescent="0.25">
      <c r="A403" s="1"/>
      <c r="B403" s="11"/>
      <c r="C403" s="12">
        <f ca="1">IFERROR(__xludf.DUMMYFUNCTION("""COMPUTED_VALUE"""),2010)</f>
        <v>2010</v>
      </c>
      <c r="D403" s="13">
        <f ca="1">IFERROR(__xludf.DUMMYFUNCTION("""COMPUTED_VALUE"""),2011)</f>
        <v>2011</v>
      </c>
      <c r="E403" s="13">
        <f ca="1">IFERROR(__xludf.DUMMYFUNCTION("""COMPUTED_VALUE"""),2012)</f>
        <v>2012</v>
      </c>
      <c r="F403" s="13">
        <f ca="1">IFERROR(__xludf.DUMMYFUNCTION("""COMPUTED_VALUE"""),2013)</f>
        <v>2013</v>
      </c>
      <c r="G403" s="13">
        <f ca="1">IFERROR(__xludf.DUMMYFUNCTION("""COMPUTED_VALUE"""),2014)</f>
        <v>2014</v>
      </c>
      <c r="H403" s="13">
        <f ca="1">IFERROR(__xludf.DUMMYFUNCTION("""COMPUTED_VALUE"""),2015)</f>
        <v>2015</v>
      </c>
      <c r="I403" s="13">
        <f ca="1">IFERROR(__xludf.DUMMYFUNCTION("""COMPUTED_VALUE"""),2016)</f>
        <v>2016</v>
      </c>
      <c r="J403" s="13">
        <f ca="1">IFERROR(__xludf.DUMMYFUNCTION("""COMPUTED_VALUE"""),2017)</f>
        <v>2017</v>
      </c>
      <c r="K403" s="13">
        <f ca="1">IFERROR(__xludf.DUMMYFUNCTION("""COMPUTED_VALUE"""),2018)</f>
        <v>2018</v>
      </c>
      <c r="L403" s="13">
        <f ca="1">IFERROR(__xludf.DUMMYFUNCTION("""COMPUTED_VALUE"""),2019)</f>
        <v>2019</v>
      </c>
      <c r="M403" s="13">
        <f ca="1">IFERROR(__xludf.DUMMYFUNCTION("""COMPUTED_VALUE"""),2020)</f>
        <v>2020</v>
      </c>
      <c r="N403" s="13">
        <f ca="1">IFERROR(__xludf.DUMMYFUNCTION("""COMPUTED_VALUE"""),2021)</f>
        <v>2021</v>
      </c>
      <c r="O403" s="13">
        <f ca="1">IFERROR(__xludf.DUMMYFUNCTION("""COMPUTED_VALUE"""),2022)</f>
        <v>2022</v>
      </c>
      <c r="P403" s="13">
        <f ca="1">IFERROR(__xludf.DUMMYFUNCTION("""COMPUTED_VALUE"""),2023)</f>
        <v>2023</v>
      </c>
      <c r="Q403" s="14">
        <f ca="1">IFERROR(__xludf.DUMMYFUNCTION("""COMPUTED_VALUE"""),2024)</f>
        <v>2024</v>
      </c>
      <c r="R403" s="15"/>
    </row>
    <row r="404" spans="1:18" ht="13.2" hidden="1" outlineLevel="1" x14ac:dyDescent="0.25">
      <c r="A404" s="1"/>
      <c r="B404" s="16" t="str">
        <f ca="1">IFERROR(__xludf.DUMMYFUNCTION("""COMPUTED_VALUE"""),"Carbón mineral")</f>
        <v>Carbón mineral</v>
      </c>
      <c r="C404" s="17">
        <f ca="1">IFERROR(__xludf.DUMMYFUNCTION("""COMPUTED_VALUE"""),0)</f>
        <v>0</v>
      </c>
      <c r="D404" s="18">
        <f ca="1">IFERROR(__xludf.DUMMYFUNCTION("""COMPUTED_VALUE"""),0)</f>
        <v>0</v>
      </c>
      <c r="E404" s="18">
        <f ca="1">IFERROR(__xludf.DUMMYFUNCTION("""COMPUTED_VALUE"""),0)</f>
        <v>0</v>
      </c>
      <c r="F404" s="18">
        <f ca="1">IFERROR(__xludf.DUMMYFUNCTION("""COMPUTED_VALUE"""),0)</f>
        <v>0</v>
      </c>
      <c r="G404" s="18">
        <f ca="1">IFERROR(__xludf.DUMMYFUNCTION("""COMPUTED_VALUE"""),0)</f>
        <v>0</v>
      </c>
      <c r="H404" s="18">
        <f ca="1">IFERROR(__xludf.DUMMYFUNCTION("""COMPUTED_VALUE"""),0)</f>
        <v>0</v>
      </c>
      <c r="I404" s="18">
        <f ca="1">IFERROR(__xludf.DUMMYFUNCTION("""COMPUTED_VALUE"""),0)</f>
        <v>0</v>
      </c>
      <c r="J404" s="18">
        <f ca="1">IFERROR(__xludf.DUMMYFUNCTION("""COMPUTED_VALUE"""),0)</f>
        <v>0</v>
      </c>
      <c r="K404" s="18">
        <f ca="1">IFERROR(__xludf.DUMMYFUNCTION("""COMPUTED_VALUE"""),0)</f>
        <v>0</v>
      </c>
      <c r="L404" s="18">
        <f ca="1">IFERROR(__xludf.DUMMYFUNCTION("""COMPUTED_VALUE"""),0)</f>
        <v>0</v>
      </c>
      <c r="M404" s="18">
        <f ca="1">IFERROR(__xludf.DUMMYFUNCTION("""COMPUTED_VALUE"""),0)</f>
        <v>0</v>
      </c>
      <c r="N404" s="18">
        <f ca="1">IFERROR(__xludf.DUMMYFUNCTION("""COMPUTED_VALUE"""),0)</f>
        <v>0</v>
      </c>
      <c r="O404" s="18">
        <f ca="1">IFERROR(__xludf.DUMMYFUNCTION("""COMPUTED_VALUE"""),0)</f>
        <v>0</v>
      </c>
      <c r="P404" s="18">
        <f ca="1">IFERROR(__xludf.DUMMYFUNCTION("""COMPUTED_VALUE"""),0)</f>
        <v>0</v>
      </c>
      <c r="Q404" s="19">
        <f ca="1">IFERROR(__xludf.DUMMYFUNCTION("""COMPUTED_VALUE"""),0)</f>
        <v>0</v>
      </c>
      <c r="R404" s="20"/>
    </row>
    <row r="405" spans="1:18" ht="13.2" hidden="1" outlineLevel="1" x14ac:dyDescent="0.25">
      <c r="A405" s="1"/>
      <c r="B405" s="21" t="str">
        <f ca="1">IFERROR(__xludf.DUMMYFUNCTION("""COMPUTED_VALUE"""),"Petróleo crudo")</f>
        <v>Petróleo crudo</v>
      </c>
      <c r="C405" s="22">
        <f ca="1">IFERROR(__xludf.DUMMYFUNCTION("""COMPUTED_VALUE"""),0)</f>
        <v>0</v>
      </c>
      <c r="D405" s="23">
        <f ca="1">IFERROR(__xludf.DUMMYFUNCTION("""COMPUTED_VALUE"""),0)</f>
        <v>0</v>
      </c>
      <c r="E405" s="23">
        <f ca="1">IFERROR(__xludf.DUMMYFUNCTION("""COMPUTED_VALUE"""),0)</f>
        <v>0</v>
      </c>
      <c r="F405" s="23">
        <f ca="1">IFERROR(__xludf.DUMMYFUNCTION("""COMPUTED_VALUE"""),0)</f>
        <v>0</v>
      </c>
      <c r="G405" s="23">
        <f ca="1">IFERROR(__xludf.DUMMYFUNCTION("""COMPUTED_VALUE"""),0)</f>
        <v>0</v>
      </c>
      <c r="H405" s="23">
        <f ca="1">IFERROR(__xludf.DUMMYFUNCTION("""COMPUTED_VALUE"""),0)</f>
        <v>0</v>
      </c>
      <c r="I405" s="23">
        <f ca="1">IFERROR(__xludf.DUMMYFUNCTION("""COMPUTED_VALUE"""),0)</f>
        <v>0</v>
      </c>
      <c r="J405" s="23">
        <f ca="1">IFERROR(__xludf.DUMMYFUNCTION("""COMPUTED_VALUE"""),0)</f>
        <v>0</v>
      </c>
      <c r="K405" s="23">
        <f ca="1">IFERROR(__xludf.DUMMYFUNCTION("""COMPUTED_VALUE"""),0)</f>
        <v>0</v>
      </c>
      <c r="L405" s="23">
        <f ca="1">IFERROR(__xludf.DUMMYFUNCTION("""COMPUTED_VALUE"""),0)</f>
        <v>0</v>
      </c>
      <c r="M405" s="23">
        <f ca="1">IFERROR(__xludf.DUMMYFUNCTION("""COMPUTED_VALUE"""),0)</f>
        <v>0</v>
      </c>
      <c r="N405" s="23">
        <f ca="1">IFERROR(__xludf.DUMMYFUNCTION("""COMPUTED_VALUE"""),0)</f>
        <v>0</v>
      </c>
      <c r="O405" s="23">
        <f ca="1">IFERROR(__xludf.DUMMYFUNCTION("""COMPUTED_VALUE"""),0)</f>
        <v>0</v>
      </c>
      <c r="P405" s="23">
        <f ca="1">IFERROR(__xludf.DUMMYFUNCTION("""COMPUTED_VALUE"""),0)</f>
        <v>0</v>
      </c>
      <c r="Q405" s="24">
        <f ca="1">IFERROR(__xludf.DUMMYFUNCTION("""COMPUTED_VALUE"""),0)</f>
        <v>0</v>
      </c>
      <c r="R405" s="20"/>
    </row>
    <row r="406" spans="1:18" ht="13.2" hidden="1" outlineLevel="1" x14ac:dyDescent="0.25">
      <c r="A406" s="1"/>
      <c r="B406" s="21" t="str">
        <f ca="1">IFERROR(__xludf.DUMMYFUNCTION("""COMPUTED_VALUE"""),"Condensados")</f>
        <v>Condensados</v>
      </c>
      <c r="C406" s="22">
        <f ca="1">IFERROR(__xludf.DUMMYFUNCTION("""COMPUTED_VALUE"""),0)</f>
        <v>0</v>
      </c>
      <c r="D406" s="23">
        <f ca="1">IFERROR(__xludf.DUMMYFUNCTION("""COMPUTED_VALUE"""),0)</f>
        <v>0</v>
      </c>
      <c r="E406" s="23">
        <f ca="1">IFERROR(__xludf.DUMMYFUNCTION("""COMPUTED_VALUE"""),0)</f>
        <v>0</v>
      </c>
      <c r="F406" s="23">
        <f ca="1">IFERROR(__xludf.DUMMYFUNCTION("""COMPUTED_VALUE"""),0)</f>
        <v>0</v>
      </c>
      <c r="G406" s="23">
        <f ca="1">IFERROR(__xludf.DUMMYFUNCTION("""COMPUTED_VALUE"""),0)</f>
        <v>0</v>
      </c>
      <c r="H406" s="23">
        <f ca="1">IFERROR(__xludf.DUMMYFUNCTION("""COMPUTED_VALUE"""),0)</f>
        <v>0</v>
      </c>
      <c r="I406" s="23">
        <f ca="1">IFERROR(__xludf.DUMMYFUNCTION("""COMPUTED_VALUE"""),0)</f>
        <v>0</v>
      </c>
      <c r="J406" s="23">
        <f ca="1">IFERROR(__xludf.DUMMYFUNCTION("""COMPUTED_VALUE"""),0)</f>
        <v>0</v>
      </c>
      <c r="K406" s="23">
        <f ca="1">IFERROR(__xludf.DUMMYFUNCTION("""COMPUTED_VALUE"""),0)</f>
        <v>0</v>
      </c>
      <c r="L406" s="23">
        <f ca="1">IFERROR(__xludf.DUMMYFUNCTION("""COMPUTED_VALUE"""),0)</f>
        <v>0</v>
      </c>
      <c r="M406" s="23">
        <f ca="1">IFERROR(__xludf.DUMMYFUNCTION("""COMPUTED_VALUE"""),0)</f>
        <v>0</v>
      </c>
      <c r="N406" s="23">
        <f ca="1">IFERROR(__xludf.DUMMYFUNCTION("""COMPUTED_VALUE"""),0)</f>
        <v>0</v>
      </c>
      <c r="O406" s="23">
        <f ca="1">IFERROR(__xludf.DUMMYFUNCTION("""COMPUTED_VALUE"""),0)</f>
        <v>0</v>
      </c>
      <c r="P406" s="23">
        <f ca="1">IFERROR(__xludf.DUMMYFUNCTION("""COMPUTED_VALUE"""),0)</f>
        <v>0</v>
      </c>
      <c r="Q406" s="24">
        <f ca="1">IFERROR(__xludf.DUMMYFUNCTION("""COMPUTED_VALUE"""),0)</f>
        <v>0</v>
      </c>
      <c r="R406" s="20"/>
    </row>
    <row r="407" spans="1:18" ht="13.2" hidden="1" outlineLevel="1" x14ac:dyDescent="0.25">
      <c r="A407" s="1"/>
      <c r="B407" s="21" t="str">
        <f ca="1">IFERROR(__xludf.DUMMYFUNCTION("""COMPUTED_VALUE"""),"Gas natural")</f>
        <v>Gas natural</v>
      </c>
      <c r="C407" s="22">
        <f ca="1">IFERROR(__xludf.DUMMYFUNCTION("""COMPUTED_VALUE"""),0)</f>
        <v>0</v>
      </c>
      <c r="D407" s="23">
        <f ca="1">IFERROR(__xludf.DUMMYFUNCTION("""COMPUTED_VALUE"""),0)</f>
        <v>0</v>
      </c>
      <c r="E407" s="23">
        <f ca="1">IFERROR(__xludf.DUMMYFUNCTION("""COMPUTED_VALUE"""),0)</f>
        <v>0</v>
      </c>
      <c r="F407" s="23">
        <f ca="1">IFERROR(__xludf.DUMMYFUNCTION("""COMPUTED_VALUE"""),0)</f>
        <v>0</v>
      </c>
      <c r="G407" s="23">
        <f ca="1">IFERROR(__xludf.DUMMYFUNCTION("""COMPUTED_VALUE"""),0)</f>
        <v>0</v>
      </c>
      <c r="H407" s="23">
        <f ca="1">IFERROR(__xludf.DUMMYFUNCTION("""COMPUTED_VALUE"""),0)</f>
        <v>0</v>
      </c>
      <c r="I407" s="23">
        <f ca="1">IFERROR(__xludf.DUMMYFUNCTION("""COMPUTED_VALUE"""),0)</f>
        <v>0</v>
      </c>
      <c r="J407" s="23">
        <f ca="1">IFERROR(__xludf.DUMMYFUNCTION("""COMPUTED_VALUE"""),0)</f>
        <v>0</v>
      </c>
      <c r="K407" s="23">
        <f ca="1">IFERROR(__xludf.DUMMYFUNCTION("""COMPUTED_VALUE"""),0)</f>
        <v>0</v>
      </c>
      <c r="L407" s="23">
        <f ca="1">IFERROR(__xludf.DUMMYFUNCTION("""COMPUTED_VALUE"""),0)</f>
        <v>0</v>
      </c>
      <c r="M407" s="23">
        <f ca="1">IFERROR(__xludf.DUMMYFUNCTION("""COMPUTED_VALUE"""),0)</f>
        <v>0</v>
      </c>
      <c r="N407" s="23">
        <f ca="1">IFERROR(__xludf.DUMMYFUNCTION("""COMPUTED_VALUE"""),0)</f>
        <v>0</v>
      </c>
      <c r="O407" s="23">
        <f ca="1">IFERROR(__xludf.DUMMYFUNCTION("""COMPUTED_VALUE"""),0)</f>
        <v>0</v>
      </c>
      <c r="P407" s="23">
        <f ca="1">IFERROR(__xludf.DUMMYFUNCTION("""COMPUTED_VALUE"""),0)</f>
        <v>0</v>
      </c>
      <c r="Q407" s="24">
        <f ca="1">IFERROR(__xludf.DUMMYFUNCTION("""COMPUTED_VALUE"""),0)</f>
        <v>0</v>
      </c>
      <c r="R407" s="20"/>
    </row>
    <row r="408" spans="1:18" ht="13.2" hidden="1" outlineLevel="1" x14ac:dyDescent="0.25">
      <c r="A408" s="1"/>
      <c r="B408" s="21" t="str">
        <f ca="1">IFERROR(__xludf.DUMMYFUNCTION("""COMPUTED_VALUE"""),"Energía Nuclear")</f>
        <v>Energía Nuclear</v>
      </c>
      <c r="C408" s="22">
        <f ca="1">IFERROR(__xludf.DUMMYFUNCTION("""COMPUTED_VALUE"""),0)</f>
        <v>0</v>
      </c>
      <c r="D408" s="23">
        <f ca="1">IFERROR(__xludf.DUMMYFUNCTION("""COMPUTED_VALUE"""),0)</f>
        <v>0</v>
      </c>
      <c r="E408" s="23">
        <f ca="1">IFERROR(__xludf.DUMMYFUNCTION("""COMPUTED_VALUE"""),0)</f>
        <v>0</v>
      </c>
      <c r="F408" s="23">
        <f ca="1">IFERROR(__xludf.DUMMYFUNCTION("""COMPUTED_VALUE"""),0)</f>
        <v>0</v>
      </c>
      <c r="G408" s="23">
        <f ca="1">IFERROR(__xludf.DUMMYFUNCTION("""COMPUTED_VALUE"""),0)</f>
        <v>0</v>
      </c>
      <c r="H408" s="23">
        <f ca="1">IFERROR(__xludf.DUMMYFUNCTION("""COMPUTED_VALUE"""),0)</f>
        <v>0</v>
      </c>
      <c r="I408" s="23">
        <f ca="1">IFERROR(__xludf.DUMMYFUNCTION("""COMPUTED_VALUE"""),0)</f>
        <v>0</v>
      </c>
      <c r="J408" s="23">
        <f ca="1">IFERROR(__xludf.DUMMYFUNCTION("""COMPUTED_VALUE"""),0)</f>
        <v>0</v>
      </c>
      <c r="K408" s="23">
        <f ca="1">IFERROR(__xludf.DUMMYFUNCTION("""COMPUTED_VALUE"""),0)</f>
        <v>0</v>
      </c>
      <c r="L408" s="23">
        <f ca="1">IFERROR(__xludf.DUMMYFUNCTION("""COMPUTED_VALUE"""),0)</f>
        <v>0</v>
      </c>
      <c r="M408" s="23">
        <f ca="1">IFERROR(__xludf.DUMMYFUNCTION("""COMPUTED_VALUE"""),0)</f>
        <v>0</v>
      </c>
      <c r="N408" s="23">
        <f ca="1">IFERROR(__xludf.DUMMYFUNCTION("""COMPUTED_VALUE"""),0)</f>
        <v>0</v>
      </c>
      <c r="O408" s="23">
        <f ca="1">IFERROR(__xludf.DUMMYFUNCTION("""COMPUTED_VALUE"""),0)</f>
        <v>0</v>
      </c>
      <c r="P408" s="23">
        <f ca="1">IFERROR(__xludf.DUMMYFUNCTION("""COMPUTED_VALUE"""),0)</f>
        <v>0</v>
      </c>
      <c r="Q408" s="24">
        <f ca="1">IFERROR(__xludf.DUMMYFUNCTION("""COMPUTED_VALUE"""),0)</f>
        <v>0</v>
      </c>
      <c r="R408" s="20"/>
    </row>
    <row r="409" spans="1:18" ht="13.2" hidden="1" outlineLevel="1" x14ac:dyDescent="0.25">
      <c r="A409" s="1"/>
      <c r="B409" s="21" t="str">
        <f ca="1">IFERROR(__xludf.DUMMYFUNCTION("""COMPUTED_VALUE"""),"Energia Hidraúlica")</f>
        <v>Energia Hidraúlica</v>
      </c>
      <c r="C409" s="22">
        <f ca="1">IFERROR(__xludf.DUMMYFUNCTION("""COMPUTED_VALUE"""),0)</f>
        <v>0</v>
      </c>
      <c r="D409" s="23">
        <f ca="1">IFERROR(__xludf.DUMMYFUNCTION("""COMPUTED_VALUE"""),0)</f>
        <v>0</v>
      </c>
      <c r="E409" s="23">
        <f ca="1">IFERROR(__xludf.DUMMYFUNCTION("""COMPUTED_VALUE"""),0)</f>
        <v>0</v>
      </c>
      <c r="F409" s="23">
        <f ca="1">IFERROR(__xludf.DUMMYFUNCTION("""COMPUTED_VALUE"""),0)</f>
        <v>0</v>
      </c>
      <c r="G409" s="23">
        <f ca="1">IFERROR(__xludf.DUMMYFUNCTION("""COMPUTED_VALUE"""),0)</f>
        <v>0</v>
      </c>
      <c r="H409" s="23">
        <f ca="1">IFERROR(__xludf.DUMMYFUNCTION("""COMPUTED_VALUE"""),0)</f>
        <v>0</v>
      </c>
      <c r="I409" s="23">
        <f ca="1">IFERROR(__xludf.DUMMYFUNCTION("""COMPUTED_VALUE"""),0)</f>
        <v>0</v>
      </c>
      <c r="J409" s="23">
        <f ca="1">IFERROR(__xludf.DUMMYFUNCTION("""COMPUTED_VALUE"""),0)</f>
        <v>0</v>
      </c>
      <c r="K409" s="23">
        <f ca="1">IFERROR(__xludf.DUMMYFUNCTION("""COMPUTED_VALUE"""),0)</f>
        <v>0</v>
      </c>
      <c r="L409" s="23">
        <f ca="1">IFERROR(__xludf.DUMMYFUNCTION("""COMPUTED_VALUE"""),0)</f>
        <v>0</v>
      </c>
      <c r="M409" s="23">
        <f ca="1">IFERROR(__xludf.DUMMYFUNCTION("""COMPUTED_VALUE"""),0)</f>
        <v>0</v>
      </c>
      <c r="N409" s="23">
        <f ca="1">IFERROR(__xludf.DUMMYFUNCTION("""COMPUTED_VALUE"""),0)</f>
        <v>0</v>
      </c>
      <c r="O409" s="23">
        <f ca="1">IFERROR(__xludf.DUMMYFUNCTION("""COMPUTED_VALUE"""),0)</f>
        <v>0</v>
      </c>
      <c r="P409" s="23">
        <f ca="1">IFERROR(__xludf.DUMMYFUNCTION("""COMPUTED_VALUE"""),0)</f>
        <v>0</v>
      </c>
      <c r="Q409" s="24">
        <f ca="1">IFERROR(__xludf.DUMMYFUNCTION("""COMPUTED_VALUE"""),0)</f>
        <v>0</v>
      </c>
      <c r="R409" s="20"/>
    </row>
    <row r="410" spans="1:18" ht="13.2" hidden="1" outlineLevel="1" x14ac:dyDescent="0.25">
      <c r="A410" s="1"/>
      <c r="B410" s="21" t="str">
        <f ca="1">IFERROR(__xludf.DUMMYFUNCTION("""COMPUTED_VALUE"""),"Geoenergía")</f>
        <v>Geoenergía</v>
      </c>
      <c r="C410" s="22">
        <f ca="1">IFERROR(__xludf.DUMMYFUNCTION("""COMPUTED_VALUE"""),0)</f>
        <v>0</v>
      </c>
      <c r="D410" s="23">
        <f ca="1">IFERROR(__xludf.DUMMYFUNCTION("""COMPUTED_VALUE"""),0)</f>
        <v>0</v>
      </c>
      <c r="E410" s="23">
        <f ca="1">IFERROR(__xludf.DUMMYFUNCTION("""COMPUTED_VALUE"""),0)</f>
        <v>0</v>
      </c>
      <c r="F410" s="23">
        <f ca="1">IFERROR(__xludf.DUMMYFUNCTION("""COMPUTED_VALUE"""),0)</f>
        <v>0</v>
      </c>
      <c r="G410" s="23">
        <f ca="1">IFERROR(__xludf.DUMMYFUNCTION("""COMPUTED_VALUE"""),0)</f>
        <v>0</v>
      </c>
      <c r="H410" s="23">
        <f ca="1">IFERROR(__xludf.DUMMYFUNCTION("""COMPUTED_VALUE"""),0)</f>
        <v>0</v>
      </c>
      <c r="I410" s="23">
        <f ca="1">IFERROR(__xludf.DUMMYFUNCTION("""COMPUTED_VALUE"""),0)</f>
        <v>0</v>
      </c>
      <c r="J410" s="23">
        <f ca="1">IFERROR(__xludf.DUMMYFUNCTION("""COMPUTED_VALUE"""),0)</f>
        <v>0</v>
      </c>
      <c r="K410" s="23">
        <f ca="1">IFERROR(__xludf.DUMMYFUNCTION("""COMPUTED_VALUE"""),0)</f>
        <v>0</v>
      </c>
      <c r="L410" s="23">
        <f ca="1">IFERROR(__xludf.DUMMYFUNCTION("""COMPUTED_VALUE"""),0)</f>
        <v>0</v>
      </c>
      <c r="M410" s="23">
        <f ca="1">IFERROR(__xludf.DUMMYFUNCTION("""COMPUTED_VALUE"""),0)</f>
        <v>0</v>
      </c>
      <c r="N410" s="23">
        <f ca="1">IFERROR(__xludf.DUMMYFUNCTION("""COMPUTED_VALUE"""),0)</f>
        <v>0</v>
      </c>
      <c r="O410" s="23">
        <f ca="1">IFERROR(__xludf.DUMMYFUNCTION("""COMPUTED_VALUE"""),0)</f>
        <v>0</v>
      </c>
      <c r="P410" s="23">
        <f ca="1">IFERROR(__xludf.DUMMYFUNCTION("""COMPUTED_VALUE"""),0)</f>
        <v>0</v>
      </c>
      <c r="Q410" s="24">
        <f ca="1">IFERROR(__xludf.DUMMYFUNCTION("""COMPUTED_VALUE"""),0)</f>
        <v>0</v>
      </c>
      <c r="R410" s="20"/>
    </row>
    <row r="411" spans="1:18" ht="13.2" hidden="1" outlineLevel="1" x14ac:dyDescent="0.25">
      <c r="A411" s="1"/>
      <c r="B411" s="21" t="str">
        <f ca="1">IFERROR(__xludf.DUMMYFUNCTION("""COMPUTED_VALUE"""),"Energía solar")</f>
        <v>Energía solar</v>
      </c>
      <c r="C411" s="22">
        <f ca="1">IFERROR(__xludf.DUMMYFUNCTION("""COMPUTED_VALUE"""),0)</f>
        <v>0</v>
      </c>
      <c r="D411" s="23">
        <f ca="1">IFERROR(__xludf.DUMMYFUNCTION("""COMPUTED_VALUE"""),0)</f>
        <v>0</v>
      </c>
      <c r="E411" s="23">
        <f ca="1">IFERROR(__xludf.DUMMYFUNCTION("""COMPUTED_VALUE"""),0)</f>
        <v>0</v>
      </c>
      <c r="F411" s="23">
        <f ca="1">IFERROR(__xludf.DUMMYFUNCTION("""COMPUTED_VALUE"""),0)</f>
        <v>0</v>
      </c>
      <c r="G411" s="23">
        <f ca="1">IFERROR(__xludf.DUMMYFUNCTION("""COMPUTED_VALUE"""),0)</f>
        <v>0</v>
      </c>
      <c r="H411" s="23">
        <f ca="1">IFERROR(__xludf.DUMMYFUNCTION("""COMPUTED_VALUE"""),0)</f>
        <v>0</v>
      </c>
      <c r="I411" s="23">
        <f ca="1">IFERROR(__xludf.DUMMYFUNCTION("""COMPUTED_VALUE"""),0)</f>
        <v>0</v>
      </c>
      <c r="J411" s="23">
        <f ca="1">IFERROR(__xludf.DUMMYFUNCTION("""COMPUTED_VALUE"""),0)</f>
        <v>0</v>
      </c>
      <c r="K411" s="23">
        <f ca="1">IFERROR(__xludf.DUMMYFUNCTION("""COMPUTED_VALUE"""),0)</f>
        <v>0</v>
      </c>
      <c r="L411" s="23">
        <f ca="1">IFERROR(__xludf.DUMMYFUNCTION("""COMPUTED_VALUE"""),0)</f>
        <v>0</v>
      </c>
      <c r="M411" s="23">
        <f ca="1">IFERROR(__xludf.DUMMYFUNCTION("""COMPUTED_VALUE"""),0)</f>
        <v>0</v>
      </c>
      <c r="N411" s="23">
        <f ca="1">IFERROR(__xludf.DUMMYFUNCTION("""COMPUTED_VALUE"""),0)</f>
        <v>0</v>
      </c>
      <c r="O411" s="23">
        <f ca="1">IFERROR(__xludf.DUMMYFUNCTION("""COMPUTED_VALUE"""),0)</f>
        <v>0</v>
      </c>
      <c r="P411" s="23">
        <f ca="1">IFERROR(__xludf.DUMMYFUNCTION("""COMPUTED_VALUE"""),0)</f>
        <v>0</v>
      </c>
      <c r="Q411" s="24">
        <f ca="1">IFERROR(__xludf.DUMMYFUNCTION("""COMPUTED_VALUE"""),0)</f>
        <v>0</v>
      </c>
      <c r="R411" s="20"/>
    </row>
    <row r="412" spans="1:18" ht="13.2" hidden="1" outlineLevel="1" x14ac:dyDescent="0.25">
      <c r="A412" s="1"/>
      <c r="B412" s="21" t="str">
        <f ca="1">IFERROR(__xludf.DUMMYFUNCTION("""COMPUTED_VALUE"""),"Energía eólica")</f>
        <v>Energía eólica</v>
      </c>
      <c r="C412" s="22">
        <f ca="1">IFERROR(__xludf.DUMMYFUNCTION("""COMPUTED_VALUE"""),0)</f>
        <v>0</v>
      </c>
      <c r="D412" s="23">
        <f ca="1">IFERROR(__xludf.DUMMYFUNCTION("""COMPUTED_VALUE"""),0)</f>
        <v>0</v>
      </c>
      <c r="E412" s="23">
        <f ca="1">IFERROR(__xludf.DUMMYFUNCTION("""COMPUTED_VALUE"""),0)</f>
        <v>0</v>
      </c>
      <c r="F412" s="23">
        <f ca="1">IFERROR(__xludf.DUMMYFUNCTION("""COMPUTED_VALUE"""),0)</f>
        <v>0</v>
      </c>
      <c r="G412" s="23">
        <f ca="1">IFERROR(__xludf.DUMMYFUNCTION("""COMPUTED_VALUE"""),0)</f>
        <v>0</v>
      </c>
      <c r="H412" s="23">
        <f ca="1">IFERROR(__xludf.DUMMYFUNCTION("""COMPUTED_VALUE"""),0)</f>
        <v>0</v>
      </c>
      <c r="I412" s="23">
        <f ca="1">IFERROR(__xludf.DUMMYFUNCTION("""COMPUTED_VALUE"""),0)</f>
        <v>0</v>
      </c>
      <c r="J412" s="23">
        <f ca="1">IFERROR(__xludf.DUMMYFUNCTION("""COMPUTED_VALUE"""),0)</f>
        <v>0</v>
      </c>
      <c r="K412" s="23">
        <f ca="1">IFERROR(__xludf.DUMMYFUNCTION("""COMPUTED_VALUE"""),0)</f>
        <v>0</v>
      </c>
      <c r="L412" s="23">
        <f ca="1">IFERROR(__xludf.DUMMYFUNCTION("""COMPUTED_VALUE"""),0)</f>
        <v>0</v>
      </c>
      <c r="M412" s="23">
        <f ca="1">IFERROR(__xludf.DUMMYFUNCTION("""COMPUTED_VALUE"""),0)</f>
        <v>0</v>
      </c>
      <c r="N412" s="23">
        <f ca="1">IFERROR(__xludf.DUMMYFUNCTION("""COMPUTED_VALUE"""),0)</f>
        <v>0</v>
      </c>
      <c r="O412" s="23">
        <f ca="1">IFERROR(__xludf.DUMMYFUNCTION("""COMPUTED_VALUE"""),0)</f>
        <v>0</v>
      </c>
      <c r="P412" s="23">
        <f ca="1">IFERROR(__xludf.DUMMYFUNCTION("""COMPUTED_VALUE"""),0)</f>
        <v>0</v>
      </c>
      <c r="Q412" s="24">
        <f ca="1">IFERROR(__xludf.DUMMYFUNCTION("""COMPUTED_VALUE"""),0)</f>
        <v>0</v>
      </c>
      <c r="R412" s="20"/>
    </row>
    <row r="413" spans="1:18" ht="13.2" hidden="1" outlineLevel="1" x14ac:dyDescent="0.25">
      <c r="A413" s="1"/>
      <c r="B413" s="21" t="str">
        <f ca="1">IFERROR(__xludf.DUMMYFUNCTION("""COMPUTED_VALUE"""),"Bagazo de caña")</f>
        <v>Bagazo de caña</v>
      </c>
      <c r="C413" s="22">
        <f ca="1">IFERROR(__xludf.DUMMYFUNCTION("""COMPUTED_VALUE"""),0)</f>
        <v>0</v>
      </c>
      <c r="D413" s="23">
        <f ca="1">IFERROR(__xludf.DUMMYFUNCTION("""COMPUTED_VALUE"""),0)</f>
        <v>0</v>
      </c>
      <c r="E413" s="23">
        <f ca="1">IFERROR(__xludf.DUMMYFUNCTION("""COMPUTED_VALUE"""),0)</f>
        <v>0</v>
      </c>
      <c r="F413" s="23">
        <f ca="1">IFERROR(__xludf.DUMMYFUNCTION("""COMPUTED_VALUE"""),0)</f>
        <v>0</v>
      </c>
      <c r="G413" s="23">
        <f ca="1">IFERROR(__xludf.DUMMYFUNCTION("""COMPUTED_VALUE"""),0)</f>
        <v>0</v>
      </c>
      <c r="H413" s="23">
        <f ca="1">IFERROR(__xludf.DUMMYFUNCTION("""COMPUTED_VALUE"""),0)</f>
        <v>0</v>
      </c>
      <c r="I413" s="23">
        <f ca="1">IFERROR(__xludf.DUMMYFUNCTION("""COMPUTED_VALUE"""),0)</f>
        <v>0</v>
      </c>
      <c r="J413" s="23">
        <f ca="1">IFERROR(__xludf.DUMMYFUNCTION("""COMPUTED_VALUE"""),0)</f>
        <v>0</v>
      </c>
      <c r="K413" s="23">
        <f ca="1">IFERROR(__xludf.DUMMYFUNCTION("""COMPUTED_VALUE"""),0)</f>
        <v>0</v>
      </c>
      <c r="L413" s="23">
        <f ca="1">IFERROR(__xludf.DUMMYFUNCTION("""COMPUTED_VALUE"""),0)</f>
        <v>0</v>
      </c>
      <c r="M413" s="23">
        <f ca="1">IFERROR(__xludf.DUMMYFUNCTION("""COMPUTED_VALUE"""),0)</f>
        <v>0</v>
      </c>
      <c r="N413" s="23">
        <f ca="1">IFERROR(__xludf.DUMMYFUNCTION("""COMPUTED_VALUE"""),0)</f>
        <v>0</v>
      </c>
      <c r="O413" s="23">
        <f ca="1">IFERROR(__xludf.DUMMYFUNCTION("""COMPUTED_VALUE"""),0)</f>
        <v>0</v>
      </c>
      <c r="P413" s="23">
        <f ca="1">IFERROR(__xludf.DUMMYFUNCTION("""COMPUTED_VALUE"""),0)</f>
        <v>0</v>
      </c>
      <c r="Q413" s="24">
        <f ca="1">IFERROR(__xludf.DUMMYFUNCTION("""COMPUTED_VALUE"""),0)</f>
        <v>0</v>
      </c>
      <c r="R413" s="20"/>
    </row>
    <row r="414" spans="1:18" ht="13.2" hidden="1" outlineLevel="1" x14ac:dyDescent="0.25">
      <c r="A414" s="1"/>
      <c r="B414" s="21" t="str">
        <f ca="1">IFERROR(__xludf.DUMMYFUNCTION("""COMPUTED_VALUE"""),"Leña")</f>
        <v>Leña</v>
      </c>
      <c r="C414" s="22">
        <f ca="1">IFERROR(__xludf.DUMMYFUNCTION("""COMPUTED_VALUE"""),0)</f>
        <v>0</v>
      </c>
      <c r="D414" s="23">
        <f ca="1">IFERROR(__xludf.DUMMYFUNCTION("""COMPUTED_VALUE"""),0)</f>
        <v>0</v>
      </c>
      <c r="E414" s="23">
        <f ca="1">IFERROR(__xludf.DUMMYFUNCTION("""COMPUTED_VALUE"""),0)</f>
        <v>0</v>
      </c>
      <c r="F414" s="23">
        <f ca="1">IFERROR(__xludf.DUMMYFUNCTION("""COMPUTED_VALUE"""),0)</f>
        <v>0</v>
      </c>
      <c r="G414" s="23">
        <f ca="1">IFERROR(__xludf.DUMMYFUNCTION("""COMPUTED_VALUE"""),0)</f>
        <v>0</v>
      </c>
      <c r="H414" s="23">
        <f ca="1">IFERROR(__xludf.DUMMYFUNCTION("""COMPUTED_VALUE"""),0)</f>
        <v>0</v>
      </c>
      <c r="I414" s="23">
        <f ca="1">IFERROR(__xludf.DUMMYFUNCTION("""COMPUTED_VALUE"""),0)</f>
        <v>0</v>
      </c>
      <c r="J414" s="23">
        <f ca="1">IFERROR(__xludf.DUMMYFUNCTION("""COMPUTED_VALUE"""),0)</f>
        <v>0</v>
      </c>
      <c r="K414" s="23">
        <f ca="1">IFERROR(__xludf.DUMMYFUNCTION("""COMPUTED_VALUE"""),0)</f>
        <v>0</v>
      </c>
      <c r="L414" s="23">
        <f ca="1">IFERROR(__xludf.DUMMYFUNCTION("""COMPUTED_VALUE"""),0)</f>
        <v>0</v>
      </c>
      <c r="M414" s="23">
        <f ca="1">IFERROR(__xludf.DUMMYFUNCTION("""COMPUTED_VALUE"""),0)</f>
        <v>0</v>
      </c>
      <c r="N414" s="23">
        <f ca="1">IFERROR(__xludf.DUMMYFUNCTION("""COMPUTED_VALUE"""),0)</f>
        <v>0</v>
      </c>
      <c r="O414" s="23">
        <f ca="1">IFERROR(__xludf.DUMMYFUNCTION("""COMPUTED_VALUE"""),0)</f>
        <v>0</v>
      </c>
      <c r="P414" s="23">
        <f ca="1">IFERROR(__xludf.DUMMYFUNCTION("""COMPUTED_VALUE"""),0)</f>
        <v>0</v>
      </c>
      <c r="Q414" s="24">
        <f ca="1">IFERROR(__xludf.DUMMYFUNCTION("""COMPUTED_VALUE"""),0)</f>
        <v>0</v>
      </c>
      <c r="R414" s="20"/>
    </row>
    <row r="415" spans="1:18" ht="13.2" hidden="1" outlineLevel="1" x14ac:dyDescent="0.25">
      <c r="A415" s="1"/>
      <c r="B415" s="21" t="str">
        <f ca="1">IFERROR(__xludf.DUMMYFUNCTION("""COMPUTED_VALUE"""),"Biogás")</f>
        <v>Biogás</v>
      </c>
      <c r="C415" s="22">
        <f ca="1">IFERROR(__xludf.DUMMYFUNCTION("""COMPUTED_VALUE"""),0)</f>
        <v>0</v>
      </c>
      <c r="D415" s="23">
        <f ca="1">IFERROR(__xludf.DUMMYFUNCTION("""COMPUTED_VALUE"""),0)</f>
        <v>0</v>
      </c>
      <c r="E415" s="23">
        <f ca="1">IFERROR(__xludf.DUMMYFUNCTION("""COMPUTED_VALUE"""),0)</f>
        <v>0</v>
      </c>
      <c r="F415" s="23">
        <f ca="1">IFERROR(__xludf.DUMMYFUNCTION("""COMPUTED_VALUE"""),0)</f>
        <v>0</v>
      </c>
      <c r="G415" s="23">
        <f ca="1">IFERROR(__xludf.DUMMYFUNCTION("""COMPUTED_VALUE"""),0)</f>
        <v>0</v>
      </c>
      <c r="H415" s="23">
        <f ca="1">IFERROR(__xludf.DUMMYFUNCTION("""COMPUTED_VALUE"""),0)</f>
        <v>0</v>
      </c>
      <c r="I415" s="23">
        <f ca="1">IFERROR(__xludf.DUMMYFUNCTION("""COMPUTED_VALUE"""),0)</f>
        <v>0</v>
      </c>
      <c r="J415" s="23">
        <f ca="1">IFERROR(__xludf.DUMMYFUNCTION("""COMPUTED_VALUE"""),0)</f>
        <v>0</v>
      </c>
      <c r="K415" s="23">
        <f ca="1">IFERROR(__xludf.DUMMYFUNCTION("""COMPUTED_VALUE"""),0)</f>
        <v>0</v>
      </c>
      <c r="L415" s="23">
        <f ca="1">IFERROR(__xludf.DUMMYFUNCTION("""COMPUTED_VALUE"""),0)</f>
        <v>0</v>
      </c>
      <c r="M415" s="23">
        <f ca="1">IFERROR(__xludf.DUMMYFUNCTION("""COMPUTED_VALUE"""),0)</f>
        <v>0</v>
      </c>
      <c r="N415" s="23">
        <f ca="1">IFERROR(__xludf.DUMMYFUNCTION("""COMPUTED_VALUE"""),0)</f>
        <v>0</v>
      </c>
      <c r="O415" s="23">
        <f ca="1">IFERROR(__xludf.DUMMYFUNCTION("""COMPUTED_VALUE"""),0)</f>
        <v>0</v>
      </c>
      <c r="P415" s="23">
        <f ca="1">IFERROR(__xludf.DUMMYFUNCTION("""COMPUTED_VALUE"""),0)</f>
        <v>0</v>
      </c>
      <c r="Q415" s="24">
        <f ca="1">IFERROR(__xludf.DUMMYFUNCTION("""COMPUTED_VALUE"""),0)</f>
        <v>0</v>
      </c>
      <c r="R415" s="20"/>
    </row>
    <row r="416" spans="1:18" ht="13.2" hidden="1" outlineLevel="1" x14ac:dyDescent="0.25">
      <c r="A416" s="1"/>
      <c r="B416" s="21" t="str">
        <f ca="1">IFERROR(__xludf.DUMMYFUNCTION("""COMPUTED_VALUE"""),"Coque de carbón")</f>
        <v>Coque de carbón</v>
      </c>
      <c r="C416" s="22">
        <f ca="1">IFERROR(__xludf.DUMMYFUNCTION("""COMPUTED_VALUE"""),0)</f>
        <v>0</v>
      </c>
      <c r="D416" s="23">
        <f ca="1">IFERROR(__xludf.DUMMYFUNCTION("""COMPUTED_VALUE"""),0)</f>
        <v>0</v>
      </c>
      <c r="E416" s="23">
        <f ca="1">IFERROR(__xludf.DUMMYFUNCTION("""COMPUTED_VALUE"""),0)</f>
        <v>0</v>
      </c>
      <c r="F416" s="23">
        <f ca="1">IFERROR(__xludf.DUMMYFUNCTION("""COMPUTED_VALUE"""),0)</f>
        <v>0</v>
      </c>
      <c r="G416" s="23">
        <f ca="1">IFERROR(__xludf.DUMMYFUNCTION("""COMPUTED_VALUE"""),0)</f>
        <v>0</v>
      </c>
      <c r="H416" s="23">
        <f ca="1">IFERROR(__xludf.DUMMYFUNCTION("""COMPUTED_VALUE"""),0)</f>
        <v>0</v>
      </c>
      <c r="I416" s="23">
        <f ca="1">IFERROR(__xludf.DUMMYFUNCTION("""COMPUTED_VALUE"""),0)</f>
        <v>0</v>
      </c>
      <c r="J416" s="23">
        <f ca="1">IFERROR(__xludf.DUMMYFUNCTION("""COMPUTED_VALUE"""),0)</f>
        <v>0</v>
      </c>
      <c r="K416" s="23">
        <f ca="1">IFERROR(__xludf.DUMMYFUNCTION("""COMPUTED_VALUE"""),0)</f>
        <v>0</v>
      </c>
      <c r="L416" s="23">
        <f ca="1">IFERROR(__xludf.DUMMYFUNCTION("""COMPUTED_VALUE"""),0)</f>
        <v>0</v>
      </c>
      <c r="M416" s="23">
        <f ca="1">IFERROR(__xludf.DUMMYFUNCTION("""COMPUTED_VALUE"""),0)</f>
        <v>0</v>
      </c>
      <c r="N416" s="23">
        <f ca="1">IFERROR(__xludf.DUMMYFUNCTION("""COMPUTED_VALUE"""),0)</f>
        <v>0</v>
      </c>
      <c r="O416" s="23">
        <f ca="1">IFERROR(__xludf.DUMMYFUNCTION("""COMPUTED_VALUE"""),0)</f>
        <v>0</v>
      </c>
      <c r="P416" s="23">
        <f ca="1">IFERROR(__xludf.DUMMYFUNCTION("""COMPUTED_VALUE"""),0)</f>
        <v>0</v>
      </c>
      <c r="Q416" s="24">
        <f ca="1">IFERROR(__xludf.DUMMYFUNCTION("""COMPUTED_VALUE"""),0)</f>
        <v>0</v>
      </c>
      <c r="R416" s="20"/>
    </row>
    <row r="417" spans="1:18" ht="13.2" hidden="1" outlineLevel="1" x14ac:dyDescent="0.25">
      <c r="A417" s="1"/>
      <c r="B417" s="21" t="str">
        <f ca="1">IFERROR(__xludf.DUMMYFUNCTION("""COMPUTED_VALUE"""),"Coque de petróleo")</f>
        <v>Coque de petróleo</v>
      </c>
      <c r="C417" s="22">
        <f ca="1">IFERROR(__xludf.DUMMYFUNCTION("""COMPUTED_VALUE"""),0)</f>
        <v>0</v>
      </c>
      <c r="D417" s="23">
        <f ca="1">IFERROR(__xludf.DUMMYFUNCTION("""COMPUTED_VALUE"""),0)</f>
        <v>0</v>
      </c>
      <c r="E417" s="23">
        <f ca="1">IFERROR(__xludf.DUMMYFUNCTION("""COMPUTED_VALUE"""),0)</f>
        <v>0</v>
      </c>
      <c r="F417" s="23">
        <f ca="1">IFERROR(__xludf.DUMMYFUNCTION("""COMPUTED_VALUE"""),0)</f>
        <v>0</v>
      </c>
      <c r="G417" s="23">
        <f ca="1">IFERROR(__xludf.DUMMYFUNCTION("""COMPUTED_VALUE"""),0)</f>
        <v>0</v>
      </c>
      <c r="H417" s="23">
        <f ca="1">IFERROR(__xludf.DUMMYFUNCTION("""COMPUTED_VALUE"""),0)</f>
        <v>0</v>
      </c>
      <c r="I417" s="23">
        <f ca="1">IFERROR(__xludf.DUMMYFUNCTION("""COMPUTED_VALUE"""),0)</f>
        <v>0</v>
      </c>
      <c r="J417" s="23">
        <f ca="1">IFERROR(__xludf.DUMMYFUNCTION("""COMPUTED_VALUE"""),0)</f>
        <v>0</v>
      </c>
      <c r="K417" s="23">
        <f ca="1">IFERROR(__xludf.DUMMYFUNCTION("""COMPUTED_VALUE"""),0)</f>
        <v>0</v>
      </c>
      <c r="L417" s="23">
        <f ca="1">IFERROR(__xludf.DUMMYFUNCTION("""COMPUTED_VALUE"""),0)</f>
        <v>0</v>
      </c>
      <c r="M417" s="23">
        <f ca="1">IFERROR(__xludf.DUMMYFUNCTION("""COMPUTED_VALUE"""),0)</f>
        <v>0</v>
      </c>
      <c r="N417" s="23">
        <f ca="1">IFERROR(__xludf.DUMMYFUNCTION("""COMPUTED_VALUE"""),0)</f>
        <v>0</v>
      </c>
      <c r="O417" s="23">
        <f ca="1">IFERROR(__xludf.DUMMYFUNCTION("""COMPUTED_VALUE"""),0)</f>
        <v>0</v>
      </c>
      <c r="P417" s="23">
        <f ca="1">IFERROR(__xludf.DUMMYFUNCTION("""COMPUTED_VALUE"""),0)</f>
        <v>0</v>
      </c>
      <c r="Q417" s="24">
        <f ca="1">IFERROR(__xludf.DUMMYFUNCTION("""COMPUTED_VALUE"""),0)</f>
        <v>0</v>
      </c>
      <c r="R417" s="20"/>
    </row>
    <row r="418" spans="1:18" ht="13.2" hidden="1" outlineLevel="1" x14ac:dyDescent="0.25">
      <c r="A418" s="1"/>
      <c r="B418" s="21" t="str">
        <f ca="1">IFERROR(__xludf.DUMMYFUNCTION("""COMPUTED_VALUE"""),"Gas licuado de petróleo")</f>
        <v>Gas licuado de petróleo</v>
      </c>
      <c r="C418" s="22">
        <f ca="1">IFERROR(__xludf.DUMMYFUNCTION("""COMPUTED_VALUE"""),0)</f>
        <v>0</v>
      </c>
      <c r="D418" s="23">
        <f ca="1">IFERROR(__xludf.DUMMYFUNCTION("""COMPUTED_VALUE"""),0)</f>
        <v>0</v>
      </c>
      <c r="E418" s="23">
        <f ca="1">IFERROR(__xludf.DUMMYFUNCTION("""COMPUTED_VALUE"""),0)</f>
        <v>0</v>
      </c>
      <c r="F418" s="23">
        <f ca="1">IFERROR(__xludf.DUMMYFUNCTION("""COMPUTED_VALUE"""),0)</f>
        <v>0</v>
      </c>
      <c r="G418" s="23">
        <f ca="1">IFERROR(__xludf.DUMMYFUNCTION("""COMPUTED_VALUE"""),0)</f>
        <v>0</v>
      </c>
      <c r="H418" s="23">
        <f ca="1">IFERROR(__xludf.DUMMYFUNCTION("""COMPUTED_VALUE"""),0)</f>
        <v>0</v>
      </c>
      <c r="I418" s="23">
        <f ca="1">IFERROR(__xludf.DUMMYFUNCTION("""COMPUTED_VALUE"""),0)</f>
        <v>0</v>
      </c>
      <c r="J418" s="23">
        <f ca="1">IFERROR(__xludf.DUMMYFUNCTION("""COMPUTED_VALUE"""),0)</f>
        <v>0</v>
      </c>
      <c r="K418" s="23">
        <f ca="1">IFERROR(__xludf.DUMMYFUNCTION("""COMPUTED_VALUE"""),0)</f>
        <v>0</v>
      </c>
      <c r="L418" s="23">
        <f ca="1">IFERROR(__xludf.DUMMYFUNCTION("""COMPUTED_VALUE"""),0)</f>
        <v>0</v>
      </c>
      <c r="M418" s="23">
        <f ca="1">IFERROR(__xludf.DUMMYFUNCTION("""COMPUTED_VALUE"""),0)</f>
        <v>0</v>
      </c>
      <c r="N418" s="23">
        <f ca="1">IFERROR(__xludf.DUMMYFUNCTION("""COMPUTED_VALUE"""),0)</f>
        <v>0</v>
      </c>
      <c r="O418" s="23">
        <f ca="1">IFERROR(__xludf.DUMMYFUNCTION("""COMPUTED_VALUE"""),0)</f>
        <v>0</v>
      </c>
      <c r="P418" s="23">
        <f ca="1">IFERROR(__xludf.DUMMYFUNCTION("""COMPUTED_VALUE"""),0)</f>
        <v>0</v>
      </c>
      <c r="Q418" s="24">
        <f ca="1">IFERROR(__xludf.DUMMYFUNCTION("""COMPUTED_VALUE"""),0)</f>
        <v>0</v>
      </c>
      <c r="R418" s="20"/>
    </row>
    <row r="419" spans="1:18" ht="13.2" hidden="1" outlineLevel="1" x14ac:dyDescent="0.25">
      <c r="A419" s="1"/>
      <c r="B419" s="21" t="str">
        <f ca="1">IFERROR(__xludf.DUMMYFUNCTION("""COMPUTED_VALUE"""),"Gasolinas y naftas")</f>
        <v>Gasolinas y naftas</v>
      </c>
      <c r="C419" s="22">
        <f ca="1">IFERROR(__xludf.DUMMYFUNCTION("""COMPUTED_VALUE"""),0)</f>
        <v>0</v>
      </c>
      <c r="D419" s="23">
        <f ca="1">IFERROR(__xludf.DUMMYFUNCTION("""COMPUTED_VALUE"""),0)</f>
        <v>0</v>
      </c>
      <c r="E419" s="23">
        <f ca="1">IFERROR(__xludf.DUMMYFUNCTION("""COMPUTED_VALUE"""),0)</f>
        <v>0</v>
      </c>
      <c r="F419" s="23">
        <f ca="1">IFERROR(__xludf.DUMMYFUNCTION("""COMPUTED_VALUE"""),0)</f>
        <v>0</v>
      </c>
      <c r="G419" s="23">
        <f ca="1">IFERROR(__xludf.DUMMYFUNCTION("""COMPUTED_VALUE"""),0)</f>
        <v>0</v>
      </c>
      <c r="H419" s="23">
        <f ca="1">IFERROR(__xludf.DUMMYFUNCTION("""COMPUTED_VALUE"""),0)</f>
        <v>0</v>
      </c>
      <c r="I419" s="23">
        <f ca="1">IFERROR(__xludf.DUMMYFUNCTION("""COMPUTED_VALUE"""),0)</f>
        <v>0</v>
      </c>
      <c r="J419" s="23">
        <f ca="1">IFERROR(__xludf.DUMMYFUNCTION("""COMPUTED_VALUE"""),0)</f>
        <v>0</v>
      </c>
      <c r="K419" s="23">
        <f ca="1">IFERROR(__xludf.DUMMYFUNCTION("""COMPUTED_VALUE"""),0)</f>
        <v>0</v>
      </c>
      <c r="L419" s="23">
        <f ca="1">IFERROR(__xludf.DUMMYFUNCTION("""COMPUTED_VALUE"""),0)</f>
        <v>0</v>
      </c>
      <c r="M419" s="23">
        <f ca="1">IFERROR(__xludf.DUMMYFUNCTION("""COMPUTED_VALUE"""),0)</f>
        <v>0</v>
      </c>
      <c r="N419" s="23">
        <f ca="1">IFERROR(__xludf.DUMMYFUNCTION("""COMPUTED_VALUE"""),0)</f>
        <v>0</v>
      </c>
      <c r="O419" s="23">
        <f ca="1">IFERROR(__xludf.DUMMYFUNCTION("""COMPUTED_VALUE"""),0)</f>
        <v>0</v>
      </c>
      <c r="P419" s="23">
        <f ca="1">IFERROR(__xludf.DUMMYFUNCTION("""COMPUTED_VALUE"""),0)</f>
        <v>0</v>
      </c>
      <c r="Q419" s="24">
        <f ca="1">IFERROR(__xludf.DUMMYFUNCTION("""COMPUTED_VALUE"""),0)</f>
        <v>0</v>
      </c>
      <c r="R419" s="20"/>
    </row>
    <row r="420" spans="1:18" ht="13.2" hidden="1" outlineLevel="1" x14ac:dyDescent="0.25">
      <c r="A420" s="1"/>
      <c r="B420" s="21" t="str">
        <f ca="1">IFERROR(__xludf.DUMMYFUNCTION("""COMPUTED_VALUE"""),"Querosenos")</f>
        <v>Querosenos</v>
      </c>
      <c r="C420" s="22">
        <f ca="1">IFERROR(__xludf.DUMMYFUNCTION("""COMPUTED_VALUE"""),0)</f>
        <v>0</v>
      </c>
      <c r="D420" s="23">
        <f ca="1">IFERROR(__xludf.DUMMYFUNCTION("""COMPUTED_VALUE"""),0)</f>
        <v>0</v>
      </c>
      <c r="E420" s="23">
        <f ca="1">IFERROR(__xludf.DUMMYFUNCTION("""COMPUTED_VALUE"""),0)</f>
        <v>0</v>
      </c>
      <c r="F420" s="23">
        <f ca="1">IFERROR(__xludf.DUMMYFUNCTION("""COMPUTED_VALUE"""),0)</f>
        <v>0</v>
      </c>
      <c r="G420" s="23">
        <f ca="1">IFERROR(__xludf.DUMMYFUNCTION("""COMPUTED_VALUE"""),0)</f>
        <v>0</v>
      </c>
      <c r="H420" s="23">
        <f ca="1">IFERROR(__xludf.DUMMYFUNCTION("""COMPUTED_VALUE"""),0)</f>
        <v>0</v>
      </c>
      <c r="I420" s="23">
        <f ca="1">IFERROR(__xludf.DUMMYFUNCTION("""COMPUTED_VALUE"""),0)</f>
        <v>0</v>
      </c>
      <c r="J420" s="23">
        <f ca="1">IFERROR(__xludf.DUMMYFUNCTION("""COMPUTED_VALUE"""),0)</f>
        <v>0</v>
      </c>
      <c r="K420" s="23">
        <f ca="1">IFERROR(__xludf.DUMMYFUNCTION("""COMPUTED_VALUE"""),0)</f>
        <v>0</v>
      </c>
      <c r="L420" s="23">
        <f ca="1">IFERROR(__xludf.DUMMYFUNCTION("""COMPUTED_VALUE"""),0)</f>
        <v>0</v>
      </c>
      <c r="M420" s="23">
        <f ca="1">IFERROR(__xludf.DUMMYFUNCTION("""COMPUTED_VALUE"""),0)</f>
        <v>0</v>
      </c>
      <c r="N420" s="23">
        <f ca="1">IFERROR(__xludf.DUMMYFUNCTION("""COMPUTED_VALUE"""),0)</f>
        <v>0</v>
      </c>
      <c r="O420" s="23">
        <f ca="1">IFERROR(__xludf.DUMMYFUNCTION("""COMPUTED_VALUE"""),0)</f>
        <v>0</v>
      </c>
      <c r="P420" s="23">
        <f ca="1">IFERROR(__xludf.DUMMYFUNCTION("""COMPUTED_VALUE"""),0)</f>
        <v>0</v>
      </c>
      <c r="Q420" s="24">
        <f ca="1">IFERROR(__xludf.DUMMYFUNCTION("""COMPUTED_VALUE"""),0)</f>
        <v>0</v>
      </c>
      <c r="R420" s="20"/>
    </row>
    <row r="421" spans="1:18" ht="13.2" hidden="1" outlineLevel="1" x14ac:dyDescent="0.25">
      <c r="A421" s="1"/>
      <c r="B421" s="21" t="str">
        <f ca="1">IFERROR(__xludf.DUMMYFUNCTION("""COMPUTED_VALUE"""),"Diesel")</f>
        <v>Diesel</v>
      </c>
      <c r="C421" s="22">
        <f ca="1">IFERROR(__xludf.DUMMYFUNCTION("""COMPUTED_VALUE"""),0)</f>
        <v>0</v>
      </c>
      <c r="D421" s="23">
        <f ca="1">IFERROR(__xludf.DUMMYFUNCTION("""COMPUTED_VALUE"""),0)</f>
        <v>0</v>
      </c>
      <c r="E421" s="23">
        <f ca="1">IFERROR(__xludf.DUMMYFUNCTION("""COMPUTED_VALUE"""),0)</f>
        <v>0</v>
      </c>
      <c r="F421" s="23">
        <f ca="1">IFERROR(__xludf.DUMMYFUNCTION("""COMPUTED_VALUE"""),0)</f>
        <v>0</v>
      </c>
      <c r="G421" s="23">
        <f ca="1">IFERROR(__xludf.DUMMYFUNCTION("""COMPUTED_VALUE"""),0)</f>
        <v>0</v>
      </c>
      <c r="H421" s="23">
        <f ca="1">IFERROR(__xludf.DUMMYFUNCTION("""COMPUTED_VALUE"""),0)</f>
        <v>0</v>
      </c>
      <c r="I421" s="23">
        <f ca="1">IFERROR(__xludf.DUMMYFUNCTION("""COMPUTED_VALUE"""),0)</f>
        <v>0</v>
      </c>
      <c r="J421" s="23">
        <f ca="1">IFERROR(__xludf.DUMMYFUNCTION("""COMPUTED_VALUE"""),0)</f>
        <v>0</v>
      </c>
      <c r="K421" s="23">
        <f ca="1">IFERROR(__xludf.DUMMYFUNCTION("""COMPUTED_VALUE"""),0)</f>
        <v>0</v>
      </c>
      <c r="L421" s="23">
        <f ca="1">IFERROR(__xludf.DUMMYFUNCTION("""COMPUTED_VALUE"""),0)</f>
        <v>0</v>
      </c>
      <c r="M421" s="23">
        <f ca="1">IFERROR(__xludf.DUMMYFUNCTION("""COMPUTED_VALUE"""),0)</f>
        <v>0</v>
      </c>
      <c r="N421" s="23">
        <f ca="1">IFERROR(__xludf.DUMMYFUNCTION("""COMPUTED_VALUE"""),0)</f>
        <v>0</v>
      </c>
      <c r="O421" s="23">
        <f ca="1">IFERROR(__xludf.DUMMYFUNCTION("""COMPUTED_VALUE"""),0)</f>
        <v>0</v>
      </c>
      <c r="P421" s="23">
        <f ca="1">IFERROR(__xludf.DUMMYFUNCTION("""COMPUTED_VALUE"""),0)</f>
        <v>0</v>
      </c>
      <c r="Q421" s="24">
        <f ca="1">IFERROR(__xludf.DUMMYFUNCTION("""COMPUTED_VALUE"""),0)</f>
        <v>0</v>
      </c>
      <c r="R421" s="20"/>
    </row>
    <row r="422" spans="1:18" ht="13.2" hidden="1" outlineLevel="1" x14ac:dyDescent="0.25">
      <c r="A422" s="1"/>
      <c r="B422" s="21" t="str">
        <f ca="1">IFERROR(__xludf.DUMMYFUNCTION("""COMPUTED_VALUE"""),"Combustóleo")</f>
        <v>Combustóleo</v>
      </c>
      <c r="C422" s="22">
        <f ca="1">IFERROR(__xludf.DUMMYFUNCTION("""COMPUTED_VALUE"""),0)</f>
        <v>0</v>
      </c>
      <c r="D422" s="23">
        <f ca="1">IFERROR(__xludf.DUMMYFUNCTION("""COMPUTED_VALUE"""),0)</f>
        <v>0</v>
      </c>
      <c r="E422" s="23">
        <f ca="1">IFERROR(__xludf.DUMMYFUNCTION("""COMPUTED_VALUE"""),0)</f>
        <v>0</v>
      </c>
      <c r="F422" s="23">
        <f ca="1">IFERROR(__xludf.DUMMYFUNCTION("""COMPUTED_VALUE"""),0)</f>
        <v>0</v>
      </c>
      <c r="G422" s="23">
        <f ca="1">IFERROR(__xludf.DUMMYFUNCTION("""COMPUTED_VALUE"""),0)</f>
        <v>0</v>
      </c>
      <c r="H422" s="23">
        <f ca="1">IFERROR(__xludf.DUMMYFUNCTION("""COMPUTED_VALUE"""),0)</f>
        <v>0</v>
      </c>
      <c r="I422" s="23">
        <f ca="1">IFERROR(__xludf.DUMMYFUNCTION("""COMPUTED_VALUE"""),0)</f>
        <v>0</v>
      </c>
      <c r="J422" s="23">
        <f ca="1">IFERROR(__xludf.DUMMYFUNCTION("""COMPUTED_VALUE"""),0)</f>
        <v>0</v>
      </c>
      <c r="K422" s="23">
        <f ca="1">IFERROR(__xludf.DUMMYFUNCTION("""COMPUTED_VALUE"""),0)</f>
        <v>0</v>
      </c>
      <c r="L422" s="23">
        <f ca="1">IFERROR(__xludf.DUMMYFUNCTION("""COMPUTED_VALUE"""),0)</f>
        <v>0</v>
      </c>
      <c r="M422" s="23">
        <f ca="1">IFERROR(__xludf.DUMMYFUNCTION("""COMPUTED_VALUE"""),0)</f>
        <v>0</v>
      </c>
      <c r="N422" s="23">
        <f ca="1">IFERROR(__xludf.DUMMYFUNCTION("""COMPUTED_VALUE"""),0)</f>
        <v>0</v>
      </c>
      <c r="O422" s="23">
        <f ca="1">IFERROR(__xludf.DUMMYFUNCTION("""COMPUTED_VALUE"""),0)</f>
        <v>0</v>
      </c>
      <c r="P422" s="23">
        <f ca="1">IFERROR(__xludf.DUMMYFUNCTION("""COMPUTED_VALUE"""),0)</f>
        <v>0</v>
      </c>
      <c r="Q422" s="24">
        <f ca="1">IFERROR(__xludf.DUMMYFUNCTION("""COMPUTED_VALUE"""),0)</f>
        <v>0</v>
      </c>
      <c r="R422" s="20"/>
    </row>
    <row r="423" spans="1:18" ht="13.2" hidden="1" outlineLevel="1" x14ac:dyDescent="0.25">
      <c r="A423" s="1"/>
      <c r="B423" s="21" t="str">
        <f ca="1">IFERROR(__xludf.DUMMYFUNCTION("""COMPUTED_VALUE"""),"Otros energéticos")</f>
        <v>Otros energéticos</v>
      </c>
      <c r="C423" s="22">
        <f ca="1">IFERROR(__xludf.DUMMYFUNCTION("""COMPUTED_VALUE"""),0)</f>
        <v>0</v>
      </c>
      <c r="D423" s="23">
        <f ca="1">IFERROR(__xludf.DUMMYFUNCTION("""COMPUTED_VALUE"""),0)</f>
        <v>0</v>
      </c>
      <c r="E423" s="23">
        <f ca="1">IFERROR(__xludf.DUMMYFUNCTION("""COMPUTED_VALUE"""),0)</f>
        <v>0</v>
      </c>
      <c r="F423" s="23">
        <f ca="1">IFERROR(__xludf.DUMMYFUNCTION("""COMPUTED_VALUE"""),0)</f>
        <v>0</v>
      </c>
      <c r="G423" s="23">
        <f ca="1">IFERROR(__xludf.DUMMYFUNCTION("""COMPUTED_VALUE"""),0)</f>
        <v>0</v>
      </c>
      <c r="H423" s="23">
        <f ca="1">IFERROR(__xludf.DUMMYFUNCTION("""COMPUTED_VALUE"""),0)</f>
        <v>0</v>
      </c>
      <c r="I423" s="23">
        <f ca="1">IFERROR(__xludf.DUMMYFUNCTION("""COMPUTED_VALUE"""),0)</f>
        <v>0</v>
      </c>
      <c r="J423" s="23">
        <f ca="1">IFERROR(__xludf.DUMMYFUNCTION("""COMPUTED_VALUE"""),0)</f>
        <v>0</v>
      </c>
      <c r="K423" s="23">
        <f ca="1">IFERROR(__xludf.DUMMYFUNCTION("""COMPUTED_VALUE"""),0)</f>
        <v>0</v>
      </c>
      <c r="L423" s="23">
        <f ca="1">IFERROR(__xludf.DUMMYFUNCTION("""COMPUTED_VALUE"""),0)</f>
        <v>0</v>
      </c>
      <c r="M423" s="23">
        <f ca="1">IFERROR(__xludf.DUMMYFUNCTION("""COMPUTED_VALUE"""),0)</f>
        <v>0</v>
      </c>
      <c r="N423" s="23">
        <f ca="1">IFERROR(__xludf.DUMMYFUNCTION("""COMPUTED_VALUE"""),0)</f>
        <v>0</v>
      </c>
      <c r="O423" s="23">
        <f ca="1">IFERROR(__xludf.DUMMYFUNCTION("""COMPUTED_VALUE"""),0)</f>
        <v>0</v>
      </c>
      <c r="P423" s="23">
        <f ca="1">IFERROR(__xludf.DUMMYFUNCTION("""COMPUTED_VALUE"""),0)</f>
        <v>0</v>
      </c>
      <c r="Q423" s="24">
        <f ca="1">IFERROR(__xludf.DUMMYFUNCTION("""COMPUTED_VALUE"""),0)</f>
        <v>0</v>
      </c>
      <c r="R423" s="20"/>
    </row>
    <row r="424" spans="1:18" ht="13.2" hidden="1" outlineLevel="1" x14ac:dyDescent="0.25">
      <c r="A424" s="1"/>
      <c r="B424" s="21" t="str">
        <f ca="1">IFERROR(__xludf.DUMMYFUNCTION("""COMPUTED_VALUE"""),"Gas natural seco")</f>
        <v>Gas natural seco</v>
      </c>
      <c r="C424" s="22">
        <f ca="1">IFERROR(__xludf.DUMMYFUNCTION("""COMPUTED_VALUE"""),-1159.43653079308)</f>
        <v>-1159.43653079308</v>
      </c>
      <c r="D424" s="23">
        <f ca="1">IFERROR(__xludf.DUMMYFUNCTION("""COMPUTED_VALUE"""),-1178.01624211853)</f>
        <v>-1178.01624211853</v>
      </c>
      <c r="E424" s="23">
        <f ca="1">IFERROR(__xludf.DUMMYFUNCTION("""COMPUTED_VALUE"""),-1283.35589403973)</f>
        <v>-1283.3558940397299</v>
      </c>
      <c r="F424" s="23">
        <f ca="1">IFERROR(__xludf.DUMMYFUNCTION("""COMPUTED_VALUE"""),-1407.93585906284)</f>
        <v>-1407.9358590628401</v>
      </c>
      <c r="G424" s="23">
        <f ca="1">IFERROR(__xludf.DUMMYFUNCTION("""COMPUTED_VALUE"""),-921)</f>
        <v>-921</v>
      </c>
      <c r="H424" s="23">
        <f ca="1">IFERROR(__xludf.DUMMYFUNCTION("""COMPUTED_VALUE"""),-971)</f>
        <v>-971</v>
      </c>
      <c r="I424" s="23">
        <f ca="1">IFERROR(__xludf.DUMMYFUNCTION("""COMPUTED_VALUE"""),-983)</f>
        <v>-983</v>
      </c>
      <c r="J424" s="23">
        <f ca="1">IFERROR(__xludf.DUMMYFUNCTION("""COMPUTED_VALUE"""),-981.451121149897)</f>
        <v>-981.45112114989695</v>
      </c>
      <c r="K424" s="23">
        <f ca="1">IFERROR(__xludf.DUMMYFUNCTION("""COMPUTED_VALUE"""),-1422.49951417004)</f>
        <v>-1422.4995141700399</v>
      </c>
      <c r="L424" s="23">
        <f ca="1">IFERROR(__xludf.DUMMYFUNCTION("""COMPUTED_VALUE"""),-1505.03587535875)</f>
        <v>-1505.03587535875</v>
      </c>
      <c r="M424" s="23">
        <f ca="1">IFERROR(__xludf.DUMMYFUNCTION("""COMPUTED_VALUE"""),-1228.03904580152)</f>
        <v>-1228.0390458015199</v>
      </c>
      <c r="N424" s="23">
        <f ca="1">IFERROR(__xludf.DUMMYFUNCTION("""COMPUTED_VALUE"""),-1846.38967097042)</f>
        <v>-1846.38967097042</v>
      </c>
      <c r="O424" s="23">
        <f ca="1">IFERROR(__xludf.DUMMYFUNCTION("""COMPUTED_VALUE"""),-1703.67796657381)</f>
        <v>-1703.67796657381</v>
      </c>
      <c r="P424" s="23">
        <f ca="1">IFERROR(__xludf.DUMMYFUNCTION("""COMPUTED_VALUE"""),-1741.7187534626)</f>
        <v>-1741.7187534626</v>
      </c>
      <c r="Q424" s="24">
        <f ca="1">IFERROR(__xludf.DUMMYFUNCTION("""COMPUTED_VALUE"""),-1984.03870847176)</f>
        <v>-1984.0387084717599</v>
      </c>
      <c r="R424" s="20"/>
    </row>
    <row r="425" spans="1:18" ht="13.2" hidden="1" outlineLevel="1" x14ac:dyDescent="0.25">
      <c r="A425" s="1"/>
      <c r="B425" s="25" t="str">
        <f ca="1">IFERROR(__xludf.DUMMYFUNCTION("""COMPUTED_VALUE"""),"Energía eléctrica")</f>
        <v>Energía eléctrica</v>
      </c>
      <c r="C425" s="26">
        <f ca="1">IFERROR(__xludf.DUMMYFUNCTION("""COMPUTED_VALUE"""),484.894281876418)</f>
        <v>484.89428187641801</v>
      </c>
      <c r="D425" s="27">
        <f ca="1">IFERROR(__xludf.DUMMYFUNCTION("""COMPUTED_VALUE"""),485.689335938325)</f>
        <v>485.68933593832497</v>
      </c>
      <c r="E425" s="27">
        <f ca="1">IFERROR(__xludf.DUMMYFUNCTION("""COMPUTED_VALUE"""),485.195155151761)</f>
        <v>485.19515515176101</v>
      </c>
      <c r="F425" s="27">
        <f ca="1">IFERROR(__xludf.DUMMYFUNCTION("""COMPUTED_VALUE"""),526.360293526873)</f>
        <v>526.36029352687297</v>
      </c>
      <c r="G425" s="27">
        <f ca="1">IFERROR(__xludf.DUMMYFUNCTION("""COMPUTED_VALUE"""),551.871973775339)</f>
        <v>551.87197377533903</v>
      </c>
      <c r="H425" s="27">
        <f ca="1">IFERROR(__xludf.DUMMYFUNCTION("""COMPUTED_VALUE"""),571.221201205875)</f>
        <v>571.22120120587499</v>
      </c>
      <c r="I425" s="27">
        <f ca="1">IFERROR(__xludf.DUMMYFUNCTION("""COMPUTED_VALUE"""),575.731109991872)</f>
        <v>575.73110999187202</v>
      </c>
      <c r="J425" s="27">
        <f ca="1">IFERROR(__xludf.DUMMYFUNCTION("""COMPUTED_VALUE"""),599.778130961776)</f>
        <v>599.77813096177601</v>
      </c>
      <c r="K425" s="27">
        <f ca="1">IFERROR(__xludf.DUMMYFUNCTION("""COMPUTED_VALUE"""),617.888094946305)</f>
        <v>617.88809494630505</v>
      </c>
      <c r="L425" s="27">
        <f ca="1">IFERROR(__xludf.DUMMYFUNCTION("""COMPUTED_VALUE"""),664.652202320261)</f>
        <v>664.65220232026104</v>
      </c>
      <c r="M425" s="27">
        <f ca="1">IFERROR(__xludf.DUMMYFUNCTION("""COMPUTED_VALUE"""),700.004061818193)</f>
        <v>700.00406181819301</v>
      </c>
      <c r="N425" s="27">
        <f ca="1">IFERROR(__xludf.DUMMYFUNCTION("""COMPUTED_VALUE"""),706.508844369798)</f>
        <v>706.508844369798</v>
      </c>
      <c r="O425" s="27">
        <f ca="1">IFERROR(__xludf.DUMMYFUNCTION("""COMPUTED_VALUE"""),737.562126440281)</f>
        <v>737.56212644028096</v>
      </c>
      <c r="P425" s="27">
        <f ca="1">IFERROR(__xludf.DUMMYFUNCTION("""COMPUTED_VALUE"""),780.663427236451)</f>
        <v>780.66342723645096</v>
      </c>
      <c r="Q425" s="28">
        <f ca="1">IFERROR(__xludf.DUMMYFUNCTION("""COMPUTED_VALUE"""),802.003207122615)</f>
        <v>802.00320712261498</v>
      </c>
      <c r="R425" s="20"/>
    </row>
    <row r="426" spans="1:18" ht="13.2" hidden="1" outlineLevel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0"/>
    </row>
    <row r="427" spans="1:18" ht="13.2" collapsed="1" x14ac:dyDescent="0.25">
      <c r="A427" s="30"/>
      <c r="B427" s="5" t="str">
        <f ca="1">IFERROR(__xludf.DUMMYFUNCTION("""COMPUTED_VALUE"""),"CE.NU(e,a)")</f>
        <v>CE.NU(e,a)</v>
      </c>
      <c r="C427" s="6" t="str">
        <f ca="1">IFERROR(__xludf.DUMMYFUNCTION("""COMPUTED_VALUE"""),"-/+")</f>
        <v>-/+</v>
      </c>
      <c r="D427" s="7" t="str">
        <f ca="1">IFERROR(__xludf.DUMMYFUNCTION("""COMPUTED_VALUE"""),"Nucleoeléctrica por energético e y año a.")</f>
        <v>Nucleoeléctrica por energético e y año a.</v>
      </c>
      <c r="E427" s="6" t="str">
        <f ca="1">IFERROR(__xludf.DUMMYFUNCTION("""COMPUTED_VALUE"""),"cbne")</f>
        <v>cbne</v>
      </c>
      <c r="F427" s="6" t="str">
        <f ca="1">IFERROR(__xludf.DUMMYFUNCTION("""COMPUTED_VALUE"""),"a")</f>
        <v>a</v>
      </c>
      <c r="G427" s="8" t="str">
        <f ca="1">IFERROR(__xludf.DUMMYFUNCTION("""COMPUTED_VALUE"""),"PJ")</f>
        <v>PJ</v>
      </c>
      <c r="H427" s="9"/>
      <c r="I427" s="1"/>
      <c r="J427" s="1"/>
      <c r="K427" s="1"/>
      <c r="L427" s="1"/>
      <c r="M427" s="1"/>
      <c r="N427" s="1"/>
      <c r="O427" s="1"/>
      <c r="P427" s="1"/>
      <c r="Q427" s="1"/>
      <c r="R427" s="10"/>
    </row>
    <row r="428" spans="1:18" ht="13.2" hidden="1" outlineLevel="1" x14ac:dyDescent="0.25">
      <c r="A428" s="1"/>
      <c r="B428" s="11"/>
      <c r="C428" s="12">
        <f ca="1">IFERROR(__xludf.DUMMYFUNCTION("""COMPUTED_VALUE"""),2010)</f>
        <v>2010</v>
      </c>
      <c r="D428" s="13">
        <f ca="1">IFERROR(__xludf.DUMMYFUNCTION("""COMPUTED_VALUE"""),2011)</f>
        <v>2011</v>
      </c>
      <c r="E428" s="13">
        <f ca="1">IFERROR(__xludf.DUMMYFUNCTION("""COMPUTED_VALUE"""),2012)</f>
        <v>2012</v>
      </c>
      <c r="F428" s="13">
        <f ca="1">IFERROR(__xludf.DUMMYFUNCTION("""COMPUTED_VALUE"""),2013)</f>
        <v>2013</v>
      </c>
      <c r="G428" s="13">
        <f ca="1">IFERROR(__xludf.DUMMYFUNCTION("""COMPUTED_VALUE"""),2014)</f>
        <v>2014</v>
      </c>
      <c r="H428" s="13">
        <f ca="1">IFERROR(__xludf.DUMMYFUNCTION("""COMPUTED_VALUE"""),2015)</f>
        <v>2015</v>
      </c>
      <c r="I428" s="13">
        <f ca="1">IFERROR(__xludf.DUMMYFUNCTION("""COMPUTED_VALUE"""),2016)</f>
        <v>2016</v>
      </c>
      <c r="J428" s="13">
        <f ca="1">IFERROR(__xludf.DUMMYFUNCTION("""COMPUTED_VALUE"""),2017)</f>
        <v>2017</v>
      </c>
      <c r="K428" s="13">
        <f ca="1">IFERROR(__xludf.DUMMYFUNCTION("""COMPUTED_VALUE"""),2018)</f>
        <v>2018</v>
      </c>
      <c r="L428" s="13">
        <f ca="1">IFERROR(__xludf.DUMMYFUNCTION("""COMPUTED_VALUE"""),2019)</f>
        <v>2019</v>
      </c>
      <c r="M428" s="13">
        <f ca="1">IFERROR(__xludf.DUMMYFUNCTION("""COMPUTED_VALUE"""),2020)</f>
        <v>2020</v>
      </c>
      <c r="N428" s="13">
        <f ca="1">IFERROR(__xludf.DUMMYFUNCTION("""COMPUTED_VALUE"""),2021)</f>
        <v>2021</v>
      </c>
      <c r="O428" s="13">
        <f ca="1">IFERROR(__xludf.DUMMYFUNCTION("""COMPUTED_VALUE"""),2022)</f>
        <v>2022</v>
      </c>
      <c r="P428" s="13">
        <f ca="1">IFERROR(__xludf.DUMMYFUNCTION("""COMPUTED_VALUE"""),2023)</f>
        <v>2023</v>
      </c>
      <c r="Q428" s="14">
        <f ca="1">IFERROR(__xludf.DUMMYFUNCTION("""COMPUTED_VALUE"""),2024)</f>
        <v>2024</v>
      </c>
      <c r="R428" s="15"/>
    </row>
    <row r="429" spans="1:18" ht="13.2" hidden="1" outlineLevel="1" x14ac:dyDescent="0.25">
      <c r="A429" s="1"/>
      <c r="B429" s="16" t="str">
        <f ca="1">IFERROR(__xludf.DUMMYFUNCTION("""COMPUTED_VALUE"""),"Carbón mineral")</f>
        <v>Carbón mineral</v>
      </c>
      <c r="C429" s="17">
        <f ca="1">IFERROR(__xludf.DUMMYFUNCTION("""COMPUTED_VALUE"""),0)</f>
        <v>0</v>
      </c>
      <c r="D429" s="18">
        <f ca="1">IFERROR(__xludf.DUMMYFUNCTION("""COMPUTED_VALUE"""),0)</f>
        <v>0</v>
      </c>
      <c r="E429" s="18">
        <f ca="1">IFERROR(__xludf.DUMMYFUNCTION("""COMPUTED_VALUE"""),0)</f>
        <v>0</v>
      </c>
      <c r="F429" s="18">
        <f ca="1">IFERROR(__xludf.DUMMYFUNCTION("""COMPUTED_VALUE"""),0)</f>
        <v>0</v>
      </c>
      <c r="G429" s="18">
        <f ca="1">IFERROR(__xludf.DUMMYFUNCTION("""COMPUTED_VALUE"""),0)</f>
        <v>0</v>
      </c>
      <c r="H429" s="18">
        <f ca="1">IFERROR(__xludf.DUMMYFUNCTION("""COMPUTED_VALUE"""),0)</f>
        <v>0</v>
      </c>
      <c r="I429" s="18">
        <f ca="1">IFERROR(__xludf.DUMMYFUNCTION("""COMPUTED_VALUE"""),0)</f>
        <v>0</v>
      </c>
      <c r="J429" s="18">
        <f ca="1">IFERROR(__xludf.DUMMYFUNCTION("""COMPUTED_VALUE"""),0)</f>
        <v>0</v>
      </c>
      <c r="K429" s="18">
        <f ca="1">IFERROR(__xludf.DUMMYFUNCTION("""COMPUTED_VALUE"""),0)</f>
        <v>0</v>
      </c>
      <c r="L429" s="18">
        <f ca="1">IFERROR(__xludf.DUMMYFUNCTION("""COMPUTED_VALUE"""),0)</f>
        <v>0</v>
      </c>
      <c r="M429" s="18">
        <f ca="1">IFERROR(__xludf.DUMMYFUNCTION("""COMPUTED_VALUE"""),0)</f>
        <v>0</v>
      </c>
      <c r="N429" s="18">
        <f ca="1">IFERROR(__xludf.DUMMYFUNCTION("""COMPUTED_VALUE"""),0)</f>
        <v>0</v>
      </c>
      <c r="O429" s="18">
        <f ca="1">IFERROR(__xludf.DUMMYFUNCTION("""COMPUTED_VALUE"""),0)</f>
        <v>0</v>
      </c>
      <c r="P429" s="18">
        <f ca="1">IFERROR(__xludf.DUMMYFUNCTION("""COMPUTED_VALUE"""),0)</f>
        <v>0</v>
      </c>
      <c r="Q429" s="19">
        <f ca="1">IFERROR(__xludf.DUMMYFUNCTION("""COMPUTED_VALUE"""),0)</f>
        <v>0</v>
      </c>
      <c r="R429" s="20"/>
    </row>
    <row r="430" spans="1:18" ht="13.2" hidden="1" outlineLevel="1" x14ac:dyDescent="0.25">
      <c r="A430" s="1"/>
      <c r="B430" s="21" t="str">
        <f ca="1">IFERROR(__xludf.DUMMYFUNCTION("""COMPUTED_VALUE"""),"Petróleo crudo")</f>
        <v>Petróleo crudo</v>
      </c>
      <c r="C430" s="22">
        <f ca="1">IFERROR(__xludf.DUMMYFUNCTION("""COMPUTED_VALUE"""),0)</f>
        <v>0</v>
      </c>
      <c r="D430" s="23">
        <f ca="1">IFERROR(__xludf.DUMMYFUNCTION("""COMPUTED_VALUE"""),0)</f>
        <v>0</v>
      </c>
      <c r="E430" s="23">
        <f ca="1">IFERROR(__xludf.DUMMYFUNCTION("""COMPUTED_VALUE"""),0)</f>
        <v>0</v>
      </c>
      <c r="F430" s="23">
        <f ca="1">IFERROR(__xludf.DUMMYFUNCTION("""COMPUTED_VALUE"""),0)</f>
        <v>0</v>
      </c>
      <c r="G430" s="23">
        <f ca="1">IFERROR(__xludf.DUMMYFUNCTION("""COMPUTED_VALUE"""),0)</f>
        <v>0</v>
      </c>
      <c r="H430" s="23">
        <f ca="1">IFERROR(__xludf.DUMMYFUNCTION("""COMPUTED_VALUE"""),0)</f>
        <v>0</v>
      </c>
      <c r="I430" s="23">
        <f ca="1">IFERROR(__xludf.DUMMYFUNCTION("""COMPUTED_VALUE"""),0)</f>
        <v>0</v>
      </c>
      <c r="J430" s="23">
        <f ca="1">IFERROR(__xludf.DUMMYFUNCTION("""COMPUTED_VALUE"""),0)</f>
        <v>0</v>
      </c>
      <c r="K430" s="23">
        <f ca="1">IFERROR(__xludf.DUMMYFUNCTION("""COMPUTED_VALUE"""),0)</f>
        <v>0</v>
      </c>
      <c r="L430" s="23">
        <f ca="1">IFERROR(__xludf.DUMMYFUNCTION("""COMPUTED_VALUE"""),0)</f>
        <v>0</v>
      </c>
      <c r="M430" s="23">
        <f ca="1">IFERROR(__xludf.DUMMYFUNCTION("""COMPUTED_VALUE"""),0)</f>
        <v>0</v>
      </c>
      <c r="N430" s="23">
        <f ca="1">IFERROR(__xludf.DUMMYFUNCTION("""COMPUTED_VALUE"""),0)</f>
        <v>0</v>
      </c>
      <c r="O430" s="23">
        <f ca="1">IFERROR(__xludf.DUMMYFUNCTION("""COMPUTED_VALUE"""),0)</f>
        <v>0</v>
      </c>
      <c r="P430" s="23">
        <f ca="1">IFERROR(__xludf.DUMMYFUNCTION("""COMPUTED_VALUE"""),0)</f>
        <v>0</v>
      </c>
      <c r="Q430" s="24">
        <f ca="1">IFERROR(__xludf.DUMMYFUNCTION("""COMPUTED_VALUE"""),0)</f>
        <v>0</v>
      </c>
      <c r="R430" s="20"/>
    </row>
    <row r="431" spans="1:18" ht="13.2" hidden="1" outlineLevel="1" x14ac:dyDescent="0.25">
      <c r="A431" s="1"/>
      <c r="B431" s="21" t="str">
        <f ca="1">IFERROR(__xludf.DUMMYFUNCTION("""COMPUTED_VALUE"""),"Condensados")</f>
        <v>Condensados</v>
      </c>
      <c r="C431" s="22">
        <f ca="1">IFERROR(__xludf.DUMMYFUNCTION("""COMPUTED_VALUE"""),0)</f>
        <v>0</v>
      </c>
      <c r="D431" s="23">
        <f ca="1">IFERROR(__xludf.DUMMYFUNCTION("""COMPUTED_VALUE"""),0)</f>
        <v>0</v>
      </c>
      <c r="E431" s="23">
        <f ca="1">IFERROR(__xludf.DUMMYFUNCTION("""COMPUTED_VALUE"""),0)</f>
        <v>0</v>
      </c>
      <c r="F431" s="23">
        <f ca="1">IFERROR(__xludf.DUMMYFUNCTION("""COMPUTED_VALUE"""),0)</f>
        <v>0</v>
      </c>
      <c r="G431" s="23">
        <f ca="1">IFERROR(__xludf.DUMMYFUNCTION("""COMPUTED_VALUE"""),0)</f>
        <v>0</v>
      </c>
      <c r="H431" s="23">
        <f ca="1">IFERROR(__xludf.DUMMYFUNCTION("""COMPUTED_VALUE"""),0)</f>
        <v>0</v>
      </c>
      <c r="I431" s="23">
        <f ca="1">IFERROR(__xludf.DUMMYFUNCTION("""COMPUTED_VALUE"""),0)</f>
        <v>0</v>
      </c>
      <c r="J431" s="23">
        <f ca="1">IFERROR(__xludf.DUMMYFUNCTION("""COMPUTED_VALUE"""),0)</f>
        <v>0</v>
      </c>
      <c r="K431" s="23">
        <f ca="1">IFERROR(__xludf.DUMMYFUNCTION("""COMPUTED_VALUE"""),0)</f>
        <v>0</v>
      </c>
      <c r="L431" s="23">
        <f ca="1">IFERROR(__xludf.DUMMYFUNCTION("""COMPUTED_VALUE"""),0)</f>
        <v>0</v>
      </c>
      <c r="M431" s="23">
        <f ca="1">IFERROR(__xludf.DUMMYFUNCTION("""COMPUTED_VALUE"""),0)</f>
        <v>0</v>
      </c>
      <c r="N431" s="23">
        <f ca="1">IFERROR(__xludf.DUMMYFUNCTION("""COMPUTED_VALUE"""),0)</f>
        <v>0</v>
      </c>
      <c r="O431" s="23">
        <f ca="1">IFERROR(__xludf.DUMMYFUNCTION("""COMPUTED_VALUE"""),0)</f>
        <v>0</v>
      </c>
      <c r="P431" s="23">
        <f ca="1">IFERROR(__xludf.DUMMYFUNCTION("""COMPUTED_VALUE"""),0)</f>
        <v>0</v>
      </c>
      <c r="Q431" s="24">
        <f ca="1">IFERROR(__xludf.DUMMYFUNCTION("""COMPUTED_VALUE"""),0)</f>
        <v>0</v>
      </c>
      <c r="R431" s="20"/>
    </row>
    <row r="432" spans="1:18" ht="13.2" hidden="1" outlineLevel="1" x14ac:dyDescent="0.25">
      <c r="A432" s="1"/>
      <c r="B432" s="21" t="str">
        <f ca="1">IFERROR(__xludf.DUMMYFUNCTION("""COMPUTED_VALUE"""),"Gas natural")</f>
        <v>Gas natural</v>
      </c>
      <c r="C432" s="22">
        <f ca="1">IFERROR(__xludf.DUMMYFUNCTION("""COMPUTED_VALUE"""),0)</f>
        <v>0</v>
      </c>
      <c r="D432" s="23">
        <f ca="1">IFERROR(__xludf.DUMMYFUNCTION("""COMPUTED_VALUE"""),0)</f>
        <v>0</v>
      </c>
      <c r="E432" s="23">
        <f ca="1">IFERROR(__xludf.DUMMYFUNCTION("""COMPUTED_VALUE"""),0)</f>
        <v>0</v>
      </c>
      <c r="F432" s="23">
        <f ca="1">IFERROR(__xludf.DUMMYFUNCTION("""COMPUTED_VALUE"""),0)</f>
        <v>0</v>
      </c>
      <c r="G432" s="23">
        <f ca="1">IFERROR(__xludf.DUMMYFUNCTION("""COMPUTED_VALUE"""),0)</f>
        <v>0</v>
      </c>
      <c r="H432" s="23">
        <f ca="1">IFERROR(__xludf.DUMMYFUNCTION("""COMPUTED_VALUE"""),0)</f>
        <v>0</v>
      </c>
      <c r="I432" s="23">
        <f ca="1">IFERROR(__xludf.DUMMYFUNCTION("""COMPUTED_VALUE"""),0)</f>
        <v>0</v>
      </c>
      <c r="J432" s="23">
        <f ca="1">IFERROR(__xludf.DUMMYFUNCTION("""COMPUTED_VALUE"""),0)</f>
        <v>0</v>
      </c>
      <c r="K432" s="23">
        <f ca="1">IFERROR(__xludf.DUMMYFUNCTION("""COMPUTED_VALUE"""),0)</f>
        <v>0</v>
      </c>
      <c r="L432" s="23">
        <f ca="1">IFERROR(__xludf.DUMMYFUNCTION("""COMPUTED_VALUE"""),0)</f>
        <v>0</v>
      </c>
      <c r="M432" s="23">
        <f ca="1">IFERROR(__xludf.DUMMYFUNCTION("""COMPUTED_VALUE"""),0)</f>
        <v>0</v>
      </c>
      <c r="N432" s="23">
        <f ca="1">IFERROR(__xludf.DUMMYFUNCTION("""COMPUTED_VALUE"""),0)</f>
        <v>0</v>
      </c>
      <c r="O432" s="23">
        <f ca="1">IFERROR(__xludf.DUMMYFUNCTION("""COMPUTED_VALUE"""),0)</f>
        <v>0</v>
      </c>
      <c r="P432" s="23">
        <f ca="1">IFERROR(__xludf.DUMMYFUNCTION("""COMPUTED_VALUE"""),0)</f>
        <v>0</v>
      </c>
      <c r="Q432" s="24">
        <f ca="1">IFERROR(__xludf.DUMMYFUNCTION("""COMPUTED_VALUE"""),0)</f>
        <v>0</v>
      </c>
      <c r="R432" s="20"/>
    </row>
    <row r="433" spans="1:18" ht="13.2" hidden="1" outlineLevel="1" x14ac:dyDescent="0.25">
      <c r="A433" s="1"/>
      <c r="B433" s="21" t="str">
        <f ca="1">IFERROR(__xludf.DUMMYFUNCTION("""COMPUTED_VALUE"""),"Energía Nuclear")</f>
        <v>Energía Nuclear</v>
      </c>
      <c r="C433" s="22">
        <f ca="1">IFERROR(__xludf.DUMMYFUNCTION("""COMPUTED_VALUE"""),-63.94)</f>
        <v>-63.94</v>
      </c>
      <c r="D433" s="23">
        <f ca="1">IFERROR(__xludf.DUMMYFUNCTION("""COMPUTED_VALUE"""),-106.39)</f>
        <v>-106.39</v>
      </c>
      <c r="E433" s="23">
        <f ca="1">IFERROR(__xludf.DUMMYFUNCTION("""COMPUTED_VALUE"""),-91.32)</f>
        <v>-91.32</v>
      </c>
      <c r="F433" s="23">
        <f ca="1">IFERROR(__xludf.DUMMYFUNCTION("""COMPUTED_VALUE"""),-122.6)</f>
        <v>-122.6</v>
      </c>
      <c r="G433" s="23">
        <f ca="1">IFERROR(__xludf.DUMMYFUNCTION("""COMPUTED_VALUE"""),-112.6)</f>
        <v>-112.6</v>
      </c>
      <c r="H433" s="23">
        <f ca="1">IFERROR(__xludf.DUMMYFUNCTION("""COMPUTED_VALUE"""),-130.41)</f>
        <v>-130.41</v>
      </c>
      <c r="I433" s="23">
        <f ca="1">IFERROR(__xludf.DUMMYFUNCTION("""COMPUTED_VALUE"""),-109.95)</f>
        <v>-109.95</v>
      </c>
      <c r="J433" s="23">
        <f ca="1">IFERROR(__xludf.DUMMYFUNCTION("""COMPUTED_VALUE"""),-113.22)</f>
        <v>-113.22</v>
      </c>
      <c r="K433" s="23">
        <f ca="1">IFERROR(__xludf.DUMMYFUNCTION("""COMPUTED_VALUE"""),-141.649958844)</f>
        <v>-141.649958844</v>
      </c>
      <c r="L433" s="23">
        <f ca="1">IFERROR(__xludf.DUMMYFUNCTION("""COMPUTED_VALUE"""),-116.482347758)</f>
        <v>-116.482347758</v>
      </c>
      <c r="M433" s="23">
        <f ca="1">IFERROR(__xludf.DUMMYFUNCTION("""COMPUTED_VALUE"""),-117.464405187)</f>
        <v>-117.464405187</v>
      </c>
      <c r="N433" s="23">
        <f ca="1">IFERROR(__xludf.DUMMYFUNCTION("""COMPUTED_VALUE"""),-124.986917246)</f>
        <v>-124.986917246</v>
      </c>
      <c r="O433" s="23">
        <f ca="1">IFERROR(__xludf.DUMMYFUNCTION("""COMPUTED_VALUE"""),-114.174258473606)</f>
        <v>-114.174258473606</v>
      </c>
      <c r="P433" s="23">
        <f ca="1">IFERROR(__xludf.DUMMYFUNCTION("""COMPUTED_VALUE"""),-130.343389429)</f>
        <v>-130.34338942900001</v>
      </c>
      <c r="Q433" s="24">
        <f ca="1">IFERROR(__xludf.DUMMYFUNCTION("""COMPUTED_VALUE"""),-129.506482099619)</f>
        <v>-129.50648209961901</v>
      </c>
      <c r="R433" s="20"/>
    </row>
    <row r="434" spans="1:18" ht="13.2" hidden="1" outlineLevel="1" x14ac:dyDescent="0.25">
      <c r="A434" s="1"/>
      <c r="B434" s="21" t="str">
        <f ca="1">IFERROR(__xludf.DUMMYFUNCTION("""COMPUTED_VALUE"""),"Energia Hidraúlica")</f>
        <v>Energia Hidraúlica</v>
      </c>
      <c r="C434" s="22">
        <f ca="1">IFERROR(__xludf.DUMMYFUNCTION("""COMPUTED_VALUE"""),0)</f>
        <v>0</v>
      </c>
      <c r="D434" s="23">
        <f ca="1">IFERROR(__xludf.DUMMYFUNCTION("""COMPUTED_VALUE"""),0)</f>
        <v>0</v>
      </c>
      <c r="E434" s="23">
        <f ca="1">IFERROR(__xludf.DUMMYFUNCTION("""COMPUTED_VALUE"""),0)</f>
        <v>0</v>
      </c>
      <c r="F434" s="23">
        <f ca="1">IFERROR(__xludf.DUMMYFUNCTION("""COMPUTED_VALUE"""),0)</f>
        <v>0</v>
      </c>
      <c r="G434" s="23">
        <f ca="1">IFERROR(__xludf.DUMMYFUNCTION("""COMPUTED_VALUE"""),0)</f>
        <v>0</v>
      </c>
      <c r="H434" s="23">
        <f ca="1">IFERROR(__xludf.DUMMYFUNCTION("""COMPUTED_VALUE"""),0)</f>
        <v>0</v>
      </c>
      <c r="I434" s="23">
        <f ca="1">IFERROR(__xludf.DUMMYFUNCTION("""COMPUTED_VALUE"""),0)</f>
        <v>0</v>
      </c>
      <c r="J434" s="23">
        <f ca="1">IFERROR(__xludf.DUMMYFUNCTION("""COMPUTED_VALUE"""),0)</f>
        <v>0</v>
      </c>
      <c r="K434" s="23">
        <f ca="1">IFERROR(__xludf.DUMMYFUNCTION("""COMPUTED_VALUE"""),0)</f>
        <v>0</v>
      </c>
      <c r="L434" s="23">
        <f ca="1">IFERROR(__xludf.DUMMYFUNCTION("""COMPUTED_VALUE"""),0)</f>
        <v>0</v>
      </c>
      <c r="M434" s="23">
        <f ca="1">IFERROR(__xludf.DUMMYFUNCTION("""COMPUTED_VALUE"""),0)</f>
        <v>0</v>
      </c>
      <c r="N434" s="23">
        <f ca="1">IFERROR(__xludf.DUMMYFUNCTION("""COMPUTED_VALUE"""),0)</f>
        <v>0</v>
      </c>
      <c r="O434" s="23">
        <f ca="1">IFERROR(__xludf.DUMMYFUNCTION("""COMPUTED_VALUE"""),0)</f>
        <v>0</v>
      </c>
      <c r="P434" s="23">
        <f ca="1">IFERROR(__xludf.DUMMYFUNCTION("""COMPUTED_VALUE"""),0)</f>
        <v>0</v>
      </c>
      <c r="Q434" s="24">
        <f ca="1">IFERROR(__xludf.DUMMYFUNCTION("""COMPUTED_VALUE"""),0)</f>
        <v>0</v>
      </c>
      <c r="R434" s="20"/>
    </row>
    <row r="435" spans="1:18" ht="13.2" hidden="1" outlineLevel="1" x14ac:dyDescent="0.25">
      <c r="A435" s="1"/>
      <c r="B435" s="21" t="str">
        <f ca="1">IFERROR(__xludf.DUMMYFUNCTION("""COMPUTED_VALUE"""),"Geoenergía")</f>
        <v>Geoenergía</v>
      </c>
      <c r="C435" s="22">
        <f ca="1">IFERROR(__xludf.DUMMYFUNCTION("""COMPUTED_VALUE"""),0)</f>
        <v>0</v>
      </c>
      <c r="D435" s="23">
        <f ca="1">IFERROR(__xludf.DUMMYFUNCTION("""COMPUTED_VALUE"""),0)</f>
        <v>0</v>
      </c>
      <c r="E435" s="23">
        <f ca="1">IFERROR(__xludf.DUMMYFUNCTION("""COMPUTED_VALUE"""),0)</f>
        <v>0</v>
      </c>
      <c r="F435" s="23">
        <f ca="1">IFERROR(__xludf.DUMMYFUNCTION("""COMPUTED_VALUE"""),0)</f>
        <v>0</v>
      </c>
      <c r="G435" s="23">
        <f ca="1">IFERROR(__xludf.DUMMYFUNCTION("""COMPUTED_VALUE"""),0)</f>
        <v>0</v>
      </c>
      <c r="H435" s="23">
        <f ca="1">IFERROR(__xludf.DUMMYFUNCTION("""COMPUTED_VALUE"""),0)</f>
        <v>0</v>
      </c>
      <c r="I435" s="23">
        <f ca="1">IFERROR(__xludf.DUMMYFUNCTION("""COMPUTED_VALUE"""),0)</f>
        <v>0</v>
      </c>
      <c r="J435" s="23">
        <f ca="1">IFERROR(__xludf.DUMMYFUNCTION("""COMPUTED_VALUE"""),0)</f>
        <v>0</v>
      </c>
      <c r="K435" s="23">
        <f ca="1">IFERROR(__xludf.DUMMYFUNCTION("""COMPUTED_VALUE"""),0)</f>
        <v>0</v>
      </c>
      <c r="L435" s="23">
        <f ca="1">IFERROR(__xludf.DUMMYFUNCTION("""COMPUTED_VALUE"""),0)</f>
        <v>0</v>
      </c>
      <c r="M435" s="23">
        <f ca="1">IFERROR(__xludf.DUMMYFUNCTION("""COMPUTED_VALUE"""),0)</f>
        <v>0</v>
      </c>
      <c r="N435" s="23">
        <f ca="1">IFERROR(__xludf.DUMMYFUNCTION("""COMPUTED_VALUE"""),0)</f>
        <v>0</v>
      </c>
      <c r="O435" s="23">
        <f ca="1">IFERROR(__xludf.DUMMYFUNCTION("""COMPUTED_VALUE"""),0)</f>
        <v>0</v>
      </c>
      <c r="P435" s="23">
        <f ca="1">IFERROR(__xludf.DUMMYFUNCTION("""COMPUTED_VALUE"""),0)</f>
        <v>0</v>
      </c>
      <c r="Q435" s="24">
        <f ca="1">IFERROR(__xludf.DUMMYFUNCTION("""COMPUTED_VALUE"""),0)</f>
        <v>0</v>
      </c>
      <c r="R435" s="20"/>
    </row>
    <row r="436" spans="1:18" ht="13.2" hidden="1" outlineLevel="1" x14ac:dyDescent="0.25">
      <c r="A436" s="1"/>
      <c r="B436" s="21" t="str">
        <f ca="1">IFERROR(__xludf.DUMMYFUNCTION("""COMPUTED_VALUE"""),"Energía solar")</f>
        <v>Energía solar</v>
      </c>
      <c r="C436" s="22">
        <f ca="1">IFERROR(__xludf.DUMMYFUNCTION("""COMPUTED_VALUE"""),0)</f>
        <v>0</v>
      </c>
      <c r="D436" s="23">
        <f ca="1">IFERROR(__xludf.DUMMYFUNCTION("""COMPUTED_VALUE"""),0)</f>
        <v>0</v>
      </c>
      <c r="E436" s="23">
        <f ca="1">IFERROR(__xludf.DUMMYFUNCTION("""COMPUTED_VALUE"""),0)</f>
        <v>0</v>
      </c>
      <c r="F436" s="23">
        <f ca="1">IFERROR(__xludf.DUMMYFUNCTION("""COMPUTED_VALUE"""),0)</f>
        <v>0</v>
      </c>
      <c r="G436" s="23">
        <f ca="1">IFERROR(__xludf.DUMMYFUNCTION("""COMPUTED_VALUE"""),0)</f>
        <v>0</v>
      </c>
      <c r="H436" s="23">
        <f ca="1">IFERROR(__xludf.DUMMYFUNCTION("""COMPUTED_VALUE"""),0)</f>
        <v>0</v>
      </c>
      <c r="I436" s="23">
        <f ca="1">IFERROR(__xludf.DUMMYFUNCTION("""COMPUTED_VALUE"""),0)</f>
        <v>0</v>
      </c>
      <c r="J436" s="23">
        <f ca="1">IFERROR(__xludf.DUMMYFUNCTION("""COMPUTED_VALUE"""),0)</f>
        <v>0</v>
      </c>
      <c r="K436" s="23">
        <f ca="1">IFERROR(__xludf.DUMMYFUNCTION("""COMPUTED_VALUE"""),0)</f>
        <v>0</v>
      </c>
      <c r="L436" s="23">
        <f ca="1">IFERROR(__xludf.DUMMYFUNCTION("""COMPUTED_VALUE"""),0)</f>
        <v>0</v>
      </c>
      <c r="M436" s="23">
        <f ca="1">IFERROR(__xludf.DUMMYFUNCTION("""COMPUTED_VALUE"""),0)</f>
        <v>0</v>
      </c>
      <c r="N436" s="23">
        <f ca="1">IFERROR(__xludf.DUMMYFUNCTION("""COMPUTED_VALUE"""),0)</f>
        <v>0</v>
      </c>
      <c r="O436" s="23">
        <f ca="1">IFERROR(__xludf.DUMMYFUNCTION("""COMPUTED_VALUE"""),0)</f>
        <v>0</v>
      </c>
      <c r="P436" s="23">
        <f ca="1">IFERROR(__xludf.DUMMYFUNCTION("""COMPUTED_VALUE"""),0)</f>
        <v>0</v>
      </c>
      <c r="Q436" s="24">
        <f ca="1">IFERROR(__xludf.DUMMYFUNCTION("""COMPUTED_VALUE"""),0)</f>
        <v>0</v>
      </c>
      <c r="R436" s="20"/>
    </row>
    <row r="437" spans="1:18" ht="13.2" hidden="1" outlineLevel="1" x14ac:dyDescent="0.25">
      <c r="A437" s="1"/>
      <c r="B437" s="21" t="str">
        <f ca="1">IFERROR(__xludf.DUMMYFUNCTION("""COMPUTED_VALUE"""),"Energía eólica")</f>
        <v>Energía eólica</v>
      </c>
      <c r="C437" s="22">
        <f ca="1">IFERROR(__xludf.DUMMYFUNCTION("""COMPUTED_VALUE"""),0)</f>
        <v>0</v>
      </c>
      <c r="D437" s="23">
        <f ca="1">IFERROR(__xludf.DUMMYFUNCTION("""COMPUTED_VALUE"""),0)</f>
        <v>0</v>
      </c>
      <c r="E437" s="23">
        <f ca="1">IFERROR(__xludf.DUMMYFUNCTION("""COMPUTED_VALUE"""),0)</f>
        <v>0</v>
      </c>
      <c r="F437" s="23">
        <f ca="1">IFERROR(__xludf.DUMMYFUNCTION("""COMPUTED_VALUE"""),0)</f>
        <v>0</v>
      </c>
      <c r="G437" s="23">
        <f ca="1">IFERROR(__xludf.DUMMYFUNCTION("""COMPUTED_VALUE"""),0)</f>
        <v>0</v>
      </c>
      <c r="H437" s="23">
        <f ca="1">IFERROR(__xludf.DUMMYFUNCTION("""COMPUTED_VALUE"""),0)</f>
        <v>0</v>
      </c>
      <c r="I437" s="23">
        <f ca="1">IFERROR(__xludf.DUMMYFUNCTION("""COMPUTED_VALUE"""),0)</f>
        <v>0</v>
      </c>
      <c r="J437" s="23">
        <f ca="1">IFERROR(__xludf.DUMMYFUNCTION("""COMPUTED_VALUE"""),0)</f>
        <v>0</v>
      </c>
      <c r="K437" s="23">
        <f ca="1">IFERROR(__xludf.DUMMYFUNCTION("""COMPUTED_VALUE"""),0)</f>
        <v>0</v>
      </c>
      <c r="L437" s="23">
        <f ca="1">IFERROR(__xludf.DUMMYFUNCTION("""COMPUTED_VALUE"""),0)</f>
        <v>0</v>
      </c>
      <c r="M437" s="23">
        <f ca="1">IFERROR(__xludf.DUMMYFUNCTION("""COMPUTED_VALUE"""),0)</f>
        <v>0</v>
      </c>
      <c r="N437" s="23">
        <f ca="1">IFERROR(__xludf.DUMMYFUNCTION("""COMPUTED_VALUE"""),0)</f>
        <v>0</v>
      </c>
      <c r="O437" s="23">
        <f ca="1">IFERROR(__xludf.DUMMYFUNCTION("""COMPUTED_VALUE"""),0)</f>
        <v>0</v>
      </c>
      <c r="P437" s="23">
        <f ca="1">IFERROR(__xludf.DUMMYFUNCTION("""COMPUTED_VALUE"""),0)</f>
        <v>0</v>
      </c>
      <c r="Q437" s="24">
        <f ca="1">IFERROR(__xludf.DUMMYFUNCTION("""COMPUTED_VALUE"""),0)</f>
        <v>0</v>
      </c>
      <c r="R437" s="20"/>
    </row>
    <row r="438" spans="1:18" ht="13.2" hidden="1" outlineLevel="1" x14ac:dyDescent="0.25">
      <c r="A438" s="1"/>
      <c r="B438" s="21" t="str">
        <f ca="1">IFERROR(__xludf.DUMMYFUNCTION("""COMPUTED_VALUE"""),"Bagazo de caña")</f>
        <v>Bagazo de caña</v>
      </c>
      <c r="C438" s="22">
        <f ca="1">IFERROR(__xludf.DUMMYFUNCTION("""COMPUTED_VALUE"""),0)</f>
        <v>0</v>
      </c>
      <c r="D438" s="23">
        <f ca="1">IFERROR(__xludf.DUMMYFUNCTION("""COMPUTED_VALUE"""),0)</f>
        <v>0</v>
      </c>
      <c r="E438" s="23">
        <f ca="1">IFERROR(__xludf.DUMMYFUNCTION("""COMPUTED_VALUE"""),0)</f>
        <v>0</v>
      </c>
      <c r="F438" s="23">
        <f ca="1">IFERROR(__xludf.DUMMYFUNCTION("""COMPUTED_VALUE"""),0)</f>
        <v>0</v>
      </c>
      <c r="G438" s="23">
        <f ca="1">IFERROR(__xludf.DUMMYFUNCTION("""COMPUTED_VALUE"""),0)</f>
        <v>0</v>
      </c>
      <c r="H438" s="23">
        <f ca="1">IFERROR(__xludf.DUMMYFUNCTION("""COMPUTED_VALUE"""),0)</f>
        <v>0</v>
      </c>
      <c r="I438" s="23">
        <f ca="1">IFERROR(__xludf.DUMMYFUNCTION("""COMPUTED_VALUE"""),0)</f>
        <v>0</v>
      </c>
      <c r="J438" s="23">
        <f ca="1">IFERROR(__xludf.DUMMYFUNCTION("""COMPUTED_VALUE"""),0)</f>
        <v>0</v>
      </c>
      <c r="K438" s="23">
        <f ca="1">IFERROR(__xludf.DUMMYFUNCTION("""COMPUTED_VALUE"""),0)</f>
        <v>0</v>
      </c>
      <c r="L438" s="23">
        <f ca="1">IFERROR(__xludf.DUMMYFUNCTION("""COMPUTED_VALUE"""),0)</f>
        <v>0</v>
      </c>
      <c r="M438" s="23">
        <f ca="1">IFERROR(__xludf.DUMMYFUNCTION("""COMPUTED_VALUE"""),0)</f>
        <v>0</v>
      </c>
      <c r="N438" s="23">
        <f ca="1">IFERROR(__xludf.DUMMYFUNCTION("""COMPUTED_VALUE"""),0)</f>
        <v>0</v>
      </c>
      <c r="O438" s="23">
        <f ca="1">IFERROR(__xludf.DUMMYFUNCTION("""COMPUTED_VALUE"""),0)</f>
        <v>0</v>
      </c>
      <c r="P438" s="23">
        <f ca="1">IFERROR(__xludf.DUMMYFUNCTION("""COMPUTED_VALUE"""),0)</f>
        <v>0</v>
      </c>
      <c r="Q438" s="24">
        <f ca="1">IFERROR(__xludf.DUMMYFUNCTION("""COMPUTED_VALUE"""),0)</f>
        <v>0</v>
      </c>
      <c r="R438" s="20"/>
    </row>
    <row r="439" spans="1:18" ht="13.2" hidden="1" outlineLevel="1" x14ac:dyDescent="0.25">
      <c r="A439" s="1"/>
      <c r="B439" s="21" t="str">
        <f ca="1">IFERROR(__xludf.DUMMYFUNCTION("""COMPUTED_VALUE"""),"Leña")</f>
        <v>Leña</v>
      </c>
      <c r="C439" s="22">
        <f ca="1">IFERROR(__xludf.DUMMYFUNCTION("""COMPUTED_VALUE"""),0)</f>
        <v>0</v>
      </c>
      <c r="D439" s="23">
        <f ca="1">IFERROR(__xludf.DUMMYFUNCTION("""COMPUTED_VALUE"""),0)</f>
        <v>0</v>
      </c>
      <c r="E439" s="23">
        <f ca="1">IFERROR(__xludf.DUMMYFUNCTION("""COMPUTED_VALUE"""),0)</f>
        <v>0</v>
      </c>
      <c r="F439" s="23">
        <f ca="1">IFERROR(__xludf.DUMMYFUNCTION("""COMPUTED_VALUE"""),0)</f>
        <v>0</v>
      </c>
      <c r="G439" s="23">
        <f ca="1">IFERROR(__xludf.DUMMYFUNCTION("""COMPUTED_VALUE"""),0)</f>
        <v>0</v>
      </c>
      <c r="H439" s="23">
        <f ca="1">IFERROR(__xludf.DUMMYFUNCTION("""COMPUTED_VALUE"""),0)</f>
        <v>0</v>
      </c>
      <c r="I439" s="23">
        <f ca="1">IFERROR(__xludf.DUMMYFUNCTION("""COMPUTED_VALUE"""),0)</f>
        <v>0</v>
      </c>
      <c r="J439" s="23">
        <f ca="1">IFERROR(__xludf.DUMMYFUNCTION("""COMPUTED_VALUE"""),0)</f>
        <v>0</v>
      </c>
      <c r="K439" s="23">
        <f ca="1">IFERROR(__xludf.DUMMYFUNCTION("""COMPUTED_VALUE"""),0)</f>
        <v>0</v>
      </c>
      <c r="L439" s="23">
        <f ca="1">IFERROR(__xludf.DUMMYFUNCTION("""COMPUTED_VALUE"""),0)</f>
        <v>0</v>
      </c>
      <c r="M439" s="23">
        <f ca="1">IFERROR(__xludf.DUMMYFUNCTION("""COMPUTED_VALUE"""),0)</f>
        <v>0</v>
      </c>
      <c r="N439" s="23">
        <f ca="1">IFERROR(__xludf.DUMMYFUNCTION("""COMPUTED_VALUE"""),0)</f>
        <v>0</v>
      </c>
      <c r="O439" s="23">
        <f ca="1">IFERROR(__xludf.DUMMYFUNCTION("""COMPUTED_VALUE"""),0)</f>
        <v>0</v>
      </c>
      <c r="P439" s="23">
        <f ca="1">IFERROR(__xludf.DUMMYFUNCTION("""COMPUTED_VALUE"""),0)</f>
        <v>0</v>
      </c>
      <c r="Q439" s="24">
        <f ca="1">IFERROR(__xludf.DUMMYFUNCTION("""COMPUTED_VALUE"""),0)</f>
        <v>0</v>
      </c>
      <c r="R439" s="20"/>
    </row>
    <row r="440" spans="1:18" ht="13.2" hidden="1" outlineLevel="1" x14ac:dyDescent="0.25">
      <c r="A440" s="1"/>
      <c r="B440" s="21" t="str">
        <f ca="1">IFERROR(__xludf.DUMMYFUNCTION("""COMPUTED_VALUE"""),"Biogás")</f>
        <v>Biogás</v>
      </c>
      <c r="C440" s="22">
        <f ca="1">IFERROR(__xludf.DUMMYFUNCTION("""COMPUTED_VALUE"""),0)</f>
        <v>0</v>
      </c>
      <c r="D440" s="23">
        <f ca="1">IFERROR(__xludf.DUMMYFUNCTION("""COMPUTED_VALUE"""),0)</f>
        <v>0</v>
      </c>
      <c r="E440" s="23">
        <f ca="1">IFERROR(__xludf.DUMMYFUNCTION("""COMPUTED_VALUE"""),0)</f>
        <v>0</v>
      </c>
      <c r="F440" s="23">
        <f ca="1">IFERROR(__xludf.DUMMYFUNCTION("""COMPUTED_VALUE"""),0)</f>
        <v>0</v>
      </c>
      <c r="G440" s="23">
        <f ca="1">IFERROR(__xludf.DUMMYFUNCTION("""COMPUTED_VALUE"""),0)</f>
        <v>0</v>
      </c>
      <c r="H440" s="23">
        <f ca="1">IFERROR(__xludf.DUMMYFUNCTION("""COMPUTED_VALUE"""),0)</f>
        <v>0</v>
      </c>
      <c r="I440" s="23">
        <f ca="1">IFERROR(__xludf.DUMMYFUNCTION("""COMPUTED_VALUE"""),0)</f>
        <v>0</v>
      </c>
      <c r="J440" s="23">
        <f ca="1">IFERROR(__xludf.DUMMYFUNCTION("""COMPUTED_VALUE"""),0)</f>
        <v>0</v>
      </c>
      <c r="K440" s="23">
        <f ca="1">IFERROR(__xludf.DUMMYFUNCTION("""COMPUTED_VALUE"""),0)</f>
        <v>0</v>
      </c>
      <c r="L440" s="23">
        <f ca="1">IFERROR(__xludf.DUMMYFUNCTION("""COMPUTED_VALUE"""),0)</f>
        <v>0</v>
      </c>
      <c r="M440" s="23">
        <f ca="1">IFERROR(__xludf.DUMMYFUNCTION("""COMPUTED_VALUE"""),0)</f>
        <v>0</v>
      </c>
      <c r="N440" s="23">
        <f ca="1">IFERROR(__xludf.DUMMYFUNCTION("""COMPUTED_VALUE"""),0)</f>
        <v>0</v>
      </c>
      <c r="O440" s="23">
        <f ca="1">IFERROR(__xludf.DUMMYFUNCTION("""COMPUTED_VALUE"""),0)</f>
        <v>0</v>
      </c>
      <c r="P440" s="23">
        <f ca="1">IFERROR(__xludf.DUMMYFUNCTION("""COMPUTED_VALUE"""),0)</f>
        <v>0</v>
      </c>
      <c r="Q440" s="24">
        <f ca="1">IFERROR(__xludf.DUMMYFUNCTION("""COMPUTED_VALUE"""),0)</f>
        <v>0</v>
      </c>
      <c r="R440" s="20"/>
    </row>
    <row r="441" spans="1:18" ht="13.2" hidden="1" outlineLevel="1" x14ac:dyDescent="0.25">
      <c r="A441" s="1"/>
      <c r="B441" s="21" t="str">
        <f ca="1">IFERROR(__xludf.DUMMYFUNCTION("""COMPUTED_VALUE"""),"Coque de carbón")</f>
        <v>Coque de carbón</v>
      </c>
      <c r="C441" s="22">
        <f ca="1">IFERROR(__xludf.DUMMYFUNCTION("""COMPUTED_VALUE"""),0)</f>
        <v>0</v>
      </c>
      <c r="D441" s="23">
        <f ca="1">IFERROR(__xludf.DUMMYFUNCTION("""COMPUTED_VALUE"""),0)</f>
        <v>0</v>
      </c>
      <c r="E441" s="23">
        <f ca="1">IFERROR(__xludf.DUMMYFUNCTION("""COMPUTED_VALUE"""),0)</f>
        <v>0</v>
      </c>
      <c r="F441" s="23">
        <f ca="1">IFERROR(__xludf.DUMMYFUNCTION("""COMPUTED_VALUE"""),0)</f>
        <v>0</v>
      </c>
      <c r="G441" s="23">
        <f ca="1">IFERROR(__xludf.DUMMYFUNCTION("""COMPUTED_VALUE"""),0)</f>
        <v>0</v>
      </c>
      <c r="H441" s="23">
        <f ca="1">IFERROR(__xludf.DUMMYFUNCTION("""COMPUTED_VALUE"""),0)</f>
        <v>0</v>
      </c>
      <c r="I441" s="23">
        <f ca="1">IFERROR(__xludf.DUMMYFUNCTION("""COMPUTED_VALUE"""),0)</f>
        <v>0</v>
      </c>
      <c r="J441" s="23">
        <f ca="1">IFERROR(__xludf.DUMMYFUNCTION("""COMPUTED_VALUE"""),0)</f>
        <v>0</v>
      </c>
      <c r="K441" s="23">
        <f ca="1">IFERROR(__xludf.DUMMYFUNCTION("""COMPUTED_VALUE"""),0)</f>
        <v>0</v>
      </c>
      <c r="L441" s="23">
        <f ca="1">IFERROR(__xludf.DUMMYFUNCTION("""COMPUTED_VALUE"""),0)</f>
        <v>0</v>
      </c>
      <c r="M441" s="23">
        <f ca="1">IFERROR(__xludf.DUMMYFUNCTION("""COMPUTED_VALUE"""),0)</f>
        <v>0</v>
      </c>
      <c r="N441" s="23">
        <f ca="1">IFERROR(__xludf.DUMMYFUNCTION("""COMPUTED_VALUE"""),0)</f>
        <v>0</v>
      </c>
      <c r="O441" s="23">
        <f ca="1">IFERROR(__xludf.DUMMYFUNCTION("""COMPUTED_VALUE"""),0)</f>
        <v>0</v>
      </c>
      <c r="P441" s="23">
        <f ca="1">IFERROR(__xludf.DUMMYFUNCTION("""COMPUTED_VALUE"""),0)</f>
        <v>0</v>
      </c>
      <c r="Q441" s="24">
        <f ca="1">IFERROR(__xludf.DUMMYFUNCTION("""COMPUTED_VALUE"""),0)</f>
        <v>0</v>
      </c>
      <c r="R441" s="20"/>
    </row>
    <row r="442" spans="1:18" ht="13.2" hidden="1" outlineLevel="1" x14ac:dyDescent="0.25">
      <c r="A442" s="1"/>
      <c r="B442" s="21" t="str">
        <f ca="1">IFERROR(__xludf.DUMMYFUNCTION("""COMPUTED_VALUE"""),"Coque de petróleo")</f>
        <v>Coque de petróleo</v>
      </c>
      <c r="C442" s="22">
        <f ca="1">IFERROR(__xludf.DUMMYFUNCTION("""COMPUTED_VALUE"""),0)</f>
        <v>0</v>
      </c>
      <c r="D442" s="23">
        <f ca="1">IFERROR(__xludf.DUMMYFUNCTION("""COMPUTED_VALUE"""),0)</f>
        <v>0</v>
      </c>
      <c r="E442" s="23">
        <f ca="1">IFERROR(__xludf.DUMMYFUNCTION("""COMPUTED_VALUE"""),0)</f>
        <v>0</v>
      </c>
      <c r="F442" s="23">
        <f ca="1">IFERROR(__xludf.DUMMYFUNCTION("""COMPUTED_VALUE"""),0)</f>
        <v>0</v>
      </c>
      <c r="G442" s="23">
        <f ca="1">IFERROR(__xludf.DUMMYFUNCTION("""COMPUTED_VALUE"""),0)</f>
        <v>0</v>
      </c>
      <c r="H442" s="23">
        <f ca="1">IFERROR(__xludf.DUMMYFUNCTION("""COMPUTED_VALUE"""),0)</f>
        <v>0</v>
      </c>
      <c r="I442" s="23">
        <f ca="1">IFERROR(__xludf.DUMMYFUNCTION("""COMPUTED_VALUE"""),0)</f>
        <v>0</v>
      </c>
      <c r="J442" s="23">
        <f ca="1">IFERROR(__xludf.DUMMYFUNCTION("""COMPUTED_VALUE"""),0)</f>
        <v>0</v>
      </c>
      <c r="K442" s="23">
        <f ca="1">IFERROR(__xludf.DUMMYFUNCTION("""COMPUTED_VALUE"""),0)</f>
        <v>0</v>
      </c>
      <c r="L442" s="23">
        <f ca="1">IFERROR(__xludf.DUMMYFUNCTION("""COMPUTED_VALUE"""),0)</f>
        <v>0</v>
      </c>
      <c r="M442" s="23">
        <f ca="1">IFERROR(__xludf.DUMMYFUNCTION("""COMPUTED_VALUE"""),0)</f>
        <v>0</v>
      </c>
      <c r="N442" s="23">
        <f ca="1">IFERROR(__xludf.DUMMYFUNCTION("""COMPUTED_VALUE"""),0)</f>
        <v>0</v>
      </c>
      <c r="O442" s="23">
        <f ca="1">IFERROR(__xludf.DUMMYFUNCTION("""COMPUTED_VALUE"""),0)</f>
        <v>0</v>
      </c>
      <c r="P442" s="23">
        <f ca="1">IFERROR(__xludf.DUMMYFUNCTION("""COMPUTED_VALUE"""),0)</f>
        <v>0</v>
      </c>
      <c r="Q442" s="24">
        <f ca="1">IFERROR(__xludf.DUMMYFUNCTION("""COMPUTED_VALUE"""),0)</f>
        <v>0</v>
      </c>
      <c r="R442" s="20"/>
    </row>
    <row r="443" spans="1:18" ht="13.2" hidden="1" outlineLevel="1" x14ac:dyDescent="0.25">
      <c r="A443" s="1"/>
      <c r="B443" s="21" t="str">
        <f ca="1">IFERROR(__xludf.DUMMYFUNCTION("""COMPUTED_VALUE"""),"Gas licuado de petróleo")</f>
        <v>Gas licuado de petróleo</v>
      </c>
      <c r="C443" s="22">
        <f ca="1">IFERROR(__xludf.DUMMYFUNCTION("""COMPUTED_VALUE"""),0)</f>
        <v>0</v>
      </c>
      <c r="D443" s="23">
        <f ca="1">IFERROR(__xludf.DUMMYFUNCTION("""COMPUTED_VALUE"""),0)</f>
        <v>0</v>
      </c>
      <c r="E443" s="23">
        <f ca="1">IFERROR(__xludf.DUMMYFUNCTION("""COMPUTED_VALUE"""),0)</f>
        <v>0</v>
      </c>
      <c r="F443" s="23">
        <f ca="1">IFERROR(__xludf.DUMMYFUNCTION("""COMPUTED_VALUE"""),0)</f>
        <v>0</v>
      </c>
      <c r="G443" s="23">
        <f ca="1">IFERROR(__xludf.DUMMYFUNCTION("""COMPUTED_VALUE"""),0)</f>
        <v>0</v>
      </c>
      <c r="H443" s="23">
        <f ca="1">IFERROR(__xludf.DUMMYFUNCTION("""COMPUTED_VALUE"""),0)</f>
        <v>0</v>
      </c>
      <c r="I443" s="23">
        <f ca="1">IFERROR(__xludf.DUMMYFUNCTION("""COMPUTED_VALUE"""),0)</f>
        <v>0</v>
      </c>
      <c r="J443" s="23">
        <f ca="1">IFERROR(__xludf.DUMMYFUNCTION("""COMPUTED_VALUE"""),0)</f>
        <v>0</v>
      </c>
      <c r="K443" s="23">
        <f ca="1">IFERROR(__xludf.DUMMYFUNCTION("""COMPUTED_VALUE"""),0)</f>
        <v>0</v>
      </c>
      <c r="L443" s="23">
        <f ca="1">IFERROR(__xludf.DUMMYFUNCTION("""COMPUTED_VALUE"""),0)</f>
        <v>0</v>
      </c>
      <c r="M443" s="23">
        <f ca="1">IFERROR(__xludf.DUMMYFUNCTION("""COMPUTED_VALUE"""),0)</f>
        <v>0</v>
      </c>
      <c r="N443" s="23">
        <f ca="1">IFERROR(__xludf.DUMMYFUNCTION("""COMPUTED_VALUE"""),0)</f>
        <v>0</v>
      </c>
      <c r="O443" s="23">
        <f ca="1">IFERROR(__xludf.DUMMYFUNCTION("""COMPUTED_VALUE"""),0)</f>
        <v>0</v>
      </c>
      <c r="P443" s="23">
        <f ca="1">IFERROR(__xludf.DUMMYFUNCTION("""COMPUTED_VALUE"""),0)</f>
        <v>0</v>
      </c>
      <c r="Q443" s="24">
        <f ca="1">IFERROR(__xludf.DUMMYFUNCTION("""COMPUTED_VALUE"""),0)</f>
        <v>0</v>
      </c>
      <c r="R443" s="20"/>
    </row>
    <row r="444" spans="1:18" ht="13.2" hidden="1" outlineLevel="1" x14ac:dyDescent="0.25">
      <c r="A444" s="1"/>
      <c r="B444" s="21" t="str">
        <f ca="1">IFERROR(__xludf.DUMMYFUNCTION("""COMPUTED_VALUE"""),"Gasolinas y naftas")</f>
        <v>Gasolinas y naftas</v>
      </c>
      <c r="C444" s="22">
        <f ca="1">IFERROR(__xludf.DUMMYFUNCTION("""COMPUTED_VALUE"""),0)</f>
        <v>0</v>
      </c>
      <c r="D444" s="23">
        <f ca="1">IFERROR(__xludf.DUMMYFUNCTION("""COMPUTED_VALUE"""),0)</f>
        <v>0</v>
      </c>
      <c r="E444" s="23">
        <f ca="1">IFERROR(__xludf.DUMMYFUNCTION("""COMPUTED_VALUE"""),0)</f>
        <v>0</v>
      </c>
      <c r="F444" s="23">
        <f ca="1">IFERROR(__xludf.DUMMYFUNCTION("""COMPUTED_VALUE"""),0)</f>
        <v>0</v>
      </c>
      <c r="G444" s="23">
        <f ca="1">IFERROR(__xludf.DUMMYFUNCTION("""COMPUTED_VALUE"""),0)</f>
        <v>0</v>
      </c>
      <c r="H444" s="23">
        <f ca="1">IFERROR(__xludf.DUMMYFUNCTION("""COMPUTED_VALUE"""),0)</f>
        <v>0</v>
      </c>
      <c r="I444" s="23">
        <f ca="1">IFERROR(__xludf.DUMMYFUNCTION("""COMPUTED_VALUE"""),0)</f>
        <v>0</v>
      </c>
      <c r="J444" s="23">
        <f ca="1">IFERROR(__xludf.DUMMYFUNCTION("""COMPUTED_VALUE"""),0)</f>
        <v>0</v>
      </c>
      <c r="K444" s="23">
        <f ca="1">IFERROR(__xludf.DUMMYFUNCTION("""COMPUTED_VALUE"""),0)</f>
        <v>0</v>
      </c>
      <c r="L444" s="23">
        <f ca="1">IFERROR(__xludf.DUMMYFUNCTION("""COMPUTED_VALUE"""),0)</f>
        <v>0</v>
      </c>
      <c r="M444" s="23">
        <f ca="1">IFERROR(__xludf.DUMMYFUNCTION("""COMPUTED_VALUE"""),0)</f>
        <v>0</v>
      </c>
      <c r="N444" s="23">
        <f ca="1">IFERROR(__xludf.DUMMYFUNCTION("""COMPUTED_VALUE"""),0)</f>
        <v>0</v>
      </c>
      <c r="O444" s="23">
        <f ca="1">IFERROR(__xludf.DUMMYFUNCTION("""COMPUTED_VALUE"""),0)</f>
        <v>0</v>
      </c>
      <c r="P444" s="23">
        <f ca="1">IFERROR(__xludf.DUMMYFUNCTION("""COMPUTED_VALUE"""),0)</f>
        <v>0</v>
      </c>
      <c r="Q444" s="24">
        <f ca="1">IFERROR(__xludf.DUMMYFUNCTION("""COMPUTED_VALUE"""),0)</f>
        <v>0</v>
      </c>
      <c r="R444" s="20"/>
    </row>
    <row r="445" spans="1:18" ht="13.2" hidden="1" outlineLevel="1" x14ac:dyDescent="0.25">
      <c r="A445" s="1"/>
      <c r="B445" s="21" t="str">
        <f ca="1">IFERROR(__xludf.DUMMYFUNCTION("""COMPUTED_VALUE"""),"Querosenos")</f>
        <v>Querosenos</v>
      </c>
      <c r="C445" s="22">
        <f ca="1">IFERROR(__xludf.DUMMYFUNCTION("""COMPUTED_VALUE"""),0)</f>
        <v>0</v>
      </c>
      <c r="D445" s="23">
        <f ca="1">IFERROR(__xludf.DUMMYFUNCTION("""COMPUTED_VALUE"""),0)</f>
        <v>0</v>
      </c>
      <c r="E445" s="23">
        <f ca="1">IFERROR(__xludf.DUMMYFUNCTION("""COMPUTED_VALUE"""),0)</f>
        <v>0</v>
      </c>
      <c r="F445" s="23">
        <f ca="1">IFERROR(__xludf.DUMMYFUNCTION("""COMPUTED_VALUE"""),0)</f>
        <v>0</v>
      </c>
      <c r="G445" s="23">
        <f ca="1">IFERROR(__xludf.DUMMYFUNCTION("""COMPUTED_VALUE"""),0)</f>
        <v>0</v>
      </c>
      <c r="H445" s="23">
        <f ca="1">IFERROR(__xludf.DUMMYFUNCTION("""COMPUTED_VALUE"""),0)</f>
        <v>0</v>
      </c>
      <c r="I445" s="23">
        <f ca="1">IFERROR(__xludf.DUMMYFUNCTION("""COMPUTED_VALUE"""),0)</f>
        <v>0</v>
      </c>
      <c r="J445" s="23">
        <f ca="1">IFERROR(__xludf.DUMMYFUNCTION("""COMPUTED_VALUE"""),0)</f>
        <v>0</v>
      </c>
      <c r="K445" s="23">
        <f ca="1">IFERROR(__xludf.DUMMYFUNCTION("""COMPUTED_VALUE"""),0)</f>
        <v>0</v>
      </c>
      <c r="L445" s="23">
        <f ca="1">IFERROR(__xludf.DUMMYFUNCTION("""COMPUTED_VALUE"""),0)</f>
        <v>0</v>
      </c>
      <c r="M445" s="23">
        <f ca="1">IFERROR(__xludf.DUMMYFUNCTION("""COMPUTED_VALUE"""),0)</f>
        <v>0</v>
      </c>
      <c r="N445" s="23">
        <f ca="1">IFERROR(__xludf.DUMMYFUNCTION("""COMPUTED_VALUE"""),0)</f>
        <v>0</v>
      </c>
      <c r="O445" s="23">
        <f ca="1">IFERROR(__xludf.DUMMYFUNCTION("""COMPUTED_VALUE"""),0)</f>
        <v>0</v>
      </c>
      <c r="P445" s="23">
        <f ca="1">IFERROR(__xludf.DUMMYFUNCTION("""COMPUTED_VALUE"""),0)</f>
        <v>0</v>
      </c>
      <c r="Q445" s="24">
        <f ca="1">IFERROR(__xludf.DUMMYFUNCTION("""COMPUTED_VALUE"""),0)</f>
        <v>0</v>
      </c>
      <c r="R445" s="20"/>
    </row>
    <row r="446" spans="1:18" ht="13.2" hidden="1" outlineLevel="1" x14ac:dyDescent="0.25">
      <c r="A446" s="1"/>
      <c r="B446" s="21" t="str">
        <f ca="1">IFERROR(__xludf.DUMMYFUNCTION("""COMPUTED_VALUE"""),"Diesel")</f>
        <v>Diesel</v>
      </c>
      <c r="C446" s="22">
        <f ca="1">IFERROR(__xludf.DUMMYFUNCTION("""COMPUTED_VALUE"""),0)</f>
        <v>0</v>
      </c>
      <c r="D446" s="23">
        <f ca="1">IFERROR(__xludf.DUMMYFUNCTION("""COMPUTED_VALUE"""),0)</f>
        <v>0</v>
      </c>
      <c r="E446" s="23">
        <f ca="1">IFERROR(__xludf.DUMMYFUNCTION("""COMPUTED_VALUE"""),0)</f>
        <v>0</v>
      </c>
      <c r="F446" s="23">
        <f ca="1">IFERROR(__xludf.DUMMYFUNCTION("""COMPUTED_VALUE"""),0)</f>
        <v>0</v>
      </c>
      <c r="G446" s="23">
        <f ca="1">IFERROR(__xludf.DUMMYFUNCTION("""COMPUTED_VALUE"""),0)</f>
        <v>0</v>
      </c>
      <c r="H446" s="23">
        <f ca="1">IFERROR(__xludf.DUMMYFUNCTION("""COMPUTED_VALUE"""),0)</f>
        <v>0</v>
      </c>
      <c r="I446" s="23">
        <f ca="1">IFERROR(__xludf.DUMMYFUNCTION("""COMPUTED_VALUE"""),0)</f>
        <v>0</v>
      </c>
      <c r="J446" s="23">
        <f ca="1">IFERROR(__xludf.DUMMYFUNCTION("""COMPUTED_VALUE"""),0)</f>
        <v>0</v>
      </c>
      <c r="K446" s="23">
        <f ca="1">IFERROR(__xludf.DUMMYFUNCTION("""COMPUTED_VALUE"""),0)</f>
        <v>0</v>
      </c>
      <c r="L446" s="23">
        <f ca="1">IFERROR(__xludf.DUMMYFUNCTION("""COMPUTED_VALUE"""),0)</f>
        <v>0</v>
      </c>
      <c r="M446" s="23">
        <f ca="1">IFERROR(__xludf.DUMMYFUNCTION("""COMPUTED_VALUE"""),0)</f>
        <v>0</v>
      </c>
      <c r="N446" s="23">
        <f ca="1">IFERROR(__xludf.DUMMYFUNCTION("""COMPUTED_VALUE"""),0)</f>
        <v>0</v>
      </c>
      <c r="O446" s="23">
        <f ca="1">IFERROR(__xludf.DUMMYFUNCTION("""COMPUTED_VALUE"""),0)</f>
        <v>0</v>
      </c>
      <c r="P446" s="23">
        <f ca="1">IFERROR(__xludf.DUMMYFUNCTION("""COMPUTED_VALUE"""),0)</f>
        <v>0</v>
      </c>
      <c r="Q446" s="24">
        <f ca="1">IFERROR(__xludf.DUMMYFUNCTION("""COMPUTED_VALUE"""),0)</f>
        <v>0</v>
      </c>
      <c r="R446" s="20"/>
    </row>
    <row r="447" spans="1:18" ht="13.2" hidden="1" outlineLevel="1" x14ac:dyDescent="0.25">
      <c r="A447" s="1"/>
      <c r="B447" s="21" t="str">
        <f ca="1">IFERROR(__xludf.DUMMYFUNCTION("""COMPUTED_VALUE"""),"Combustóleo")</f>
        <v>Combustóleo</v>
      </c>
      <c r="C447" s="22">
        <f ca="1">IFERROR(__xludf.DUMMYFUNCTION("""COMPUTED_VALUE"""),0)</f>
        <v>0</v>
      </c>
      <c r="D447" s="23">
        <f ca="1">IFERROR(__xludf.DUMMYFUNCTION("""COMPUTED_VALUE"""),0)</f>
        <v>0</v>
      </c>
      <c r="E447" s="23">
        <f ca="1">IFERROR(__xludf.DUMMYFUNCTION("""COMPUTED_VALUE"""),0)</f>
        <v>0</v>
      </c>
      <c r="F447" s="23">
        <f ca="1">IFERROR(__xludf.DUMMYFUNCTION("""COMPUTED_VALUE"""),0)</f>
        <v>0</v>
      </c>
      <c r="G447" s="23">
        <f ca="1">IFERROR(__xludf.DUMMYFUNCTION("""COMPUTED_VALUE"""),0)</f>
        <v>0</v>
      </c>
      <c r="H447" s="23">
        <f ca="1">IFERROR(__xludf.DUMMYFUNCTION("""COMPUTED_VALUE"""),0)</f>
        <v>0</v>
      </c>
      <c r="I447" s="23">
        <f ca="1">IFERROR(__xludf.DUMMYFUNCTION("""COMPUTED_VALUE"""),0)</f>
        <v>0</v>
      </c>
      <c r="J447" s="23">
        <f ca="1">IFERROR(__xludf.DUMMYFUNCTION("""COMPUTED_VALUE"""),0)</f>
        <v>0</v>
      </c>
      <c r="K447" s="23">
        <f ca="1">IFERROR(__xludf.DUMMYFUNCTION("""COMPUTED_VALUE"""),0)</f>
        <v>0</v>
      </c>
      <c r="L447" s="23">
        <f ca="1">IFERROR(__xludf.DUMMYFUNCTION("""COMPUTED_VALUE"""),0)</f>
        <v>0</v>
      </c>
      <c r="M447" s="23">
        <f ca="1">IFERROR(__xludf.DUMMYFUNCTION("""COMPUTED_VALUE"""),0)</f>
        <v>0</v>
      </c>
      <c r="N447" s="23">
        <f ca="1">IFERROR(__xludf.DUMMYFUNCTION("""COMPUTED_VALUE"""),0)</f>
        <v>0</v>
      </c>
      <c r="O447" s="23">
        <f ca="1">IFERROR(__xludf.DUMMYFUNCTION("""COMPUTED_VALUE"""),0)</f>
        <v>0</v>
      </c>
      <c r="P447" s="23">
        <f ca="1">IFERROR(__xludf.DUMMYFUNCTION("""COMPUTED_VALUE"""),0)</f>
        <v>0</v>
      </c>
      <c r="Q447" s="24">
        <f ca="1">IFERROR(__xludf.DUMMYFUNCTION("""COMPUTED_VALUE"""),0)</f>
        <v>0</v>
      </c>
      <c r="R447" s="20"/>
    </row>
    <row r="448" spans="1:18" ht="13.2" hidden="1" outlineLevel="1" x14ac:dyDescent="0.25">
      <c r="A448" s="1"/>
      <c r="B448" s="21" t="str">
        <f ca="1">IFERROR(__xludf.DUMMYFUNCTION("""COMPUTED_VALUE"""),"Otros energéticos")</f>
        <v>Otros energéticos</v>
      </c>
      <c r="C448" s="22">
        <f ca="1">IFERROR(__xludf.DUMMYFUNCTION("""COMPUTED_VALUE"""),0)</f>
        <v>0</v>
      </c>
      <c r="D448" s="23">
        <f ca="1">IFERROR(__xludf.DUMMYFUNCTION("""COMPUTED_VALUE"""),0)</f>
        <v>0</v>
      </c>
      <c r="E448" s="23">
        <f ca="1">IFERROR(__xludf.DUMMYFUNCTION("""COMPUTED_VALUE"""),0)</f>
        <v>0</v>
      </c>
      <c r="F448" s="23">
        <f ca="1">IFERROR(__xludf.DUMMYFUNCTION("""COMPUTED_VALUE"""),0)</f>
        <v>0</v>
      </c>
      <c r="G448" s="23">
        <f ca="1">IFERROR(__xludf.DUMMYFUNCTION("""COMPUTED_VALUE"""),0)</f>
        <v>0</v>
      </c>
      <c r="H448" s="23">
        <f ca="1">IFERROR(__xludf.DUMMYFUNCTION("""COMPUTED_VALUE"""),0)</f>
        <v>0</v>
      </c>
      <c r="I448" s="23">
        <f ca="1">IFERROR(__xludf.DUMMYFUNCTION("""COMPUTED_VALUE"""),0)</f>
        <v>0</v>
      </c>
      <c r="J448" s="23">
        <f ca="1">IFERROR(__xludf.DUMMYFUNCTION("""COMPUTED_VALUE"""),0)</f>
        <v>0</v>
      </c>
      <c r="K448" s="23">
        <f ca="1">IFERROR(__xludf.DUMMYFUNCTION("""COMPUTED_VALUE"""),0)</f>
        <v>0</v>
      </c>
      <c r="L448" s="23">
        <f ca="1">IFERROR(__xludf.DUMMYFUNCTION("""COMPUTED_VALUE"""),0)</f>
        <v>0</v>
      </c>
      <c r="M448" s="23">
        <f ca="1">IFERROR(__xludf.DUMMYFUNCTION("""COMPUTED_VALUE"""),0)</f>
        <v>0</v>
      </c>
      <c r="N448" s="23">
        <f ca="1">IFERROR(__xludf.DUMMYFUNCTION("""COMPUTED_VALUE"""),0)</f>
        <v>0</v>
      </c>
      <c r="O448" s="23">
        <f ca="1">IFERROR(__xludf.DUMMYFUNCTION("""COMPUTED_VALUE"""),0)</f>
        <v>0</v>
      </c>
      <c r="P448" s="23">
        <f ca="1">IFERROR(__xludf.DUMMYFUNCTION("""COMPUTED_VALUE"""),0)</f>
        <v>0</v>
      </c>
      <c r="Q448" s="24">
        <f ca="1">IFERROR(__xludf.DUMMYFUNCTION("""COMPUTED_VALUE"""),0)</f>
        <v>0</v>
      </c>
      <c r="R448" s="20"/>
    </row>
    <row r="449" spans="1:18" ht="13.2" hidden="1" outlineLevel="1" x14ac:dyDescent="0.25">
      <c r="A449" s="1"/>
      <c r="B449" s="21" t="str">
        <f ca="1">IFERROR(__xludf.DUMMYFUNCTION("""COMPUTED_VALUE"""),"Gas natural seco")</f>
        <v>Gas natural seco</v>
      </c>
      <c r="C449" s="22">
        <f ca="1">IFERROR(__xludf.DUMMYFUNCTION("""COMPUTED_VALUE"""),0)</f>
        <v>0</v>
      </c>
      <c r="D449" s="23">
        <f ca="1">IFERROR(__xludf.DUMMYFUNCTION("""COMPUTED_VALUE"""),0)</f>
        <v>0</v>
      </c>
      <c r="E449" s="23">
        <f ca="1">IFERROR(__xludf.DUMMYFUNCTION("""COMPUTED_VALUE"""),0)</f>
        <v>0</v>
      </c>
      <c r="F449" s="23">
        <f ca="1">IFERROR(__xludf.DUMMYFUNCTION("""COMPUTED_VALUE"""),0)</f>
        <v>0</v>
      </c>
      <c r="G449" s="23">
        <f ca="1">IFERROR(__xludf.DUMMYFUNCTION("""COMPUTED_VALUE"""),0)</f>
        <v>0</v>
      </c>
      <c r="H449" s="23">
        <f ca="1">IFERROR(__xludf.DUMMYFUNCTION("""COMPUTED_VALUE"""),0)</f>
        <v>0</v>
      </c>
      <c r="I449" s="23">
        <f ca="1">IFERROR(__xludf.DUMMYFUNCTION("""COMPUTED_VALUE"""),0)</f>
        <v>0</v>
      </c>
      <c r="J449" s="23">
        <f ca="1">IFERROR(__xludf.DUMMYFUNCTION("""COMPUTED_VALUE"""),0)</f>
        <v>0</v>
      </c>
      <c r="K449" s="23">
        <f ca="1">IFERROR(__xludf.DUMMYFUNCTION("""COMPUTED_VALUE"""),0)</f>
        <v>0</v>
      </c>
      <c r="L449" s="23">
        <f ca="1">IFERROR(__xludf.DUMMYFUNCTION("""COMPUTED_VALUE"""),0)</f>
        <v>0</v>
      </c>
      <c r="M449" s="23">
        <f ca="1">IFERROR(__xludf.DUMMYFUNCTION("""COMPUTED_VALUE"""),0)</f>
        <v>0</v>
      </c>
      <c r="N449" s="23">
        <f ca="1">IFERROR(__xludf.DUMMYFUNCTION("""COMPUTED_VALUE"""),0)</f>
        <v>0</v>
      </c>
      <c r="O449" s="23">
        <f ca="1">IFERROR(__xludf.DUMMYFUNCTION("""COMPUTED_VALUE"""),0)</f>
        <v>0</v>
      </c>
      <c r="P449" s="23">
        <f ca="1">IFERROR(__xludf.DUMMYFUNCTION("""COMPUTED_VALUE"""),0)</f>
        <v>0</v>
      </c>
      <c r="Q449" s="24">
        <f ca="1">IFERROR(__xludf.DUMMYFUNCTION("""COMPUTED_VALUE"""),0)</f>
        <v>0</v>
      </c>
      <c r="R449" s="20"/>
    </row>
    <row r="450" spans="1:18" ht="13.2" hidden="1" outlineLevel="1" x14ac:dyDescent="0.25">
      <c r="A450" s="1"/>
      <c r="B450" s="25" t="str">
        <f ca="1">IFERROR(__xludf.DUMMYFUNCTION("""COMPUTED_VALUE"""),"Energía eléctrica")</f>
        <v>Energía eléctrica</v>
      </c>
      <c r="C450" s="26">
        <f ca="1">IFERROR(__xludf.DUMMYFUNCTION("""COMPUTED_VALUE"""),22.2639527380896)</f>
        <v>22.2639527380896</v>
      </c>
      <c r="D450" s="27">
        <f ca="1">IFERROR(__xludf.DUMMYFUNCTION("""COMPUTED_VALUE"""),35.6476659475832)</f>
        <v>35.647665947583199</v>
      </c>
      <c r="E450" s="27">
        <f ca="1">IFERROR(__xludf.DUMMYFUNCTION("""COMPUTED_VALUE"""),30.3470813869496)</f>
        <v>30.347081386949601</v>
      </c>
      <c r="F450" s="27">
        <f ca="1">IFERROR(__xludf.DUMMYFUNCTION("""COMPUTED_VALUE"""),42.1082612714051)</f>
        <v>42.108261271405098</v>
      </c>
      <c r="G450" s="27">
        <f ca="1">IFERROR(__xludf.DUMMYFUNCTION("""COMPUTED_VALUE"""),36.3134699166633)</f>
        <v>36.313469916663301</v>
      </c>
      <c r="H450" s="27">
        <f ca="1">IFERROR(__xludf.DUMMYFUNCTION("""COMPUTED_VALUE"""),43.4576068305382)</f>
        <v>43.457606830538197</v>
      </c>
      <c r="I450" s="27">
        <f ca="1">IFERROR(__xludf.DUMMYFUNCTION("""COMPUTED_VALUE"""),39.4723774282755)</f>
        <v>39.4723774282755</v>
      </c>
      <c r="J450" s="27">
        <f ca="1">IFERROR(__xludf.DUMMYFUNCTION("""COMPUTED_VALUE"""),39.1633170453199)</f>
        <v>39.1633170453199</v>
      </c>
      <c r="K450" s="27">
        <f ca="1">IFERROR(__xludf.DUMMYFUNCTION("""COMPUTED_VALUE"""),48.7975588019609)</f>
        <v>48.797558801960903</v>
      </c>
      <c r="L450" s="27">
        <f ca="1">IFERROR(__xludf.DUMMYFUNCTION("""COMPUTED_VALUE"""),40.2833880359677)</f>
        <v>40.283388035967697</v>
      </c>
      <c r="M450" s="27">
        <f ca="1">IFERROR(__xludf.DUMMYFUNCTION("""COMPUTED_VALUE"""),40.2405649163678)</f>
        <v>40.240564916367802</v>
      </c>
      <c r="N450" s="27">
        <f ca="1">IFERROR(__xludf.DUMMYFUNCTION("""COMPUTED_VALUE"""),42.9231326399656)</f>
        <v>42.923132639965601</v>
      </c>
      <c r="O450" s="27">
        <f ca="1">IFERROR(__xludf.DUMMYFUNCTION("""COMPUTED_VALUE"""),39.0586215527687)</f>
        <v>39.058621552768699</v>
      </c>
      <c r="P450" s="27">
        <f ca="1">IFERROR(__xludf.DUMMYFUNCTION("""COMPUTED_VALUE"""),44.5900256999643)</f>
        <v>44.590025699964301</v>
      </c>
      <c r="Q450" s="28">
        <f ca="1">IFERROR(__xludf.DUMMYFUNCTION("""COMPUTED_VALUE"""),44.3037225779645)</f>
        <v>44.3037225779645</v>
      </c>
      <c r="R450" s="20"/>
    </row>
    <row r="451" spans="1:18" ht="13.2" hidden="1" outlineLevel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0"/>
    </row>
    <row r="452" spans="1:18" ht="13.2" collapsed="1" x14ac:dyDescent="0.25">
      <c r="A452" s="30"/>
      <c r="B452" s="5" t="str">
        <f ca="1">IFERROR(__xludf.DUMMYFUNCTION("""COMPUTED_VALUE"""),"CE.CG(e,a)")</f>
        <v>CE.CG(e,a)</v>
      </c>
      <c r="C452" s="6" t="str">
        <f ca="1">IFERROR(__xludf.DUMMYFUNCTION("""COMPUTED_VALUE"""),"-/+")</f>
        <v>-/+</v>
      </c>
      <c r="D452" s="7" t="str">
        <f ca="1">IFERROR(__xludf.DUMMYFUNCTION("""COMPUTED_VALUE"""),"Cogeneración por energético e y año a.")</f>
        <v>Cogeneración por energético e y año a.</v>
      </c>
      <c r="E452" s="6" t="str">
        <f ca="1">IFERROR(__xludf.DUMMYFUNCTION("""COMPUTED_VALUE"""),"cbne")</f>
        <v>cbne</v>
      </c>
      <c r="F452" s="6" t="str">
        <f ca="1">IFERROR(__xludf.DUMMYFUNCTION("""COMPUTED_VALUE"""),"a")</f>
        <v>a</v>
      </c>
      <c r="G452" s="8" t="str">
        <f ca="1">IFERROR(__xludf.DUMMYFUNCTION("""COMPUTED_VALUE"""),"PJ")</f>
        <v>PJ</v>
      </c>
      <c r="H452" s="9"/>
      <c r="I452" s="1"/>
      <c r="J452" s="1"/>
      <c r="K452" s="1"/>
      <c r="L452" s="1"/>
      <c r="M452" s="1"/>
      <c r="N452" s="1"/>
      <c r="O452" s="1"/>
      <c r="P452" s="1"/>
      <c r="Q452" s="1"/>
      <c r="R452" s="10"/>
    </row>
    <row r="453" spans="1:18" ht="13.2" hidden="1" outlineLevel="1" x14ac:dyDescent="0.25">
      <c r="A453" s="1"/>
      <c r="B453" s="11"/>
      <c r="C453" s="12">
        <f ca="1">IFERROR(__xludf.DUMMYFUNCTION("""COMPUTED_VALUE"""),2010)</f>
        <v>2010</v>
      </c>
      <c r="D453" s="13">
        <f ca="1">IFERROR(__xludf.DUMMYFUNCTION("""COMPUTED_VALUE"""),2011)</f>
        <v>2011</v>
      </c>
      <c r="E453" s="13">
        <f ca="1">IFERROR(__xludf.DUMMYFUNCTION("""COMPUTED_VALUE"""),2012)</f>
        <v>2012</v>
      </c>
      <c r="F453" s="13">
        <f ca="1">IFERROR(__xludf.DUMMYFUNCTION("""COMPUTED_VALUE"""),2013)</f>
        <v>2013</v>
      </c>
      <c r="G453" s="13">
        <f ca="1">IFERROR(__xludf.DUMMYFUNCTION("""COMPUTED_VALUE"""),2014)</f>
        <v>2014</v>
      </c>
      <c r="H453" s="13">
        <f ca="1">IFERROR(__xludf.DUMMYFUNCTION("""COMPUTED_VALUE"""),2015)</f>
        <v>2015</v>
      </c>
      <c r="I453" s="13">
        <f ca="1">IFERROR(__xludf.DUMMYFUNCTION("""COMPUTED_VALUE"""),2016)</f>
        <v>2016</v>
      </c>
      <c r="J453" s="13">
        <f ca="1">IFERROR(__xludf.DUMMYFUNCTION("""COMPUTED_VALUE"""),2017)</f>
        <v>2017</v>
      </c>
      <c r="K453" s="13">
        <f ca="1">IFERROR(__xludf.DUMMYFUNCTION("""COMPUTED_VALUE"""),2018)</f>
        <v>2018</v>
      </c>
      <c r="L453" s="13">
        <f ca="1">IFERROR(__xludf.DUMMYFUNCTION("""COMPUTED_VALUE"""),2019)</f>
        <v>2019</v>
      </c>
      <c r="M453" s="13">
        <f ca="1">IFERROR(__xludf.DUMMYFUNCTION("""COMPUTED_VALUE"""),2020)</f>
        <v>2020</v>
      </c>
      <c r="N453" s="13">
        <f ca="1">IFERROR(__xludf.DUMMYFUNCTION("""COMPUTED_VALUE"""),2021)</f>
        <v>2021</v>
      </c>
      <c r="O453" s="13">
        <f ca="1">IFERROR(__xludf.DUMMYFUNCTION("""COMPUTED_VALUE"""),2022)</f>
        <v>2022</v>
      </c>
      <c r="P453" s="13">
        <f ca="1">IFERROR(__xludf.DUMMYFUNCTION("""COMPUTED_VALUE"""),2023)</f>
        <v>2023</v>
      </c>
      <c r="Q453" s="14">
        <f ca="1">IFERROR(__xludf.DUMMYFUNCTION("""COMPUTED_VALUE"""),2024)</f>
        <v>2024</v>
      </c>
      <c r="R453" s="15"/>
    </row>
    <row r="454" spans="1:18" ht="13.2" hidden="1" outlineLevel="1" x14ac:dyDescent="0.25">
      <c r="A454" s="1"/>
      <c r="B454" s="16" t="str">
        <f ca="1">IFERROR(__xludf.DUMMYFUNCTION("""COMPUTED_VALUE"""),"Carbón mineral")</f>
        <v>Carbón mineral</v>
      </c>
      <c r="C454" s="17">
        <f ca="1">IFERROR(__xludf.DUMMYFUNCTION("""COMPUTED_VALUE"""),0)</f>
        <v>0</v>
      </c>
      <c r="D454" s="18">
        <f ca="1">IFERROR(__xludf.DUMMYFUNCTION("""COMPUTED_VALUE"""),0)</f>
        <v>0</v>
      </c>
      <c r="E454" s="18">
        <f ca="1">IFERROR(__xludf.DUMMYFUNCTION("""COMPUTED_VALUE"""),0)</f>
        <v>0</v>
      </c>
      <c r="F454" s="18">
        <f ca="1">IFERROR(__xludf.DUMMYFUNCTION("""COMPUTED_VALUE"""),0)</f>
        <v>0</v>
      </c>
      <c r="G454" s="18">
        <f ca="1">IFERROR(__xludf.DUMMYFUNCTION("""COMPUTED_VALUE"""),0)</f>
        <v>0</v>
      </c>
      <c r="H454" s="18">
        <f ca="1">IFERROR(__xludf.DUMMYFUNCTION("""COMPUTED_VALUE"""),0)</f>
        <v>0</v>
      </c>
      <c r="I454" s="18">
        <f ca="1">IFERROR(__xludf.DUMMYFUNCTION("""COMPUTED_VALUE"""),0)</f>
        <v>0</v>
      </c>
      <c r="J454" s="18">
        <f ca="1">IFERROR(__xludf.DUMMYFUNCTION("""COMPUTED_VALUE"""),0)</f>
        <v>0</v>
      </c>
      <c r="K454" s="18">
        <f ca="1">IFERROR(__xludf.DUMMYFUNCTION("""COMPUTED_VALUE"""),0)</f>
        <v>0</v>
      </c>
      <c r="L454" s="18">
        <f ca="1">IFERROR(__xludf.DUMMYFUNCTION("""COMPUTED_VALUE"""),0)</f>
        <v>0</v>
      </c>
      <c r="M454" s="18">
        <f ca="1">IFERROR(__xludf.DUMMYFUNCTION("""COMPUTED_VALUE"""),0)</f>
        <v>0</v>
      </c>
      <c r="N454" s="18">
        <f ca="1">IFERROR(__xludf.DUMMYFUNCTION("""COMPUTED_VALUE"""),0)</f>
        <v>0</v>
      </c>
      <c r="O454" s="18">
        <f ca="1">IFERROR(__xludf.DUMMYFUNCTION("""COMPUTED_VALUE"""),0)</f>
        <v>0</v>
      </c>
      <c r="P454" s="18">
        <f ca="1">IFERROR(__xludf.DUMMYFUNCTION("""COMPUTED_VALUE"""),0)</f>
        <v>0</v>
      </c>
      <c r="Q454" s="19">
        <f ca="1">IFERROR(__xludf.DUMMYFUNCTION("""COMPUTED_VALUE"""),0)</f>
        <v>0</v>
      </c>
      <c r="R454" s="20"/>
    </row>
    <row r="455" spans="1:18" ht="13.2" hidden="1" outlineLevel="1" x14ac:dyDescent="0.25">
      <c r="A455" s="1"/>
      <c r="B455" s="21" t="str">
        <f ca="1">IFERROR(__xludf.DUMMYFUNCTION("""COMPUTED_VALUE"""),"Petróleo crudo")</f>
        <v>Petróleo crudo</v>
      </c>
      <c r="C455" s="22">
        <f ca="1">IFERROR(__xludf.DUMMYFUNCTION("""COMPUTED_VALUE"""),0)</f>
        <v>0</v>
      </c>
      <c r="D455" s="23">
        <f ca="1">IFERROR(__xludf.DUMMYFUNCTION("""COMPUTED_VALUE"""),0)</f>
        <v>0</v>
      </c>
      <c r="E455" s="23">
        <f ca="1">IFERROR(__xludf.DUMMYFUNCTION("""COMPUTED_VALUE"""),0)</f>
        <v>0</v>
      </c>
      <c r="F455" s="23">
        <f ca="1">IFERROR(__xludf.DUMMYFUNCTION("""COMPUTED_VALUE"""),0)</f>
        <v>0</v>
      </c>
      <c r="G455" s="23">
        <f ca="1">IFERROR(__xludf.DUMMYFUNCTION("""COMPUTED_VALUE"""),0)</f>
        <v>0</v>
      </c>
      <c r="H455" s="23">
        <f ca="1">IFERROR(__xludf.DUMMYFUNCTION("""COMPUTED_VALUE"""),0)</f>
        <v>0</v>
      </c>
      <c r="I455" s="23">
        <f ca="1">IFERROR(__xludf.DUMMYFUNCTION("""COMPUTED_VALUE"""),0)</f>
        <v>0</v>
      </c>
      <c r="J455" s="23">
        <f ca="1">IFERROR(__xludf.DUMMYFUNCTION("""COMPUTED_VALUE"""),0)</f>
        <v>0</v>
      </c>
      <c r="K455" s="23">
        <f ca="1">IFERROR(__xludf.DUMMYFUNCTION("""COMPUTED_VALUE"""),0)</f>
        <v>0</v>
      </c>
      <c r="L455" s="23">
        <f ca="1">IFERROR(__xludf.DUMMYFUNCTION("""COMPUTED_VALUE"""),0)</f>
        <v>0</v>
      </c>
      <c r="M455" s="23">
        <f ca="1">IFERROR(__xludf.DUMMYFUNCTION("""COMPUTED_VALUE"""),0)</f>
        <v>0</v>
      </c>
      <c r="N455" s="23">
        <f ca="1">IFERROR(__xludf.DUMMYFUNCTION("""COMPUTED_VALUE"""),0)</f>
        <v>0</v>
      </c>
      <c r="O455" s="23">
        <f ca="1">IFERROR(__xludf.DUMMYFUNCTION("""COMPUTED_VALUE"""),0)</f>
        <v>0</v>
      </c>
      <c r="P455" s="23">
        <f ca="1">IFERROR(__xludf.DUMMYFUNCTION("""COMPUTED_VALUE"""),0)</f>
        <v>0</v>
      </c>
      <c r="Q455" s="24">
        <f ca="1">IFERROR(__xludf.DUMMYFUNCTION("""COMPUTED_VALUE"""),0)</f>
        <v>0</v>
      </c>
      <c r="R455" s="20"/>
    </row>
    <row r="456" spans="1:18" ht="13.2" hidden="1" outlineLevel="1" x14ac:dyDescent="0.25">
      <c r="A456" s="1"/>
      <c r="B456" s="21" t="str">
        <f ca="1">IFERROR(__xludf.DUMMYFUNCTION("""COMPUTED_VALUE"""),"Condensados")</f>
        <v>Condensados</v>
      </c>
      <c r="C456" s="22">
        <f ca="1">IFERROR(__xludf.DUMMYFUNCTION("""COMPUTED_VALUE"""),0)</f>
        <v>0</v>
      </c>
      <c r="D456" s="23">
        <f ca="1">IFERROR(__xludf.DUMMYFUNCTION("""COMPUTED_VALUE"""),0)</f>
        <v>0</v>
      </c>
      <c r="E456" s="23">
        <f ca="1">IFERROR(__xludf.DUMMYFUNCTION("""COMPUTED_VALUE"""),0)</f>
        <v>0</v>
      </c>
      <c r="F456" s="23">
        <f ca="1">IFERROR(__xludf.DUMMYFUNCTION("""COMPUTED_VALUE"""),0)</f>
        <v>0</v>
      </c>
      <c r="G456" s="23">
        <f ca="1">IFERROR(__xludf.DUMMYFUNCTION("""COMPUTED_VALUE"""),0)</f>
        <v>0</v>
      </c>
      <c r="H456" s="23">
        <f ca="1">IFERROR(__xludf.DUMMYFUNCTION("""COMPUTED_VALUE"""),0)</f>
        <v>0</v>
      </c>
      <c r="I456" s="23">
        <f ca="1">IFERROR(__xludf.DUMMYFUNCTION("""COMPUTED_VALUE"""),0)</f>
        <v>0</v>
      </c>
      <c r="J456" s="23">
        <f ca="1">IFERROR(__xludf.DUMMYFUNCTION("""COMPUTED_VALUE"""),0)</f>
        <v>0</v>
      </c>
      <c r="K456" s="23">
        <f ca="1">IFERROR(__xludf.DUMMYFUNCTION("""COMPUTED_VALUE"""),0)</f>
        <v>0</v>
      </c>
      <c r="L456" s="23">
        <f ca="1">IFERROR(__xludf.DUMMYFUNCTION("""COMPUTED_VALUE"""),0)</f>
        <v>0</v>
      </c>
      <c r="M456" s="23">
        <f ca="1">IFERROR(__xludf.DUMMYFUNCTION("""COMPUTED_VALUE"""),0)</f>
        <v>0</v>
      </c>
      <c r="N456" s="23">
        <f ca="1">IFERROR(__xludf.DUMMYFUNCTION("""COMPUTED_VALUE"""),0)</f>
        <v>0</v>
      </c>
      <c r="O456" s="23">
        <f ca="1">IFERROR(__xludf.DUMMYFUNCTION("""COMPUTED_VALUE"""),0)</f>
        <v>0</v>
      </c>
      <c r="P456" s="23">
        <f ca="1">IFERROR(__xludf.DUMMYFUNCTION("""COMPUTED_VALUE"""),0)</f>
        <v>0</v>
      </c>
      <c r="Q456" s="24">
        <f ca="1">IFERROR(__xludf.DUMMYFUNCTION("""COMPUTED_VALUE"""),0)</f>
        <v>0</v>
      </c>
      <c r="R456" s="20"/>
    </row>
    <row r="457" spans="1:18" ht="13.2" hidden="1" outlineLevel="1" x14ac:dyDescent="0.25">
      <c r="A457" s="1"/>
      <c r="B457" s="21" t="str">
        <f ca="1">IFERROR(__xludf.DUMMYFUNCTION("""COMPUTED_VALUE"""),"Gas natural")</f>
        <v>Gas natural</v>
      </c>
      <c r="C457" s="22">
        <f ca="1">IFERROR(__xludf.DUMMYFUNCTION("""COMPUTED_VALUE"""),0)</f>
        <v>0</v>
      </c>
      <c r="D457" s="23">
        <f ca="1">IFERROR(__xludf.DUMMYFUNCTION("""COMPUTED_VALUE"""),0)</f>
        <v>0</v>
      </c>
      <c r="E457" s="23">
        <f ca="1">IFERROR(__xludf.DUMMYFUNCTION("""COMPUTED_VALUE"""),0)</f>
        <v>0</v>
      </c>
      <c r="F457" s="23">
        <f ca="1">IFERROR(__xludf.DUMMYFUNCTION("""COMPUTED_VALUE"""),0)</f>
        <v>0</v>
      </c>
      <c r="G457" s="23">
        <f ca="1">IFERROR(__xludf.DUMMYFUNCTION("""COMPUTED_VALUE"""),0)</f>
        <v>0</v>
      </c>
      <c r="H457" s="23">
        <f ca="1">IFERROR(__xludf.DUMMYFUNCTION("""COMPUTED_VALUE"""),0)</f>
        <v>0</v>
      </c>
      <c r="I457" s="23">
        <f ca="1">IFERROR(__xludf.DUMMYFUNCTION("""COMPUTED_VALUE"""),0)</f>
        <v>0</v>
      </c>
      <c r="J457" s="23">
        <f ca="1">IFERROR(__xludf.DUMMYFUNCTION("""COMPUTED_VALUE"""),0)</f>
        <v>0</v>
      </c>
      <c r="K457" s="23">
        <f ca="1">IFERROR(__xludf.DUMMYFUNCTION("""COMPUTED_VALUE"""),0)</f>
        <v>0</v>
      </c>
      <c r="L457" s="23">
        <f ca="1">IFERROR(__xludf.DUMMYFUNCTION("""COMPUTED_VALUE"""),0)</f>
        <v>0</v>
      </c>
      <c r="M457" s="23">
        <f ca="1">IFERROR(__xludf.DUMMYFUNCTION("""COMPUTED_VALUE"""),0)</f>
        <v>0</v>
      </c>
      <c r="N457" s="23">
        <f ca="1">IFERROR(__xludf.DUMMYFUNCTION("""COMPUTED_VALUE"""),0)</f>
        <v>0</v>
      </c>
      <c r="O457" s="23">
        <f ca="1">IFERROR(__xludf.DUMMYFUNCTION("""COMPUTED_VALUE"""),0)</f>
        <v>0</v>
      </c>
      <c r="P457" s="23">
        <f ca="1">IFERROR(__xludf.DUMMYFUNCTION("""COMPUTED_VALUE"""),0)</f>
        <v>0</v>
      </c>
      <c r="Q457" s="24">
        <f ca="1">IFERROR(__xludf.DUMMYFUNCTION("""COMPUTED_VALUE"""),0)</f>
        <v>0</v>
      </c>
      <c r="R457" s="20"/>
    </row>
    <row r="458" spans="1:18" ht="13.2" hidden="1" outlineLevel="1" x14ac:dyDescent="0.25">
      <c r="A458" s="1"/>
      <c r="B458" s="21" t="str">
        <f ca="1">IFERROR(__xludf.DUMMYFUNCTION("""COMPUTED_VALUE"""),"Energía Nuclear")</f>
        <v>Energía Nuclear</v>
      </c>
      <c r="C458" s="22">
        <f ca="1">IFERROR(__xludf.DUMMYFUNCTION("""COMPUTED_VALUE"""),0)</f>
        <v>0</v>
      </c>
      <c r="D458" s="23">
        <f ca="1">IFERROR(__xludf.DUMMYFUNCTION("""COMPUTED_VALUE"""),0)</f>
        <v>0</v>
      </c>
      <c r="E458" s="23">
        <f ca="1">IFERROR(__xludf.DUMMYFUNCTION("""COMPUTED_VALUE"""),0)</f>
        <v>0</v>
      </c>
      <c r="F458" s="23">
        <f ca="1">IFERROR(__xludf.DUMMYFUNCTION("""COMPUTED_VALUE"""),0)</f>
        <v>0</v>
      </c>
      <c r="G458" s="23">
        <f ca="1">IFERROR(__xludf.DUMMYFUNCTION("""COMPUTED_VALUE"""),0)</f>
        <v>0</v>
      </c>
      <c r="H458" s="23">
        <f ca="1">IFERROR(__xludf.DUMMYFUNCTION("""COMPUTED_VALUE"""),0)</f>
        <v>0</v>
      </c>
      <c r="I458" s="23">
        <f ca="1">IFERROR(__xludf.DUMMYFUNCTION("""COMPUTED_VALUE"""),0)</f>
        <v>0</v>
      </c>
      <c r="J458" s="23">
        <f ca="1">IFERROR(__xludf.DUMMYFUNCTION("""COMPUTED_VALUE"""),0)</f>
        <v>0</v>
      </c>
      <c r="K458" s="23">
        <f ca="1">IFERROR(__xludf.DUMMYFUNCTION("""COMPUTED_VALUE"""),0)</f>
        <v>0</v>
      </c>
      <c r="L458" s="23">
        <f ca="1">IFERROR(__xludf.DUMMYFUNCTION("""COMPUTED_VALUE"""),0)</f>
        <v>0</v>
      </c>
      <c r="M458" s="23">
        <f ca="1">IFERROR(__xludf.DUMMYFUNCTION("""COMPUTED_VALUE"""),0)</f>
        <v>0</v>
      </c>
      <c r="N458" s="23">
        <f ca="1">IFERROR(__xludf.DUMMYFUNCTION("""COMPUTED_VALUE"""),0)</f>
        <v>0</v>
      </c>
      <c r="O458" s="23">
        <f ca="1">IFERROR(__xludf.DUMMYFUNCTION("""COMPUTED_VALUE"""),0)</f>
        <v>0</v>
      </c>
      <c r="P458" s="23">
        <f ca="1">IFERROR(__xludf.DUMMYFUNCTION("""COMPUTED_VALUE"""),0)</f>
        <v>0</v>
      </c>
      <c r="Q458" s="24">
        <f ca="1">IFERROR(__xludf.DUMMYFUNCTION("""COMPUTED_VALUE"""),0)</f>
        <v>0</v>
      </c>
      <c r="R458" s="20"/>
    </row>
    <row r="459" spans="1:18" ht="13.2" hidden="1" outlineLevel="1" x14ac:dyDescent="0.25">
      <c r="A459" s="1"/>
      <c r="B459" s="21" t="str">
        <f ca="1">IFERROR(__xludf.DUMMYFUNCTION("""COMPUTED_VALUE"""),"Energia Hidraúlica")</f>
        <v>Energia Hidraúlica</v>
      </c>
      <c r="C459" s="22">
        <f ca="1">IFERROR(__xludf.DUMMYFUNCTION("""COMPUTED_VALUE"""),0)</f>
        <v>0</v>
      </c>
      <c r="D459" s="23">
        <f ca="1">IFERROR(__xludf.DUMMYFUNCTION("""COMPUTED_VALUE"""),0)</f>
        <v>0</v>
      </c>
      <c r="E459" s="23">
        <f ca="1">IFERROR(__xludf.DUMMYFUNCTION("""COMPUTED_VALUE"""),0)</f>
        <v>0</v>
      </c>
      <c r="F459" s="23">
        <f ca="1">IFERROR(__xludf.DUMMYFUNCTION("""COMPUTED_VALUE"""),0)</f>
        <v>0</v>
      </c>
      <c r="G459" s="23">
        <f ca="1">IFERROR(__xludf.DUMMYFUNCTION("""COMPUTED_VALUE"""),0)</f>
        <v>0</v>
      </c>
      <c r="H459" s="23">
        <f ca="1">IFERROR(__xludf.DUMMYFUNCTION("""COMPUTED_VALUE"""),0)</f>
        <v>0</v>
      </c>
      <c r="I459" s="23">
        <f ca="1">IFERROR(__xludf.DUMMYFUNCTION("""COMPUTED_VALUE"""),0)</f>
        <v>0</v>
      </c>
      <c r="J459" s="23">
        <f ca="1">IFERROR(__xludf.DUMMYFUNCTION("""COMPUTED_VALUE"""),0)</f>
        <v>0</v>
      </c>
      <c r="K459" s="23">
        <f ca="1">IFERROR(__xludf.DUMMYFUNCTION("""COMPUTED_VALUE"""),0)</f>
        <v>0</v>
      </c>
      <c r="L459" s="23">
        <f ca="1">IFERROR(__xludf.DUMMYFUNCTION("""COMPUTED_VALUE"""),0)</f>
        <v>0</v>
      </c>
      <c r="M459" s="23">
        <f ca="1">IFERROR(__xludf.DUMMYFUNCTION("""COMPUTED_VALUE"""),0)</f>
        <v>0</v>
      </c>
      <c r="N459" s="23">
        <f ca="1">IFERROR(__xludf.DUMMYFUNCTION("""COMPUTED_VALUE"""),0)</f>
        <v>0</v>
      </c>
      <c r="O459" s="23">
        <f ca="1">IFERROR(__xludf.DUMMYFUNCTION("""COMPUTED_VALUE"""),0)</f>
        <v>0</v>
      </c>
      <c r="P459" s="23">
        <f ca="1">IFERROR(__xludf.DUMMYFUNCTION("""COMPUTED_VALUE"""),0)</f>
        <v>0</v>
      </c>
      <c r="Q459" s="24">
        <f ca="1">IFERROR(__xludf.DUMMYFUNCTION("""COMPUTED_VALUE"""),0)</f>
        <v>0</v>
      </c>
      <c r="R459" s="20"/>
    </row>
    <row r="460" spans="1:18" ht="13.2" hidden="1" outlineLevel="1" x14ac:dyDescent="0.25">
      <c r="A460" s="1"/>
      <c r="B460" s="21" t="str">
        <f ca="1">IFERROR(__xludf.DUMMYFUNCTION("""COMPUTED_VALUE"""),"Geoenergía")</f>
        <v>Geoenergía</v>
      </c>
      <c r="C460" s="22">
        <f ca="1">IFERROR(__xludf.DUMMYFUNCTION("""COMPUTED_VALUE"""),0)</f>
        <v>0</v>
      </c>
      <c r="D460" s="23">
        <f ca="1">IFERROR(__xludf.DUMMYFUNCTION("""COMPUTED_VALUE"""),0)</f>
        <v>0</v>
      </c>
      <c r="E460" s="23">
        <f ca="1">IFERROR(__xludf.DUMMYFUNCTION("""COMPUTED_VALUE"""),0)</f>
        <v>0</v>
      </c>
      <c r="F460" s="23">
        <f ca="1">IFERROR(__xludf.DUMMYFUNCTION("""COMPUTED_VALUE"""),0)</f>
        <v>0</v>
      </c>
      <c r="G460" s="23">
        <f ca="1">IFERROR(__xludf.DUMMYFUNCTION("""COMPUTED_VALUE"""),0)</f>
        <v>0</v>
      </c>
      <c r="H460" s="23">
        <f ca="1">IFERROR(__xludf.DUMMYFUNCTION("""COMPUTED_VALUE"""),0)</f>
        <v>0</v>
      </c>
      <c r="I460" s="23">
        <f ca="1">IFERROR(__xludf.DUMMYFUNCTION("""COMPUTED_VALUE"""),0)</f>
        <v>0</v>
      </c>
      <c r="J460" s="23">
        <f ca="1">IFERROR(__xludf.DUMMYFUNCTION("""COMPUTED_VALUE"""),0)</f>
        <v>0</v>
      </c>
      <c r="K460" s="23">
        <f ca="1">IFERROR(__xludf.DUMMYFUNCTION("""COMPUTED_VALUE"""),0)</f>
        <v>0</v>
      </c>
      <c r="L460" s="23">
        <f ca="1">IFERROR(__xludf.DUMMYFUNCTION("""COMPUTED_VALUE"""),0)</f>
        <v>0</v>
      </c>
      <c r="M460" s="23">
        <f ca="1">IFERROR(__xludf.DUMMYFUNCTION("""COMPUTED_VALUE"""),0)</f>
        <v>0</v>
      </c>
      <c r="N460" s="23">
        <f ca="1">IFERROR(__xludf.DUMMYFUNCTION("""COMPUTED_VALUE"""),0)</f>
        <v>0</v>
      </c>
      <c r="O460" s="23">
        <f ca="1">IFERROR(__xludf.DUMMYFUNCTION("""COMPUTED_VALUE"""),0)</f>
        <v>0</v>
      </c>
      <c r="P460" s="23">
        <f ca="1">IFERROR(__xludf.DUMMYFUNCTION("""COMPUTED_VALUE"""),0)</f>
        <v>0</v>
      </c>
      <c r="Q460" s="24">
        <f ca="1">IFERROR(__xludf.DUMMYFUNCTION("""COMPUTED_VALUE"""),0)</f>
        <v>0</v>
      </c>
      <c r="R460" s="20"/>
    </row>
    <row r="461" spans="1:18" ht="13.2" hidden="1" outlineLevel="1" x14ac:dyDescent="0.25">
      <c r="A461" s="1"/>
      <c r="B461" s="21" t="str">
        <f ca="1">IFERROR(__xludf.DUMMYFUNCTION("""COMPUTED_VALUE"""),"Energía solar")</f>
        <v>Energía solar</v>
      </c>
      <c r="C461" s="22">
        <f ca="1">IFERROR(__xludf.DUMMYFUNCTION("""COMPUTED_VALUE"""),0)</f>
        <v>0</v>
      </c>
      <c r="D461" s="23">
        <f ca="1">IFERROR(__xludf.DUMMYFUNCTION("""COMPUTED_VALUE"""),0)</f>
        <v>0</v>
      </c>
      <c r="E461" s="23">
        <f ca="1">IFERROR(__xludf.DUMMYFUNCTION("""COMPUTED_VALUE"""),0)</f>
        <v>0</v>
      </c>
      <c r="F461" s="23">
        <f ca="1">IFERROR(__xludf.DUMMYFUNCTION("""COMPUTED_VALUE"""),0)</f>
        <v>0</v>
      </c>
      <c r="G461" s="23">
        <f ca="1">IFERROR(__xludf.DUMMYFUNCTION("""COMPUTED_VALUE"""),0)</f>
        <v>0</v>
      </c>
      <c r="H461" s="23">
        <f ca="1">IFERROR(__xludf.DUMMYFUNCTION("""COMPUTED_VALUE"""),0)</f>
        <v>0</v>
      </c>
      <c r="I461" s="23">
        <f ca="1">IFERROR(__xludf.DUMMYFUNCTION("""COMPUTED_VALUE"""),0)</f>
        <v>0</v>
      </c>
      <c r="J461" s="23">
        <f ca="1">IFERROR(__xludf.DUMMYFUNCTION("""COMPUTED_VALUE"""),0)</f>
        <v>0</v>
      </c>
      <c r="K461" s="23">
        <f ca="1">IFERROR(__xludf.DUMMYFUNCTION("""COMPUTED_VALUE"""),0)</f>
        <v>0</v>
      </c>
      <c r="L461" s="23">
        <f ca="1">IFERROR(__xludf.DUMMYFUNCTION("""COMPUTED_VALUE"""),0)</f>
        <v>0</v>
      </c>
      <c r="M461" s="23">
        <f ca="1">IFERROR(__xludf.DUMMYFUNCTION("""COMPUTED_VALUE"""),0)</f>
        <v>0</v>
      </c>
      <c r="N461" s="23">
        <f ca="1">IFERROR(__xludf.DUMMYFUNCTION("""COMPUTED_VALUE"""),0)</f>
        <v>0</v>
      </c>
      <c r="O461" s="23">
        <f ca="1">IFERROR(__xludf.DUMMYFUNCTION("""COMPUTED_VALUE"""),0)</f>
        <v>0</v>
      </c>
      <c r="P461" s="23">
        <f ca="1">IFERROR(__xludf.DUMMYFUNCTION("""COMPUTED_VALUE"""),0)</f>
        <v>0</v>
      </c>
      <c r="Q461" s="24">
        <f ca="1">IFERROR(__xludf.DUMMYFUNCTION("""COMPUTED_VALUE"""),0)</f>
        <v>0</v>
      </c>
      <c r="R461" s="20"/>
    </row>
    <row r="462" spans="1:18" ht="13.2" hidden="1" outlineLevel="1" x14ac:dyDescent="0.25">
      <c r="A462" s="1"/>
      <c r="B462" s="21" t="str">
        <f ca="1">IFERROR(__xludf.DUMMYFUNCTION("""COMPUTED_VALUE"""),"Energía eólica")</f>
        <v>Energía eólica</v>
      </c>
      <c r="C462" s="22">
        <f ca="1">IFERROR(__xludf.DUMMYFUNCTION("""COMPUTED_VALUE"""),0)</f>
        <v>0</v>
      </c>
      <c r="D462" s="23">
        <f ca="1">IFERROR(__xludf.DUMMYFUNCTION("""COMPUTED_VALUE"""),0)</f>
        <v>0</v>
      </c>
      <c r="E462" s="23">
        <f ca="1">IFERROR(__xludf.DUMMYFUNCTION("""COMPUTED_VALUE"""),0)</f>
        <v>0</v>
      </c>
      <c r="F462" s="23">
        <f ca="1">IFERROR(__xludf.DUMMYFUNCTION("""COMPUTED_VALUE"""),0)</f>
        <v>0</v>
      </c>
      <c r="G462" s="23">
        <f ca="1">IFERROR(__xludf.DUMMYFUNCTION("""COMPUTED_VALUE"""),0)</f>
        <v>0</v>
      </c>
      <c r="H462" s="23">
        <f ca="1">IFERROR(__xludf.DUMMYFUNCTION("""COMPUTED_VALUE"""),0)</f>
        <v>0</v>
      </c>
      <c r="I462" s="23">
        <f ca="1">IFERROR(__xludf.DUMMYFUNCTION("""COMPUTED_VALUE"""),0)</f>
        <v>0</v>
      </c>
      <c r="J462" s="23">
        <f ca="1">IFERROR(__xludf.DUMMYFUNCTION("""COMPUTED_VALUE"""),0)</f>
        <v>0</v>
      </c>
      <c r="K462" s="23">
        <f ca="1">IFERROR(__xludf.DUMMYFUNCTION("""COMPUTED_VALUE"""),0)</f>
        <v>0</v>
      </c>
      <c r="L462" s="23">
        <f ca="1">IFERROR(__xludf.DUMMYFUNCTION("""COMPUTED_VALUE"""),0)</f>
        <v>0</v>
      </c>
      <c r="M462" s="23">
        <f ca="1">IFERROR(__xludf.DUMMYFUNCTION("""COMPUTED_VALUE"""),0)</f>
        <v>0</v>
      </c>
      <c r="N462" s="23">
        <f ca="1">IFERROR(__xludf.DUMMYFUNCTION("""COMPUTED_VALUE"""),0)</f>
        <v>0</v>
      </c>
      <c r="O462" s="23">
        <f ca="1">IFERROR(__xludf.DUMMYFUNCTION("""COMPUTED_VALUE"""),0)</f>
        <v>0</v>
      </c>
      <c r="P462" s="23">
        <f ca="1">IFERROR(__xludf.DUMMYFUNCTION("""COMPUTED_VALUE"""),0)</f>
        <v>0</v>
      </c>
      <c r="Q462" s="24">
        <f ca="1">IFERROR(__xludf.DUMMYFUNCTION("""COMPUTED_VALUE"""),0)</f>
        <v>0</v>
      </c>
      <c r="R462" s="20"/>
    </row>
    <row r="463" spans="1:18" ht="13.2" hidden="1" outlineLevel="1" x14ac:dyDescent="0.25">
      <c r="A463" s="1"/>
      <c r="B463" s="21" t="str">
        <f ca="1">IFERROR(__xludf.DUMMYFUNCTION("""COMPUTED_VALUE"""),"Bagazo de caña")</f>
        <v>Bagazo de caña</v>
      </c>
      <c r="C463" s="22">
        <f ca="1">IFERROR(__xludf.DUMMYFUNCTION("""COMPUTED_VALUE"""),0)</f>
        <v>0</v>
      </c>
      <c r="D463" s="23">
        <f ca="1">IFERROR(__xludf.DUMMYFUNCTION("""COMPUTED_VALUE"""),0)</f>
        <v>0</v>
      </c>
      <c r="E463" s="23">
        <f ca="1">IFERROR(__xludf.DUMMYFUNCTION("""COMPUTED_VALUE"""),0)</f>
        <v>0</v>
      </c>
      <c r="F463" s="23">
        <f ca="1">IFERROR(__xludf.DUMMYFUNCTION("""COMPUTED_VALUE"""),0)</f>
        <v>0</v>
      </c>
      <c r="G463" s="23">
        <f ca="1">IFERROR(__xludf.DUMMYFUNCTION("""COMPUTED_VALUE"""),0)</f>
        <v>0</v>
      </c>
      <c r="H463" s="23">
        <f ca="1">IFERROR(__xludf.DUMMYFUNCTION("""COMPUTED_VALUE"""),0)</f>
        <v>0</v>
      </c>
      <c r="I463" s="23">
        <f ca="1">IFERROR(__xludf.DUMMYFUNCTION("""COMPUTED_VALUE"""),0)</f>
        <v>0</v>
      </c>
      <c r="J463" s="23">
        <f ca="1">IFERROR(__xludf.DUMMYFUNCTION("""COMPUTED_VALUE"""),0)</f>
        <v>0</v>
      </c>
      <c r="K463" s="23">
        <f ca="1">IFERROR(__xludf.DUMMYFUNCTION("""COMPUTED_VALUE"""),0)</f>
        <v>0</v>
      </c>
      <c r="L463" s="23">
        <f ca="1">IFERROR(__xludf.DUMMYFUNCTION("""COMPUTED_VALUE"""),0)</f>
        <v>0</v>
      </c>
      <c r="M463" s="23">
        <f ca="1">IFERROR(__xludf.DUMMYFUNCTION("""COMPUTED_VALUE"""),0)</f>
        <v>0</v>
      </c>
      <c r="N463" s="23">
        <f ca="1">IFERROR(__xludf.DUMMYFUNCTION("""COMPUTED_VALUE"""),0)</f>
        <v>0</v>
      </c>
      <c r="O463" s="23">
        <f ca="1">IFERROR(__xludf.DUMMYFUNCTION("""COMPUTED_VALUE"""),0)</f>
        <v>0</v>
      </c>
      <c r="P463" s="23">
        <f ca="1">IFERROR(__xludf.DUMMYFUNCTION("""COMPUTED_VALUE"""),0)</f>
        <v>0</v>
      </c>
      <c r="Q463" s="24">
        <f ca="1">IFERROR(__xludf.DUMMYFUNCTION("""COMPUTED_VALUE"""),0)</f>
        <v>0</v>
      </c>
      <c r="R463" s="20"/>
    </row>
    <row r="464" spans="1:18" ht="13.2" hidden="1" outlineLevel="1" x14ac:dyDescent="0.25">
      <c r="A464" s="1"/>
      <c r="B464" s="21" t="str">
        <f ca="1">IFERROR(__xludf.DUMMYFUNCTION("""COMPUTED_VALUE"""),"Leña")</f>
        <v>Leña</v>
      </c>
      <c r="C464" s="22">
        <f ca="1">IFERROR(__xludf.DUMMYFUNCTION("""COMPUTED_VALUE"""),0)</f>
        <v>0</v>
      </c>
      <c r="D464" s="23">
        <f ca="1">IFERROR(__xludf.DUMMYFUNCTION("""COMPUTED_VALUE"""),0)</f>
        <v>0</v>
      </c>
      <c r="E464" s="23">
        <f ca="1">IFERROR(__xludf.DUMMYFUNCTION("""COMPUTED_VALUE"""),0)</f>
        <v>0</v>
      </c>
      <c r="F464" s="23">
        <f ca="1">IFERROR(__xludf.DUMMYFUNCTION("""COMPUTED_VALUE"""),0)</f>
        <v>0</v>
      </c>
      <c r="G464" s="23">
        <f ca="1">IFERROR(__xludf.DUMMYFUNCTION("""COMPUTED_VALUE"""),0)</f>
        <v>0</v>
      </c>
      <c r="H464" s="23">
        <f ca="1">IFERROR(__xludf.DUMMYFUNCTION("""COMPUTED_VALUE"""),0)</f>
        <v>0</v>
      </c>
      <c r="I464" s="23">
        <f ca="1">IFERROR(__xludf.DUMMYFUNCTION("""COMPUTED_VALUE"""),0)</f>
        <v>0</v>
      </c>
      <c r="J464" s="23">
        <f ca="1">IFERROR(__xludf.DUMMYFUNCTION("""COMPUTED_VALUE"""),0)</f>
        <v>0</v>
      </c>
      <c r="K464" s="23">
        <f ca="1">IFERROR(__xludf.DUMMYFUNCTION("""COMPUTED_VALUE"""),0)</f>
        <v>0</v>
      </c>
      <c r="L464" s="23">
        <f ca="1">IFERROR(__xludf.DUMMYFUNCTION("""COMPUTED_VALUE"""),0)</f>
        <v>0</v>
      </c>
      <c r="M464" s="23">
        <f ca="1">IFERROR(__xludf.DUMMYFUNCTION("""COMPUTED_VALUE"""),0)</f>
        <v>0</v>
      </c>
      <c r="N464" s="23">
        <f ca="1">IFERROR(__xludf.DUMMYFUNCTION("""COMPUTED_VALUE"""),0)</f>
        <v>0</v>
      </c>
      <c r="O464" s="23">
        <f ca="1">IFERROR(__xludf.DUMMYFUNCTION("""COMPUTED_VALUE"""),0)</f>
        <v>0</v>
      </c>
      <c r="P464" s="23">
        <f ca="1">IFERROR(__xludf.DUMMYFUNCTION("""COMPUTED_VALUE"""),0)</f>
        <v>0</v>
      </c>
      <c r="Q464" s="24">
        <f ca="1">IFERROR(__xludf.DUMMYFUNCTION("""COMPUTED_VALUE"""),0)</f>
        <v>0</v>
      </c>
      <c r="R464" s="20"/>
    </row>
    <row r="465" spans="1:18" ht="13.2" hidden="1" outlineLevel="1" x14ac:dyDescent="0.25">
      <c r="A465" s="1"/>
      <c r="B465" s="21" t="str">
        <f ca="1">IFERROR(__xludf.DUMMYFUNCTION("""COMPUTED_VALUE"""),"Biogás")</f>
        <v>Biogás</v>
      </c>
      <c r="C465" s="22">
        <f ca="1">IFERROR(__xludf.DUMMYFUNCTION("""COMPUTED_VALUE"""),0)</f>
        <v>0</v>
      </c>
      <c r="D465" s="23">
        <f ca="1">IFERROR(__xludf.DUMMYFUNCTION("""COMPUTED_VALUE"""),0)</f>
        <v>0</v>
      </c>
      <c r="E465" s="23">
        <f ca="1">IFERROR(__xludf.DUMMYFUNCTION("""COMPUTED_VALUE"""),0)</f>
        <v>0</v>
      </c>
      <c r="F465" s="23">
        <f ca="1">IFERROR(__xludf.DUMMYFUNCTION("""COMPUTED_VALUE"""),0)</f>
        <v>0</v>
      </c>
      <c r="G465" s="23">
        <f ca="1">IFERROR(__xludf.DUMMYFUNCTION("""COMPUTED_VALUE"""),0)</f>
        <v>0</v>
      </c>
      <c r="H465" s="23">
        <f ca="1">IFERROR(__xludf.DUMMYFUNCTION("""COMPUTED_VALUE"""),0)</f>
        <v>0</v>
      </c>
      <c r="I465" s="23">
        <f ca="1">IFERROR(__xludf.DUMMYFUNCTION("""COMPUTED_VALUE"""),0)</f>
        <v>0</v>
      </c>
      <c r="J465" s="23">
        <f ca="1">IFERROR(__xludf.DUMMYFUNCTION("""COMPUTED_VALUE"""),0)</f>
        <v>0</v>
      </c>
      <c r="K465" s="23">
        <f ca="1">IFERROR(__xludf.DUMMYFUNCTION("""COMPUTED_VALUE"""),0)</f>
        <v>0</v>
      </c>
      <c r="L465" s="23">
        <f ca="1">IFERROR(__xludf.DUMMYFUNCTION("""COMPUTED_VALUE"""),0)</f>
        <v>0</v>
      </c>
      <c r="M465" s="23">
        <f ca="1">IFERROR(__xludf.DUMMYFUNCTION("""COMPUTED_VALUE"""),0)</f>
        <v>0</v>
      </c>
      <c r="N465" s="23">
        <f ca="1">IFERROR(__xludf.DUMMYFUNCTION("""COMPUTED_VALUE"""),0)</f>
        <v>0</v>
      </c>
      <c r="O465" s="23">
        <f ca="1">IFERROR(__xludf.DUMMYFUNCTION("""COMPUTED_VALUE"""),0)</f>
        <v>0</v>
      </c>
      <c r="P465" s="23">
        <f ca="1">IFERROR(__xludf.DUMMYFUNCTION("""COMPUTED_VALUE"""),0)</f>
        <v>0</v>
      </c>
      <c r="Q465" s="24">
        <f ca="1">IFERROR(__xludf.DUMMYFUNCTION("""COMPUTED_VALUE"""),0)</f>
        <v>0</v>
      </c>
      <c r="R465" s="20"/>
    </row>
    <row r="466" spans="1:18" ht="13.2" hidden="1" outlineLevel="1" x14ac:dyDescent="0.25">
      <c r="A466" s="1"/>
      <c r="B466" s="21" t="str">
        <f ca="1">IFERROR(__xludf.DUMMYFUNCTION("""COMPUTED_VALUE"""),"Coque de carbón")</f>
        <v>Coque de carbón</v>
      </c>
      <c r="C466" s="22">
        <f ca="1">IFERROR(__xludf.DUMMYFUNCTION("""COMPUTED_VALUE"""),0)</f>
        <v>0</v>
      </c>
      <c r="D466" s="23">
        <f ca="1">IFERROR(__xludf.DUMMYFUNCTION("""COMPUTED_VALUE"""),0)</f>
        <v>0</v>
      </c>
      <c r="E466" s="23">
        <f ca="1">IFERROR(__xludf.DUMMYFUNCTION("""COMPUTED_VALUE"""),0)</f>
        <v>0</v>
      </c>
      <c r="F466" s="23">
        <f ca="1">IFERROR(__xludf.DUMMYFUNCTION("""COMPUTED_VALUE"""),0)</f>
        <v>0</v>
      </c>
      <c r="G466" s="23">
        <f ca="1">IFERROR(__xludf.DUMMYFUNCTION("""COMPUTED_VALUE"""),0)</f>
        <v>0</v>
      </c>
      <c r="H466" s="23">
        <f ca="1">IFERROR(__xludf.DUMMYFUNCTION("""COMPUTED_VALUE"""),0)</f>
        <v>0</v>
      </c>
      <c r="I466" s="23">
        <f ca="1">IFERROR(__xludf.DUMMYFUNCTION("""COMPUTED_VALUE"""),0)</f>
        <v>0</v>
      </c>
      <c r="J466" s="23">
        <f ca="1">IFERROR(__xludf.DUMMYFUNCTION("""COMPUTED_VALUE"""),0)</f>
        <v>0</v>
      </c>
      <c r="K466" s="23">
        <f ca="1">IFERROR(__xludf.DUMMYFUNCTION("""COMPUTED_VALUE"""),0)</f>
        <v>0</v>
      </c>
      <c r="L466" s="23">
        <f ca="1">IFERROR(__xludf.DUMMYFUNCTION("""COMPUTED_VALUE"""),0)</f>
        <v>0</v>
      </c>
      <c r="M466" s="23">
        <f ca="1">IFERROR(__xludf.DUMMYFUNCTION("""COMPUTED_VALUE"""),0)</f>
        <v>0</v>
      </c>
      <c r="N466" s="23">
        <f ca="1">IFERROR(__xludf.DUMMYFUNCTION("""COMPUTED_VALUE"""),0)</f>
        <v>0</v>
      </c>
      <c r="O466" s="23">
        <f ca="1">IFERROR(__xludf.DUMMYFUNCTION("""COMPUTED_VALUE"""),0)</f>
        <v>0</v>
      </c>
      <c r="P466" s="23">
        <f ca="1">IFERROR(__xludf.DUMMYFUNCTION("""COMPUTED_VALUE"""),0)</f>
        <v>0</v>
      </c>
      <c r="Q466" s="24">
        <f ca="1">IFERROR(__xludf.DUMMYFUNCTION("""COMPUTED_VALUE"""),0)</f>
        <v>0</v>
      </c>
      <c r="R466" s="20"/>
    </row>
    <row r="467" spans="1:18" ht="13.2" hidden="1" outlineLevel="1" x14ac:dyDescent="0.25">
      <c r="A467" s="1"/>
      <c r="B467" s="21" t="str">
        <f ca="1">IFERROR(__xludf.DUMMYFUNCTION("""COMPUTED_VALUE"""),"Coque de petróleo")</f>
        <v>Coque de petróleo</v>
      </c>
      <c r="C467" s="22">
        <f ca="1">IFERROR(__xludf.DUMMYFUNCTION("""COMPUTED_VALUE"""),0)</f>
        <v>0</v>
      </c>
      <c r="D467" s="23">
        <f ca="1">IFERROR(__xludf.DUMMYFUNCTION("""COMPUTED_VALUE"""),0)</f>
        <v>0</v>
      </c>
      <c r="E467" s="23">
        <f ca="1">IFERROR(__xludf.DUMMYFUNCTION("""COMPUTED_VALUE"""),0)</f>
        <v>0</v>
      </c>
      <c r="F467" s="23">
        <f ca="1">IFERROR(__xludf.DUMMYFUNCTION("""COMPUTED_VALUE"""),0)</f>
        <v>0</v>
      </c>
      <c r="G467" s="23">
        <f ca="1">IFERROR(__xludf.DUMMYFUNCTION("""COMPUTED_VALUE"""),0)</f>
        <v>0</v>
      </c>
      <c r="H467" s="23">
        <f ca="1">IFERROR(__xludf.DUMMYFUNCTION("""COMPUTED_VALUE"""),0)</f>
        <v>0</v>
      </c>
      <c r="I467" s="23">
        <f ca="1">IFERROR(__xludf.DUMMYFUNCTION("""COMPUTED_VALUE"""),0)</f>
        <v>0</v>
      </c>
      <c r="J467" s="23">
        <f ca="1">IFERROR(__xludf.DUMMYFUNCTION("""COMPUTED_VALUE"""),0)</f>
        <v>0</v>
      </c>
      <c r="K467" s="23">
        <f ca="1">IFERROR(__xludf.DUMMYFUNCTION("""COMPUTED_VALUE"""),0)</f>
        <v>0</v>
      </c>
      <c r="L467" s="23">
        <f ca="1">IFERROR(__xludf.DUMMYFUNCTION("""COMPUTED_VALUE"""),0)</f>
        <v>0</v>
      </c>
      <c r="M467" s="23">
        <f ca="1">IFERROR(__xludf.DUMMYFUNCTION("""COMPUTED_VALUE"""),0)</f>
        <v>0</v>
      </c>
      <c r="N467" s="23">
        <f ca="1">IFERROR(__xludf.DUMMYFUNCTION("""COMPUTED_VALUE"""),0)</f>
        <v>0</v>
      </c>
      <c r="O467" s="23">
        <f ca="1">IFERROR(__xludf.DUMMYFUNCTION("""COMPUTED_VALUE"""),0)</f>
        <v>0</v>
      </c>
      <c r="P467" s="23">
        <f ca="1">IFERROR(__xludf.DUMMYFUNCTION("""COMPUTED_VALUE"""),0)</f>
        <v>0</v>
      </c>
      <c r="Q467" s="24">
        <f ca="1">IFERROR(__xludf.DUMMYFUNCTION("""COMPUTED_VALUE"""),0)</f>
        <v>0</v>
      </c>
      <c r="R467" s="20"/>
    </row>
    <row r="468" spans="1:18" ht="13.2" hidden="1" outlineLevel="1" x14ac:dyDescent="0.25">
      <c r="A468" s="1"/>
      <c r="B468" s="21" t="str">
        <f ca="1">IFERROR(__xludf.DUMMYFUNCTION("""COMPUTED_VALUE"""),"Gas licuado de petróleo")</f>
        <v>Gas licuado de petróleo</v>
      </c>
      <c r="C468" s="22">
        <f ca="1">IFERROR(__xludf.DUMMYFUNCTION("""COMPUTED_VALUE"""),0)</f>
        <v>0</v>
      </c>
      <c r="D468" s="23">
        <f ca="1">IFERROR(__xludf.DUMMYFUNCTION("""COMPUTED_VALUE"""),0)</f>
        <v>0</v>
      </c>
      <c r="E468" s="23">
        <f ca="1">IFERROR(__xludf.DUMMYFUNCTION("""COMPUTED_VALUE"""),0)</f>
        <v>0</v>
      </c>
      <c r="F468" s="23">
        <f ca="1">IFERROR(__xludf.DUMMYFUNCTION("""COMPUTED_VALUE"""),0)</f>
        <v>0</v>
      </c>
      <c r="G468" s="23">
        <f ca="1">IFERROR(__xludf.DUMMYFUNCTION("""COMPUTED_VALUE"""),0)</f>
        <v>0</v>
      </c>
      <c r="H468" s="23">
        <f ca="1">IFERROR(__xludf.DUMMYFUNCTION("""COMPUTED_VALUE"""),0)</f>
        <v>0</v>
      </c>
      <c r="I468" s="23">
        <f ca="1">IFERROR(__xludf.DUMMYFUNCTION("""COMPUTED_VALUE"""),0)</f>
        <v>0</v>
      </c>
      <c r="J468" s="23">
        <f ca="1">IFERROR(__xludf.DUMMYFUNCTION("""COMPUTED_VALUE"""),0)</f>
        <v>0</v>
      </c>
      <c r="K468" s="23">
        <f ca="1">IFERROR(__xludf.DUMMYFUNCTION("""COMPUTED_VALUE"""),0)</f>
        <v>0</v>
      </c>
      <c r="L468" s="23">
        <f ca="1">IFERROR(__xludf.DUMMYFUNCTION("""COMPUTED_VALUE"""),0)</f>
        <v>0</v>
      </c>
      <c r="M468" s="23">
        <f ca="1">IFERROR(__xludf.DUMMYFUNCTION("""COMPUTED_VALUE"""),0)</f>
        <v>0</v>
      </c>
      <c r="N468" s="23">
        <f ca="1">IFERROR(__xludf.DUMMYFUNCTION("""COMPUTED_VALUE"""),0)</f>
        <v>0</v>
      </c>
      <c r="O468" s="23">
        <f ca="1">IFERROR(__xludf.DUMMYFUNCTION("""COMPUTED_VALUE"""),0)</f>
        <v>0</v>
      </c>
      <c r="P468" s="23">
        <f ca="1">IFERROR(__xludf.DUMMYFUNCTION("""COMPUTED_VALUE"""),0)</f>
        <v>0</v>
      </c>
      <c r="Q468" s="24">
        <f ca="1">IFERROR(__xludf.DUMMYFUNCTION("""COMPUTED_VALUE"""),0)</f>
        <v>0</v>
      </c>
      <c r="R468" s="20"/>
    </row>
    <row r="469" spans="1:18" ht="13.2" hidden="1" outlineLevel="1" x14ac:dyDescent="0.25">
      <c r="A469" s="1"/>
      <c r="B469" s="21" t="str">
        <f ca="1">IFERROR(__xludf.DUMMYFUNCTION("""COMPUTED_VALUE"""),"Gasolinas y naftas")</f>
        <v>Gasolinas y naftas</v>
      </c>
      <c r="C469" s="22">
        <f ca="1">IFERROR(__xludf.DUMMYFUNCTION("""COMPUTED_VALUE"""),0)</f>
        <v>0</v>
      </c>
      <c r="D469" s="23">
        <f ca="1">IFERROR(__xludf.DUMMYFUNCTION("""COMPUTED_VALUE"""),0)</f>
        <v>0</v>
      </c>
      <c r="E469" s="23">
        <f ca="1">IFERROR(__xludf.DUMMYFUNCTION("""COMPUTED_VALUE"""),0)</f>
        <v>0</v>
      </c>
      <c r="F469" s="23">
        <f ca="1">IFERROR(__xludf.DUMMYFUNCTION("""COMPUTED_VALUE"""),0)</f>
        <v>0</v>
      </c>
      <c r="G469" s="23">
        <f ca="1">IFERROR(__xludf.DUMMYFUNCTION("""COMPUTED_VALUE"""),0)</f>
        <v>0</v>
      </c>
      <c r="H469" s="23">
        <f ca="1">IFERROR(__xludf.DUMMYFUNCTION("""COMPUTED_VALUE"""),0)</f>
        <v>0</v>
      </c>
      <c r="I469" s="23">
        <f ca="1">IFERROR(__xludf.DUMMYFUNCTION("""COMPUTED_VALUE"""),0)</f>
        <v>0</v>
      </c>
      <c r="J469" s="23">
        <f ca="1">IFERROR(__xludf.DUMMYFUNCTION("""COMPUTED_VALUE"""),0)</f>
        <v>0</v>
      </c>
      <c r="K469" s="23">
        <f ca="1">IFERROR(__xludf.DUMMYFUNCTION("""COMPUTED_VALUE"""),0)</f>
        <v>0</v>
      </c>
      <c r="L469" s="23">
        <f ca="1">IFERROR(__xludf.DUMMYFUNCTION("""COMPUTED_VALUE"""),0)</f>
        <v>0</v>
      </c>
      <c r="M469" s="23">
        <f ca="1">IFERROR(__xludf.DUMMYFUNCTION("""COMPUTED_VALUE"""),0)</f>
        <v>0</v>
      </c>
      <c r="N469" s="23">
        <f ca="1">IFERROR(__xludf.DUMMYFUNCTION("""COMPUTED_VALUE"""),0)</f>
        <v>0</v>
      </c>
      <c r="O469" s="23">
        <f ca="1">IFERROR(__xludf.DUMMYFUNCTION("""COMPUTED_VALUE"""),0)</f>
        <v>0</v>
      </c>
      <c r="P469" s="23">
        <f ca="1">IFERROR(__xludf.DUMMYFUNCTION("""COMPUTED_VALUE"""),0)</f>
        <v>0</v>
      </c>
      <c r="Q469" s="24">
        <f ca="1">IFERROR(__xludf.DUMMYFUNCTION("""COMPUTED_VALUE"""),0)</f>
        <v>0</v>
      </c>
      <c r="R469" s="20"/>
    </row>
    <row r="470" spans="1:18" ht="13.2" hidden="1" outlineLevel="1" x14ac:dyDescent="0.25">
      <c r="A470" s="1"/>
      <c r="B470" s="21" t="str">
        <f ca="1">IFERROR(__xludf.DUMMYFUNCTION("""COMPUTED_VALUE"""),"Querosenos")</f>
        <v>Querosenos</v>
      </c>
      <c r="C470" s="22">
        <f ca="1">IFERROR(__xludf.DUMMYFUNCTION("""COMPUTED_VALUE"""),0)</f>
        <v>0</v>
      </c>
      <c r="D470" s="23">
        <f ca="1">IFERROR(__xludf.DUMMYFUNCTION("""COMPUTED_VALUE"""),0)</f>
        <v>0</v>
      </c>
      <c r="E470" s="23">
        <f ca="1">IFERROR(__xludf.DUMMYFUNCTION("""COMPUTED_VALUE"""),0)</f>
        <v>0</v>
      </c>
      <c r="F470" s="23">
        <f ca="1">IFERROR(__xludf.DUMMYFUNCTION("""COMPUTED_VALUE"""),0)</f>
        <v>0</v>
      </c>
      <c r="G470" s="23">
        <f ca="1">IFERROR(__xludf.DUMMYFUNCTION("""COMPUTED_VALUE"""),0)</f>
        <v>0</v>
      </c>
      <c r="H470" s="23">
        <f ca="1">IFERROR(__xludf.DUMMYFUNCTION("""COMPUTED_VALUE"""),0)</f>
        <v>0</v>
      </c>
      <c r="I470" s="23">
        <f ca="1">IFERROR(__xludf.DUMMYFUNCTION("""COMPUTED_VALUE"""),0)</f>
        <v>0</v>
      </c>
      <c r="J470" s="23">
        <f ca="1">IFERROR(__xludf.DUMMYFUNCTION("""COMPUTED_VALUE"""),0)</f>
        <v>0</v>
      </c>
      <c r="K470" s="23">
        <f ca="1">IFERROR(__xludf.DUMMYFUNCTION("""COMPUTED_VALUE"""),0)</f>
        <v>0</v>
      </c>
      <c r="L470" s="23">
        <f ca="1">IFERROR(__xludf.DUMMYFUNCTION("""COMPUTED_VALUE"""),0)</f>
        <v>0</v>
      </c>
      <c r="M470" s="23">
        <f ca="1">IFERROR(__xludf.DUMMYFUNCTION("""COMPUTED_VALUE"""),0)</f>
        <v>0</v>
      </c>
      <c r="N470" s="23">
        <f ca="1">IFERROR(__xludf.DUMMYFUNCTION("""COMPUTED_VALUE"""),0)</f>
        <v>0</v>
      </c>
      <c r="O470" s="23">
        <f ca="1">IFERROR(__xludf.DUMMYFUNCTION("""COMPUTED_VALUE"""),0)</f>
        <v>0</v>
      </c>
      <c r="P470" s="23">
        <f ca="1">IFERROR(__xludf.DUMMYFUNCTION("""COMPUTED_VALUE"""),0)</f>
        <v>0</v>
      </c>
      <c r="Q470" s="24">
        <f ca="1">IFERROR(__xludf.DUMMYFUNCTION("""COMPUTED_VALUE"""),0)</f>
        <v>0</v>
      </c>
      <c r="R470" s="20"/>
    </row>
    <row r="471" spans="1:18" ht="13.2" hidden="1" outlineLevel="1" x14ac:dyDescent="0.25">
      <c r="A471" s="1"/>
      <c r="B471" s="21" t="str">
        <f ca="1">IFERROR(__xludf.DUMMYFUNCTION("""COMPUTED_VALUE"""),"Diesel")</f>
        <v>Diesel</v>
      </c>
      <c r="C471" s="22">
        <f ca="1">IFERROR(__xludf.DUMMYFUNCTION("""COMPUTED_VALUE"""),0)</f>
        <v>0</v>
      </c>
      <c r="D471" s="23">
        <f ca="1">IFERROR(__xludf.DUMMYFUNCTION("""COMPUTED_VALUE"""),0)</f>
        <v>0</v>
      </c>
      <c r="E471" s="23">
        <f ca="1">IFERROR(__xludf.DUMMYFUNCTION("""COMPUTED_VALUE"""),0)</f>
        <v>0</v>
      </c>
      <c r="F471" s="23">
        <f ca="1">IFERROR(__xludf.DUMMYFUNCTION("""COMPUTED_VALUE"""),0)</f>
        <v>0</v>
      </c>
      <c r="G471" s="23">
        <f ca="1">IFERROR(__xludf.DUMMYFUNCTION("""COMPUTED_VALUE"""),0)</f>
        <v>0</v>
      </c>
      <c r="H471" s="23">
        <f ca="1">IFERROR(__xludf.DUMMYFUNCTION("""COMPUTED_VALUE"""),0)</f>
        <v>0</v>
      </c>
      <c r="I471" s="23">
        <f ca="1">IFERROR(__xludf.DUMMYFUNCTION("""COMPUTED_VALUE"""),0)</f>
        <v>0</v>
      </c>
      <c r="J471" s="23">
        <f ca="1">IFERROR(__xludf.DUMMYFUNCTION("""COMPUTED_VALUE"""),0)</f>
        <v>0</v>
      </c>
      <c r="K471" s="23">
        <f ca="1">IFERROR(__xludf.DUMMYFUNCTION("""COMPUTED_VALUE"""),0)</f>
        <v>0</v>
      </c>
      <c r="L471" s="23">
        <f ca="1">IFERROR(__xludf.DUMMYFUNCTION("""COMPUTED_VALUE"""),0)</f>
        <v>0</v>
      </c>
      <c r="M471" s="23">
        <f ca="1">IFERROR(__xludf.DUMMYFUNCTION("""COMPUTED_VALUE"""),0)</f>
        <v>0</v>
      </c>
      <c r="N471" s="23">
        <f ca="1">IFERROR(__xludf.DUMMYFUNCTION("""COMPUTED_VALUE"""),0)</f>
        <v>0</v>
      </c>
      <c r="O471" s="23">
        <f ca="1">IFERROR(__xludf.DUMMYFUNCTION("""COMPUTED_VALUE"""),0)</f>
        <v>0</v>
      </c>
      <c r="P471" s="23">
        <f ca="1">IFERROR(__xludf.DUMMYFUNCTION("""COMPUTED_VALUE"""),0)</f>
        <v>0</v>
      </c>
      <c r="Q471" s="24">
        <f ca="1">IFERROR(__xludf.DUMMYFUNCTION("""COMPUTED_VALUE"""),0)</f>
        <v>0</v>
      </c>
      <c r="R471" s="20"/>
    </row>
    <row r="472" spans="1:18" ht="13.2" hidden="1" outlineLevel="1" x14ac:dyDescent="0.25">
      <c r="A472" s="1"/>
      <c r="B472" s="21" t="str">
        <f ca="1">IFERROR(__xludf.DUMMYFUNCTION("""COMPUTED_VALUE"""),"Combustóleo")</f>
        <v>Combustóleo</v>
      </c>
      <c r="C472" s="22">
        <f ca="1">IFERROR(__xludf.DUMMYFUNCTION("""COMPUTED_VALUE"""),0)</f>
        <v>0</v>
      </c>
      <c r="D472" s="23">
        <f ca="1">IFERROR(__xludf.DUMMYFUNCTION("""COMPUTED_VALUE"""),0)</f>
        <v>0</v>
      </c>
      <c r="E472" s="23">
        <f ca="1">IFERROR(__xludf.DUMMYFUNCTION("""COMPUTED_VALUE"""),0)</f>
        <v>0</v>
      </c>
      <c r="F472" s="23">
        <f ca="1">IFERROR(__xludf.DUMMYFUNCTION("""COMPUTED_VALUE"""),0)</f>
        <v>0</v>
      </c>
      <c r="G472" s="23">
        <f ca="1">IFERROR(__xludf.DUMMYFUNCTION("""COMPUTED_VALUE"""),0)</f>
        <v>0</v>
      </c>
      <c r="H472" s="23">
        <f ca="1">IFERROR(__xludf.DUMMYFUNCTION("""COMPUTED_VALUE"""),0)</f>
        <v>0</v>
      </c>
      <c r="I472" s="23">
        <f ca="1">IFERROR(__xludf.DUMMYFUNCTION("""COMPUTED_VALUE"""),0)</f>
        <v>0</v>
      </c>
      <c r="J472" s="23">
        <f ca="1">IFERROR(__xludf.DUMMYFUNCTION("""COMPUTED_VALUE"""),0)</f>
        <v>0</v>
      </c>
      <c r="K472" s="23">
        <f ca="1">IFERROR(__xludf.DUMMYFUNCTION("""COMPUTED_VALUE"""),0)</f>
        <v>0</v>
      </c>
      <c r="L472" s="23">
        <f ca="1">IFERROR(__xludf.DUMMYFUNCTION("""COMPUTED_VALUE"""),0)</f>
        <v>0</v>
      </c>
      <c r="M472" s="23">
        <f ca="1">IFERROR(__xludf.DUMMYFUNCTION("""COMPUTED_VALUE"""),0)</f>
        <v>0</v>
      </c>
      <c r="N472" s="23">
        <f ca="1">IFERROR(__xludf.DUMMYFUNCTION("""COMPUTED_VALUE"""),0)</f>
        <v>0</v>
      </c>
      <c r="O472" s="23">
        <f ca="1">IFERROR(__xludf.DUMMYFUNCTION("""COMPUTED_VALUE"""),0)</f>
        <v>0</v>
      </c>
      <c r="P472" s="23">
        <f ca="1">IFERROR(__xludf.DUMMYFUNCTION("""COMPUTED_VALUE"""),0)</f>
        <v>0</v>
      </c>
      <c r="Q472" s="24">
        <f ca="1">IFERROR(__xludf.DUMMYFUNCTION("""COMPUTED_VALUE"""),0)</f>
        <v>0</v>
      </c>
      <c r="R472" s="20"/>
    </row>
    <row r="473" spans="1:18" ht="13.2" hidden="1" outlineLevel="1" x14ac:dyDescent="0.25">
      <c r="A473" s="1"/>
      <c r="B473" s="21" t="str">
        <f ca="1">IFERROR(__xludf.DUMMYFUNCTION("""COMPUTED_VALUE"""),"Otros energéticos")</f>
        <v>Otros energéticos</v>
      </c>
      <c r="C473" s="22">
        <f ca="1">IFERROR(__xludf.DUMMYFUNCTION("""COMPUTED_VALUE"""),0)</f>
        <v>0</v>
      </c>
      <c r="D473" s="23">
        <f ca="1">IFERROR(__xludf.DUMMYFUNCTION("""COMPUTED_VALUE"""),0)</f>
        <v>0</v>
      </c>
      <c r="E473" s="23">
        <f ca="1">IFERROR(__xludf.DUMMYFUNCTION("""COMPUTED_VALUE"""),0)</f>
        <v>0</v>
      </c>
      <c r="F473" s="23">
        <f ca="1">IFERROR(__xludf.DUMMYFUNCTION("""COMPUTED_VALUE"""),0)</f>
        <v>0</v>
      </c>
      <c r="G473" s="23">
        <f ca="1">IFERROR(__xludf.DUMMYFUNCTION("""COMPUTED_VALUE"""),0)</f>
        <v>0</v>
      </c>
      <c r="H473" s="23">
        <f ca="1">IFERROR(__xludf.DUMMYFUNCTION("""COMPUTED_VALUE"""),0)</f>
        <v>0</v>
      </c>
      <c r="I473" s="23">
        <f ca="1">IFERROR(__xludf.DUMMYFUNCTION("""COMPUTED_VALUE"""),0)</f>
        <v>0</v>
      </c>
      <c r="J473" s="23">
        <f ca="1">IFERROR(__xludf.DUMMYFUNCTION("""COMPUTED_VALUE"""),0)</f>
        <v>0</v>
      </c>
      <c r="K473" s="23">
        <f ca="1">IFERROR(__xludf.DUMMYFUNCTION("""COMPUTED_VALUE"""),0)</f>
        <v>0</v>
      </c>
      <c r="L473" s="23">
        <f ca="1">IFERROR(__xludf.DUMMYFUNCTION("""COMPUTED_VALUE"""),0)</f>
        <v>0</v>
      </c>
      <c r="M473" s="23">
        <f ca="1">IFERROR(__xludf.DUMMYFUNCTION("""COMPUTED_VALUE"""),0)</f>
        <v>0</v>
      </c>
      <c r="N473" s="23">
        <f ca="1">IFERROR(__xludf.DUMMYFUNCTION("""COMPUTED_VALUE"""),0)</f>
        <v>0</v>
      </c>
      <c r="O473" s="23">
        <f ca="1">IFERROR(__xludf.DUMMYFUNCTION("""COMPUTED_VALUE"""),0)</f>
        <v>0</v>
      </c>
      <c r="P473" s="23">
        <f ca="1">IFERROR(__xludf.DUMMYFUNCTION("""COMPUTED_VALUE"""),0)</f>
        <v>0</v>
      </c>
      <c r="Q473" s="24">
        <f ca="1">IFERROR(__xludf.DUMMYFUNCTION("""COMPUTED_VALUE"""),0)</f>
        <v>0</v>
      </c>
      <c r="R473" s="20"/>
    </row>
    <row r="474" spans="1:18" ht="13.2" hidden="1" outlineLevel="1" x14ac:dyDescent="0.25">
      <c r="A474" s="1"/>
      <c r="B474" s="21" t="str">
        <f ca="1">IFERROR(__xludf.DUMMYFUNCTION("""COMPUTED_VALUE"""),"Gas natural seco")</f>
        <v>Gas natural seco</v>
      </c>
      <c r="C474" s="22">
        <f ca="1">IFERROR(__xludf.DUMMYFUNCTION("""COMPUTED_VALUE"""),-40.0994999280328)</f>
        <v>-40.099499928032799</v>
      </c>
      <c r="D474" s="23">
        <f ca="1">IFERROR(__xludf.DUMMYFUNCTION("""COMPUTED_VALUE"""),-66.0961365105822)</f>
        <v>-66.096136510582198</v>
      </c>
      <c r="E474" s="23">
        <f ca="1">IFERROR(__xludf.DUMMYFUNCTION("""COMPUTED_VALUE"""),-59.8350262528262)</f>
        <v>-59.835026252826196</v>
      </c>
      <c r="F474" s="23">
        <f ca="1">IFERROR(__xludf.DUMMYFUNCTION("""COMPUTED_VALUE"""),-58.6709472603845)</f>
        <v>-58.670947260384501</v>
      </c>
      <c r="G474" s="23">
        <f ca="1">IFERROR(__xludf.DUMMYFUNCTION("""COMPUTED_VALUE"""),-58.5581871091746)</f>
        <v>-58.558187109174597</v>
      </c>
      <c r="H474" s="23">
        <f ca="1">IFERROR(__xludf.DUMMYFUNCTION("""COMPUTED_VALUE"""),-50.6889550874448)</f>
        <v>-50.688955087444803</v>
      </c>
      <c r="I474" s="23">
        <f ca="1">IFERROR(__xludf.DUMMYFUNCTION("""COMPUTED_VALUE"""),-83.6959536099634)</f>
        <v>-83.695953609963397</v>
      </c>
      <c r="J474" s="23">
        <f ca="1">IFERROR(__xludf.DUMMYFUNCTION("""COMPUTED_VALUE"""),-65.5218099302084)</f>
        <v>-65.521809930208406</v>
      </c>
      <c r="K474" s="23">
        <f ca="1">IFERROR(__xludf.DUMMYFUNCTION("""COMPUTED_VALUE"""),-106.652476390965)</f>
        <v>-106.65247639096501</v>
      </c>
      <c r="L474" s="23">
        <f ca="1">IFERROR(__xludf.DUMMYFUNCTION("""COMPUTED_VALUE"""),-99.4131139186391)</f>
        <v>-99.413113918639098</v>
      </c>
      <c r="M474" s="23">
        <f ca="1">IFERROR(__xludf.DUMMYFUNCTION("""COMPUTED_VALUE"""),-154.968599467708)</f>
        <v>-154.968599467708</v>
      </c>
      <c r="N474" s="23">
        <f ca="1">IFERROR(__xludf.DUMMYFUNCTION("""COMPUTED_VALUE"""),-153.200297187639)</f>
        <v>-153.20029718763899</v>
      </c>
      <c r="O474" s="23">
        <f ca="1">IFERROR(__xludf.DUMMYFUNCTION("""COMPUTED_VALUE"""),-133.501633541663)</f>
        <v>-133.50163354166301</v>
      </c>
      <c r="P474" s="23">
        <f ca="1">IFERROR(__xludf.DUMMYFUNCTION("""COMPUTED_VALUE"""),-143.45943917267)</f>
        <v>-143.45943917266999</v>
      </c>
      <c r="Q474" s="24">
        <f ca="1">IFERROR(__xludf.DUMMYFUNCTION("""COMPUTED_VALUE"""),-135.570701646846)</f>
        <v>-135.570701646846</v>
      </c>
      <c r="R474" s="20"/>
    </row>
    <row r="475" spans="1:18" ht="13.2" hidden="1" outlineLevel="1" x14ac:dyDescent="0.25">
      <c r="A475" s="1"/>
      <c r="B475" s="25" t="str">
        <f ca="1">IFERROR(__xludf.DUMMYFUNCTION("""COMPUTED_VALUE"""),"Energía eléctrica")</f>
        <v>Energía eléctrica</v>
      </c>
      <c r="C475" s="26">
        <f ca="1">IFERROR(__xludf.DUMMYFUNCTION("""COMPUTED_VALUE"""),14.7698702778531)</f>
        <v>14.7698702778531</v>
      </c>
      <c r="D475" s="27">
        <f ca="1">IFERROR(__xludf.DUMMYFUNCTION("""COMPUTED_VALUE"""),20.624854639878)</f>
        <v>20.624854639877999</v>
      </c>
      <c r="E475" s="27">
        <f ca="1">IFERROR(__xludf.DUMMYFUNCTION("""COMPUTED_VALUE"""),17.94840028493)</f>
        <v>17.948400284929999</v>
      </c>
      <c r="F475" s="27">
        <f ca="1">IFERROR(__xludf.DUMMYFUNCTION("""COMPUTED_VALUE"""),20.9394885865907)</f>
        <v>20.939488586590699</v>
      </c>
      <c r="G475" s="27">
        <f ca="1">IFERROR(__xludf.DUMMYFUNCTION("""COMPUTED_VALUE"""),22.4101114633805)</f>
        <v>22.410111463380499</v>
      </c>
      <c r="H475" s="27">
        <f ca="1">IFERROR(__xludf.DUMMYFUNCTION("""COMPUTED_VALUE"""),20.3357403221886)</f>
        <v>20.335740322188599</v>
      </c>
      <c r="I475" s="27">
        <f ca="1">IFERROR(__xludf.DUMMYFUNCTION("""COMPUTED_VALUE"""),24.5502326914021)</f>
        <v>24.550232691402101</v>
      </c>
      <c r="J475" s="27">
        <f ca="1">IFERROR(__xludf.DUMMYFUNCTION("""COMPUTED_VALUE"""),22.2604710396047)</f>
        <v>22.260471039604699</v>
      </c>
      <c r="K475" s="27">
        <f ca="1">IFERROR(__xludf.DUMMYFUNCTION("""COMPUTED_VALUE"""),31.0610649972656)</f>
        <v>31.0610649972656</v>
      </c>
      <c r="L475" s="27">
        <f ca="1">IFERROR(__xludf.DUMMYFUNCTION("""COMPUTED_VALUE"""),39.2652497304067)</f>
        <v>39.265249730406701</v>
      </c>
      <c r="M475" s="27">
        <f ca="1">IFERROR(__xludf.DUMMYFUNCTION("""COMPUTED_VALUE"""),54.8651334599561)</f>
        <v>54.865133459956098</v>
      </c>
      <c r="N475" s="27">
        <f ca="1">IFERROR(__xludf.DUMMYFUNCTION("""COMPUTED_VALUE"""),43.1431610759654)</f>
        <v>43.143161075965402</v>
      </c>
      <c r="O475" s="27">
        <f ca="1">IFERROR(__xludf.DUMMYFUNCTION("""COMPUTED_VALUE"""),43.9217004239648)</f>
        <v>43.921700423964801</v>
      </c>
      <c r="P475" s="27">
        <f ca="1">IFERROR(__xludf.DUMMYFUNCTION("""COMPUTED_VALUE"""),55.9785516839552)</f>
        <v>55.978551683955203</v>
      </c>
      <c r="Q475" s="28">
        <f ca="1">IFERROR(__xludf.DUMMYFUNCTION("""COMPUTED_VALUE"""),46.8299880719625)</f>
        <v>46.829988071962497</v>
      </c>
      <c r="R475" s="20"/>
    </row>
    <row r="476" spans="1:18" ht="13.2" hidden="1" outlineLevel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0"/>
    </row>
    <row r="477" spans="1:18" ht="13.2" collapsed="1" x14ac:dyDescent="0.25">
      <c r="A477" s="30"/>
      <c r="B477" s="5" t="str">
        <f ca="1">IFERROR(__xludf.DUMMYFUNCTION("""COMPUTED_VALUE"""),"CE.HI(e,a)")</f>
        <v>CE.HI(e,a)</v>
      </c>
      <c r="C477" s="6" t="str">
        <f ca="1">IFERROR(__xludf.DUMMYFUNCTION("""COMPUTED_VALUE"""),"-/+")</f>
        <v>-/+</v>
      </c>
      <c r="D477" s="7" t="str">
        <f ca="1">IFERROR(__xludf.DUMMYFUNCTION("""COMPUTED_VALUE"""),"Hidroeléctrica por energético e y año a.")</f>
        <v>Hidroeléctrica por energético e y año a.</v>
      </c>
      <c r="E477" s="6" t="str">
        <f ca="1">IFERROR(__xludf.DUMMYFUNCTION("""COMPUTED_VALUE"""),"cbne")</f>
        <v>cbne</v>
      </c>
      <c r="F477" s="6" t="str">
        <f ca="1">IFERROR(__xludf.DUMMYFUNCTION("""COMPUTED_VALUE"""),"a")</f>
        <v>a</v>
      </c>
      <c r="G477" s="8" t="str">
        <f ca="1">IFERROR(__xludf.DUMMYFUNCTION("""COMPUTED_VALUE"""),"PJ")</f>
        <v>PJ</v>
      </c>
      <c r="H477" s="9"/>
      <c r="I477" s="1"/>
      <c r="J477" s="1"/>
      <c r="K477" s="1"/>
      <c r="L477" s="1"/>
      <c r="M477" s="1"/>
      <c r="N477" s="1"/>
      <c r="O477" s="1"/>
      <c r="P477" s="1"/>
      <c r="Q477" s="1"/>
      <c r="R477" s="10"/>
    </row>
    <row r="478" spans="1:18" ht="13.2" hidden="1" outlineLevel="1" x14ac:dyDescent="0.25">
      <c r="A478" s="1"/>
      <c r="B478" s="11"/>
      <c r="C478" s="12">
        <f ca="1">IFERROR(__xludf.DUMMYFUNCTION("""COMPUTED_VALUE"""),2010)</f>
        <v>2010</v>
      </c>
      <c r="D478" s="13">
        <f ca="1">IFERROR(__xludf.DUMMYFUNCTION("""COMPUTED_VALUE"""),2011)</f>
        <v>2011</v>
      </c>
      <c r="E478" s="13">
        <f ca="1">IFERROR(__xludf.DUMMYFUNCTION("""COMPUTED_VALUE"""),2012)</f>
        <v>2012</v>
      </c>
      <c r="F478" s="13">
        <f ca="1">IFERROR(__xludf.DUMMYFUNCTION("""COMPUTED_VALUE"""),2013)</f>
        <v>2013</v>
      </c>
      <c r="G478" s="13">
        <f ca="1">IFERROR(__xludf.DUMMYFUNCTION("""COMPUTED_VALUE"""),2014)</f>
        <v>2014</v>
      </c>
      <c r="H478" s="13">
        <f ca="1">IFERROR(__xludf.DUMMYFUNCTION("""COMPUTED_VALUE"""),2015)</f>
        <v>2015</v>
      </c>
      <c r="I478" s="13">
        <f ca="1">IFERROR(__xludf.DUMMYFUNCTION("""COMPUTED_VALUE"""),2016)</f>
        <v>2016</v>
      </c>
      <c r="J478" s="13">
        <f ca="1">IFERROR(__xludf.DUMMYFUNCTION("""COMPUTED_VALUE"""),2017)</f>
        <v>2017</v>
      </c>
      <c r="K478" s="13">
        <f ca="1">IFERROR(__xludf.DUMMYFUNCTION("""COMPUTED_VALUE"""),2018)</f>
        <v>2018</v>
      </c>
      <c r="L478" s="13">
        <f ca="1">IFERROR(__xludf.DUMMYFUNCTION("""COMPUTED_VALUE"""),2019)</f>
        <v>2019</v>
      </c>
      <c r="M478" s="13">
        <f ca="1">IFERROR(__xludf.DUMMYFUNCTION("""COMPUTED_VALUE"""),2020)</f>
        <v>2020</v>
      </c>
      <c r="N478" s="13">
        <f ca="1">IFERROR(__xludf.DUMMYFUNCTION("""COMPUTED_VALUE"""),2021)</f>
        <v>2021</v>
      </c>
      <c r="O478" s="13">
        <f ca="1">IFERROR(__xludf.DUMMYFUNCTION("""COMPUTED_VALUE"""),2022)</f>
        <v>2022</v>
      </c>
      <c r="P478" s="13">
        <f ca="1">IFERROR(__xludf.DUMMYFUNCTION("""COMPUTED_VALUE"""),2023)</f>
        <v>2023</v>
      </c>
      <c r="Q478" s="14">
        <f ca="1">IFERROR(__xludf.DUMMYFUNCTION("""COMPUTED_VALUE"""),2024)</f>
        <v>2024</v>
      </c>
      <c r="R478" s="15"/>
    </row>
    <row r="479" spans="1:18" ht="13.2" hidden="1" outlineLevel="1" x14ac:dyDescent="0.25">
      <c r="A479" s="1"/>
      <c r="B479" s="16" t="str">
        <f ca="1">IFERROR(__xludf.DUMMYFUNCTION("""COMPUTED_VALUE"""),"Carbón mineral")</f>
        <v>Carbón mineral</v>
      </c>
      <c r="C479" s="17">
        <f ca="1">IFERROR(__xludf.DUMMYFUNCTION("""COMPUTED_VALUE"""),0)</f>
        <v>0</v>
      </c>
      <c r="D479" s="18">
        <f ca="1">IFERROR(__xludf.DUMMYFUNCTION("""COMPUTED_VALUE"""),0)</f>
        <v>0</v>
      </c>
      <c r="E479" s="18">
        <f ca="1">IFERROR(__xludf.DUMMYFUNCTION("""COMPUTED_VALUE"""),0)</f>
        <v>0</v>
      </c>
      <c r="F479" s="18">
        <f ca="1">IFERROR(__xludf.DUMMYFUNCTION("""COMPUTED_VALUE"""),0)</f>
        <v>0</v>
      </c>
      <c r="G479" s="18">
        <f ca="1">IFERROR(__xludf.DUMMYFUNCTION("""COMPUTED_VALUE"""),0)</f>
        <v>0</v>
      </c>
      <c r="H479" s="18">
        <f ca="1">IFERROR(__xludf.DUMMYFUNCTION("""COMPUTED_VALUE"""),0)</f>
        <v>0</v>
      </c>
      <c r="I479" s="18">
        <f ca="1">IFERROR(__xludf.DUMMYFUNCTION("""COMPUTED_VALUE"""),0)</f>
        <v>0</v>
      </c>
      <c r="J479" s="18">
        <f ca="1">IFERROR(__xludf.DUMMYFUNCTION("""COMPUTED_VALUE"""),0)</f>
        <v>0</v>
      </c>
      <c r="K479" s="18">
        <f ca="1">IFERROR(__xludf.DUMMYFUNCTION("""COMPUTED_VALUE"""),0)</f>
        <v>0</v>
      </c>
      <c r="L479" s="18">
        <f ca="1">IFERROR(__xludf.DUMMYFUNCTION("""COMPUTED_VALUE"""),0)</f>
        <v>0</v>
      </c>
      <c r="M479" s="18">
        <f ca="1">IFERROR(__xludf.DUMMYFUNCTION("""COMPUTED_VALUE"""),0)</f>
        <v>0</v>
      </c>
      <c r="N479" s="18">
        <f ca="1">IFERROR(__xludf.DUMMYFUNCTION("""COMPUTED_VALUE"""),0)</f>
        <v>0</v>
      </c>
      <c r="O479" s="18">
        <f ca="1">IFERROR(__xludf.DUMMYFUNCTION("""COMPUTED_VALUE"""),0)</f>
        <v>0</v>
      </c>
      <c r="P479" s="18">
        <f ca="1">IFERROR(__xludf.DUMMYFUNCTION("""COMPUTED_VALUE"""),0)</f>
        <v>0</v>
      </c>
      <c r="Q479" s="19">
        <f ca="1">IFERROR(__xludf.DUMMYFUNCTION("""COMPUTED_VALUE"""),0)</f>
        <v>0</v>
      </c>
      <c r="R479" s="20"/>
    </row>
    <row r="480" spans="1:18" ht="13.2" hidden="1" outlineLevel="1" x14ac:dyDescent="0.25">
      <c r="A480" s="1"/>
      <c r="B480" s="21" t="str">
        <f ca="1">IFERROR(__xludf.DUMMYFUNCTION("""COMPUTED_VALUE"""),"Petróleo crudo")</f>
        <v>Petróleo crudo</v>
      </c>
      <c r="C480" s="22">
        <f ca="1">IFERROR(__xludf.DUMMYFUNCTION("""COMPUTED_VALUE"""),0)</f>
        <v>0</v>
      </c>
      <c r="D480" s="23">
        <f ca="1">IFERROR(__xludf.DUMMYFUNCTION("""COMPUTED_VALUE"""),0)</f>
        <v>0</v>
      </c>
      <c r="E480" s="23">
        <f ca="1">IFERROR(__xludf.DUMMYFUNCTION("""COMPUTED_VALUE"""),0)</f>
        <v>0</v>
      </c>
      <c r="F480" s="23">
        <f ca="1">IFERROR(__xludf.DUMMYFUNCTION("""COMPUTED_VALUE"""),0)</f>
        <v>0</v>
      </c>
      <c r="G480" s="23">
        <f ca="1">IFERROR(__xludf.DUMMYFUNCTION("""COMPUTED_VALUE"""),0)</f>
        <v>0</v>
      </c>
      <c r="H480" s="23">
        <f ca="1">IFERROR(__xludf.DUMMYFUNCTION("""COMPUTED_VALUE"""),0)</f>
        <v>0</v>
      </c>
      <c r="I480" s="23">
        <f ca="1">IFERROR(__xludf.DUMMYFUNCTION("""COMPUTED_VALUE"""),0)</f>
        <v>0</v>
      </c>
      <c r="J480" s="23">
        <f ca="1">IFERROR(__xludf.DUMMYFUNCTION("""COMPUTED_VALUE"""),0)</f>
        <v>0</v>
      </c>
      <c r="K480" s="23">
        <f ca="1">IFERROR(__xludf.DUMMYFUNCTION("""COMPUTED_VALUE"""),0)</f>
        <v>0</v>
      </c>
      <c r="L480" s="23">
        <f ca="1">IFERROR(__xludf.DUMMYFUNCTION("""COMPUTED_VALUE"""),0)</f>
        <v>0</v>
      </c>
      <c r="M480" s="23">
        <f ca="1">IFERROR(__xludf.DUMMYFUNCTION("""COMPUTED_VALUE"""),0)</f>
        <v>0</v>
      </c>
      <c r="N480" s="23">
        <f ca="1">IFERROR(__xludf.DUMMYFUNCTION("""COMPUTED_VALUE"""),0)</f>
        <v>0</v>
      </c>
      <c r="O480" s="23">
        <f ca="1">IFERROR(__xludf.DUMMYFUNCTION("""COMPUTED_VALUE"""),0)</f>
        <v>0</v>
      </c>
      <c r="P480" s="23">
        <f ca="1">IFERROR(__xludf.DUMMYFUNCTION("""COMPUTED_VALUE"""),0)</f>
        <v>0</v>
      </c>
      <c r="Q480" s="24">
        <f ca="1">IFERROR(__xludf.DUMMYFUNCTION("""COMPUTED_VALUE"""),0)</f>
        <v>0</v>
      </c>
      <c r="R480" s="20"/>
    </row>
    <row r="481" spans="1:18" ht="13.2" hidden="1" outlineLevel="1" x14ac:dyDescent="0.25">
      <c r="A481" s="1"/>
      <c r="B481" s="21" t="str">
        <f ca="1">IFERROR(__xludf.DUMMYFUNCTION("""COMPUTED_VALUE"""),"Condensados")</f>
        <v>Condensados</v>
      </c>
      <c r="C481" s="22">
        <f ca="1">IFERROR(__xludf.DUMMYFUNCTION("""COMPUTED_VALUE"""),0)</f>
        <v>0</v>
      </c>
      <c r="D481" s="23">
        <f ca="1">IFERROR(__xludf.DUMMYFUNCTION("""COMPUTED_VALUE"""),0)</f>
        <v>0</v>
      </c>
      <c r="E481" s="23">
        <f ca="1">IFERROR(__xludf.DUMMYFUNCTION("""COMPUTED_VALUE"""),0)</f>
        <v>0</v>
      </c>
      <c r="F481" s="23">
        <f ca="1">IFERROR(__xludf.DUMMYFUNCTION("""COMPUTED_VALUE"""),0)</f>
        <v>0</v>
      </c>
      <c r="G481" s="23">
        <f ca="1">IFERROR(__xludf.DUMMYFUNCTION("""COMPUTED_VALUE"""),0)</f>
        <v>0</v>
      </c>
      <c r="H481" s="23">
        <f ca="1">IFERROR(__xludf.DUMMYFUNCTION("""COMPUTED_VALUE"""),0)</f>
        <v>0</v>
      </c>
      <c r="I481" s="23">
        <f ca="1">IFERROR(__xludf.DUMMYFUNCTION("""COMPUTED_VALUE"""),0)</f>
        <v>0</v>
      </c>
      <c r="J481" s="23">
        <f ca="1">IFERROR(__xludf.DUMMYFUNCTION("""COMPUTED_VALUE"""),0)</f>
        <v>0</v>
      </c>
      <c r="K481" s="23">
        <f ca="1">IFERROR(__xludf.DUMMYFUNCTION("""COMPUTED_VALUE"""),0)</f>
        <v>0</v>
      </c>
      <c r="L481" s="23">
        <f ca="1">IFERROR(__xludf.DUMMYFUNCTION("""COMPUTED_VALUE"""),0)</f>
        <v>0</v>
      </c>
      <c r="M481" s="23">
        <f ca="1">IFERROR(__xludf.DUMMYFUNCTION("""COMPUTED_VALUE"""),0)</f>
        <v>0</v>
      </c>
      <c r="N481" s="23">
        <f ca="1">IFERROR(__xludf.DUMMYFUNCTION("""COMPUTED_VALUE"""),0)</f>
        <v>0</v>
      </c>
      <c r="O481" s="23">
        <f ca="1">IFERROR(__xludf.DUMMYFUNCTION("""COMPUTED_VALUE"""),0)</f>
        <v>0</v>
      </c>
      <c r="P481" s="23">
        <f ca="1">IFERROR(__xludf.DUMMYFUNCTION("""COMPUTED_VALUE"""),0)</f>
        <v>0</v>
      </c>
      <c r="Q481" s="24">
        <f ca="1">IFERROR(__xludf.DUMMYFUNCTION("""COMPUTED_VALUE"""),0)</f>
        <v>0</v>
      </c>
      <c r="R481" s="20"/>
    </row>
    <row r="482" spans="1:18" ht="13.2" hidden="1" outlineLevel="1" x14ac:dyDescent="0.25">
      <c r="A482" s="1"/>
      <c r="B482" s="21" t="str">
        <f ca="1">IFERROR(__xludf.DUMMYFUNCTION("""COMPUTED_VALUE"""),"Gas natural")</f>
        <v>Gas natural</v>
      </c>
      <c r="C482" s="22">
        <f ca="1">IFERROR(__xludf.DUMMYFUNCTION("""COMPUTED_VALUE"""),0)</f>
        <v>0</v>
      </c>
      <c r="D482" s="23">
        <f ca="1">IFERROR(__xludf.DUMMYFUNCTION("""COMPUTED_VALUE"""),0)</f>
        <v>0</v>
      </c>
      <c r="E482" s="23">
        <f ca="1">IFERROR(__xludf.DUMMYFUNCTION("""COMPUTED_VALUE"""),0)</f>
        <v>0</v>
      </c>
      <c r="F482" s="23">
        <f ca="1">IFERROR(__xludf.DUMMYFUNCTION("""COMPUTED_VALUE"""),0)</f>
        <v>0</v>
      </c>
      <c r="G482" s="23">
        <f ca="1">IFERROR(__xludf.DUMMYFUNCTION("""COMPUTED_VALUE"""),0)</f>
        <v>0</v>
      </c>
      <c r="H482" s="23">
        <f ca="1">IFERROR(__xludf.DUMMYFUNCTION("""COMPUTED_VALUE"""),0)</f>
        <v>0</v>
      </c>
      <c r="I482" s="23">
        <f ca="1">IFERROR(__xludf.DUMMYFUNCTION("""COMPUTED_VALUE"""),0)</f>
        <v>0</v>
      </c>
      <c r="J482" s="23">
        <f ca="1">IFERROR(__xludf.DUMMYFUNCTION("""COMPUTED_VALUE"""),0)</f>
        <v>0</v>
      </c>
      <c r="K482" s="23">
        <f ca="1">IFERROR(__xludf.DUMMYFUNCTION("""COMPUTED_VALUE"""),0)</f>
        <v>0</v>
      </c>
      <c r="L482" s="23">
        <f ca="1">IFERROR(__xludf.DUMMYFUNCTION("""COMPUTED_VALUE"""),0)</f>
        <v>0</v>
      </c>
      <c r="M482" s="23">
        <f ca="1">IFERROR(__xludf.DUMMYFUNCTION("""COMPUTED_VALUE"""),0)</f>
        <v>0</v>
      </c>
      <c r="N482" s="23">
        <f ca="1">IFERROR(__xludf.DUMMYFUNCTION("""COMPUTED_VALUE"""),0)</f>
        <v>0</v>
      </c>
      <c r="O482" s="23">
        <f ca="1">IFERROR(__xludf.DUMMYFUNCTION("""COMPUTED_VALUE"""),0)</f>
        <v>0</v>
      </c>
      <c r="P482" s="23">
        <f ca="1">IFERROR(__xludf.DUMMYFUNCTION("""COMPUTED_VALUE"""),0)</f>
        <v>0</v>
      </c>
      <c r="Q482" s="24">
        <f ca="1">IFERROR(__xludf.DUMMYFUNCTION("""COMPUTED_VALUE"""),0)</f>
        <v>0</v>
      </c>
      <c r="R482" s="20"/>
    </row>
    <row r="483" spans="1:18" ht="13.2" hidden="1" outlineLevel="1" x14ac:dyDescent="0.25">
      <c r="A483" s="1"/>
      <c r="B483" s="21" t="str">
        <f ca="1">IFERROR(__xludf.DUMMYFUNCTION("""COMPUTED_VALUE"""),"Energía Nuclear")</f>
        <v>Energía Nuclear</v>
      </c>
      <c r="C483" s="22">
        <f ca="1">IFERROR(__xludf.DUMMYFUNCTION("""COMPUTED_VALUE"""),0)</f>
        <v>0</v>
      </c>
      <c r="D483" s="23">
        <f ca="1">IFERROR(__xludf.DUMMYFUNCTION("""COMPUTED_VALUE"""),0)</f>
        <v>0</v>
      </c>
      <c r="E483" s="23">
        <f ca="1">IFERROR(__xludf.DUMMYFUNCTION("""COMPUTED_VALUE"""),0)</f>
        <v>0</v>
      </c>
      <c r="F483" s="23">
        <f ca="1">IFERROR(__xludf.DUMMYFUNCTION("""COMPUTED_VALUE"""),0)</f>
        <v>0</v>
      </c>
      <c r="G483" s="23">
        <f ca="1">IFERROR(__xludf.DUMMYFUNCTION("""COMPUTED_VALUE"""),0)</f>
        <v>0</v>
      </c>
      <c r="H483" s="23">
        <f ca="1">IFERROR(__xludf.DUMMYFUNCTION("""COMPUTED_VALUE"""),0)</f>
        <v>0</v>
      </c>
      <c r="I483" s="23">
        <f ca="1">IFERROR(__xludf.DUMMYFUNCTION("""COMPUTED_VALUE"""),0)</f>
        <v>0</v>
      </c>
      <c r="J483" s="23">
        <f ca="1">IFERROR(__xludf.DUMMYFUNCTION("""COMPUTED_VALUE"""),0)</f>
        <v>0</v>
      </c>
      <c r="K483" s="23">
        <f ca="1">IFERROR(__xludf.DUMMYFUNCTION("""COMPUTED_VALUE"""),0)</f>
        <v>0</v>
      </c>
      <c r="L483" s="23">
        <f ca="1">IFERROR(__xludf.DUMMYFUNCTION("""COMPUTED_VALUE"""),0)</f>
        <v>0</v>
      </c>
      <c r="M483" s="23">
        <f ca="1">IFERROR(__xludf.DUMMYFUNCTION("""COMPUTED_VALUE"""),0)</f>
        <v>0</v>
      </c>
      <c r="N483" s="23">
        <f ca="1">IFERROR(__xludf.DUMMYFUNCTION("""COMPUTED_VALUE"""),0)</f>
        <v>0</v>
      </c>
      <c r="O483" s="23">
        <f ca="1">IFERROR(__xludf.DUMMYFUNCTION("""COMPUTED_VALUE"""),0)</f>
        <v>0</v>
      </c>
      <c r="P483" s="23">
        <f ca="1">IFERROR(__xludf.DUMMYFUNCTION("""COMPUTED_VALUE"""),0)</f>
        <v>0</v>
      </c>
      <c r="Q483" s="24">
        <f ca="1">IFERROR(__xludf.DUMMYFUNCTION("""COMPUTED_VALUE"""),0)</f>
        <v>0</v>
      </c>
      <c r="R483" s="20"/>
    </row>
    <row r="484" spans="1:18" ht="13.2" hidden="1" outlineLevel="1" x14ac:dyDescent="0.25">
      <c r="A484" s="1"/>
      <c r="B484" s="21" t="str">
        <f ca="1">IFERROR(__xludf.DUMMYFUNCTION("""COMPUTED_VALUE"""),"Energia Hidraúlica")</f>
        <v>Energia Hidraúlica</v>
      </c>
      <c r="C484" s="22">
        <f ca="1">IFERROR(__xludf.DUMMYFUNCTION("""COMPUTED_VALUE"""),-140.650755235208)</f>
        <v>-140.65075523520801</v>
      </c>
      <c r="D484" s="23">
        <f ca="1">IFERROR(__xludf.DUMMYFUNCTION("""COMPUTED_VALUE"""),-136.794558672405)</f>
        <v>-136.794558672405</v>
      </c>
      <c r="E484" s="23">
        <f ca="1">IFERROR(__xludf.DUMMYFUNCTION("""COMPUTED_VALUE"""),-119.376356904078)</f>
        <v>-119.37635690407799</v>
      </c>
      <c r="F484" s="23">
        <f ca="1">IFERROR(__xludf.DUMMYFUNCTION("""COMPUTED_VALUE"""),-104.973810376497)</f>
        <v>-104.973810376497</v>
      </c>
      <c r="G484" s="23">
        <f ca="1">IFERROR(__xludf.DUMMYFUNCTION("""COMPUTED_VALUE"""),-143.244619898085)</f>
        <v>-143.24461989808501</v>
      </c>
      <c r="H484" s="23">
        <f ca="1">IFERROR(__xludf.DUMMYFUNCTION("""COMPUTED_VALUE"""),-113.841109573861)</f>
        <v>-113.841109573861</v>
      </c>
      <c r="I484" s="23">
        <f ca="1">IFERROR(__xludf.DUMMYFUNCTION("""COMPUTED_VALUE"""),-113.379393418838)</f>
        <v>-113.37939341883801</v>
      </c>
      <c r="J484" s="23">
        <f ca="1">IFERROR(__xludf.DUMMYFUNCTION("""COMPUTED_VALUE"""),-115.127888338328)</f>
        <v>-115.12788833832801</v>
      </c>
      <c r="K484" s="23">
        <f ca="1">IFERROR(__xludf.DUMMYFUNCTION("""COMPUTED_VALUE"""),-117.199476436479)</f>
        <v>-117.199476436479</v>
      </c>
      <c r="L484" s="23">
        <f ca="1">IFERROR(__xludf.DUMMYFUNCTION("""COMPUTED_VALUE"""),-85.7683544952812)</f>
        <v>-85.768354495281201</v>
      </c>
      <c r="M484" s="23">
        <f ca="1">IFERROR(__xludf.DUMMYFUNCTION("""COMPUTED_VALUE"""),-97.4546523269544)</f>
        <v>-97.454652326954402</v>
      </c>
      <c r="N484" s="23">
        <f ca="1">IFERROR(__xludf.DUMMYFUNCTION("""COMPUTED_VALUE"""),-126.117339304689)</f>
        <v>-126.117339304689</v>
      </c>
      <c r="O484" s="23">
        <f ca="1">IFERROR(__xludf.DUMMYFUNCTION("""COMPUTED_VALUE"""),-129.225569710392)</f>
        <v>-129.22556971039199</v>
      </c>
      <c r="P484" s="23">
        <f ca="1">IFERROR(__xludf.DUMMYFUNCTION("""COMPUTED_VALUE"""),-74.9299386156002)</f>
        <v>-74.929938615600193</v>
      </c>
      <c r="Q484" s="24">
        <f ca="1">IFERROR(__xludf.DUMMYFUNCTION("""COMPUTED_VALUE"""),-86.517832500333)</f>
        <v>-86.517832500333</v>
      </c>
      <c r="R484" s="20"/>
    </row>
    <row r="485" spans="1:18" ht="13.2" hidden="1" outlineLevel="1" x14ac:dyDescent="0.25">
      <c r="A485" s="1"/>
      <c r="B485" s="21" t="str">
        <f ca="1">IFERROR(__xludf.DUMMYFUNCTION("""COMPUTED_VALUE"""),"Geoenergía")</f>
        <v>Geoenergía</v>
      </c>
      <c r="C485" s="22">
        <f ca="1">IFERROR(__xludf.DUMMYFUNCTION("""COMPUTED_VALUE"""),0)</f>
        <v>0</v>
      </c>
      <c r="D485" s="23">
        <f ca="1">IFERROR(__xludf.DUMMYFUNCTION("""COMPUTED_VALUE"""),0)</f>
        <v>0</v>
      </c>
      <c r="E485" s="23">
        <f ca="1">IFERROR(__xludf.DUMMYFUNCTION("""COMPUTED_VALUE"""),0)</f>
        <v>0</v>
      </c>
      <c r="F485" s="23">
        <f ca="1">IFERROR(__xludf.DUMMYFUNCTION("""COMPUTED_VALUE"""),0)</f>
        <v>0</v>
      </c>
      <c r="G485" s="23">
        <f ca="1">IFERROR(__xludf.DUMMYFUNCTION("""COMPUTED_VALUE"""),0)</f>
        <v>0</v>
      </c>
      <c r="H485" s="23">
        <f ca="1">IFERROR(__xludf.DUMMYFUNCTION("""COMPUTED_VALUE"""),0)</f>
        <v>0</v>
      </c>
      <c r="I485" s="23">
        <f ca="1">IFERROR(__xludf.DUMMYFUNCTION("""COMPUTED_VALUE"""),0)</f>
        <v>0</v>
      </c>
      <c r="J485" s="23">
        <f ca="1">IFERROR(__xludf.DUMMYFUNCTION("""COMPUTED_VALUE"""),0)</f>
        <v>0</v>
      </c>
      <c r="K485" s="23">
        <f ca="1">IFERROR(__xludf.DUMMYFUNCTION("""COMPUTED_VALUE"""),0)</f>
        <v>0</v>
      </c>
      <c r="L485" s="23">
        <f ca="1">IFERROR(__xludf.DUMMYFUNCTION("""COMPUTED_VALUE"""),0)</f>
        <v>0</v>
      </c>
      <c r="M485" s="23">
        <f ca="1">IFERROR(__xludf.DUMMYFUNCTION("""COMPUTED_VALUE"""),0)</f>
        <v>0</v>
      </c>
      <c r="N485" s="23">
        <f ca="1">IFERROR(__xludf.DUMMYFUNCTION("""COMPUTED_VALUE"""),0)</f>
        <v>0</v>
      </c>
      <c r="O485" s="23">
        <f ca="1">IFERROR(__xludf.DUMMYFUNCTION("""COMPUTED_VALUE"""),0)</f>
        <v>0</v>
      </c>
      <c r="P485" s="23">
        <f ca="1">IFERROR(__xludf.DUMMYFUNCTION("""COMPUTED_VALUE"""),0)</f>
        <v>0</v>
      </c>
      <c r="Q485" s="24">
        <f ca="1">IFERROR(__xludf.DUMMYFUNCTION("""COMPUTED_VALUE"""),0)</f>
        <v>0</v>
      </c>
      <c r="R485" s="20"/>
    </row>
    <row r="486" spans="1:18" ht="13.2" hidden="1" outlineLevel="1" x14ac:dyDescent="0.25">
      <c r="A486" s="1"/>
      <c r="B486" s="21" t="str">
        <f ca="1">IFERROR(__xludf.DUMMYFUNCTION("""COMPUTED_VALUE"""),"Energía solar")</f>
        <v>Energía solar</v>
      </c>
      <c r="C486" s="22">
        <f ca="1">IFERROR(__xludf.DUMMYFUNCTION("""COMPUTED_VALUE"""),0)</f>
        <v>0</v>
      </c>
      <c r="D486" s="23">
        <f ca="1">IFERROR(__xludf.DUMMYFUNCTION("""COMPUTED_VALUE"""),0)</f>
        <v>0</v>
      </c>
      <c r="E486" s="23">
        <f ca="1">IFERROR(__xludf.DUMMYFUNCTION("""COMPUTED_VALUE"""),0)</f>
        <v>0</v>
      </c>
      <c r="F486" s="23">
        <f ca="1">IFERROR(__xludf.DUMMYFUNCTION("""COMPUTED_VALUE"""),0)</f>
        <v>0</v>
      </c>
      <c r="G486" s="23">
        <f ca="1">IFERROR(__xludf.DUMMYFUNCTION("""COMPUTED_VALUE"""),0)</f>
        <v>0</v>
      </c>
      <c r="H486" s="23">
        <f ca="1">IFERROR(__xludf.DUMMYFUNCTION("""COMPUTED_VALUE"""),0)</f>
        <v>0</v>
      </c>
      <c r="I486" s="23">
        <f ca="1">IFERROR(__xludf.DUMMYFUNCTION("""COMPUTED_VALUE"""),0)</f>
        <v>0</v>
      </c>
      <c r="J486" s="23">
        <f ca="1">IFERROR(__xludf.DUMMYFUNCTION("""COMPUTED_VALUE"""),0)</f>
        <v>0</v>
      </c>
      <c r="K486" s="23">
        <f ca="1">IFERROR(__xludf.DUMMYFUNCTION("""COMPUTED_VALUE"""),0)</f>
        <v>0</v>
      </c>
      <c r="L486" s="23">
        <f ca="1">IFERROR(__xludf.DUMMYFUNCTION("""COMPUTED_VALUE"""),0)</f>
        <v>0</v>
      </c>
      <c r="M486" s="23">
        <f ca="1">IFERROR(__xludf.DUMMYFUNCTION("""COMPUTED_VALUE"""),0)</f>
        <v>0</v>
      </c>
      <c r="N486" s="23">
        <f ca="1">IFERROR(__xludf.DUMMYFUNCTION("""COMPUTED_VALUE"""),0)</f>
        <v>0</v>
      </c>
      <c r="O486" s="23">
        <f ca="1">IFERROR(__xludf.DUMMYFUNCTION("""COMPUTED_VALUE"""),0)</f>
        <v>0</v>
      </c>
      <c r="P486" s="23">
        <f ca="1">IFERROR(__xludf.DUMMYFUNCTION("""COMPUTED_VALUE"""),0)</f>
        <v>0</v>
      </c>
      <c r="Q486" s="24">
        <f ca="1">IFERROR(__xludf.DUMMYFUNCTION("""COMPUTED_VALUE"""),0)</f>
        <v>0</v>
      </c>
      <c r="R486" s="20"/>
    </row>
    <row r="487" spans="1:18" ht="13.2" hidden="1" outlineLevel="1" x14ac:dyDescent="0.25">
      <c r="A487" s="1"/>
      <c r="B487" s="21" t="str">
        <f ca="1">IFERROR(__xludf.DUMMYFUNCTION("""COMPUTED_VALUE"""),"Energía eólica")</f>
        <v>Energía eólica</v>
      </c>
      <c r="C487" s="22">
        <f ca="1">IFERROR(__xludf.DUMMYFUNCTION("""COMPUTED_VALUE"""),0)</f>
        <v>0</v>
      </c>
      <c r="D487" s="23">
        <f ca="1">IFERROR(__xludf.DUMMYFUNCTION("""COMPUTED_VALUE"""),0)</f>
        <v>0</v>
      </c>
      <c r="E487" s="23">
        <f ca="1">IFERROR(__xludf.DUMMYFUNCTION("""COMPUTED_VALUE"""),0)</f>
        <v>0</v>
      </c>
      <c r="F487" s="23">
        <f ca="1">IFERROR(__xludf.DUMMYFUNCTION("""COMPUTED_VALUE"""),0)</f>
        <v>0</v>
      </c>
      <c r="G487" s="23">
        <f ca="1">IFERROR(__xludf.DUMMYFUNCTION("""COMPUTED_VALUE"""),0)</f>
        <v>0</v>
      </c>
      <c r="H487" s="23">
        <f ca="1">IFERROR(__xludf.DUMMYFUNCTION("""COMPUTED_VALUE"""),0)</f>
        <v>0</v>
      </c>
      <c r="I487" s="23">
        <f ca="1">IFERROR(__xludf.DUMMYFUNCTION("""COMPUTED_VALUE"""),0)</f>
        <v>0</v>
      </c>
      <c r="J487" s="23">
        <f ca="1">IFERROR(__xludf.DUMMYFUNCTION("""COMPUTED_VALUE"""),0)</f>
        <v>0</v>
      </c>
      <c r="K487" s="23">
        <f ca="1">IFERROR(__xludf.DUMMYFUNCTION("""COMPUTED_VALUE"""),0)</f>
        <v>0</v>
      </c>
      <c r="L487" s="23">
        <f ca="1">IFERROR(__xludf.DUMMYFUNCTION("""COMPUTED_VALUE"""),0)</f>
        <v>0</v>
      </c>
      <c r="M487" s="23">
        <f ca="1">IFERROR(__xludf.DUMMYFUNCTION("""COMPUTED_VALUE"""),0)</f>
        <v>0</v>
      </c>
      <c r="N487" s="23">
        <f ca="1">IFERROR(__xludf.DUMMYFUNCTION("""COMPUTED_VALUE"""),0)</f>
        <v>0</v>
      </c>
      <c r="O487" s="23">
        <f ca="1">IFERROR(__xludf.DUMMYFUNCTION("""COMPUTED_VALUE"""),0)</f>
        <v>0</v>
      </c>
      <c r="P487" s="23">
        <f ca="1">IFERROR(__xludf.DUMMYFUNCTION("""COMPUTED_VALUE"""),0)</f>
        <v>0</v>
      </c>
      <c r="Q487" s="24">
        <f ca="1">IFERROR(__xludf.DUMMYFUNCTION("""COMPUTED_VALUE"""),0)</f>
        <v>0</v>
      </c>
      <c r="R487" s="20"/>
    </row>
    <row r="488" spans="1:18" ht="13.2" hidden="1" outlineLevel="1" x14ac:dyDescent="0.25">
      <c r="A488" s="1"/>
      <c r="B488" s="21" t="str">
        <f ca="1">IFERROR(__xludf.DUMMYFUNCTION("""COMPUTED_VALUE"""),"Bagazo de caña")</f>
        <v>Bagazo de caña</v>
      </c>
      <c r="C488" s="22">
        <f ca="1">IFERROR(__xludf.DUMMYFUNCTION("""COMPUTED_VALUE"""),0)</f>
        <v>0</v>
      </c>
      <c r="D488" s="23">
        <f ca="1">IFERROR(__xludf.DUMMYFUNCTION("""COMPUTED_VALUE"""),0)</f>
        <v>0</v>
      </c>
      <c r="E488" s="23">
        <f ca="1">IFERROR(__xludf.DUMMYFUNCTION("""COMPUTED_VALUE"""),0)</f>
        <v>0</v>
      </c>
      <c r="F488" s="23">
        <f ca="1">IFERROR(__xludf.DUMMYFUNCTION("""COMPUTED_VALUE"""),0)</f>
        <v>0</v>
      </c>
      <c r="G488" s="23">
        <f ca="1">IFERROR(__xludf.DUMMYFUNCTION("""COMPUTED_VALUE"""),0)</f>
        <v>0</v>
      </c>
      <c r="H488" s="23">
        <f ca="1">IFERROR(__xludf.DUMMYFUNCTION("""COMPUTED_VALUE"""),0)</f>
        <v>0</v>
      </c>
      <c r="I488" s="23">
        <f ca="1">IFERROR(__xludf.DUMMYFUNCTION("""COMPUTED_VALUE"""),0)</f>
        <v>0</v>
      </c>
      <c r="J488" s="23">
        <f ca="1">IFERROR(__xludf.DUMMYFUNCTION("""COMPUTED_VALUE"""),0)</f>
        <v>0</v>
      </c>
      <c r="K488" s="23">
        <f ca="1">IFERROR(__xludf.DUMMYFUNCTION("""COMPUTED_VALUE"""),0)</f>
        <v>0</v>
      </c>
      <c r="L488" s="23">
        <f ca="1">IFERROR(__xludf.DUMMYFUNCTION("""COMPUTED_VALUE"""),0)</f>
        <v>0</v>
      </c>
      <c r="M488" s="23">
        <f ca="1">IFERROR(__xludf.DUMMYFUNCTION("""COMPUTED_VALUE"""),0)</f>
        <v>0</v>
      </c>
      <c r="N488" s="23">
        <f ca="1">IFERROR(__xludf.DUMMYFUNCTION("""COMPUTED_VALUE"""),0)</f>
        <v>0</v>
      </c>
      <c r="O488" s="23">
        <f ca="1">IFERROR(__xludf.DUMMYFUNCTION("""COMPUTED_VALUE"""),0)</f>
        <v>0</v>
      </c>
      <c r="P488" s="23">
        <f ca="1">IFERROR(__xludf.DUMMYFUNCTION("""COMPUTED_VALUE"""),0)</f>
        <v>0</v>
      </c>
      <c r="Q488" s="24">
        <f ca="1">IFERROR(__xludf.DUMMYFUNCTION("""COMPUTED_VALUE"""),0)</f>
        <v>0</v>
      </c>
      <c r="R488" s="20"/>
    </row>
    <row r="489" spans="1:18" ht="13.2" hidden="1" outlineLevel="1" x14ac:dyDescent="0.25">
      <c r="A489" s="1"/>
      <c r="B489" s="21" t="str">
        <f ca="1">IFERROR(__xludf.DUMMYFUNCTION("""COMPUTED_VALUE"""),"Leña")</f>
        <v>Leña</v>
      </c>
      <c r="C489" s="22">
        <f ca="1">IFERROR(__xludf.DUMMYFUNCTION("""COMPUTED_VALUE"""),0)</f>
        <v>0</v>
      </c>
      <c r="D489" s="23">
        <f ca="1">IFERROR(__xludf.DUMMYFUNCTION("""COMPUTED_VALUE"""),0)</f>
        <v>0</v>
      </c>
      <c r="E489" s="23">
        <f ca="1">IFERROR(__xludf.DUMMYFUNCTION("""COMPUTED_VALUE"""),0)</f>
        <v>0</v>
      </c>
      <c r="F489" s="23">
        <f ca="1">IFERROR(__xludf.DUMMYFUNCTION("""COMPUTED_VALUE"""),0)</f>
        <v>0</v>
      </c>
      <c r="G489" s="23">
        <f ca="1">IFERROR(__xludf.DUMMYFUNCTION("""COMPUTED_VALUE"""),0)</f>
        <v>0</v>
      </c>
      <c r="H489" s="23">
        <f ca="1">IFERROR(__xludf.DUMMYFUNCTION("""COMPUTED_VALUE"""),0)</f>
        <v>0</v>
      </c>
      <c r="I489" s="23">
        <f ca="1">IFERROR(__xludf.DUMMYFUNCTION("""COMPUTED_VALUE"""),0)</f>
        <v>0</v>
      </c>
      <c r="J489" s="23">
        <f ca="1">IFERROR(__xludf.DUMMYFUNCTION("""COMPUTED_VALUE"""),0)</f>
        <v>0</v>
      </c>
      <c r="K489" s="23">
        <f ca="1">IFERROR(__xludf.DUMMYFUNCTION("""COMPUTED_VALUE"""),0)</f>
        <v>0</v>
      </c>
      <c r="L489" s="23">
        <f ca="1">IFERROR(__xludf.DUMMYFUNCTION("""COMPUTED_VALUE"""),0)</f>
        <v>0</v>
      </c>
      <c r="M489" s="23">
        <f ca="1">IFERROR(__xludf.DUMMYFUNCTION("""COMPUTED_VALUE"""),0)</f>
        <v>0</v>
      </c>
      <c r="N489" s="23">
        <f ca="1">IFERROR(__xludf.DUMMYFUNCTION("""COMPUTED_VALUE"""),0)</f>
        <v>0</v>
      </c>
      <c r="O489" s="23">
        <f ca="1">IFERROR(__xludf.DUMMYFUNCTION("""COMPUTED_VALUE"""),0)</f>
        <v>0</v>
      </c>
      <c r="P489" s="23">
        <f ca="1">IFERROR(__xludf.DUMMYFUNCTION("""COMPUTED_VALUE"""),0)</f>
        <v>0</v>
      </c>
      <c r="Q489" s="24">
        <f ca="1">IFERROR(__xludf.DUMMYFUNCTION("""COMPUTED_VALUE"""),0)</f>
        <v>0</v>
      </c>
      <c r="R489" s="20"/>
    </row>
    <row r="490" spans="1:18" ht="13.2" hidden="1" outlineLevel="1" x14ac:dyDescent="0.25">
      <c r="A490" s="1"/>
      <c r="B490" s="21" t="str">
        <f ca="1">IFERROR(__xludf.DUMMYFUNCTION("""COMPUTED_VALUE"""),"Biogás")</f>
        <v>Biogás</v>
      </c>
      <c r="C490" s="22">
        <f ca="1">IFERROR(__xludf.DUMMYFUNCTION("""COMPUTED_VALUE"""),0)</f>
        <v>0</v>
      </c>
      <c r="D490" s="23">
        <f ca="1">IFERROR(__xludf.DUMMYFUNCTION("""COMPUTED_VALUE"""),0)</f>
        <v>0</v>
      </c>
      <c r="E490" s="23">
        <f ca="1">IFERROR(__xludf.DUMMYFUNCTION("""COMPUTED_VALUE"""),0)</f>
        <v>0</v>
      </c>
      <c r="F490" s="23">
        <f ca="1">IFERROR(__xludf.DUMMYFUNCTION("""COMPUTED_VALUE"""),0)</f>
        <v>0</v>
      </c>
      <c r="G490" s="23">
        <f ca="1">IFERROR(__xludf.DUMMYFUNCTION("""COMPUTED_VALUE"""),0)</f>
        <v>0</v>
      </c>
      <c r="H490" s="23">
        <f ca="1">IFERROR(__xludf.DUMMYFUNCTION("""COMPUTED_VALUE"""),0)</f>
        <v>0</v>
      </c>
      <c r="I490" s="23">
        <f ca="1">IFERROR(__xludf.DUMMYFUNCTION("""COMPUTED_VALUE"""),0)</f>
        <v>0</v>
      </c>
      <c r="J490" s="23">
        <f ca="1">IFERROR(__xludf.DUMMYFUNCTION("""COMPUTED_VALUE"""),0)</f>
        <v>0</v>
      </c>
      <c r="K490" s="23">
        <f ca="1">IFERROR(__xludf.DUMMYFUNCTION("""COMPUTED_VALUE"""),0)</f>
        <v>0</v>
      </c>
      <c r="L490" s="23">
        <f ca="1">IFERROR(__xludf.DUMMYFUNCTION("""COMPUTED_VALUE"""),0)</f>
        <v>0</v>
      </c>
      <c r="M490" s="23">
        <f ca="1">IFERROR(__xludf.DUMMYFUNCTION("""COMPUTED_VALUE"""),0)</f>
        <v>0</v>
      </c>
      <c r="N490" s="23">
        <f ca="1">IFERROR(__xludf.DUMMYFUNCTION("""COMPUTED_VALUE"""),0)</f>
        <v>0</v>
      </c>
      <c r="O490" s="23">
        <f ca="1">IFERROR(__xludf.DUMMYFUNCTION("""COMPUTED_VALUE"""),0)</f>
        <v>0</v>
      </c>
      <c r="P490" s="23">
        <f ca="1">IFERROR(__xludf.DUMMYFUNCTION("""COMPUTED_VALUE"""),0)</f>
        <v>0</v>
      </c>
      <c r="Q490" s="24">
        <f ca="1">IFERROR(__xludf.DUMMYFUNCTION("""COMPUTED_VALUE"""),0)</f>
        <v>0</v>
      </c>
      <c r="R490" s="20"/>
    </row>
    <row r="491" spans="1:18" ht="13.2" hidden="1" outlineLevel="1" x14ac:dyDescent="0.25">
      <c r="A491" s="1"/>
      <c r="B491" s="21" t="str">
        <f ca="1">IFERROR(__xludf.DUMMYFUNCTION("""COMPUTED_VALUE"""),"Coque de carbón")</f>
        <v>Coque de carbón</v>
      </c>
      <c r="C491" s="22">
        <f ca="1">IFERROR(__xludf.DUMMYFUNCTION("""COMPUTED_VALUE"""),0)</f>
        <v>0</v>
      </c>
      <c r="D491" s="23">
        <f ca="1">IFERROR(__xludf.DUMMYFUNCTION("""COMPUTED_VALUE"""),0)</f>
        <v>0</v>
      </c>
      <c r="E491" s="23">
        <f ca="1">IFERROR(__xludf.DUMMYFUNCTION("""COMPUTED_VALUE"""),0)</f>
        <v>0</v>
      </c>
      <c r="F491" s="23">
        <f ca="1">IFERROR(__xludf.DUMMYFUNCTION("""COMPUTED_VALUE"""),0)</f>
        <v>0</v>
      </c>
      <c r="G491" s="23">
        <f ca="1">IFERROR(__xludf.DUMMYFUNCTION("""COMPUTED_VALUE"""),0)</f>
        <v>0</v>
      </c>
      <c r="H491" s="23">
        <f ca="1">IFERROR(__xludf.DUMMYFUNCTION("""COMPUTED_VALUE"""),0)</f>
        <v>0</v>
      </c>
      <c r="I491" s="23">
        <f ca="1">IFERROR(__xludf.DUMMYFUNCTION("""COMPUTED_VALUE"""),0)</f>
        <v>0</v>
      </c>
      <c r="J491" s="23">
        <f ca="1">IFERROR(__xludf.DUMMYFUNCTION("""COMPUTED_VALUE"""),0)</f>
        <v>0</v>
      </c>
      <c r="K491" s="23">
        <f ca="1">IFERROR(__xludf.DUMMYFUNCTION("""COMPUTED_VALUE"""),0)</f>
        <v>0</v>
      </c>
      <c r="L491" s="23">
        <f ca="1">IFERROR(__xludf.DUMMYFUNCTION("""COMPUTED_VALUE"""),0)</f>
        <v>0</v>
      </c>
      <c r="M491" s="23">
        <f ca="1">IFERROR(__xludf.DUMMYFUNCTION("""COMPUTED_VALUE"""),0)</f>
        <v>0</v>
      </c>
      <c r="N491" s="23">
        <f ca="1">IFERROR(__xludf.DUMMYFUNCTION("""COMPUTED_VALUE"""),0)</f>
        <v>0</v>
      </c>
      <c r="O491" s="23">
        <f ca="1">IFERROR(__xludf.DUMMYFUNCTION("""COMPUTED_VALUE"""),0)</f>
        <v>0</v>
      </c>
      <c r="P491" s="23">
        <f ca="1">IFERROR(__xludf.DUMMYFUNCTION("""COMPUTED_VALUE"""),0)</f>
        <v>0</v>
      </c>
      <c r="Q491" s="24">
        <f ca="1">IFERROR(__xludf.DUMMYFUNCTION("""COMPUTED_VALUE"""),0)</f>
        <v>0</v>
      </c>
      <c r="R491" s="20"/>
    </row>
    <row r="492" spans="1:18" ht="13.2" hidden="1" outlineLevel="1" x14ac:dyDescent="0.25">
      <c r="A492" s="1"/>
      <c r="B492" s="21" t="str">
        <f ca="1">IFERROR(__xludf.DUMMYFUNCTION("""COMPUTED_VALUE"""),"Coque de petróleo")</f>
        <v>Coque de petróleo</v>
      </c>
      <c r="C492" s="22">
        <f ca="1">IFERROR(__xludf.DUMMYFUNCTION("""COMPUTED_VALUE"""),0)</f>
        <v>0</v>
      </c>
      <c r="D492" s="23">
        <f ca="1">IFERROR(__xludf.DUMMYFUNCTION("""COMPUTED_VALUE"""),0)</f>
        <v>0</v>
      </c>
      <c r="E492" s="23">
        <f ca="1">IFERROR(__xludf.DUMMYFUNCTION("""COMPUTED_VALUE"""),0)</f>
        <v>0</v>
      </c>
      <c r="F492" s="23">
        <f ca="1">IFERROR(__xludf.DUMMYFUNCTION("""COMPUTED_VALUE"""),0)</f>
        <v>0</v>
      </c>
      <c r="G492" s="23">
        <f ca="1">IFERROR(__xludf.DUMMYFUNCTION("""COMPUTED_VALUE"""),0)</f>
        <v>0</v>
      </c>
      <c r="H492" s="23">
        <f ca="1">IFERROR(__xludf.DUMMYFUNCTION("""COMPUTED_VALUE"""),0)</f>
        <v>0</v>
      </c>
      <c r="I492" s="23">
        <f ca="1">IFERROR(__xludf.DUMMYFUNCTION("""COMPUTED_VALUE"""),0)</f>
        <v>0</v>
      </c>
      <c r="J492" s="23">
        <f ca="1">IFERROR(__xludf.DUMMYFUNCTION("""COMPUTED_VALUE"""),0)</f>
        <v>0</v>
      </c>
      <c r="K492" s="23">
        <f ca="1">IFERROR(__xludf.DUMMYFUNCTION("""COMPUTED_VALUE"""),0)</f>
        <v>0</v>
      </c>
      <c r="L492" s="23">
        <f ca="1">IFERROR(__xludf.DUMMYFUNCTION("""COMPUTED_VALUE"""),0)</f>
        <v>0</v>
      </c>
      <c r="M492" s="23">
        <f ca="1">IFERROR(__xludf.DUMMYFUNCTION("""COMPUTED_VALUE"""),0)</f>
        <v>0</v>
      </c>
      <c r="N492" s="23">
        <f ca="1">IFERROR(__xludf.DUMMYFUNCTION("""COMPUTED_VALUE"""),0)</f>
        <v>0</v>
      </c>
      <c r="O492" s="23">
        <f ca="1">IFERROR(__xludf.DUMMYFUNCTION("""COMPUTED_VALUE"""),0)</f>
        <v>0</v>
      </c>
      <c r="P492" s="23">
        <f ca="1">IFERROR(__xludf.DUMMYFUNCTION("""COMPUTED_VALUE"""),0)</f>
        <v>0</v>
      </c>
      <c r="Q492" s="24">
        <f ca="1">IFERROR(__xludf.DUMMYFUNCTION("""COMPUTED_VALUE"""),0)</f>
        <v>0</v>
      </c>
      <c r="R492" s="20"/>
    </row>
    <row r="493" spans="1:18" ht="13.2" hidden="1" outlineLevel="1" x14ac:dyDescent="0.25">
      <c r="A493" s="1"/>
      <c r="B493" s="21" t="str">
        <f ca="1">IFERROR(__xludf.DUMMYFUNCTION("""COMPUTED_VALUE"""),"Gas licuado de petróleo")</f>
        <v>Gas licuado de petróleo</v>
      </c>
      <c r="C493" s="22">
        <f ca="1">IFERROR(__xludf.DUMMYFUNCTION("""COMPUTED_VALUE"""),0)</f>
        <v>0</v>
      </c>
      <c r="D493" s="23">
        <f ca="1">IFERROR(__xludf.DUMMYFUNCTION("""COMPUTED_VALUE"""),0)</f>
        <v>0</v>
      </c>
      <c r="E493" s="23">
        <f ca="1">IFERROR(__xludf.DUMMYFUNCTION("""COMPUTED_VALUE"""),0)</f>
        <v>0</v>
      </c>
      <c r="F493" s="23">
        <f ca="1">IFERROR(__xludf.DUMMYFUNCTION("""COMPUTED_VALUE"""),0)</f>
        <v>0</v>
      </c>
      <c r="G493" s="23">
        <f ca="1">IFERROR(__xludf.DUMMYFUNCTION("""COMPUTED_VALUE"""),0)</f>
        <v>0</v>
      </c>
      <c r="H493" s="23">
        <f ca="1">IFERROR(__xludf.DUMMYFUNCTION("""COMPUTED_VALUE"""),0)</f>
        <v>0</v>
      </c>
      <c r="I493" s="23">
        <f ca="1">IFERROR(__xludf.DUMMYFUNCTION("""COMPUTED_VALUE"""),0)</f>
        <v>0</v>
      </c>
      <c r="J493" s="23">
        <f ca="1">IFERROR(__xludf.DUMMYFUNCTION("""COMPUTED_VALUE"""),0)</f>
        <v>0</v>
      </c>
      <c r="K493" s="23">
        <f ca="1">IFERROR(__xludf.DUMMYFUNCTION("""COMPUTED_VALUE"""),0)</f>
        <v>0</v>
      </c>
      <c r="L493" s="23">
        <f ca="1">IFERROR(__xludf.DUMMYFUNCTION("""COMPUTED_VALUE"""),0)</f>
        <v>0</v>
      </c>
      <c r="M493" s="23">
        <f ca="1">IFERROR(__xludf.DUMMYFUNCTION("""COMPUTED_VALUE"""),0)</f>
        <v>0</v>
      </c>
      <c r="N493" s="23">
        <f ca="1">IFERROR(__xludf.DUMMYFUNCTION("""COMPUTED_VALUE"""),0)</f>
        <v>0</v>
      </c>
      <c r="O493" s="23">
        <f ca="1">IFERROR(__xludf.DUMMYFUNCTION("""COMPUTED_VALUE"""),0)</f>
        <v>0</v>
      </c>
      <c r="P493" s="23">
        <f ca="1">IFERROR(__xludf.DUMMYFUNCTION("""COMPUTED_VALUE"""),0)</f>
        <v>0</v>
      </c>
      <c r="Q493" s="24">
        <f ca="1">IFERROR(__xludf.DUMMYFUNCTION("""COMPUTED_VALUE"""),0)</f>
        <v>0</v>
      </c>
      <c r="R493" s="20"/>
    </row>
    <row r="494" spans="1:18" ht="13.2" hidden="1" outlineLevel="1" x14ac:dyDescent="0.25">
      <c r="A494" s="1"/>
      <c r="B494" s="21" t="str">
        <f ca="1">IFERROR(__xludf.DUMMYFUNCTION("""COMPUTED_VALUE"""),"Gasolinas y naftas")</f>
        <v>Gasolinas y naftas</v>
      </c>
      <c r="C494" s="22">
        <f ca="1">IFERROR(__xludf.DUMMYFUNCTION("""COMPUTED_VALUE"""),0)</f>
        <v>0</v>
      </c>
      <c r="D494" s="23">
        <f ca="1">IFERROR(__xludf.DUMMYFUNCTION("""COMPUTED_VALUE"""),0)</f>
        <v>0</v>
      </c>
      <c r="E494" s="23">
        <f ca="1">IFERROR(__xludf.DUMMYFUNCTION("""COMPUTED_VALUE"""),0)</f>
        <v>0</v>
      </c>
      <c r="F494" s="23">
        <f ca="1">IFERROR(__xludf.DUMMYFUNCTION("""COMPUTED_VALUE"""),0)</f>
        <v>0</v>
      </c>
      <c r="G494" s="23">
        <f ca="1">IFERROR(__xludf.DUMMYFUNCTION("""COMPUTED_VALUE"""),0)</f>
        <v>0</v>
      </c>
      <c r="H494" s="23">
        <f ca="1">IFERROR(__xludf.DUMMYFUNCTION("""COMPUTED_VALUE"""),0)</f>
        <v>0</v>
      </c>
      <c r="I494" s="23">
        <f ca="1">IFERROR(__xludf.DUMMYFUNCTION("""COMPUTED_VALUE"""),0)</f>
        <v>0</v>
      </c>
      <c r="J494" s="23">
        <f ca="1">IFERROR(__xludf.DUMMYFUNCTION("""COMPUTED_VALUE"""),0)</f>
        <v>0</v>
      </c>
      <c r="K494" s="23">
        <f ca="1">IFERROR(__xludf.DUMMYFUNCTION("""COMPUTED_VALUE"""),0)</f>
        <v>0</v>
      </c>
      <c r="L494" s="23">
        <f ca="1">IFERROR(__xludf.DUMMYFUNCTION("""COMPUTED_VALUE"""),0)</f>
        <v>0</v>
      </c>
      <c r="M494" s="23">
        <f ca="1">IFERROR(__xludf.DUMMYFUNCTION("""COMPUTED_VALUE"""),0)</f>
        <v>0</v>
      </c>
      <c r="N494" s="23">
        <f ca="1">IFERROR(__xludf.DUMMYFUNCTION("""COMPUTED_VALUE"""),0)</f>
        <v>0</v>
      </c>
      <c r="O494" s="23">
        <f ca="1">IFERROR(__xludf.DUMMYFUNCTION("""COMPUTED_VALUE"""),0)</f>
        <v>0</v>
      </c>
      <c r="P494" s="23">
        <f ca="1">IFERROR(__xludf.DUMMYFUNCTION("""COMPUTED_VALUE"""),0)</f>
        <v>0</v>
      </c>
      <c r="Q494" s="24">
        <f ca="1">IFERROR(__xludf.DUMMYFUNCTION("""COMPUTED_VALUE"""),0)</f>
        <v>0</v>
      </c>
      <c r="R494" s="20"/>
    </row>
    <row r="495" spans="1:18" ht="13.2" hidden="1" outlineLevel="1" x14ac:dyDescent="0.25">
      <c r="A495" s="1"/>
      <c r="B495" s="21" t="str">
        <f ca="1">IFERROR(__xludf.DUMMYFUNCTION("""COMPUTED_VALUE"""),"Querosenos")</f>
        <v>Querosenos</v>
      </c>
      <c r="C495" s="22">
        <f ca="1">IFERROR(__xludf.DUMMYFUNCTION("""COMPUTED_VALUE"""),0)</f>
        <v>0</v>
      </c>
      <c r="D495" s="23">
        <f ca="1">IFERROR(__xludf.DUMMYFUNCTION("""COMPUTED_VALUE"""),0)</f>
        <v>0</v>
      </c>
      <c r="E495" s="23">
        <f ca="1">IFERROR(__xludf.DUMMYFUNCTION("""COMPUTED_VALUE"""),0)</f>
        <v>0</v>
      </c>
      <c r="F495" s="23">
        <f ca="1">IFERROR(__xludf.DUMMYFUNCTION("""COMPUTED_VALUE"""),0)</f>
        <v>0</v>
      </c>
      <c r="G495" s="23">
        <f ca="1">IFERROR(__xludf.DUMMYFUNCTION("""COMPUTED_VALUE"""),0)</f>
        <v>0</v>
      </c>
      <c r="H495" s="23">
        <f ca="1">IFERROR(__xludf.DUMMYFUNCTION("""COMPUTED_VALUE"""),0)</f>
        <v>0</v>
      </c>
      <c r="I495" s="23">
        <f ca="1">IFERROR(__xludf.DUMMYFUNCTION("""COMPUTED_VALUE"""),0)</f>
        <v>0</v>
      </c>
      <c r="J495" s="23">
        <f ca="1">IFERROR(__xludf.DUMMYFUNCTION("""COMPUTED_VALUE"""),0)</f>
        <v>0</v>
      </c>
      <c r="K495" s="23">
        <f ca="1">IFERROR(__xludf.DUMMYFUNCTION("""COMPUTED_VALUE"""),0)</f>
        <v>0</v>
      </c>
      <c r="L495" s="23">
        <f ca="1">IFERROR(__xludf.DUMMYFUNCTION("""COMPUTED_VALUE"""),0)</f>
        <v>0</v>
      </c>
      <c r="M495" s="23">
        <f ca="1">IFERROR(__xludf.DUMMYFUNCTION("""COMPUTED_VALUE"""),0)</f>
        <v>0</v>
      </c>
      <c r="N495" s="23">
        <f ca="1">IFERROR(__xludf.DUMMYFUNCTION("""COMPUTED_VALUE"""),0)</f>
        <v>0</v>
      </c>
      <c r="O495" s="23">
        <f ca="1">IFERROR(__xludf.DUMMYFUNCTION("""COMPUTED_VALUE"""),0)</f>
        <v>0</v>
      </c>
      <c r="P495" s="23">
        <f ca="1">IFERROR(__xludf.DUMMYFUNCTION("""COMPUTED_VALUE"""),0)</f>
        <v>0</v>
      </c>
      <c r="Q495" s="24">
        <f ca="1">IFERROR(__xludf.DUMMYFUNCTION("""COMPUTED_VALUE"""),0)</f>
        <v>0</v>
      </c>
      <c r="R495" s="20"/>
    </row>
    <row r="496" spans="1:18" ht="13.2" hidden="1" outlineLevel="1" x14ac:dyDescent="0.25">
      <c r="A496" s="1"/>
      <c r="B496" s="21" t="str">
        <f ca="1">IFERROR(__xludf.DUMMYFUNCTION("""COMPUTED_VALUE"""),"Diesel")</f>
        <v>Diesel</v>
      </c>
      <c r="C496" s="22">
        <f ca="1">IFERROR(__xludf.DUMMYFUNCTION("""COMPUTED_VALUE"""),0)</f>
        <v>0</v>
      </c>
      <c r="D496" s="23">
        <f ca="1">IFERROR(__xludf.DUMMYFUNCTION("""COMPUTED_VALUE"""),0)</f>
        <v>0</v>
      </c>
      <c r="E496" s="23">
        <f ca="1">IFERROR(__xludf.DUMMYFUNCTION("""COMPUTED_VALUE"""),0)</f>
        <v>0</v>
      </c>
      <c r="F496" s="23">
        <f ca="1">IFERROR(__xludf.DUMMYFUNCTION("""COMPUTED_VALUE"""),0)</f>
        <v>0</v>
      </c>
      <c r="G496" s="23">
        <f ca="1">IFERROR(__xludf.DUMMYFUNCTION("""COMPUTED_VALUE"""),0)</f>
        <v>0</v>
      </c>
      <c r="H496" s="23">
        <f ca="1">IFERROR(__xludf.DUMMYFUNCTION("""COMPUTED_VALUE"""),0)</f>
        <v>0</v>
      </c>
      <c r="I496" s="23">
        <f ca="1">IFERROR(__xludf.DUMMYFUNCTION("""COMPUTED_VALUE"""),0)</f>
        <v>0</v>
      </c>
      <c r="J496" s="23">
        <f ca="1">IFERROR(__xludf.DUMMYFUNCTION("""COMPUTED_VALUE"""),0)</f>
        <v>0</v>
      </c>
      <c r="K496" s="23">
        <f ca="1">IFERROR(__xludf.DUMMYFUNCTION("""COMPUTED_VALUE"""),0)</f>
        <v>0</v>
      </c>
      <c r="L496" s="23">
        <f ca="1">IFERROR(__xludf.DUMMYFUNCTION("""COMPUTED_VALUE"""),0)</f>
        <v>0</v>
      </c>
      <c r="M496" s="23">
        <f ca="1">IFERROR(__xludf.DUMMYFUNCTION("""COMPUTED_VALUE"""),0)</f>
        <v>0</v>
      </c>
      <c r="N496" s="23">
        <f ca="1">IFERROR(__xludf.DUMMYFUNCTION("""COMPUTED_VALUE"""),0)</f>
        <v>0</v>
      </c>
      <c r="O496" s="23">
        <f ca="1">IFERROR(__xludf.DUMMYFUNCTION("""COMPUTED_VALUE"""),0)</f>
        <v>0</v>
      </c>
      <c r="P496" s="23">
        <f ca="1">IFERROR(__xludf.DUMMYFUNCTION("""COMPUTED_VALUE"""),0)</f>
        <v>0</v>
      </c>
      <c r="Q496" s="24">
        <f ca="1">IFERROR(__xludf.DUMMYFUNCTION("""COMPUTED_VALUE"""),0)</f>
        <v>0</v>
      </c>
      <c r="R496" s="20"/>
    </row>
    <row r="497" spans="1:18" ht="13.2" hidden="1" outlineLevel="1" x14ac:dyDescent="0.25">
      <c r="A497" s="1"/>
      <c r="B497" s="21" t="str">
        <f ca="1">IFERROR(__xludf.DUMMYFUNCTION("""COMPUTED_VALUE"""),"Combustóleo")</f>
        <v>Combustóleo</v>
      </c>
      <c r="C497" s="22">
        <f ca="1">IFERROR(__xludf.DUMMYFUNCTION("""COMPUTED_VALUE"""),0)</f>
        <v>0</v>
      </c>
      <c r="D497" s="23">
        <f ca="1">IFERROR(__xludf.DUMMYFUNCTION("""COMPUTED_VALUE"""),0)</f>
        <v>0</v>
      </c>
      <c r="E497" s="23">
        <f ca="1">IFERROR(__xludf.DUMMYFUNCTION("""COMPUTED_VALUE"""),0)</f>
        <v>0</v>
      </c>
      <c r="F497" s="23">
        <f ca="1">IFERROR(__xludf.DUMMYFUNCTION("""COMPUTED_VALUE"""),0)</f>
        <v>0</v>
      </c>
      <c r="G497" s="23">
        <f ca="1">IFERROR(__xludf.DUMMYFUNCTION("""COMPUTED_VALUE"""),0)</f>
        <v>0</v>
      </c>
      <c r="H497" s="23">
        <f ca="1">IFERROR(__xludf.DUMMYFUNCTION("""COMPUTED_VALUE"""),0)</f>
        <v>0</v>
      </c>
      <c r="I497" s="23">
        <f ca="1">IFERROR(__xludf.DUMMYFUNCTION("""COMPUTED_VALUE"""),0)</f>
        <v>0</v>
      </c>
      <c r="J497" s="23">
        <f ca="1">IFERROR(__xludf.DUMMYFUNCTION("""COMPUTED_VALUE"""),0)</f>
        <v>0</v>
      </c>
      <c r="K497" s="23">
        <f ca="1">IFERROR(__xludf.DUMMYFUNCTION("""COMPUTED_VALUE"""),0)</f>
        <v>0</v>
      </c>
      <c r="L497" s="23">
        <f ca="1">IFERROR(__xludf.DUMMYFUNCTION("""COMPUTED_VALUE"""),0)</f>
        <v>0</v>
      </c>
      <c r="M497" s="23">
        <f ca="1">IFERROR(__xludf.DUMMYFUNCTION("""COMPUTED_VALUE"""),0)</f>
        <v>0</v>
      </c>
      <c r="N497" s="23">
        <f ca="1">IFERROR(__xludf.DUMMYFUNCTION("""COMPUTED_VALUE"""),0)</f>
        <v>0</v>
      </c>
      <c r="O497" s="23">
        <f ca="1">IFERROR(__xludf.DUMMYFUNCTION("""COMPUTED_VALUE"""),0)</f>
        <v>0</v>
      </c>
      <c r="P497" s="23">
        <f ca="1">IFERROR(__xludf.DUMMYFUNCTION("""COMPUTED_VALUE"""),0)</f>
        <v>0</v>
      </c>
      <c r="Q497" s="24">
        <f ca="1">IFERROR(__xludf.DUMMYFUNCTION("""COMPUTED_VALUE"""),0)</f>
        <v>0</v>
      </c>
      <c r="R497" s="20"/>
    </row>
    <row r="498" spans="1:18" ht="13.2" hidden="1" outlineLevel="1" x14ac:dyDescent="0.25">
      <c r="A498" s="1"/>
      <c r="B498" s="21" t="str">
        <f ca="1">IFERROR(__xludf.DUMMYFUNCTION("""COMPUTED_VALUE"""),"Otros energéticos")</f>
        <v>Otros energéticos</v>
      </c>
      <c r="C498" s="22">
        <f ca="1">IFERROR(__xludf.DUMMYFUNCTION("""COMPUTED_VALUE"""),0)</f>
        <v>0</v>
      </c>
      <c r="D498" s="23">
        <f ca="1">IFERROR(__xludf.DUMMYFUNCTION("""COMPUTED_VALUE"""),0)</f>
        <v>0</v>
      </c>
      <c r="E498" s="23">
        <f ca="1">IFERROR(__xludf.DUMMYFUNCTION("""COMPUTED_VALUE"""),0)</f>
        <v>0</v>
      </c>
      <c r="F498" s="23">
        <f ca="1">IFERROR(__xludf.DUMMYFUNCTION("""COMPUTED_VALUE"""),0)</f>
        <v>0</v>
      </c>
      <c r="G498" s="23">
        <f ca="1">IFERROR(__xludf.DUMMYFUNCTION("""COMPUTED_VALUE"""),0)</f>
        <v>0</v>
      </c>
      <c r="H498" s="23">
        <f ca="1">IFERROR(__xludf.DUMMYFUNCTION("""COMPUTED_VALUE"""),0)</f>
        <v>0</v>
      </c>
      <c r="I498" s="23">
        <f ca="1">IFERROR(__xludf.DUMMYFUNCTION("""COMPUTED_VALUE"""),0)</f>
        <v>0</v>
      </c>
      <c r="J498" s="23">
        <f ca="1">IFERROR(__xludf.DUMMYFUNCTION("""COMPUTED_VALUE"""),0)</f>
        <v>0</v>
      </c>
      <c r="K498" s="23">
        <f ca="1">IFERROR(__xludf.DUMMYFUNCTION("""COMPUTED_VALUE"""),0)</f>
        <v>0</v>
      </c>
      <c r="L498" s="23">
        <f ca="1">IFERROR(__xludf.DUMMYFUNCTION("""COMPUTED_VALUE"""),0)</f>
        <v>0</v>
      </c>
      <c r="M498" s="23">
        <f ca="1">IFERROR(__xludf.DUMMYFUNCTION("""COMPUTED_VALUE"""),0)</f>
        <v>0</v>
      </c>
      <c r="N498" s="23">
        <f ca="1">IFERROR(__xludf.DUMMYFUNCTION("""COMPUTED_VALUE"""),0)</f>
        <v>0</v>
      </c>
      <c r="O498" s="23">
        <f ca="1">IFERROR(__xludf.DUMMYFUNCTION("""COMPUTED_VALUE"""),0)</f>
        <v>0</v>
      </c>
      <c r="P498" s="23">
        <f ca="1">IFERROR(__xludf.DUMMYFUNCTION("""COMPUTED_VALUE"""),0)</f>
        <v>0</v>
      </c>
      <c r="Q498" s="24">
        <f ca="1">IFERROR(__xludf.DUMMYFUNCTION("""COMPUTED_VALUE"""),0)</f>
        <v>0</v>
      </c>
      <c r="R498" s="20"/>
    </row>
    <row r="499" spans="1:18" ht="13.2" hidden="1" outlineLevel="1" x14ac:dyDescent="0.25">
      <c r="A499" s="1"/>
      <c r="B499" s="21" t="str">
        <f ca="1">IFERROR(__xludf.DUMMYFUNCTION("""COMPUTED_VALUE"""),"Gas natural seco")</f>
        <v>Gas natural seco</v>
      </c>
      <c r="C499" s="22">
        <f ca="1">IFERROR(__xludf.DUMMYFUNCTION("""COMPUTED_VALUE"""),0)</f>
        <v>0</v>
      </c>
      <c r="D499" s="23">
        <f ca="1">IFERROR(__xludf.DUMMYFUNCTION("""COMPUTED_VALUE"""),0)</f>
        <v>0</v>
      </c>
      <c r="E499" s="23">
        <f ca="1">IFERROR(__xludf.DUMMYFUNCTION("""COMPUTED_VALUE"""),0)</f>
        <v>0</v>
      </c>
      <c r="F499" s="23">
        <f ca="1">IFERROR(__xludf.DUMMYFUNCTION("""COMPUTED_VALUE"""),0)</f>
        <v>0</v>
      </c>
      <c r="G499" s="23">
        <f ca="1">IFERROR(__xludf.DUMMYFUNCTION("""COMPUTED_VALUE"""),0)</f>
        <v>0</v>
      </c>
      <c r="H499" s="23">
        <f ca="1">IFERROR(__xludf.DUMMYFUNCTION("""COMPUTED_VALUE"""),0)</f>
        <v>0</v>
      </c>
      <c r="I499" s="23">
        <f ca="1">IFERROR(__xludf.DUMMYFUNCTION("""COMPUTED_VALUE"""),0)</f>
        <v>0</v>
      </c>
      <c r="J499" s="23">
        <f ca="1">IFERROR(__xludf.DUMMYFUNCTION("""COMPUTED_VALUE"""),0)</f>
        <v>0</v>
      </c>
      <c r="K499" s="23">
        <f ca="1">IFERROR(__xludf.DUMMYFUNCTION("""COMPUTED_VALUE"""),0)</f>
        <v>0</v>
      </c>
      <c r="L499" s="23">
        <f ca="1">IFERROR(__xludf.DUMMYFUNCTION("""COMPUTED_VALUE"""),0)</f>
        <v>0</v>
      </c>
      <c r="M499" s="23">
        <f ca="1">IFERROR(__xludf.DUMMYFUNCTION("""COMPUTED_VALUE"""),0)</f>
        <v>0</v>
      </c>
      <c r="N499" s="23">
        <f ca="1">IFERROR(__xludf.DUMMYFUNCTION("""COMPUTED_VALUE"""),0)</f>
        <v>0</v>
      </c>
      <c r="O499" s="23">
        <f ca="1">IFERROR(__xludf.DUMMYFUNCTION("""COMPUTED_VALUE"""),0)</f>
        <v>0</v>
      </c>
      <c r="P499" s="23">
        <f ca="1">IFERROR(__xludf.DUMMYFUNCTION("""COMPUTED_VALUE"""),0)</f>
        <v>0</v>
      </c>
      <c r="Q499" s="24">
        <f ca="1">IFERROR(__xludf.DUMMYFUNCTION("""COMPUTED_VALUE"""),0)</f>
        <v>0</v>
      </c>
      <c r="R499" s="20"/>
    </row>
    <row r="500" spans="1:18" ht="13.2" hidden="1" outlineLevel="1" x14ac:dyDescent="0.25">
      <c r="A500" s="1"/>
      <c r="B500" s="25" t="str">
        <f ca="1">IFERROR(__xludf.DUMMYFUNCTION("""COMPUTED_VALUE"""),"Energía eléctrica")</f>
        <v>Energía eléctrica</v>
      </c>
      <c r="C500" s="26">
        <f ca="1">IFERROR(__xludf.DUMMYFUNCTION("""COMPUTED_VALUE"""),140.650755235208)</f>
        <v>140.65075523520801</v>
      </c>
      <c r="D500" s="27">
        <f ca="1">IFERROR(__xludf.DUMMYFUNCTION("""COMPUTED_VALUE"""),136.794558672405)</f>
        <v>136.794558672405</v>
      </c>
      <c r="E500" s="27">
        <f ca="1">IFERROR(__xludf.DUMMYFUNCTION("""COMPUTED_VALUE"""),119.376356904078)</f>
        <v>119.37635690407799</v>
      </c>
      <c r="F500" s="27">
        <f ca="1">IFERROR(__xludf.DUMMYFUNCTION("""COMPUTED_VALUE"""),104.973810376497)</f>
        <v>104.973810376497</v>
      </c>
      <c r="G500" s="27">
        <f ca="1">IFERROR(__xludf.DUMMYFUNCTION("""COMPUTED_VALUE"""),143.244619898085)</f>
        <v>143.24461989808501</v>
      </c>
      <c r="H500" s="27">
        <f ca="1">IFERROR(__xludf.DUMMYFUNCTION("""COMPUTED_VALUE"""),113.841109573861)</f>
        <v>113.841109573861</v>
      </c>
      <c r="I500" s="27">
        <f ca="1">IFERROR(__xludf.DUMMYFUNCTION("""COMPUTED_VALUE"""),113.379393418838)</f>
        <v>113.37939341883801</v>
      </c>
      <c r="J500" s="27">
        <f ca="1">IFERROR(__xludf.DUMMYFUNCTION("""COMPUTED_VALUE"""),115.127888338328)</f>
        <v>115.12788833832801</v>
      </c>
      <c r="K500" s="27">
        <f ca="1">IFERROR(__xludf.DUMMYFUNCTION("""COMPUTED_VALUE"""),117.199476436479)</f>
        <v>117.199476436479</v>
      </c>
      <c r="L500" s="27">
        <f ca="1">IFERROR(__xludf.DUMMYFUNCTION("""COMPUTED_VALUE"""),85.7683544952812)</f>
        <v>85.768354495281201</v>
      </c>
      <c r="M500" s="27">
        <f ca="1">IFERROR(__xludf.DUMMYFUNCTION("""COMPUTED_VALUE"""),97.4546523269544)</f>
        <v>97.454652326954402</v>
      </c>
      <c r="N500" s="27">
        <f ca="1">IFERROR(__xludf.DUMMYFUNCTION("""COMPUTED_VALUE"""),126.117339304689)</f>
        <v>126.117339304689</v>
      </c>
      <c r="O500" s="27">
        <f ca="1">IFERROR(__xludf.DUMMYFUNCTION("""COMPUTED_VALUE"""),129.225569710392)</f>
        <v>129.22556971039199</v>
      </c>
      <c r="P500" s="27">
        <f ca="1">IFERROR(__xludf.DUMMYFUNCTION("""COMPUTED_VALUE"""),74.9299386156002)</f>
        <v>74.929938615600193</v>
      </c>
      <c r="Q500" s="28">
        <f ca="1">IFERROR(__xludf.DUMMYFUNCTION("""COMPUTED_VALUE"""),86.517832500333)</f>
        <v>86.517832500333</v>
      </c>
      <c r="R500" s="20"/>
    </row>
    <row r="501" spans="1:18" ht="13.2" hidden="1" outlineLevel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0"/>
    </row>
    <row r="502" spans="1:18" ht="13.2" collapsed="1" x14ac:dyDescent="0.25">
      <c r="A502" s="30"/>
      <c r="B502" s="5" t="str">
        <f ca="1">IFERROR(__xludf.DUMMYFUNCTION("""COMPUTED_VALUE"""),"CE.GE(e,a)")</f>
        <v>CE.GE(e,a)</v>
      </c>
      <c r="C502" s="6" t="str">
        <f ca="1">IFERROR(__xludf.DUMMYFUNCTION("""COMPUTED_VALUE"""),"-/+")</f>
        <v>-/+</v>
      </c>
      <c r="D502" s="7" t="str">
        <f ca="1">IFERROR(__xludf.DUMMYFUNCTION("""COMPUTED_VALUE"""),"Geotérmica por energético e y año a.")</f>
        <v>Geotérmica por energético e y año a.</v>
      </c>
      <c r="E502" s="6" t="str">
        <f ca="1">IFERROR(__xludf.DUMMYFUNCTION("""COMPUTED_VALUE"""),"cbne")</f>
        <v>cbne</v>
      </c>
      <c r="F502" s="6" t="str">
        <f ca="1">IFERROR(__xludf.DUMMYFUNCTION("""COMPUTED_VALUE"""),"a")</f>
        <v>a</v>
      </c>
      <c r="G502" s="8" t="str">
        <f ca="1">IFERROR(__xludf.DUMMYFUNCTION("""COMPUTED_VALUE"""),"PJ")</f>
        <v>PJ</v>
      </c>
      <c r="H502" s="9"/>
      <c r="I502" s="1"/>
      <c r="J502" s="1"/>
      <c r="K502" s="1"/>
      <c r="L502" s="1"/>
      <c r="M502" s="1"/>
      <c r="N502" s="1"/>
      <c r="O502" s="1"/>
      <c r="P502" s="1"/>
      <c r="Q502" s="1"/>
      <c r="R502" s="10"/>
    </row>
    <row r="503" spans="1:18" ht="13.2" hidden="1" outlineLevel="1" x14ac:dyDescent="0.25">
      <c r="A503" s="1"/>
      <c r="B503" s="11"/>
      <c r="C503" s="12">
        <f ca="1">IFERROR(__xludf.DUMMYFUNCTION("""COMPUTED_VALUE"""),2010)</f>
        <v>2010</v>
      </c>
      <c r="D503" s="13">
        <f ca="1">IFERROR(__xludf.DUMMYFUNCTION("""COMPUTED_VALUE"""),2011)</f>
        <v>2011</v>
      </c>
      <c r="E503" s="13">
        <f ca="1">IFERROR(__xludf.DUMMYFUNCTION("""COMPUTED_VALUE"""),2012)</f>
        <v>2012</v>
      </c>
      <c r="F503" s="13">
        <f ca="1">IFERROR(__xludf.DUMMYFUNCTION("""COMPUTED_VALUE"""),2013)</f>
        <v>2013</v>
      </c>
      <c r="G503" s="13">
        <f ca="1">IFERROR(__xludf.DUMMYFUNCTION("""COMPUTED_VALUE"""),2014)</f>
        <v>2014</v>
      </c>
      <c r="H503" s="13">
        <f ca="1">IFERROR(__xludf.DUMMYFUNCTION("""COMPUTED_VALUE"""),2015)</f>
        <v>2015</v>
      </c>
      <c r="I503" s="13">
        <f ca="1">IFERROR(__xludf.DUMMYFUNCTION("""COMPUTED_VALUE"""),2016)</f>
        <v>2016</v>
      </c>
      <c r="J503" s="13">
        <f ca="1">IFERROR(__xludf.DUMMYFUNCTION("""COMPUTED_VALUE"""),2017)</f>
        <v>2017</v>
      </c>
      <c r="K503" s="13">
        <f ca="1">IFERROR(__xludf.DUMMYFUNCTION("""COMPUTED_VALUE"""),2018)</f>
        <v>2018</v>
      </c>
      <c r="L503" s="13">
        <f ca="1">IFERROR(__xludf.DUMMYFUNCTION("""COMPUTED_VALUE"""),2019)</f>
        <v>2019</v>
      </c>
      <c r="M503" s="13">
        <f ca="1">IFERROR(__xludf.DUMMYFUNCTION("""COMPUTED_VALUE"""),2020)</f>
        <v>2020</v>
      </c>
      <c r="N503" s="13">
        <f ca="1">IFERROR(__xludf.DUMMYFUNCTION("""COMPUTED_VALUE"""),2021)</f>
        <v>2021</v>
      </c>
      <c r="O503" s="13">
        <f ca="1">IFERROR(__xludf.DUMMYFUNCTION("""COMPUTED_VALUE"""),2022)</f>
        <v>2022</v>
      </c>
      <c r="P503" s="13">
        <f ca="1">IFERROR(__xludf.DUMMYFUNCTION("""COMPUTED_VALUE"""),2023)</f>
        <v>2023</v>
      </c>
      <c r="Q503" s="14">
        <f ca="1">IFERROR(__xludf.DUMMYFUNCTION("""COMPUTED_VALUE"""),2024)</f>
        <v>2024</v>
      </c>
      <c r="R503" s="15"/>
    </row>
    <row r="504" spans="1:18" ht="13.2" hidden="1" outlineLevel="1" x14ac:dyDescent="0.25">
      <c r="A504" s="1"/>
      <c r="B504" s="16" t="str">
        <f ca="1">IFERROR(__xludf.DUMMYFUNCTION("""COMPUTED_VALUE"""),"Carbón mineral")</f>
        <v>Carbón mineral</v>
      </c>
      <c r="C504" s="17">
        <f ca="1">IFERROR(__xludf.DUMMYFUNCTION("""COMPUTED_VALUE"""),0)</f>
        <v>0</v>
      </c>
      <c r="D504" s="18">
        <f ca="1">IFERROR(__xludf.DUMMYFUNCTION("""COMPUTED_VALUE"""),0)</f>
        <v>0</v>
      </c>
      <c r="E504" s="18">
        <f ca="1">IFERROR(__xludf.DUMMYFUNCTION("""COMPUTED_VALUE"""),0)</f>
        <v>0</v>
      </c>
      <c r="F504" s="18">
        <f ca="1">IFERROR(__xludf.DUMMYFUNCTION("""COMPUTED_VALUE"""),0)</f>
        <v>0</v>
      </c>
      <c r="G504" s="18">
        <f ca="1">IFERROR(__xludf.DUMMYFUNCTION("""COMPUTED_VALUE"""),0)</f>
        <v>0</v>
      </c>
      <c r="H504" s="18">
        <f ca="1">IFERROR(__xludf.DUMMYFUNCTION("""COMPUTED_VALUE"""),0)</f>
        <v>0</v>
      </c>
      <c r="I504" s="18">
        <f ca="1">IFERROR(__xludf.DUMMYFUNCTION("""COMPUTED_VALUE"""),0)</f>
        <v>0</v>
      </c>
      <c r="J504" s="18">
        <f ca="1">IFERROR(__xludf.DUMMYFUNCTION("""COMPUTED_VALUE"""),0)</f>
        <v>0</v>
      </c>
      <c r="K504" s="18">
        <f ca="1">IFERROR(__xludf.DUMMYFUNCTION("""COMPUTED_VALUE"""),0)</f>
        <v>0</v>
      </c>
      <c r="L504" s="18">
        <f ca="1">IFERROR(__xludf.DUMMYFUNCTION("""COMPUTED_VALUE"""),0)</f>
        <v>0</v>
      </c>
      <c r="M504" s="18">
        <f ca="1">IFERROR(__xludf.DUMMYFUNCTION("""COMPUTED_VALUE"""),0)</f>
        <v>0</v>
      </c>
      <c r="N504" s="18">
        <f ca="1">IFERROR(__xludf.DUMMYFUNCTION("""COMPUTED_VALUE"""),0)</f>
        <v>0</v>
      </c>
      <c r="O504" s="18">
        <f ca="1">IFERROR(__xludf.DUMMYFUNCTION("""COMPUTED_VALUE"""),0)</f>
        <v>0</v>
      </c>
      <c r="P504" s="18">
        <f ca="1">IFERROR(__xludf.DUMMYFUNCTION("""COMPUTED_VALUE"""),0)</f>
        <v>0</v>
      </c>
      <c r="Q504" s="19">
        <f ca="1">IFERROR(__xludf.DUMMYFUNCTION("""COMPUTED_VALUE"""),0)</f>
        <v>0</v>
      </c>
      <c r="R504" s="20"/>
    </row>
    <row r="505" spans="1:18" ht="13.2" hidden="1" outlineLevel="1" x14ac:dyDescent="0.25">
      <c r="A505" s="1"/>
      <c r="B505" s="21" t="str">
        <f ca="1">IFERROR(__xludf.DUMMYFUNCTION("""COMPUTED_VALUE"""),"Petróleo crudo")</f>
        <v>Petróleo crudo</v>
      </c>
      <c r="C505" s="22">
        <f ca="1">IFERROR(__xludf.DUMMYFUNCTION("""COMPUTED_VALUE"""),0)</f>
        <v>0</v>
      </c>
      <c r="D505" s="23">
        <f ca="1">IFERROR(__xludf.DUMMYFUNCTION("""COMPUTED_VALUE"""),0)</f>
        <v>0</v>
      </c>
      <c r="E505" s="23">
        <f ca="1">IFERROR(__xludf.DUMMYFUNCTION("""COMPUTED_VALUE"""),0)</f>
        <v>0</v>
      </c>
      <c r="F505" s="23">
        <f ca="1">IFERROR(__xludf.DUMMYFUNCTION("""COMPUTED_VALUE"""),0)</f>
        <v>0</v>
      </c>
      <c r="G505" s="23">
        <f ca="1">IFERROR(__xludf.DUMMYFUNCTION("""COMPUTED_VALUE"""),0)</f>
        <v>0</v>
      </c>
      <c r="H505" s="23">
        <f ca="1">IFERROR(__xludf.DUMMYFUNCTION("""COMPUTED_VALUE"""),0)</f>
        <v>0</v>
      </c>
      <c r="I505" s="23">
        <f ca="1">IFERROR(__xludf.DUMMYFUNCTION("""COMPUTED_VALUE"""),0)</f>
        <v>0</v>
      </c>
      <c r="J505" s="23">
        <f ca="1">IFERROR(__xludf.DUMMYFUNCTION("""COMPUTED_VALUE"""),0)</f>
        <v>0</v>
      </c>
      <c r="K505" s="23">
        <f ca="1">IFERROR(__xludf.DUMMYFUNCTION("""COMPUTED_VALUE"""),0)</f>
        <v>0</v>
      </c>
      <c r="L505" s="23">
        <f ca="1">IFERROR(__xludf.DUMMYFUNCTION("""COMPUTED_VALUE"""),0)</f>
        <v>0</v>
      </c>
      <c r="M505" s="23">
        <f ca="1">IFERROR(__xludf.DUMMYFUNCTION("""COMPUTED_VALUE"""),0)</f>
        <v>0</v>
      </c>
      <c r="N505" s="23">
        <f ca="1">IFERROR(__xludf.DUMMYFUNCTION("""COMPUTED_VALUE"""),0)</f>
        <v>0</v>
      </c>
      <c r="O505" s="23">
        <f ca="1">IFERROR(__xludf.DUMMYFUNCTION("""COMPUTED_VALUE"""),0)</f>
        <v>0</v>
      </c>
      <c r="P505" s="23">
        <f ca="1">IFERROR(__xludf.DUMMYFUNCTION("""COMPUTED_VALUE"""),0)</f>
        <v>0</v>
      </c>
      <c r="Q505" s="24">
        <f ca="1">IFERROR(__xludf.DUMMYFUNCTION("""COMPUTED_VALUE"""),0)</f>
        <v>0</v>
      </c>
      <c r="R505" s="20"/>
    </row>
    <row r="506" spans="1:18" ht="13.2" hidden="1" outlineLevel="1" x14ac:dyDescent="0.25">
      <c r="A506" s="1"/>
      <c r="B506" s="21" t="str">
        <f ca="1">IFERROR(__xludf.DUMMYFUNCTION("""COMPUTED_VALUE"""),"Condensados")</f>
        <v>Condensados</v>
      </c>
      <c r="C506" s="22">
        <f ca="1">IFERROR(__xludf.DUMMYFUNCTION("""COMPUTED_VALUE"""),0)</f>
        <v>0</v>
      </c>
      <c r="D506" s="23">
        <f ca="1">IFERROR(__xludf.DUMMYFUNCTION("""COMPUTED_VALUE"""),0)</f>
        <v>0</v>
      </c>
      <c r="E506" s="23">
        <f ca="1">IFERROR(__xludf.DUMMYFUNCTION("""COMPUTED_VALUE"""),0)</f>
        <v>0</v>
      </c>
      <c r="F506" s="23">
        <f ca="1">IFERROR(__xludf.DUMMYFUNCTION("""COMPUTED_VALUE"""),0)</f>
        <v>0</v>
      </c>
      <c r="G506" s="23">
        <f ca="1">IFERROR(__xludf.DUMMYFUNCTION("""COMPUTED_VALUE"""),0)</f>
        <v>0</v>
      </c>
      <c r="H506" s="23">
        <f ca="1">IFERROR(__xludf.DUMMYFUNCTION("""COMPUTED_VALUE"""),0)</f>
        <v>0</v>
      </c>
      <c r="I506" s="23">
        <f ca="1">IFERROR(__xludf.DUMMYFUNCTION("""COMPUTED_VALUE"""),0)</f>
        <v>0</v>
      </c>
      <c r="J506" s="23">
        <f ca="1">IFERROR(__xludf.DUMMYFUNCTION("""COMPUTED_VALUE"""),0)</f>
        <v>0</v>
      </c>
      <c r="K506" s="23">
        <f ca="1">IFERROR(__xludf.DUMMYFUNCTION("""COMPUTED_VALUE"""),0)</f>
        <v>0</v>
      </c>
      <c r="L506" s="23">
        <f ca="1">IFERROR(__xludf.DUMMYFUNCTION("""COMPUTED_VALUE"""),0)</f>
        <v>0</v>
      </c>
      <c r="M506" s="23">
        <f ca="1">IFERROR(__xludf.DUMMYFUNCTION("""COMPUTED_VALUE"""),0)</f>
        <v>0</v>
      </c>
      <c r="N506" s="23">
        <f ca="1">IFERROR(__xludf.DUMMYFUNCTION("""COMPUTED_VALUE"""),0)</f>
        <v>0</v>
      </c>
      <c r="O506" s="23">
        <f ca="1">IFERROR(__xludf.DUMMYFUNCTION("""COMPUTED_VALUE"""),0)</f>
        <v>0</v>
      </c>
      <c r="P506" s="23">
        <f ca="1">IFERROR(__xludf.DUMMYFUNCTION("""COMPUTED_VALUE"""),0)</f>
        <v>0</v>
      </c>
      <c r="Q506" s="24">
        <f ca="1">IFERROR(__xludf.DUMMYFUNCTION("""COMPUTED_VALUE"""),0)</f>
        <v>0</v>
      </c>
      <c r="R506" s="20"/>
    </row>
    <row r="507" spans="1:18" ht="13.2" hidden="1" outlineLevel="1" x14ac:dyDescent="0.25">
      <c r="A507" s="1"/>
      <c r="B507" s="21" t="str">
        <f ca="1">IFERROR(__xludf.DUMMYFUNCTION("""COMPUTED_VALUE"""),"Gas natural")</f>
        <v>Gas natural</v>
      </c>
      <c r="C507" s="22">
        <f ca="1">IFERROR(__xludf.DUMMYFUNCTION("""COMPUTED_VALUE"""),0)</f>
        <v>0</v>
      </c>
      <c r="D507" s="23">
        <f ca="1">IFERROR(__xludf.DUMMYFUNCTION("""COMPUTED_VALUE"""),0)</f>
        <v>0</v>
      </c>
      <c r="E507" s="23">
        <f ca="1">IFERROR(__xludf.DUMMYFUNCTION("""COMPUTED_VALUE"""),0)</f>
        <v>0</v>
      </c>
      <c r="F507" s="23">
        <f ca="1">IFERROR(__xludf.DUMMYFUNCTION("""COMPUTED_VALUE"""),0)</f>
        <v>0</v>
      </c>
      <c r="G507" s="23">
        <f ca="1">IFERROR(__xludf.DUMMYFUNCTION("""COMPUTED_VALUE"""),0)</f>
        <v>0</v>
      </c>
      <c r="H507" s="23">
        <f ca="1">IFERROR(__xludf.DUMMYFUNCTION("""COMPUTED_VALUE"""),0)</f>
        <v>0</v>
      </c>
      <c r="I507" s="23">
        <f ca="1">IFERROR(__xludf.DUMMYFUNCTION("""COMPUTED_VALUE"""),0)</f>
        <v>0</v>
      </c>
      <c r="J507" s="23">
        <f ca="1">IFERROR(__xludf.DUMMYFUNCTION("""COMPUTED_VALUE"""),0)</f>
        <v>0</v>
      </c>
      <c r="K507" s="23">
        <f ca="1">IFERROR(__xludf.DUMMYFUNCTION("""COMPUTED_VALUE"""),0)</f>
        <v>0</v>
      </c>
      <c r="L507" s="23">
        <f ca="1">IFERROR(__xludf.DUMMYFUNCTION("""COMPUTED_VALUE"""),0)</f>
        <v>0</v>
      </c>
      <c r="M507" s="23">
        <f ca="1">IFERROR(__xludf.DUMMYFUNCTION("""COMPUTED_VALUE"""),0)</f>
        <v>0</v>
      </c>
      <c r="N507" s="23">
        <f ca="1">IFERROR(__xludf.DUMMYFUNCTION("""COMPUTED_VALUE"""),0)</f>
        <v>0</v>
      </c>
      <c r="O507" s="23">
        <f ca="1">IFERROR(__xludf.DUMMYFUNCTION("""COMPUTED_VALUE"""),0)</f>
        <v>0</v>
      </c>
      <c r="P507" s="23">
        <f ca="1">IFERROR(__xludf.DUMMYFUNCTION("""COMPUTED_VALUE"""),0)</f>
        <v>0</v>
      </c>
      <c r="Q507" s="24">
        <f ca="1">IFERROR(__xludf.DUMMYFUNCTION("""COMPUTED_VALUE"""),0)</f>
        <v>0</v>
      </c>
      <c r="R507" s="20"/>
    </row>
    <row r="508" spans="1:18" ht="13.2" hidden="1" outlineLevel="1" x14ac:dyDescent="0.25">
      <c r="A508" s="1"/>
      <c r="B508" s="21" t="str">
        <f ca="1">IFERROR(__xludf.DUMMYFUNCTION("""COMPUTED_VALUE"""),"Energía Nuclear")</f>
        <v>Energía Nuclear</v>
      </c>
      <c r="C508" s="22">
        <f ca="1">IFERROR(__xludf.DUMMYFUNCTION("""COMPUTED_VALUE"""),0)</f>
        <v>0</v>
      </c>
      <c r="D508" s="23">
        <f ca="1">IFERROR(__xludf.DUMMYFUNCTION("""COMPUTED_VALUE"""),0)</f>
        <v>0</v>
      </c>
      <c r="E508" s="23">
        <f ca="1">IFERROR(__xludf.DUMMYFUNCTION("""COMPUTED_VALUE"""),0)</f>
        <v>0</v>
      </c>
      <c r="F508" s="23">
        <f ca="1">IFERROR(__xludf.DUMMYFUNCTION("""COMPUTED_VALUE"""),0)</f>
        <v>0</v>
      </c>
      <c r="G508" s="23">
        <f ca="1">IFERROR(__xludf.DUMMYFUNCTION("""COMPUTED_VALUE"""),0)</f>
        <v>0</v>
      </c>
      <c r="H508" s="23">
        <f ca="1">IFERROR(__xludf.DUMMYFUNCTION("""COMPUTED_VALUE"""),0)</f>
        <v>0</v>
      </c>
      <c r="I508" s="23">
        <f ca="1">IFERROR(__xludf.DUMMYFUNCTION("""COMPUTED_VALUE"""),0)</f>
        <v>0</v>
      </c>
      <c r="J508" s="23">
        <f ca="1">IFERROR(__xludf.DUMMYFUNCTION("""COMPUTED_VALUE"""),0)</f>
        <v>0</v>
      </c>
      <c r="K508" s="23">
        <f ca="1">IFERROR(__xludf.DUMMYFUNCTION("""COMPUTED_VALUE"""),0)</f>
        <v>0</v>
      </c>
      <c r="L508" s="23">
        <f ca="1">IFERROR(__xludf.DUMMYFUNCTION("""COMPUTED_VALUE"""),0)</f>
        <v>0</v>
      </c>
      <c r="M508" s="23">
        <f ca="1">IFERROR(__xludf.DUMMYFUNCTION("""COMPUTED_VALUE"""),0)</f>
        <v>0</v>
      </c>
      <c r="N508" s="23">
        <f ca="1">IFERROR(__xludf.DUMMYFUNCTION("""COMPUTED_VALUE"""),0)</f>
        <v>0</v>
      </c>
      <c r="O508" s="23">
        <f ca="1">IFERROR(__xludf.DUMMYFUNCTION("""COMPUTED_VALUE"""),0)</f>
        <v>0</v>
      </c>
      <c r="P508" s="23">
        <f ca="1">IFERROR(__xludf.DUMMYFUNCTION("""COMPUTED_VALUE"""),0)</f>
        <v>0</v>
      </c>
      <c r="Q508" s="24">
        <f ca="1">IFERROR(__xludf.DUMMYFUNCTION("""COMPUTED_VALUE"""),0)</f>
        <v>0</v>
      </c>
      <c r="R508" s="20"/>
    </row>
    <row r="509" spans="1:18" ht="13.2" hidden="1" outlineLevel="1" x14ac:dyDescent="0.25">
      <c r="A509" s="1"/>
      <c r="B509" s="21" t="str">
        <f ca="1">IFERROR(__xludf.DUMMYFUNCTION("""COMPUTED_VALUE"""),"Energia Hidraúlica")</f>
        <v>Energia Hidraúlica</v>
      </c>
      <c r="C509" s="22">
        <f ca="1">IFERROR(__xludf.DUMMYFUNCTION("""COMPUTED_VALUE"""),0)</f>
        <v>0</v>
      </c>
      <c r="D509" s="23">
        <f ca="1">IFERROR(__xludf.DUMMYFUNCTION("""COMPUTED_VALUE"""),0)</f>
        <v>0</v>
      </c>
      <c r="E509" s="23">
        <f ca="1">IFERROR(__xludf.DUMMYFUNCTION("""COMPUTED_VALUE"""),0)</f>
        <v>0</v>
      </c>
      <c r="F509" s="23">
        <f ca="1">IFERROR(__xludf.DUMMYFUNCTION("""COMPUTED_VALUE"""),0)</f>
        <v>0</v>
      </c>
      <c r="G509" s="23">
        <f ca="1">IFERROR(__xludf.DUMMYFUNCTION("""COMPUTED_VALUE"""),0)</f>
        <v>0</v>
      </c>
      <c r="H509" s="23">
        <f ca="1">IFERROR(__xludf.DUMMYFUNCTION("""COMPUTED_VALUE"""),0)</f>
        <v>0</v>
      </c>
      <c r="I509" s="23">
        <f ca="1">IFERROR(__xludf.DUMMYFUNCTION("""COMPUTED_VALUE"""),0)</f>
        <v>0</v>
      </c>
      <c r="J509" s="23">
        <f ca="1">IFERROR(__xludf.DUMMYFUNCTION("""COMPUTED_VALUE"""),0)</f>
        <v>0</v>
      </c>
      <c r="K509" s="23">
        <f ca="1">IFERROR(__xludf.DUMMYFUNCTION("""COMPUTED_VALUE"""),0)</f>
        <v>0</v>
      </c>
      <c r="L509" s="23">
        <f ca="1">IFERROR(__xludf.DUMMYFUNCTION("""COMPUTED_VALUE"""),0)</f>
        <v>0</v>
      </c>
      <c r="M509" s="23">
        <f ca="1">IFERROR(__xludf.DUMMYFUNCTION("""COMPUTED_VALUE"""),0)</f>
        <v>0</v>
      </c>
      <c r="N509" s="23">
        <f ca="1">IFERROR(__xludf.DUMMYFUNCTION("""COMPUTED_VALUE"""),0)</f>
        <v>0</v>
      </c>
      <c r="O509" s="23">
        <f ca="1">IFERROR(__xludf.DUMMYFUNCTION("""COMPUTED_VALUE"""),0)</f>
        <v>0</v>
      </c>
      <c r="P509" s="23">
        <f ca="1">IFERROR(__xludf.DUMMYFUNCTION("""COMPUTED_VALUE"""),0)</f>
        <v>0</v>
      </c>
      <c r="Q509" s="24">
        <f ca="1">IFERROR(__xludf.DUMMYFUNCTION("""COMPUTED_VALUE"""),0)</f>
        <v>0</v>
      </c>
      <c r="R509" s="20"/>
    </row>
    <row r="510" spans="1:18" ht="13.2" hidden="1" outlineLevel="1" x14ac:dyDescent="0.25">
      <c r="A510" s="1"/>
      <c r="B510" s="21" t="str">
        <f ca="1">IFERROR(__xludf.DUMMYFUNCTION("""COMPUTED_VALUE"""),"Geoenergía")</f>
        <v>Geoenergía</v>
      </c>
      <c r="C510" s="22">
        <f ca="1">IFERROR(__xludf.DUMMYFUNCTION("""COMPUTED_VALUE"""),-28.762373781417)</f>
        <v>-28.762373781417001</v>
      </c>
      <c r="D510" s="23">
        <f ca="1">IFERROR(__xludf.DUMMYFUNCTION("""COMPUTED_VALUE"""),-27.4176420837335)</f>
        <v>-27.417642083733501</v>
      </c>
      <c r="E510" s="23">
        <f ca="1">IFERROR(__xludf.DUMMYFUNCTION("""COMPUTED_VALUE"""),-24.5599069913274)</f>
        <v>-24.559906991327399</v>
      </c>
      <c r="F510" s="23">
        <f ca="1">IFERROR(__xludf.DUMMYFUNCTION("""COMPUTED_VALUE"""),-25.4932891196797)</f>
        <v>-25.493289119679702</v>
      </c>
      <c r="G510" s="23">
        <f ca="1">IFERROR(__xludf.DUMMYFUNCTION("""COMPUTED_VALUE"""),-25.326716568116)</f>
        <v>-25.326716568116002</v>
      </c>
      <c r="H510" s="23">
        <f ca="1">IFERROR(__xludf.DUMMYFUNCTION("""COMPUTED_VALUE"""),-26.5306410704584)</f>
        <v>-26.530641070458401</v>
      </c>
      <c r="I510" s="23">
        <f ca="1">IFERROR(__xludf.DUMMYFUNCTION("""COMPUTED_VALUE"""),-25.7432810093918)</f>
        <v>-25.743281009391801</v>
      </c>
      <c r="J510" s="23">
        <f ca="1">IFERROR(__xludf.DUMMYFUNCTION("""COMPUTED_VALUE"""),-23.7316824624317)</f>
        <v>-23.731682462431699</v>
      </c>
      <c r="K510" s="23">
        <f ca="1">IFERROR(__xludf.DUMMYFUNCTION("""COMPUTED_VALUE"""),-21.1555305711881)</f>
        <v>-21.155530571188098</v>
      </c>
      <c r="L510" s="23">
        <f ca="1">IFERROR(__xludf.DUMMYFUNCTION("""COMPUTED_VALUE"""),-20.9378103741678)</f>
        <v>-20.9378103741678</v>
      </c>
      <c r="M510" s="23">
        <f ca="1">IFERROR(__xludf.DUMMYFUNCTION("""COMPUTED_VALUE"""),-19.1204715569663)</f>
        <v>-19.120471556966301</v>
      </c>
      <c r="N510" s="23">
        <f ca="1">IFERROR(__xludf.DUMMYFUNCTION("""COMPUTED_VALUE"""),-17.5980014093371)</f>
        <v>-17.598001409337101</v>
      </c>
      <c r="O510" s="23">
        <f ca="1">IFERROR(__xludf.DUMMYFUNCTION("""COMPUTED_VALUE"""),-18.4614130254254)</f>
        <v>-18.461413025425401</v>
      </c>
      <c r="P510" s="23">
        <f ca="1">IFERROR(__xludf.DUMMYFUNCTION("""COMPUTED_VALUE"""),-17.2933047562122)</f>
        <v>-17.293304756212201</v>
      </c>
      <c r="Q510" s="24">
        <f ca="1">IFERROR(__xludf.DUMMYFUNCTION("""COMPUTED_VALUE"""),-14.775345960735)</f>
        <v>-14.775345960735001</v>
      </c>
      <c r="R510" s="20"/>
    </row>
    <row r="511" spans="1:18" ht="13.2" hidden="1" outlineLevel="1" x14ac:dyDescent="0.25">
      <c r="A511" s="1"/>
      <c r="B511" s="21" t="str">
        <f ca="1">IFERROR(__xludf.DUMMYFUNCTION("""COMPUTED_VALUE"""),"Energía solar")</f>
        <v>Energía solar</v>
      </c>
      <c r="C511" s="22">
        <f ca="1">IFERROR(__xludf.DUMMYFUNCTION("""COMPUTED_VALUE"""),0)</f>
        <v>0</v>
      </c>
      <c r="D511" s="23">
        <f ca="1">IFERROR(__xludf.DUMMYFUNCTION("""COMPUTED_VALUE"""),0)</f>
        <v>0</v>
      </c>
      <c r="E511" s="23">
        <f ca="1">IFERROR(__xludf.DUMMYFUNCTION("""COMPUTED_VALUE"""),0)</f>
        <v>0</v>
      </c>
      <c r="F511" s="23">
        <f ca="1">IFERROR(__xludf.DUMMYFUNCTION("""COMPUTED_VALUE"""),0)</f>
        <v>0</v>
      </c>
      <c r="G511" s="23">
        <f ca="1">IFERROR(__xludf.DUMMYFUNCTION("""COMPUTED_VALUE"""),0)</f>
        <v>0</v>
      </c>
      <c r="H511" s="23">
        <f ca="1">IFERROR(__xludf.DUMMYFUNCTION("""COMPUTED_VALUE"""),0)</f>
        <v>0</v>
      </c>
      <c r="I511" s="23">
        <f ca="1">IFERROR(__xludf.DUMMYFUNCTION("""COMPUTED_VALUE"""),0)</f>
        <v>0</v>
      </c>
      <c r="J511" s="23">
        <f ca="1">IFERROR(__xludf.DUMMYFUNCTION("""COMPUTED_VALUE"""),0)</f>
        <v>0</v>
      </c>
      <c r="K511" s="23">
        <f ca="1">IFERROR(__xludf.DUMMYFUNCTION("""COMPUTED_VALUE"""),0)</f>
        <v>0</v>
      </c>
      <c r="L511" s="23">
        <f ca="1">IFERROR(__xludf.DUMMYFUNCTION("""COMPUTED_VALUE"""),0)</f>
        <v>0</v>
      </c>
      <c r="M511" s="23">
        <f ca="1">IFERROR(__xludf.DUMMYFUNCTION("""COMPUTED_VALUE"""),0)</f>
        <v>0</v>
      </c>
      <c r="N511" s="23">
        <f ca="1">IFERROR(__xludf.DUMMYFUNCTION("""COMPUTED_VALUE"""),0)</f>
        <v>0</v>
      </c>
      <c r="O511" s="23">
        <f ca="1">IFERROR(__xludf.DUMMYFUNCTION("""COMPUTED_VALUE"""),0)</f>
        <v>0</v>
      </c>
      <c r="P511" s="23">
        <f ca="1">IFERROR(__xludf.DUMMYFUNCTION("""COMPUTED_VALUE"""),0)</f>
        <v>0</v>
      </c>
      <c r="Q511" s="24">
        <f ca="1">IFERROR(__xludf.DUMMYFUNCTION("""COMPUTED_VALUE"""),0)</f>
        <v>0</v>
      </c>
      <c r="R511" s="20"/>
    </row>
    <row r="512" spans="1:18" ht="13.2" hidden="1" outlineLevel="1" x14ac:dyDescent="0.25">
      <c r="A512" s="1"/>
      <c r="B512" s="21" t="str">
        <f ca="1">IFERROR(__xludf.DUMMYFUNCTION("""COMPUTED_VALUE"""),"Energía eólica")</f>
        <v>Energía eólica</v>
      </c>
      <c r="C512" s="22">
        <f ca="1">IFERROR(__xludf.DUMMYFUNCTION("""COMPUTED_VALUE"""),0)</f>
        <v>0</v>
      </c>
      <c r="D512" s="23">
        <f ca="1">IFERROR(__xludf.DUMMYFUNCTION("""COMPUTED_VALUE"""),0)</f>
        <v>0</v>
      </c>
      <c r="E512" s="23">
        <f ca="1">IFERROR(__xludf.DUMMYFUNCTION("""COMPUTED_VALUE"""),0)</f>
        <v>0</v>
      </c>
      <c r="F512" s="23">
        <f ca="1">IFERROR(__xludf.DUMMYFUNCTION("""COMPUTED_VALUE"""),0)</f>
        <v>0</v>
      </c>
      <c r="G512" s="23">
        <f ca="1">IFERROR(__xludf.DUMMYFUNCTION("""COMPUTED_VALUE"""),0)</f>
        <v>0</v>
      </c>
      <c r="H512" s="23">
        <f ca="1">IFERROR(__xludf.DUMMYFUNCTION("""COMPUTED_VALUE"""),0)</f>
        <v>0</v>
      </c>
      <c r="I512" s="23">
        <f ca="1">IFERROR(__xludf.DUMMYFUNCTION("""COMPUTED_VALUE"""),0)</f>
        <v>0</v>
      </c>
      <c r="J512" s="23">
        <f ca="1">IFERROR(__xludf.DUMMYFUNCTION("""COMPUTED_VALUE"""),0)</f>
        <v>0</v>
      </c>
      <c r="K512" s="23">
        <f ca="1">IFERROR(__xludf.DUMMYFUNCTION("""COMPUTED_VALUE"""),0)</f>
        <v>0</v>
      </c>
      <c r="L512" s="23">
        <f ca="1">IFERROR(__xludf.DUMMYFUNCTION("""COMPUTED_VALUE"""),0)</f>
        <v>0</v>
      </c>
      <c r="M512" s="23">
        <f ca="1">IFERROR(__xludf.DUMMYFUNCTION("""COMPUTED_VALUE"""),0)</f>
        <v>0</v>
      </c>
      <c r="N512" s="23">
        <f ca="1">IFERROR(__xludf.DUMMYFUNCTION("""COMPUTED_VALUE"""),0)</f>
        <v>0</v>
      </c>
      <c r="O512" s="23">
        <f ca="1">IFERROR(__xludf.DUMMYFUNCTION("""COMPUTED_VALUE"""),0)</f>
        <v>0</v>
      </c>
      <c r="P512" s="23">
        <f ca="1">IFERROR(__xludf.DUMMYFUNCTION("""COMPUTED_VALUE"""),0)</f>
        <v>0</v>
      </c>
      <c r="Q512" s="24">
        <f ca="1">IFERROR(__xludf.DUMMYFUNCTION("""COMPUTED_VALUE"""),0)</f>
        <v>0</v>
      </c>
      <c r="R512" s="20"/>
    </row>
    <row r="513" spans="1:18" ht="13.2" hidden="1" outlineLevel="1" x14ac:dyDescent="0.25">
      <c r="A513" s="1"/>
      <c r="B513" s="21" t="str">
        <f ca="1">IFERROR(__xludf.DUMMYFUNCTION("""COMPUTED_VALUE"""),"Bagazo de caña")</f>
        <v>Bagazo de caña</v>
      </c>
      <c r="C513" s="22">
        <f ca="1">IFERROR(__xludf.DUMMYFUNCTION("""COMPUTED_VALUE"""),0)</f>
        <v>0</v>
      </c>
      <c r="D513" s="23">
        <f ca="1">IFERROR(__xludf.DUMMYFUNCTION("""COMPUTED_VALUE"""),0)</f>
        <v>0</v>
      </c>
      <c r="E513" s="23">
        <f ca="1">IFERROR(__xludf.DUMMYFUNCTION("""COMPUTED_VALUE"""),0)</f>
        <v>0</v>
      </c>
      <c r="F513" s="23">
        <f ca="1">IFERROR(__xludf.DUMMYFUNCTION("""COMPUTED_VALUE"""),0)</f>
        <v>0</v>
      </c>
      <c r="G513" s="23">
        <f ca="1">IFERROR(__xludf.DUMMYFUNCTION("""COMPUTED_VALUE"""),0)</f>
        <v>0</v>
      </c>
      <c r="H513" s="23">
        <f ca="1">IFERROR(__xludf.DUMMYFUNCTION("""COMPUTED_VALUE"""),0)</f>
        <v>0</v>
      </c>
      <c r="I513" s="23">
        <f ca="1">IFERROR(__xludf.DUMMYFUNCTION("""COMPUTED_VALUE"""),0)</f>
        <v>0</v>
      </c>
      <c r="J513" s="23">
        <f ca="1">IFERROR(__xludf.DUMMYFUNCTION("""COMPUTED_VALUE"""),0)</f>
        <v>0</v>
      </c>
      <c r="K513" s="23">
        <f ca="1">IFERROR(__xludf.DUMMYFUNCTION("""COMPUTED_VALUE"""),0)</f>
        <v>0</v>
      </c>
      <c r="L513" s="23">
        <f ca="1">IFERROR(__xludf.DUMMYFUNCTION("""COMPUTED_VALUE"""),0)</f>
        <v>0</v>
      </c>
      <c r="M513" s="23">
        <f ca="1">IFERROR(__xludf.DUMMYFUNCTION("""COMPUTED_VALUE"""),0)</f>
        <v>0</v>
      </c>
      <c r="N513" s="23">
        <f ca="1">IFERROR(__xludf.DUMMYFUNCTION("""COMPUTED_VALUE"""),0)</f>
        <v>0</v>
      </c>
      <c r="O513" s="23">
        <f ca="1">IFERROR(__xludf.DUMMYFUNCTION("""COMPUTED_VALUE"""),0)</f>
        <v>0</v>
      </c>
      <c r="P513" s="23">
        <f ca="1">IFERROR(__xludf.DUMMYFUNCTION("""COMPUTED_VALUE"""),0)</f>
        <v>0</v>
      </c>
      <c r="Q513" s="24">
        <f ca="1">IFERROR(__xludf.DUMMYFUNCTION("""COMPUTED_VALUE"""),0)</f>
        <v>0</v>
      </c>
      <c r="R513" s="20"/>
    </row>
    <row r="514" spans="1:18" ht="13.2" hidden="1" outlineLevel="1" x14ac:dyDescent="0.25">
      <c r="A514" s="1"/>
      <c r="B514" s="21" t="str">
        <f ca="1">IFERROR(__xludf.DUMMYFUNCTION("""COMPUTED_VALUE"""),"Leña")</f>
        <v>Leña</v>
      </c>
      <c r="C514" s="22">
        <f ca="1">IFERROR(__xludf.DUMMYFUNCTION("""COMPUTED_VALUE"""),0)</f>
        <v>0</v>
      </c>
      <c r="D514" s="23">
        <f ca="1">IFERROR(__xludf.DUMMYFUNCTION("""COMPUTED_VALUE"""),0)</f>
        <v>0</v>
      </c>
      <c r="E514" s="23">
        <f ca="1">IFERROR(__xludf.DUMMYFUNCTION("""COMPUTED_VALUE"""),0)</f>
        <v>0</v>
      </c>
      <c r="F514" s="23">
        <f ca="1">IFERROR(__xludf.DUMMYFUNCTION("""COMPUTED_VALUE"""),0)</f>
        <v>0</v>
      </c>
      <c r="G514" s="23">
        <f ca="1">IFERROR(__xludf.DUMMYFUNCTION("""COMPUTED_VALUE"""),0)</f>
        <v>0</v>
      </c>
      <c r="H514" s="23">
        <f ca="1">IFERROR(__xludf.DUMMYFUNCTION("""COMPUTED_VALUE"""),0)</f>
        <v>0</v>
      </c>
      <c r="I514" s="23">
        <f ca="1">IFERROR(__xludf.DUMMYFUNCTION("""COMPUTED_VALUE"""),0)</f>
        <v>0</v>
      </c>
      <c r="J514" s="23">
        <f ca="1">IFERROR(__xludf.DUMMYFUNCTION("""COMPUTED_VALUE"""),0)</f>
        <v>0</v>
      </c>
      <c r="K514" s="23">
        <f ca="1">IFERROR(__xludf.DUMMYFUNCTION("""COMPUTED_VALUE"""),0)</f>
        <v>0</v>
      </c>
      <c r="L514" s="23">
        <f ca="1">IFERROR(__xludf.DUMMYFUNCTION("""COMPUTED_VALUE"""),0)</f>
        <v>0</v>
      </c>
      <c r="M514" s="23">
        <f ca="1">IFERROR(__xludf.DUMMYFUNCTION("""COMPUTED_VALUE"""),0)</f>
        <v>0</v>
      </c>
      <c r="N514" s="23">
        <f ca="1">IFERROR(__xludf.DUMMYFUNCTION("""COMPUTED_VALUE"""),0)</f>
        <v>0</v>
      </c>
      <c r="O514" s="23">
        <f ca="1">IFERROR(__xludf.DUMMYFUNCTION("""COMPUTED_VALUE"""),0)</f>
        <v>0</v>
      </c>
      <c r="P514" s="23">
        <f ca="1">IFERROR(__xludf.DUMMYFUNCTION("""COMPUTED_VALUE"""),0)</f>
        <v>0</v>
      </c>
      <c r="Q514" s="24">
        <f ca="1">IFERROR(__xludf.DUMMYFUNCTION("""COMPUTED_VALUE"""),0)</f>
        <v>0</v>
      </c>
      <c r="R514" s="20"/>
    </row>
    <row r="515" spans="1:18" ht="13.2" hidden="1" outlineLevel="1" x14ac:dyDescent="0.25">
      <c r="A515" s="1"/>
      <c r="B515" s="21" t="str">
        <f ca="1">IFERROR(__xludf.DUMMYFUNCTION("""COMPUTED_VALUE"""),"Biogás")</f>
        <v>Biogás</v>
      </c>
      <c r="C515" s="22">
        <f ca="1">IFERROR(__xludf.DUMMYFUNCTION("""COMPUTED_VALUE"""),0)</f>
        <v>0</v>
      </c>
      <c r="D515" s="23">
        <f ca="1">IFERROR(__xludf.DUMMYFUNCTION("""COMPUTED_VALUE"""),0)</f>
        <v>0</v>
      </c>
      <c r="E515" s="23">
        <f ca="1">IFERROR(__xludf.DUMMYFUNCTION("""COMPUTED_VALUE"""),0)</f>
        <v>0</v>
      </c>
      <c r="F515" s="23">
        <f ca="1">IFERROR(__xludf.DUMMYFUNCTION("""COMPUTED_VALUE"""),0)</f>
        <v>0</v>
      </c>
      <c r="G515" s="23">
        <f ca="1">IFERROR(__xludf.DUMMYFUNCTION("""COMPUTED_VALUE"""),0)</f>
        <v>0</v>
      </c>
      <c r="H515" s="23">
        <f ca="1">IFERROR(__xludf.DUMMYFUNCTION("""COMPUTED_VALUE"""),0)</f>
        <v>0</v>
      </c>
      <c r="I515" s="23">
        <f ca="1">IFERROR(__xludf.DUMMYFUNCTION("""COMPUTED_VALUE"""),0)</f>
        <v>0</v>
      </c>
      <c r="J515" s="23">
        <f ca="1">IFERROR(__xludf.DUMMYFUNCTION("""COMPUTED_VALUE"""),0)</f>
        <v>0</v>
      </c>
      <c r="K515" s="23">
        <f ca="1">IFERROR(__xludf.DUMMYFUNCTION("""COMPUTED_VALUE"""),0)</f>
        <v>0</v>
      </c>
      <c r="L515" s="23">
        <f ca="1">IFERROR(__xludf.DUMMYFUNCTION("""COMPUTED_VALUE"""),0)</f>
        <v>0</v>
      </c>
      <c r="M515" s="23">
        <f ca="1">IFERROR(__xludf.DUMMYFUNCTION("""COMPUTED_VALUE"""),0)</f>
        <v>0</v>
      </c>
      <c r="N515" s="23">
        <f ca="1">IFERROR(__xludf.DUMMYFUNCTION("""COMPUTED_VALUE"""),0)</f>
        <v>0</v>
      </c>
      <c r="O515" s="23">
        <f ca="1">IFERROR(__xludf.DUMMYFUNCTION("""COMPUTED_VALUE"""),0)</f>
        <v>0</v>
      </c>
      <c r="P515" s="23">
        <f ca="1">IFERROR(__xludf.DUMMYFUNCTION("""COMPUTED_VALUE"""),0)</f>
        <v>0</v>
      </c>
      <c r="Q515" s="24">
        <f ca="1">IFERROR(__xludf.DUMMYFUNCTION("""COMPUTED_VALUE"""),0)</f>
        <v>0</v>
      </c>
      <c r="R515" s="20"/>
    </row>
    <row r="516" spans="1:18" ht="13.2" hidden="1" outlineLevel="1" x14ac:dyDescent="0.25">
      <c r="A516" s="1"/>
      <c r="B516" s="21" t="str">
        <f ca="1">IFERROR(__xludf.DUMMYFUNCTION("""COMPUTED_VALUE"""),"Coque de carbón")</f>
        <v>Coque de carbón</v>
      </c>
      <c r="C516" s="22">
        <f ca="1">IFERROR(__xludf.DUMMYFUNCTION("""COMPUTED_VALUE"""),0)</f>
        <v>0</v>
      </c>
      <c r="D516" s="23">
        <f ca="1">IFERROR(__xludf.DUMMYFUNCTION("""COMPUTED_VALUE"""),0)</f>
        <v>0</v>
      </c>
      <c r="E516" s="23">
        <f ca="1">IFERROR(__xludf.DUMMYFUNCTION("""COMPUTED_VALUE"""),0)</f>
        <v>0</v>
      </c>
      <c r="F516" s="23">
        <f ca="1">IFERROR(__xludf.DUMMYFUNCTION("""COMPUTED_VALUE"""),0)</f>
        <v>0</v>
      </c>
      <c r="G516" s="23">
        <f ca="1">IFERROR(__xludf.DUMMYFUNCTION("""COMPUTED_VALUE"""),0)</f>
        <v>0</v>
      </c>
      <c r="H516" s="23">
        <f ca="1">IFERROR(__xludf.DUMMYFUNCTION("""COMPUTED_VALUE"""),0)</f>
        <v>0</v>
      </c>
      <c r="I516" s="23">
        <f ca="1">IFERROR(__xludf.DUMMYFUNCTION("""COMPUTED_VALUE"""),0)</f>
        <v>0</v>
      </c>
      <c r="J516" s="23">
        <f ca="1">IFERROR(__xludf.DUMMYFUNCTION("""COMPUTED_VALUE"""),0)</f>
        <v>0</v>
      </c>
      <c r="K516" s="23">
        <f ca="1">IFERROR(__xludf.DUMMYFUNCTION("""COMPUTED_VALUE"""),0)</f>
        <v>0</v>
      </c>
      <c r="L516" s="23">
        <f ca="1">IFERROR(__xludf.DUMMYFUNCTION("""COMPUTED_VALUE"""),0)</f>
        <v>0</v>
      </c>
      <c r="M516" s="23">
        <f ca="1">IFERROR(__xludf.DUMMYFUNCTION("""COMPUTED_VALUE"""),0)</f>
        <v>0</v>
      </c>
      <c r="N516" s="23">
        <f ca="1">IFERROR(__xludf.DUMMYFUNCTION("""COMPUTED_VALUE"""),0)</f>
        <v>0</v>
      </c>
      <c r="O516" s="23">
        <f ca="1">IFERROR(__xludf.DUMMYFUNCTION("""COMPUTED_VALUE"""),0)</f>
        <v>0</v>
      </c>
      <c r="P516" s="23">
        <f ca="1">IFERROR(__xludf.DUMMYFUNCTION("""COMPUTED_VALUE"""),0)</f>
        <v>0</v>
      </c>
      <c r="Q516" s="24">
        <f ca="1">IFERROR(__xludf.DUMMYFUNCTION("""COMPUTED_VALUE"""),0)</f>
        <v>0</v>
      </c>
      <c r="R516" s="20"/>
    </row>
    <row r="517" spans="1:18" ht="13.2" hidden="1" outlineLevel="1" x14ac:dyDescent="0.25">
      <c r="A517" s="1"/>
      <c r="B517" s="21" t="str">
        <f ca="1">IFERROR(__xludf.DUMMYFUNCTION("""COMPUTED_VALUE"""),"Coque de petróleo")</f>
        <v>Coque de petróleo</v>
      </c>
      <c r="C517" s="22">
        <f ca="1">IFERROR(__xludf.DUMMYFUNCTION("""COMPUTED_VALUE"""),0)</f>
        <v>0</v>
      </c>
      <c r="D517" s="23">
        <f ca="1">IFERROR(__xludf.DUMMYFUNCTION("""COMPUTED_VALUE"""),0)</f>
        <v>0</v>
      </c>
      <c r="E517" s="23">
        <f ca="1">IFERROR(__xludf.DUMMYFUNCTION("""COMPUTED_VALUE"""),0)</f>
        <v>0</v>
      </c>
      <c r="F517" s="23">
        <f ca="1">IFERROR(__xludf.DUMMYFUNCTION("""COMPUTED_VALUE"""),0)</f>
        <v>0</v>
      </c>
      <c r="G517" s="23">
        <f ca="1">IFERROR(__xludf.DUMMYFUNCTION("""COMPUTED_VALUE"""),0)</f>
        <v>0</v>
      </c>
      <c r="H517" s="23">
        <f ca="1">IFERROR(__xludf.DUMMYFUNCTION("""COMPUTED_VALUE"""),0)</f>
        <v>0</v>
      </c>
      <c r="I517" s="23">
        <f ca="1">IFERROR(__xludf.DUMMYFUNCTION("""COMPUTED_VALUE"""),0)</f>
        <v>0</v>
      </c>
      <c r="J517" s="23">
        <f ca="1">IFERROR(__xludf.DUMMYFUNCTION("""COMPUTED_VALUE"""),0)</f>
        <v>0</v>
      </c>
      <c r="K517" s="23">
        <f ca="1">IFERROR(__xludf.DUMMYFUNCTION("""COMPUTED_VALUE"""),0)</f>
        <v>0</v>
      </c>
      <c r="L517" s="23">
        <f ca="1">IFERROR(__xludf.DUMMYFUNCTION("""COMPUTED_VALUE"""),0)</f>
        <v>0</v>
      </c>
      <c r="M517" s="23">
        <f ca="1">IFERROR(__xludf.DUMMYFUNCTION("""COMPUTED_VALUE"""),0)</f>
        <v>0</v>
      </c>
      <c r="N517" s="23">
        <f ca="1">IFERROR(__xludf.DUMMYFUNCTION("""COMPUTED_VALUE"""),0)</f>
        <v>0</v>
      </c>
      <c r="O517" s="23">
        <f ca="1">IFERROR(__xludf.DUMMYFUNCTION("""COMPUTED_VALUE"""),0)</f>
        <v>0</v>
      </c>
      <c r="P517" s="23">
        <f ca="1">IFERROR(__xludf.DUMMYFUNCTION("""COMPUTED_VALUE"""),0)</f>
        <v>0</v>
      </c>
      <c r="Q517" s="24">
        <f ca="1">IFERROR(__xludf.DUMMYFUNCTION("""COMPUTED_VALUE"""),0)</f>
        <v>0</v>
      </c>
      <c r="R517" s="20"/>
    </row>
    <row r="518" spans="1:18" ht="13.2" hidden="1" outlineLevel="1" x14ac:dyDescent="0.25">
      <c r="A518" s="1"/>
      <c r="B518" s="21" t="str">
        <f ca="1">IFERROR(__xludf.DUMMYFUNCTION("""COMPUTED_VALUE"""),"Gas licuado de petróleo")</f>
        <v>Gas licuado de petróleo</v>
      </c>
      <c r="C518" s="22">
        <f ca="1">IFERROR(__xludf.DUMMYFUNCTION("""COMPUTED_VALUE"""),0)</f>
        <v>0</v>
      </c>
      <c r="D518" s="23">
        <f ca="1">IFERROR(__xludf.DUMMYFUNCTION("""COMPUTED_VALUE"""),0)</f>
        <v>0</v>
      </c>
      <c r="E518" s="23">
        <f ca="1">IFERROR(__xludf.DUMMYFUNCTION("""COMPUTED_VALUE"""),0)</f>
        <v>0</v>
      </c>
      <c r="F518" s="23">
        <f ca="1">IFERROR(__xludf.DUMMYFUNCTION("""COMPUTED_VALUE"""),0)</f>
        <v>0</v>
      </c>
      <c r="G518" s="23">
        <f ca="1">IFERROR(__xludf.DUMMYFUNCTION("""COMPUTED_VALUE"""),0)</f>
        <v>0</v>
      </c>
      <c r="H518" s="23">
        <f ca="1">IFERROR(__xludf.DUMMYFUNCTION("""COMPUTED_VALUE"""),0)</f>
        <v>0</v>
      </c>
      <c r="I518" s="23">
        <f ca="1">IFERROR(__xludf.DUMMYFUNCTION("""COMPUTED_VALUE"""),0)</f>
        <v>0</v>
      </c>
      <c r="J518" s="23">
        <f ca="1">IFERROR(__xludf.DUMMYFUNCTION("""COMPUTED_VALUE"""),0)</f>
        <v>0</v>
      </c>
      <c r="K518" s="23">
        <f ca="1">IFERROR(__xludf.DUMMYFUNCTION("""COMPUTED_VALUE"""),0)</f>
        <v>0</v>
      </c>
      <c r="L518" s="23">
        <f ca="1">IFERROR(__xludf.DUMMYFUNCTION("""COMPUTED_VALUE"""),0)</f>
        <v>0</v>
      </c>
      <c r="M518" s="23">
        <f ca="1">IFERROR(__xludf.DUMMYFUNCTION("""COMPUTED_VALUE"""),0)</f>
        <v>0</v>
      </c>
      <c r="N518" s="23">
        <f ca="1">IFERROR(__xludf.DUMMYFUNCTION("""COMPUTED_VALUE"""),0)</f>
        <v>0</v>
      </c>
      <c r="O518" s="23">
        <f ca="1">IFERROR(__xludf.DUMMYFUNCTION("""COMPUTED_VALUE"""),0)</f>
        <v>0</v>
      </c>
      <c r="P518" s="23">
        <f ca="1">IFERROR(__xludf.DUMMYFUNCTION("""COMPUTED_VALUE"""),0)</f>
        <v>0</v>
      </c>
      <c r="Q518" s="24">
        <f ca="1">IFERROR(__xludf.DUMMYFUNCTION("""COMPUTED_VALUE"""),0)</f>
        <v>0</v>
      </c>
      <c r="R518" s="20"/>
    </row>
    <row r="519" spans="1:18" ht="13.2" hidden="1" outlineLevel="1" x14ac:dyDescent="0.25">
      <c r="A519" s="1"/>
      <c r="B519" s="21" t="str">
        <f ca="1">IFERROR(__xludf.DUMMYFUNCTION("""COMPUTED_VALUE"""),"Gasolinas y naftas")</f>
        <v>Gasolinas y naftas</v>
      </c>
      <c r="C519" s="22">
        <f ca="1">IFERROR(__xludf.DUMMYFUNCTION("""COMPUTED_VALUE"""),0)</f>
        <v>0</v>
      </c>
      <c r="D519" s="23">
        <f ca="1">IFERROR(__xludf.DUMMYFUNCTION("""COMPUTED_VALUE"""),0)</f>
        <v>0</v>
      </c>
      <c r="E519" s="23">
        <f ca="1">IFERROR(__xludf.DUMMYFUNCTION("""COMPUTED_VALUE"""),0)</f>
        <v>0</v>
      </c>
      <c r="F519" s="23">
        <f ca="1">IFERROR(__xludf.DUMMYFUNCTION("""COMPUTED_VALUE"""),0)</f>
        <v>0</v>
      </c>
      <c r="G519" s="23">
        <f ca="1">IFERROR(__xludf.DUMMYFUNCTION("""COMPUTED_VALUE"""),0)</f>
        <v>0</v>
      </c>
      <c r="H519" s="23">
        <f ca="1">IFERROR(__xludf.DUMMYFUNCTION("""COMPUTED_VALUE"""),0)</f>
        <v>0</v>
      </c>
      <c r="I519" s="23">
        <f ca="1">IFERROR(__xludf.DUMMYFUNCTION("""COMPUTED_VALUE"""),0)</f>
        <v>0</v>
      </c>
      <c r="J519" s="23">
        <f ca="1">IFERROR(__xludf.DUMMYFUNCTION("""COMPUTED_VALUE"""),0)</f>
        <v>0</v>
      </c>
      <c r="K519" s="23">
        <f ca="1">IFERROR(__xludf.DUMMYFUNCTION("""COMPUTED_VALUE"""),0)</f>
        <v>0</v>
      </c>
      <c r="L519" s="23">
        <f ca="1">IFERROR(__xludf.DUMMYFUNCTION("""COMPUTED_VALUE"""),0)</f>
        <v>0</v>
      </c>
      <c r="M519" s="23">
        <f ca="1">IFERROR(__xludf.DUMMYFUNCTION("""COMPUTED_VALUE"""),0)</f>
        <v>0</v>
      </c>
      <c r="N519" s="23">
        <f ca="1">IFERROR(__xludf.DUMMYFUNCTION("""COMPUTED_VALUE"""),0)</f>
        <v>0</v>
      </c>
      <c r="O519" s="23">
        <f ca="1">IFERROR(__xludf.DUMMYFUNCTION("""COMPUTED_VALUE"""),0)</f>
        <v>0</v>
      </c>
      <c r="P519" s="23">
        <f ca="1">IFERROR(__xludf.DUMMYFUNCTION("""COMPUTED_VALUE"""),0)</f>
        <v>0</v>
      </c>
      <c r="Q519" s="24">
        <f ca="1">IFERROR(__xludf.DUMMYFUNCTION("""COMPUTED_VALUE"""),0)</f>
        <v>0</v>
      </c>
      <c r="R519" s="20"/>
    </row>
    <row r="520" spans="1:18" ht="13.2" hidden="1" outlineLevel="1" x14ac:dyDescent="0.25">
      <c r="A520" s="1"/>
      <c r="B520" s="21" t="str">
        <f ca="1">IFERROR(__xludf.DUMMYFUNCTION("""COMPUTED_VALUE"""),"Querosenos")</f>
        <v>Querosenos</v>
      </c>
      <c r="C520" s="22">
        <f ca="1">IFERROR(__xludf.DUMMYFUNCTION("""COMPUTED_VALUE"""),0)</f>
        <v>0</v>
      </c>
      <c r="D520" s="23">
        <f ca="1">IFERROR(__xludf.DUMMYFUNCTION("""COMPUTED_VALUE"""),0)</f>
        <v>0</v>
      </c>
      <c r="E520" s="23">
        <f ca="1">IFERROR(__xludf.DUMMYFUNCTION("""COMPUTED_VALUE"""),0)</f>
        <v>0</v>
      </c>
      <c r="F520" s="23">
        <f ca="1">IFERROR(__xludf.DUMMYFUNCTION("""COMPUTED_VALUE"""),0)</f>
        <v>0</v>
      </c>
      <c r="G520" s="23">
        <f ca="1">IFERROR(__xludf.DUMMYFUNCTION("""COMPUTED_VALUE"""),0)</f>
        <v>0</v>
      </c>
      <c r="H520" s="23">
        <f ca="1">IFERROR(__xludf.DUMMYFUNCTION("""COMPUTED_VALUE"""),0)</f>
        <v>0</v>
      </c>
      <c r="I520" s="23">
        <f ca="1">IFERROR(__xludf.DUMMYFUNCTION("""COMPUTED_VALUE"""),0)</f>
        <v>0</v>
      </c>
      <c r="J520" s="23">
        <f ca="1">IFERROR(__xludf.DUMMYFUNCTION("""COMPUTED_VALUE"""),0)</f>
        <v>0</v>
      </c>
      <c r="K520" s="23">
        <f ca="1">IFERROR(__xludf.DUMMYFUNCTION("""COMPUTED_VALUE"""),0)</f>
        <v>0</v>
      </c>
      <c r="L520" s="23">
        <f ca="1">IFERROR(__xludf.DUMMYFUNCTION("""COMPUTED_VALUE"""),0)</f>
        <v>0</v>
      </c>
      <c r="M520" s="23">
        <f ca="1">IFERROR(__xludf.DUMMYFUNCTION("""COMPUTED_VALUE"""),0)</f>
        <v>0</v>
      </c>
      <c r="N520" s="23">
        <f ca="1">IFERROR(__xludf.DUMMYFUNCTION("""COMPUTED_VALUE"""),0)</f>
        <v>0</v>
      </c>
      <c r="O520" s="23">
        <f ca="1">IFERROR(__xludf.DUMMYFUNCTION("""COMPUTED_VALUE"""),0)</f>
        <v>0</v>
      </c>
      <c r="P520" s="23">
        <f ca="1">IFERROR(__xludf.DUMMYFUNCTION("""COMPUTED_VALUE"""),0)</f>
        <v>0</v>
      </c>
      <c r="Q520" s="24">
        <f ca="1">IFERROR(__xludf.DUMMYFUNCTION("""COMPUTED_VALUE"""),0)</f>
        <v>0</v>
      </c>
      <c r="R520" s="20"/>
    </row>
    <row r="521" spans="1:18" ht="13.2" hidden="1" outlineLevel="1" x14ac:dyDescent="0.25">
      <c r="A521" s="1"/>
      <c r="B521" s="21" t="str">
        <f ca="1">IFERROR(__xludf.DUMMYFUNCTION("""COMPUTED_VALUE"""),"Diesel")</f>
        <v>Diesel</v>
      </c>
      <c r="C521" s="22">
        <f ca="1">IFERROR(__xludf.DUMMYFUNCTION("""COMPUTED_VALUE"""),0)</f>
        <v>0</v>
      </c>
      <c r="D521" s="23">
        <f ca="1">IFERROR(__xludf.DUMMYFUNCTION("""COMPUTED_VALUE"""),0)</f>
        <v>0</v>
      </c>
      <c r="E521" s="23">
        <f ca="1">IFERROR(__xludf.DUMMYFUNCTION("""COMPUTED_VALUE"""),0)</f>
        <v>0</v>
      </c>
      <c r="F521" s="23">
        <f ca="1">IFERROR(__xludf.DUMMYFUNCTION("""COMPUTED_VALUE"""),0)</f>
        <v>0</v>
      </c>
      <c r="G521" s="23">
        <f ca="1">IFERROR(__xludf.DUMMYFUNCTION("""COMPUTED_VALUE"""),0)</f>
        <v>0</v>
      </c>
      <c r="H521" s="23">
        <f ca="1">IFERROR(__xludf.DUMMYFUNCTION("""COMPUTED_VALUE"""),0)</f>
        <v>0</v>
      </c>
      <c r="I521" s="23">
        <f ca="1">IFERROR(__xludf.DUMMYFUNCTION("""COMPUTED_VALUE"""),0)</f>
        <v>0</v>
      </c>
      <c r="J521" s="23">
        <f ca="1">IFERROR(__xludf.DUMMYFUNCTION("""COMPUTED_VALUE"""),0)</f>
        <v>0</v>
      </c>
      <c r="K521" s="23">
        <f ca="1">IFERROR(__xludf.DUMMYFUNCTION("""COMPUTED_VALUE"""),0)</f>
        <v>0</v>
      </c>
      <c r="L521" s="23">
        <f ca="1">IFERROR(__xludf.DUMMYFUNCTION("""COMPUTED_VALUE"""),0)</f>
        <v>0</v>
      </c>
      <c r="M521" s="23">
        <f ca="1">IFERROR(__xludf.DUMMYFUNCTION("""COMPUTED_VALUE"""),0)</f>
        <v>0</v>
      </c>
      <c r="N521" s="23">
        <f ca="1">IFERROR(__xludf.DUMMYFUNCTION("""COMPUTED_VALUE"""),0)</f>
        <v>0</v>
      </c>
      <c r="O521" s="23">
        <f ca="1">IFERROR(__xludf.DUMMYFUNCTION("""COMPUTED_VALUE"""),0)</f>
        <v>0</v>
      </c>
      <c r="P521" s="23">
        <f ca="1">IFERROR(__xludf.DUMMYFUNCTION("""COMPUTED_VALUE"""),0)</f>
        <v>0</v>
      </c>
      <c r="Q521" s="24">
        <f ca="1">IFERROR(__xludf.DUMMYFUNCTION("""COMPUTED_VALUE"""),0)</f>
        <v>0</v>
      </c>
      <c r="R521" s="20"/>
    </row>
    <row r="522" spans="1:18" ht="13.2" hidden="1" outlineLevel="1" x14ac:dyDescent="0.25">
      <c r="A522" s="1"/>
      <c r="B522" s="21" t="str">
        <f ca="1">IFERROR(__xludf.DUMMYFUNCTION("""COMPUTED_VALUE"""),"Combustóleo")</f>
        <v>Combustóleo</v>
      </c>
      <c r="C522" s="22">
        <f ca="1">IFERROR(__xludf.DUMMYFUNCTION("""COMPUTED_VALUE"""),0)</f>
        <v>0</v>
      </c>
      <c r="D522" s="23">
        <f ca="1">IFERROR(__xludf.DUMMYFUNCTION("""COMPUTED_VALUE"""),0)</f>
        <v>0</v>
      </c>
      <c r="E522" s="23">
        <f ca="1">IFERROR(__xludf.DUMMYFUNCTION("""COMPUTED_VALUE"""),0)</f>
        <v>0</v>
      </c>
      <c r="F522" s="23">
        <f ca="1">IFERROR(__xludf.DUMMYFUNCTION("""COMPUTED_VALUE"""),0)</f>
        <v>0</v>
      </c>
      <c r="G522" s="23">
        <f ca="1">IFERROR(__xludf.DUMMYFUNCTION("""COMPUTED_VALUE"""),0)</f>
        <v>0</v>
      </c>
      <c r="H522" s="23">
        <f ca="1">IFERROR(__xludf.DUMMYFUNCTION("""COMPUTED_VALUE"""),0)</f>
        <v>0</v>
      </c>
      <c r="I522" s="23">
        <f ca="1">IFERROR(__xludf.DUMMYFUNCTION("""COMPUTED_VALUE"""),0)</f>
        <v>0</v>
      </c>
      <c r="J522" s="23">
        <f ca="1">IFERROR(__xludf.DUMMYFUNCTION("""COMPUTED_VALUE"""),0)</f>
        <v>0</v>
      </c>
      <c r="K522" s="23">
        <f ca="1">IFERROR(__xludf.DUMMYFUNCTION("""COMPUTED_VALUE"""),0)</f>
        <v>0</v>
      </c>
      <c r="L522" s="23">
        <f ca="1">IFERROR(__xludf.DUMMYFUNCTION("""COMPUTED_VALUE"""),0)</f>
        <v>0</v>
      </c>
      <c r="M522" s="23">
        <f ca="1">IFERROR(__xludf.DUMMYFUNCTION("""COMPUTED_VALUE"""),0)</f>
        <v>0</v>
      </c>
      <c r="N522" s="23">
        <f ca="1">IFERROR(__xludf.DUMMYFUNCTION("""COMPUTED_VALUE"""),0)</f>
        <v>0</v>
      </c>
      <c r="O522" s="23">
        <f ca="1">IFERROR(__xludf.DUMMYFUNCTION("""COMPUTED_VALUE"""),0)</f>
        <v>0</v>
      </c>
      <c r="P522" s="23">
        <f ca="1">IFERROR(__xludf.DUMMYFUNCTION("""COMPUTED_VALUE"""),0)</f>
        <v>0</v>
      </c>
      <c r="Q522" s="24">
        <f ca="1">IFERROR(__xludf.DUMMYFUNCTION("""COMPUTED_VALUE"""),0)</f>
        <v>0</v>
      </c>
      <c r="R522" s="20"/>
    </row>
    <row r="523" spans="1:18" ht="13.2" hidden="1" outlineLevel="1" x14ac:dyDescent="0.25">
      <c r="A523" s="1"/>
      <c r="B523" s="21" t="str">
        <f ca="1">IFERROR(__xludf.DUMMYFUNCTION("""COMPUTED_VALUE"""),"Otros energéticos")</f>
        <v>Otros energéticos</v>
      </c>
      <c r="C523" s="22">
        <f ca="1">IFERROR(__xludf.DUMMYFUNCTION("""COMPUTED_VALUE"""),0)</f>
        <v>0</v>
      </c>
      <c r="D523" s="23">
        <f ca="1">IFERROR(__xludf.DUMMYFUNCTION("""COMPUTED_VALUE"""),0)</f>
        <v>0</v>
      </c>
      <c r="E523" s="23">
        <f ca="1">IFERROR(__xludf.DUMMYFUNCTION("""COMPUTED_VALUE"""),0)</f>
        <v>0</v>
      </c>
      <c r="F523" s="23">
        <f ca="1">IFERROR(__xludf.DUMMYFUNCTION("""COMPUTED_VALUE"""),0)</f>
        <v>0</v>
      </c>
      <c r="G523" s="23">
        <f ca="1">IFERROR(__xludf.DUMMYFUNCTION("""COMPUTED_VALUE"""),0)</f>
        <v>0</v>
      </c>
      <c r="H523" s="23">
        <f ca="1">IFERROR(__xludf.DUMMYFUNCTION("""COMPUTED_VALUE"""),0)</f>
        <v>0</v>
      </c>
      <c r="I523" s="23">
        <f ca="1">IFERROR(__xludf.DUMMYFUNCTION("""COMPUTED_VALUE"""),0)</f>
        <v>0</v>
      </c>
      <c r="J523" s="23">
        <f ca="1">IFERROR(__xludf.DUMMYFUNCTION("""COMPUTED_VALUE"""),0)</f>
        <v>0</v>
      </c>
      <c r="K523" s="23">
        <f ca="1">IFERROR(__xludf.DUMMYFUNCTION("""COMPUTED_VALUE"""),0)</f>
        <v>0</v>
      </c>
      <c r="L523" s="23">
        <f ca="1">IFERROR(__xludf.DUMMYFUNCTION("""COMPUTED_VALUE"""),0)</f>
        <v>0</v>
      </c>
      <c r="M523" s="23">
        <f ca="1">IFERROR(__xludf.DUMMYFUNCTION("""COMPUTED_VALUE"""),0)</f>
        <v>0</v>
      </c>
      <c r="N523" s="23">
        <f ca="1">IFERROR(__xludf.DUMMYFUNCTION("""COMPUTED_VALUE"""),0)</f>
        <v>0</v>
      </c>
      <c r="O523" s="23">
        <f ca="1">IFERROR(__xludf.DUMMYFUNCTION("""COMPUTED_VALUE"""),0)</f>
        <v>0</v>
      </c>
      <c r="P523" s="23">
        <f ca="1">IFERROR(__xludf.DUMMYFUNCTION("""COMPUTED_VALUE"""),0)</f>
        <v>0</v>
      </c>
      <c r="Q523" s="24">
        <f ca="1">IFERROR(__xludf.DUMMYFUNCTION("""COMPUTED_VALUE"""),0)</f>
        <v>0</v>
      </c>
      <c r="R523" s="20"/>
    </row>
    <row r="524" spans="1:18" ht="13.2" hidden="1" outlineLevel="1" x14ac:dyDescent="0.25">
      <c r="A524" s="1"/>
      <c r="B524" s="21" t="str">
        <f ca="1">IFERROR(__xludf.DUMMYFUNCTION("""COMPUTED_VALUE"""),"Gas natural seco")</f>
        <v>Gas natural seco</v>
      </c>
      <c r="C524" s="22">
        <f ca="1">IFERROR(__xludf.DUMMYFUNCTION("""COMPUTED_VALUE"""),0)</f>
        <v>0</v>
      </c>
      <c r="D524" s="23">
        <f ca="1">IFERROR(__xludf.DUMMYFUNCTION("""COMPUTED_VALUE"""),0)</f>
        <v>0</v>
      </c>
      <c r="E524" s="23">
        <f ca="1">IFERROR(__xludf.DUMMYFUNCTION("""COMPUTED_VALUE"""),0)</f>
        <v>0</v>
      </c>
      <c r="F524" s="23">
        <f ca="1">IFERROR(__xludf.DUMMYFUNCTION("""COMPUTED_VALUE"""),0)</f>
        <v>0</v>
      </c>
      <c r="G524" s="23">
        <f ca="1">IFERROR(__xludf.DUMMYFUNCTION("""COMPUTED_VALUE"""),0)</f>
        <v>0</v>
      </c>
      <c r="H524" s="23">
        <f ca="1">IFERROR(__xludf.DUMMYFUNCTION("""COMPUTED_VALUE"""),0)</f>
        <v>0</v>
      </c>
      <c r="I524" s="23">
        <f ca="1">IFERROR(__xludf.DUMMYFUNCTION("""COMPUTED_VALUE"""),0)</f>
        <v>0</v>
      </c>
      <c r="J524" s="23">
        <f ca="1">IFERROR(__xludf.DUMMYFUNCTION("""COMPUTED_VALUE"""),0)</f>
        <v>0</v>
      </c>
      <c r="K524" s="23">
        <f ca="1">IFERROR(__xludf.DUMMYFUNCTION("""COMPUTED_VALUE"""),0)</f>
        <v>0</v>
      </c>
      <c r="L524" s="23">
        <f ca="1">IFERROR(__xludf.DUMMYFUNCTION("""COMPUTED_VALUE"""),0)</f>
        <v>0</v>
      </c>
      <c r="M524" s="23">
        <f ca="1">IFERROR(__xludf.DUMMYFUNCTION("""COMPUTED_VALUE"""),0)</f>
        <v>0</v>
      </c>
      <c r="N524" s="23">
        <f ca="1">IFERROR(__xludf.DUMMYFUNCTION("""COMPUTED_VALUE"""),0)</f>
        <v>0</v>
      </c>
      <c r="O524" s="23">
        <f ca="1">IFERROR(__xludf.DUMMYFUNCTION("""COMPUTED_VALUE"""),0)</f>
        <v>0</v>
      </c>
      <c r="P524" s="23">
        <f ca="1">IFERROR(__xludf.DUMMYFUNCTION("""COMPUTED_VALUE"""),0)</f>
        <v>0</v>
      </c>
      <c r="Q524" s="24">
        <f ca="1">IFERROR(__xludf.DUMMYFUNCTION("""COMPUTED_VALUE"""),0)</f>
        <v>0</v>
      </c>
      <c r="R524" s="20"/>
    </row>
    <row r="525" spans="1:18" ht="13.2" hidden="1" outlineLevel="1" x14ac:dyDescent="0.25">
      <c r="A525" s="1"/>
      <c r="B525" s="25" t="str">
        <f ca="1">IFERROR(__xludf.DUMMYFUNCTION("""COMPUTED_VALUE"""),"Energía eléctrica")</f>
        <v>Energía eléctrica</v>
      </c>
      <c r="C525" s="26">
        <f ca="1">IFERROR(__xludf.DUMMYFUNCTION("""COMPUTED_VALUE"""),26.1476125285609)</f>
        <v>26.147612528560899</v>
      </c>
      <c r="D525" s="27">
        <f ca="1">IFERROR(__xludf.DUMMYFUNCTION("""COMPUTED_VALUE"""),24.9251291670305)</f>
        <v>24.925129167030502</v>
      </c>
      <c r="E525" s="27">
        <f ca="1">IFERROR(__xludf.DUMMYFUNCTION("""COMPUTED_VALUE"""),22.327188173934)</f>
        <v>22.327188173934001</v>
      </c>
      <c r="F525" s="27">
        <f ca="1">IFERROR(__xludf.DUMMYFUNCTION("""COMPUTED_VALUE"""),23.175717381527)</f>
        <v>23.175717381527001</v>
      </c>
      <c r="G525" s="27">
        <f ca="1">IFERROR(__xludf.DUMMYFUNCTION("""COMPUTED_VALUE"""),23.0242877891964)</f>
        <v>23.0242877891964</v>
      </c>
      <c r="H525" s="27">
        <f ca="1">IFERROR(__xludf.DUMMYFUNCTION("""COMPUTED_VALUE"""),24.1187646095076)</f>
        <v>24.1187646095076</v>
      </c>
      <c r="I525" s="27">
        <f ca="1">IFERROR(__xludf.DUMMYFUNCTION("""COMPUTED_VALUE"""),23.4029827358107)</f>
        <v>23.402982735810699</v>
      </c>
      <c r="J525" s="27">
        <f ca="1">IFERROR(__xludf.DUMMYFUNCTION("""COMPUTED_VALUE"""),21.5742567840289)</f>
        <v>21.574256784028901</v>
      </c>
      <c r="K525" s="27">
        <f ca="1">IFERROR(__xludf.DUMMYFUNCTION("""COMPUTED_VALUE"""),19.2323005192619)</f>
        <v>19.232300519261901</v>
      </c>
      <c r="L525" s="27">
        <f ca="1">IFERROR(__xludf.DUMMYFUNCTION("""COMPUTED_VALUE"""),19.0343730674253)</f>
        <v>19.0343730674253</v>
      </c>
      <c r="M525" s="27">
        <f ca="1">IFERROR(__xludf.DUMMYFUNCTION("""COMPUTED_VALUE"""),17.3822468699693)</f>
        <v>17.3822468699693</v>
      </c>
      <c r="N525" s="27">
        <f ca="1">IFERROR(__xludf.DUMMYFUNCTION("""COMPUTED_VALUE"""),15.9981830993973)</f>
        <v>15.9981830993973</v>
      </c>
      <c r="O525" s="27">
        <f ca="1">IFERROR(__xludf.DUMMYFUNCTION("""COMPUTED_VALUE"""),16.7831027503868)</f>
        <v>16.783102750386799</v>
      </c>
      <c r="P525" s="27">
        <f ca="1">IFERROR(__xludf.DUMMYFUNCTION("""COMPUTED_VALUE"""),15.7211861420111)</f>
        <v>15.721186142011099</v>
      </c>
      <c r="Q525" s="28">
        <f ca="1">IFERROR(__xludf.DUMMYFUNCTION("""COMPUTED_VALUE"""),13.4321326915773)</f>
        <v>13.4321326915773</v>
      </c>
      <c r="R525" s="20"/>
    </row>
    <row r="526" spans="1:18" ht="13.2" hidden="1" outlineLevel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0"/>
    </row>
    <row r="527" spans="1:18" ht="13.2" collapsed="1" x14ac:dyDescent="0.25">
      <c r="A527" s="30"/>
      <c r="B527" s="5" t="str">
        <f ca="1">IFERROR(__xludf.DUMMYFUNCTION("""COMPUTED_VALUE"""),"CE.EO(e,a)")</f>
        <v>CE.EO(e,a)</v>
      </c>
      <c r="C527" s="6" t="str">
        <f ca="1">IFERROR(__xludf.DUMMYFUNCTION("""COMPUTED_VALUE"""),"-/+")</f>
        <v>-/+</v>
      </c>
      <c r="D527" s="7" t="str">
        <f ca="1">IFERROR(__xludf.DUMMYFUNCTION("""COMPUTED_VALUE"""),"Eólica por energético e y año a.")</f>
        <v>Eólica por energético e y año a.</v>
      </c>
      <c r="E527" s="6" t="str">
        <f ca="1">IFERROR(__xludf.DUMMYFUNCTION("""COMPUTED_VALUE"""),"cbne")</f>
        <v>cbne</v>
      </c>
      <c r="F527" s="6" t="str">
        <f ca="1">IFERROR(__xludf.DUMMYFUNCTION("""COMPUTED_VALUE"""),"a")</f>
        <v>a</v>
      </c>
      <c r="G527" s="8" t="str">
        <f ca="1">IFERROR(__xludf.DUMMYFUNCTION("""COMPUTED_VALUE"""),"PJ")</f>
        <v>PJ</v>
      </c>
      <c r="H527" s="9"/>
      <c r="I527" s="1"/>
      <c r="J527" s="1"/>
      <c r="K527" s="1"/>
      <c r="L527" s="1"/>
      <c r="M527" s="1"/>
      <c r="N527" s="1"/>
      <c r="O527" s="1"/>
      <c r="P527" s="1"/>
      <c r="Q527" s="1"/>
      <c r="R527" s="10"/>
    </row>
    <row r="528" spans="1:18" ht="13.2" hidden="1" outlineLevel="1" x14ac:dyDescent="0.25">
      <c r="A528" s="1"/>
      <c r="B528" s="11"/>
      <c r="C528" s="12">
        <f ca="1">IFERROR(__xludf.DUMMYFUNCTION("""COMPUTED_VALUE"""),2010)</f>
        <v>2010</v>
      </c>
      <c r="D528" s="13">
        <f ca="1">IFERROR(__xludf.DUMMYFUNCTION("""COMPUTED_VALUE"""),2011)</f>
        <v>2011</v>
      </c>
      <c r="E528" s="13">
        <f ca="1">IFERROR(__xludf.DUMMYFUNCTION("""COMPUTED_VALUE"""),2012)</f>
        <v>2012</v>
      </c>
      <c r="F528" s="13">
        <f ca="1">IFERROR(__xludf.DUMMYFUNCTION("""COMPUTED_VALUE"""),2013)</f>
        <v>2013</v>
      </c>
      <c r="G528" s="13">
        <f ca="1">IFERROR(__xludf.DUMMYFUNCTION("""COMPUTED_VALUE"""),2014)</f>
        <v>2014</v>
      </c>
      <c r="H528" s="13">
        <f ca="1">IFERROR(__xludf.DUMMYFUNCTION("""COMPUTED_VALUE"""),2015)</f>
        <v>2015</v>
      </c>
      <c r="I528" s="13">
        <f ca="1">IFERROR(__xludf.DUMMYFUNCTION("""COMPUTED_VALUE"""),2016)</f>
        <v>2016</v>
      </c>
      <c r="J528" s="13">
        <f ca="1">IFERROR(__xludf.DUMMYFUNCTION("""COMPUTED_VALUE"""),2017)</f>
        <v>2017</v>
      </c>
      <c r="K528" s="13">
        <f ca="1">IFERROR(__xludf.DUMMYFUNCTION("""COMPUTED_VALUE"""),2018)</f>
        <v>2018</v>
      </c>
      <c r="L528" s="13">
        <f ca="1">IFERROR(__xludf.DUMMYFUNCTION("""COMPUTED_VALUE"""),2019)</f>
        <v>2019</v>
      </c>
      <c r="M528" s="13">
        <f ca="1">IFERROR(__xludf.DUMMYFUNCTION("""COMPUTED_VALUE"""),2020)</f>
        <v>2020</v>
      </c>
      <c r="N528" s="13">
        <f ca="1">IFERROR(__xludf.DUMMYFUNCTION("""COMPUTED_VALUE"""),2021)</f>
        <v>2021</v>
      </c>
      <c r="O528" s="13">
        <f ca="1">IFERROR(__xludf.DUMMYFUNCTION("""COMPUTED_VALUE"""),2022)</f>
        <v>2022</v>
      </c>
      <c r="P528" s="13">
        <f ca="1">IFERROR(__xludf.DUMMYFUNCTION("""COMPUTED_VALUE"""),2023)</f>
        <v>2023</v>
      </c>
      <c r="Q528" s="14">
        <f ca="1">IFERROR(__xludf.DUMMYFUNCTION("""COMPUTED_VALUE"""),2024)</f>
        <v>2024</v>
      </c>
      <c r="R528" s="15"/>
    </row>
    <row r="529" spans="1:18" ht="13.2" hidden="1" outlineLevel="1" x14ac:dyDescent="0.25">
      <c r="A529" s="1"/>
      <c r="B529" s="16" t="str">
        <f ca="1">IFERROR(__xludf.DUMMYFUNCTION("""COMPUTED_VALUE"""),"Carbón mineral")</f>
        <v>Carbón mineral</v>
      </c>
      <c r="C529" s="17">
        <f ca="1">IFERROR(__xludf.DUMMYFUNCTION("""COMPUTED_VALUE"""),0)</f>
        <v>0</v>
      </c>
      <c r="D529" s="18">
        <f ca="1">IFERROR(__xludf.DUMMYFUNCTION("""COMPUTED_VALUE"""),0)</f>
        <v>0</v>
      </c>
      <c r="E529" s="18">
        <f ca="1">IFERROR(__xludf.DUMMYFUNCTION("""COMPUTED_VALUE"""),0)</f>
        <v>0</v>
      </c>
      <c r="F529" s="18">
        <f ca="1">IFERROR(__xludf.DUMMYFUNCTION("""COMPUTED_VALUE"""),0)</f>
        <v>0</v>
      </c>
      <c r="G529" s="18">
        <f ca="1">IFERROR(__xludf.DUMMYFUNCTION("""COMPUTED_VALUE"""),0)</f>
        <v>0</v>
      </c>
      <c r="H529" s="18">
        <f ca="1">IFERROR(__xludf.DUMMYFUNCTION("""COMPUTED_VALUE"""),0)</f>
        <v>0</v>
      </c>
      <c r="I529" s="18">
        <f ca="1">IFERROR(__xludf.DUMMYFUNCTION("""COMPUTED_VALUE"""),0)</f>
        <v>0</v>
      </c>
      <c r="J529" s="18">
        <f ca="1">IFERROR(__xludf.DUMMYFUNCTION("""COMPUTED_VALUE"""),0)</f>
        <v>0</v>
      </c>
      <c r="K529" s="18">
        <f ca="1">IFERROR(__xludf.DUMMYFUNCTION("""COMPUTED_VALUE"""),0)</f>
        <v>0</v>
      </c>
      <c r="L529" s="18">
        <f ca="1">IFERROR(__xludf.DUMMYFUNCTION("""COMPUTED_VALUE"""),0)</f>
        <v>0</v>
      </c>
      <c r="M529" s="18">
        <f ca="1">IFERROR(__xludf.DUMMYFUNCTION("""COMPUTED_VALUE"""),0)</f>
        <v>0</v>
      </c>
      <c r="N529" s="18">
        <f ca="1">IFERROR(__xludf.DUMMYFUNCTION("""COMPUTED_VALUE"""),0)</f>
        <v>0</v>
      </c>
      <c r="O529" s="18">
        <f ca="1">IFERROR(__xludf.DUMMYFUNCTION("""COMPUTED_VALUE"""),0)</f>
        <v>0</v>
      </c>
      <c r="P529" s="18">
        <f ca="1">IFERROR(__xludf.DUMMYFUNCTION("""COMPUTED_VALUE"""),0)</f>
        <v>0</v>
      </c>
      <c r="Q529" s="19">
        <f ca="1">IFERROR(__xludf.DUMMYFUNCTION("""COMPUTED_VALUE"""),0)</f>
        <v>0</v>
      </c>
      <c r="R529" s="20"/>
    </row>
    <row r="530" spans="1:18" ht="13.2" hidden="1" outlineLevel="1" x14ac:dyDescent="0.25">
      <c r="A530" s="1"/>
      <c r="B530" s="21" t="str">
        <f ca="1">IFERROR(__xludf.DUMMYFUNCTION("""COMPUTED_VALUE"""),"Petróleo crudo")</f>
        <v>Petróleo crudo</v>
      </c>
      <c r="C530" s="22">
        <f ca="1">IFERROR(__xludf.DUMMYFUNCTION("""COMPUTED_VALUE"""),0)</f>
        <v>0</v>
      </c>
      <c r="D530" s="23">
        <f ca="1">IFERROR(__xludf.DUMMYFUNCTION("""COMPUTED_VALUE"""),0)</f>
        <v>0</v>
      </c>
      <c r="E530" s="23">
        <f ca="1">IFERROR(__xludf.DUMMYFUNCTION("""COMPUTED_VALUE"""),0)</f>
        <v>0</v>
      </c>
      <c r="F530" s="23">
        <f ca="1">IFERROR(__xludf.DUMMYFUNCTION("""COMPUTED_VALUE"""),0)</f>
        <v>0</v>
      </c>
      <c r="G530" s="23">
        <f ca="1">IFERROR(__xludf.DUMMYFUNCTION("""COMPUTED_VALUE"""),0)</f>
        <v>0</v>
      </c>
      <c r="H530" s="23">
        <f ca="1">IFERROR(__xludf.DUMMYFUNCTION("""COMPUTED_VALUE"""),0)</f>
        <v>0</v>
      </c>
      <c r="I530" s="23">
        <f ca="1">IFERROR(__xludf.DUMMYFUNCTION("""COMPUTED_VALUE"""),0)</f>
        <v>0</v>
      </c>
      <c r="J530" s="23">
        <f ca="1">IFERROR(__xludf.DUMMYFUNCTION("""COMPUTED_VALUE"""),0)</f>
        <v>0</v>
      </c>
      <c r="K530" s="23">
        <f ca="1">IFERROR(__xludf.DUMMYFUNCTION("""COMPUTED_VALUE"""),0)</f>
        <v>0</v>
      </c>
      <c r="L530" s="23">
        <f ca="1">IFERROR(__xludf.DUMMYFUNCTION("""COMPUTED_VALUE"""),0)</f>
        <v>0</v>
      </c>
      <c r="M530" s="23">
        <f ca="1">IFERROR(__xludf.DUMMYFUNCTION("""COMPUTED_VALUE"""),0)</f>
        <v>0</v>
      </c>
      <c r="N530" s="23">
        <f ca="1">IFERROR(__xludf.DUMMYFUNCTION("""COMPUTED_VALUE"""),0)</f>
        <v>0</v>
      </c>
      <c r="O530" s="23">
        <f ca="1">IFERROR(__xludf.DUMMYFUNCTION("""COMPUTED_VALUE"""),0)</f>
        <v>0</v>
      </c>
      <c r="P530" s="23">
        <f ca="1">IFERROR(__xludf.DUMMYFUNCTION("""COMPUTED_VALUE"""),0)</f>
        <v>0</v>
      </c>
      <c r="Q530" s="24">
        <f ca="1">IFERROR(__xludf.DUMMYFUNCTION("""COMPUTED_VALUE"""),0)</f>
        <v>0</v>
      </c>
      <c r="R530" s="20"/>
    </row>
    <row r="531" spans="1:18" ht="13.2" hidden="1" outlineLevel="1" x14ac:dyDescent="0.25">
      <c r="A531" s="1"/>
      <c r="B531" s="21" t="str">
        <f ca="1">IFERROR(__xludf.DUMMYFUNCTION("""COMPUTED_VALUE"""),"Condensados")</f>
        <v>Condensados</v>
      </c>
      <c r="C531" s="22">
        <f ca="1">IFERROR(__xludf.DUMMYFUNCTION("""COMPUTED_VALUE"""),0)</f>
        <v>0</v>
      </c>
      <c r="D531" s="23">
        <f ca="1">IFERROR(__xludf.DUMMYFUNCTION("""COMPUTED_VALUE"""),0)</f>
        <v>0</v>
      </c>
      <c r="E531" s="23">
        <f ca="1">IFERROR(__xludf.DUMMYFUNCTION("""COMPUTED_VALUE"""),0)</f>
        <v>0</v>
      </c>
      <c r="F531" s="23">
        <f ca="1">IFERROR(__xludf.DUMMYFUNCTION("""COMPUTED_VALUE"""),0)</f>
        <v>0</v>
      </c>
      <c r="G531" s="23">
        <f ca="1">IFERROR(__xludf.DUMMYFUNCTION("""COMPUTED_VALUE"""),0)</f>
        <v>0</v>
      </c>
      <c r="H531" s="23">
        <f ca="1">IFERROR(__xludf.DUMMYFUNCTION("""COMPUTED_VALUE"""),0)</f>
        <v>0</v>
      </c>
      <c r="I531" s="23">
        <f ca="1">IFERROR(__xludf.DUMMYFUNCTION("""COMPUTED_VALUE"""),0)</f>
        <v>0</v>
      </c>
      <c r="J531" s="23">
        <f ca="1">IFERROR(__xludf.DUMMYFUNCTION("""COMPUTED_VALUE"""),0)</f>
        <v>0</v>
      </c>
      <c r="K531" s="23">
        <f ca="1">IFERROR(__xludf.DUMMYFUNCTION("""COMPUTED_VALUE"""),0)</f>
        <v>0</v>
      </c>
      <c r="L531" s="23">
        <f ca="1">IFERROR(__xludf.DUMMYFUNCTION("""COMPUTED_VALUE"""),0)</f>
        <v>0</v>
      </c>
      <c r="M531" s="23">
        <f ca="1">IFERROR(__xludf.DUMMYFUNCTION("""COMPUTED_VALUE"""),0)</f>
        <v>0</v>
      </c>
      <c r="N531" s="23">
        <f ca="1">IFERROR(__xludf.DUMMYFUNCTION("""COMPUTED_VALUE"""),0)</f>
        <v>0</v>
      </c>
      <c r="O531" s="23">
        <f ca="1">IFERROR(__xludf.DUMMYFUNCTION("""COMPUTED_VALUE"""),0)</f>
        <v>0</v>
      </c>
      <c r="P531" s="23">
        <f ca="1">IFERROR(__xludf.DUMMYFUNCTION("""COMPUTED_VALUE"""),0)</f>
        <v>0</v>
      </c>
      <c r="Q531" s="24">
        <f ca="1">IFERROR(__xludf.DUMMYFUNCTION("""COMPUTED_VALUE"""),0)</f>
        <v>0</v>
      </c>
      <c r="R531" s="20"/>
    </row>
    <row r="532" spans="1:18" ht="13.2" hidden="1" outlineLevel="1" x14ac:dyDescent="0.25">
      <c r="A532" s="1"/>
      <c r="B532" s="21" t="str">
        <f ca="1">IFERROR(__xludf.DUMMYFUNCTION("""COMPUTED_VALUE"""),"Gas natural")</f>
        <v>Gas natural</v>
      </c>
      <c r="C532" s="22">
        <f ca="1">IFERROR(__xludf.DUMMYFUNCTION("""COMPUTED_VALUE"""),0)</f>
        <v>0</v>
      </c>
      <c r="D532" s="23">
        <f ca="1">IFERROR(__xludf.DUMMYFUNCTION("""COMPUTED_VALUE"""),0)</f>
        <v>0</v>
      </c>
      <c r="E532" s="23">
        <f ca="1">IFERROR(__xludf.DUMMYFUNCTION("""COMPUTED_VALUE"""),0)</f>
        <v>0</v>
      </c>
      <c r="F532" s="23">
        <f ca="1">IFERROR(__xludf.DUMMYFUNCTION("""COMPUTED_VALUE"""),0)</f>
        <v>0</v>
      </c>
      <c r="G532" s="23">
        <f ca="1">IFERROR(__xludf.DUMMYFUNCTION("""COMPUTED_VALUE"""),0)</f>
        <v>0</v>
      </c>
      <c r="H532" s="23">
        <f ca="1">IFERROR(__xludf.DUMMYFUNCTION("""COMPUTED_VALUE"""),0)</f>
        <v>0</v>
      </c>
      <c r="I532" s="23">
        <f ca="1">IFERROR(__xludf.DUMMYFUNCTION("""COMPUTED_VALUE"""),0)</f>
        <v>0</v>
      </c>
      <c r="J532" s="23">
        <f ca="1">IFERROR(__xludf.DUMMYFUNCTION("""COMPUTED_VALUE"""),0)</f>
        <v>0</v>
      </c>
      <c r="K532" s="23">
        <f ca="1">IFERROR(__xludf.DUMMYFUNCTION("""COMPUTED_VALUE"""),0)</f>
        <v>0</v>
      </c>
      <c r="L532" s="23">
        <f ca="1">IFERROR(__xludf.DUMMYFUNCTION("""COMPUTED_VALUE"""),0)</f>
        <v>0</v>
      </c>
      <c r="M532" s="23">
        <f ca="1">IFERROR(__xludf.DUMMYFUNCTION("""COMPUTED_VALUE"""),0)</f>
        <v>0</v>
      </c>
      <c r="N532" s="23">
        <f ca="1">IFERROR(__xludf.DUMMYFUNCTION("""COMPUTED_VALUE"""),0)</f>
        <v>0</v>
      </c>
      <c r="O532" s="23">
        <f ca="1">IFERROR(__xludf.DUMMYFUNCTION("""COMPUTED_VALUE"""),0)</f>
        <v>0</v>
      </c>
      <c r="P532" s="23">
        <f ca="1">IFERROR(__xludf.DUMMYFUNCTION("""COMPUTED_VALUE"""),0)</f>
        <v>0</v>
      </c>
      <c r="Q532" s="24">
        <f ca="1">IFERROR(__xludf.DUMMYFUNCTION("""COMPUTED_VALUE"""),0)</f>
        <v>0</v>
      </c>
      <c r="R532" s="20"/>
    </row>
    <row r="533" spans="1:18" ht="13.2" hidden="1" outlineLevel="1" x14ac:dyDescent="0.25">
      <c r="A533" s="1"/>
      <c r="B533" s="21" t="str">
        <f ca="1">IFERROR(__xludf.DUMMYFUNCTION("""COMPUTED_VALUE"""),"Energía Nuclear")</f>
        <v>Energía Nuclear</v>
      </c>
      <c r="C533" s="22">
        <f ca="1">IFERROR(__xludf.DUMMYFUNCTION("""COMPUTED_VALUE"""),0)</f>
        <v>0</v>
      </c>
      <c r="D533" s="23">
        <f ca="1">IFERROR(__xludf.DUMMYFUNCTION("""COMPUTED_VALUE"""),0)</f>
        <v>0</v>
      </c>
      <c r="E533" s="23">
        <f ca="1">IFERROR(__xludf.DUMMYFUNCTION("""COMPUTED_VALUE"""),0)</f>
        <v>0</v>
      </c>
      <c r="F533" s="23">
        <f ca="1">IFERROR(__xludf.DUMMYFUNCTION("""COMPUTED_VALUE"""),0)</f>
        <v>0</v>
      </c>
      <c r="G533" s="23">
        <f ca="1">IFERROR(__xludf.DUMMYFUNCTION("""COMPUTED_VALUE"""),0)</f>
        <v>0</v>
      </c>
      <c r="H533" s="23">
        <f ca="1">IFERROR(__xludf.DUMMYFUNCTION("""COMPUTED_VALUE"""),0)</f>
        <v>0</v>
      </c>
      <c r="I533" s="23">
        <f ca="1">IFERROR(__xludf.DUMMYFUNCTION("""COMPUTED_VALUE"""),0)</f>
        <v>0</v>
      </c>
      <c r="J533" s="23">
        <f ca="1">IFERROR(__xludf.DUMMYFUNCTION("""COMPUTED_VALUE"""),0)</f>
        <v>0</v>
      </c>
      <c r="K533" s="23">
        <f ca="1">IFERROR(__xludf.DUMMYFUNCTION("""COMPUTED_VALUE"""),0)</f>
        <v>0</v>
      </c>
      <c r="L533" s="23">
        <f ca="1">IFERROR(__xludf.DUMMYFUNCTION("""COMPUTED_VALUE"""),0)</f>
        <v>0</v>
      </c>
      <c r="M533" s="23">
        <f ca="1">IFERROR(__xludf.DUMMYFUNCTION("""COMPUTED_VALUE"""),0)</f>
        <v>0</v>
      </c>
      <c r="N533" s="23">
        <f ca="1">IFERROR(__xludf.DUMMYFUNCTION("""COMPUTED_VALUE"""),0)</f>
        <v>0</v>
      </c>
      <c r="O533" s="23">
        <f ca="1">IFERROR(__xludf.DUMMYFUNCTION("""COMPUTED_VALUE"""),0)</f>
        <v>0</v>
      </c>
      <c r="P533" s="23">
        <f ca="1">IFERROR(__xludf.DUMMYFUNCTION("""COMPUTED_VALUE"""),0)</f>
        <v>0</v>
      </c>
      <c r="Q533" s="24">
        <f ca="1">IFERROR(__xludf.DUMMYFUNCTION("""COMPUTED_VALUE"""),0)</f>
        <v>0</v>
      </c>
      <c r="R533" s="20"/>
    </row>
    <row r="534" spans="1:18" ht="13.2" hidden="1" outlineLevel="1" x14ac:dyDescent="0.25">
      <c r="A534" s="1"/>
      <c r="B534" s="21" t="str">
        <f ca="1">IFERROR(__xludf.DUMMYFUNCTION("""COMPUTED_VALUE"""),"Energia Hidraúlica")</f>
        <v>Energia Hidraúlica</v>
      </c>
      <c r="C534" s="22">
        <f ca="1">IFERROR(__xludf.DUMMYFUNCTION("""COMPUTED_VALUE"""),0)</f>
        <v>0</v>
      </c>
      <c r="D534" s="23">
        <f ca="1">IFERROR(__xludf.DUMMYFUNCTION("""COMPUTED_VALUE"""),0)</f>
        <v>0</v>
      </c>
      <c r="E534" s="23">
        <f ca="1">IFERROR(__xludf.DUMMYFUNCTION("""COMPUTED_VALUE"""),0)</f>
        <v>0</v>
      </c>
      <c r="F534" s="23">
        <f ca="1">IFERROR(__xludf.DUMMYFUNCTION("""COMPUTED_VALUE"""),0)</f>
        <v>0</v>
      </c>
      <c r="G534" s="23">
        <f ca="1">IFERROR(__xludf.DUMMYFUNCTION("""COMPUTED_VALUE"""),0)</f>
        <v>0</v>
      </c>
      <c r="H534" s="23">
        <f ca="1">IFERROR(__xludf.DUMMYFUNCTION("""COMPUTED_VALUE"""),0)</f>
        <v>0</v>
      </c>
      <c r="I534" s="23">
        <f ca="1">IFERROR(__xludf.DUMMYFUNCTION("""COMPUTED_VALUE"""),0)</f>
        <v>0</v>
      </c>
      <c r="J534" s="23">
        <f ca="1">IFERROR(__xludf.DUMMYFUNCTION("""COMPUTED_VALUE"""),0)</f>
        <v>0</v>
      </c>
      <c r="K534" s="23">
        <f ca="1">IFERROR(__xludf.DUMMYFUNCTION("""COMPUTED_VALUE"""),0)</f>
        <v>0</v>
      </c>
      <c r="L534" s="23">
        <f ca="1">IFERROR(__xludf.DUMMYFUNCTION("""COMPUTED_VALUE"""),0)</f>
        <v>0</v>
      </c>
      <c r="M534" s="23">
        <f ca="1">IFERROR(__xludf.DUMMYFUNCTION("""COMPUTED_VALUE"""),0)</f>
        <v>0</v>
      </c>
      <c r="N534" s="23">
        <f ca="1">IFERROR(__xludf.DUMMYFUNCTION("""COMPUTED_VALUE"""),0)</f>
        <v>0</v>
      </c>
      <c r="O534" s="23">
        <f ca="1">IFERROR(__xludf.DUMMYFUNCTION("""COMPUTED_VALUE"""),0)</f>
        <v>0</v>
      </c>
      <c r="P534" s="23">
        <f ca="1">IFERROR(__xludf.DUMMYFUNCTION("""COMPUTED_VALUE"""),0)</f>
        <v>0</v>
      </c>
      <c r="Q534" s="24">
        <f ca="1">IFERROR(__xludf.DUMMYFUNCTION("""COMPUTED_VALUE"""),0)</f>
        <v>0</v>
      </c>
      <c r="R534" s="20"/>
    </row>
    <row r="535" spans="1:18" ht="13.2" hidden="1" outlineLevel="1" x14ac:dyDescent="0.25">
      <c r="A535" s="1"/>
      <c r="B535" s="21" t="str">
        <f ca="1">IFERROR(__xludf.DUMMYFUNCTION("""COMPUTED_VALUE"""),"Geoenergía")</f>
        <v>Geoenergía</v>
      </c>
      <c r="C535" s="22">
        <f ca="1">IFERROR(__xludf.DUMMYFUNCTION("""COMPUTED_VALUE"""),0)</f>
        <v>0</v>
      </c>
      <c r="D535" s="23">
        <f ca="1">IFERROR(__xludf.DUMMYFUNCTION("""COMPUTED_VALUE"""),0)</f>
        <v>0</v>
      </c>
      <c r="E535" s="23">
        <f ca="1">IFERROR(__xludf.DUMMYFUNCTION("""COMPUTED_VALUE"""),0)</f>
        <v>0</v>
      </c>
      <c r="F535" s="23">
        <f ca="1">IFERROR(__xludf.DUMMYFUNCTION("""COMPUTED_VALUE"""),0)</f>
        <v>0</v>
      </c>
      <c r="G535" s="23">
        <f ca="1">IFERROR(__xludf.DUMMYFUNCTION("""COMPUTED_VALUE"""),0)</f>
        <v>0</v>
      </c>
      <c r="H535" s="23">
        <f ca="1">IFERROR(__xludf.DUMMYFUNCTION("""COMPUTED_VALUE"""),0)</f>
        <v>0</v>
      </c>
      <c r="I535" s="23">
        <f ca="1">IFERROR(__xludf.DUMMYFUNCTION("""COMPUTED_VALUE"""),0)</f>
        <v>0</v>
      </c>
      <c r="J535" s="23">
        <f ca="1">IFERROR(__xludf.DUMMYFUNCTION("""COMPUTED_VALUE"""),0)</f>
        <v>0</v>
      </c>
      <c r="K535" s="23">
        <f ca="1">IFERROR(__xludf.DUMMYFUNCTION("""COMPUTED_VALUE"""),0)</f>
        <v>0</v>
      </c>
      <c r="L535" s="23">
        <f ca="1">IFERROR(__xludf.DUMMYFUNCTION("""COMPUTED_VALUE"""),0)</f>
        <v>0</v>
      </c>
      <c r="M535" s="23">
        <f ca="1">IFERROR(__xludf.DUMMYFUNCTION("""COMPUTED_VALUE"""),0)</f>
        <v>0</v>
      </c>
      <c r="N535" s="23">
        <f ca="1">IFERROR(__xludf.DUMMYFUNCTION("""COMPUTED_VALUE"""),0)</f>
        <v>0</v>
      </c>
      <c r="O535" s="23">
        <f ca="1">IFERROR(__xludf.DUMMYFUNCTION("""COMPUTED_VALUE"""),0)</f>
        <v>0</v>
      </c>
      <c r="P535" s="23">
        <f ca="1">IFERROR(__xludf.DUMMYFUNCTION("""COMPUTED_VALUE"""),0)</f>
        <v>0</v>
      </c>
      <c r="Q535" s="24">
        <f ca="1">IFERROR(__xludf.DUMMYFUNCTION("""COMPUTED_VALUE"""),0)</f>
        <v>0</v>
      </c>
      <c r="R535" s="20"/>
    </row>
    <row r="536" spans="1:18" ht="13.2" hidden="1" outlineLevel="1" x14ac:dyDescent="0.25">
      <c r="A536" s="1"/>
      <c r="B536" s="21" t="str">
        <f ca="1">IFERROR(__xludf.DUMMYFUNCTION("""COMPUTED_VALUE"""),"Energía solar")</f>
        <v>Energía solar</v>
      </c>
      <c r="C536" s="22">
        <f ca="1">IFERROR(__xludf.DUMMYFUNCTION("""COMPUTED_VALUE"""),0)</f>
        <v>0</v>
      </c>
      <c r="D536" s="23">
        <f ca="1">IFERROR(__xludf.DUMMYFUNCTION("""COMPUTED_VALUE"""),0)</f>
        <v>0</v>
      </c>
      <c r="E536" s="23">
        <f ca="1">IFERROR(__xludf.DUMMYFUNCTION("""COMPUTED_VALUE"""),0)</f>
        <v>0</v>
      </c>
      <c r="F536" s="23">
        <f ca="1">IFERROR(__xludf.DUMMYFUNCTION("""COMPUTED_VALUE"""),0)</f>
        <v>0</v>
      </c>
      <c r="G536" s="23">
        <f ca="1">IFERROR(__xludf.DUMMYFUNCTION("""COMPUTED_VALUE"""),0)</f>
        <v>0</v>
      </c>
      <c r="H536" s="23">
        <f ca="1">IFERROR(__xludf.DUMMYFUNCTION("""COMPUTED_VALUE"""),0)</f>
        <v>0</v>
      </c>
      <c r="I536" s="23">
        <f ca="1">IFERROR(__xludf.DUMMYFUNCTION("""COMPUTED_VALUE"""),0)</f>
        <v>0</v>
      </c>
      <c r="J536" s="23">
        <f ca="1">IFERROR(__xludf.DUMMYFUNCTION("""COMPUTED_VALUE"""),0)</f>
        <v>0</v>
      </c>
      <c r="K536" s="23">
        <f ca="1">IFERROR(__xludf.DUMMYFUNCTION("""COMPUTED_VALUE"""),0)</f>
        <v>0</v>
      </c>
      <c r="L536" s="23">
        <f ca="1">IFERROR(__xludf.DUMMYFUNCTION("""COMPUTED_VALUE"""),0)</f>
        <v>0</v>
      </c>
      <c r="M536" s="23">
        <f ca="1">IFERROR(__xludf.DUMMYFUNCTION("""COMPUTED_VALUE"""),0)</f>
        <v>0</v>
      </c>
      <c r="N536" s="23">
        <f ca="1">IFERROR(__xludf.DUMMYFUNCTION("""COMPUTED_VALUE"""),0)</f>
        <v>0</v>
      </c>
      <c r="O536" s="23">
        <f ca="1">IFERROR(__xludf.DUMMYFUNCTION("""COMPUTED_VALUE"""),0)</f>
        <v>0</v>
      </c>
      <c r="P536" s="23">
        <f ca="1">IFERROR(__xludf.DUMMYFUNCTION("""COMPUTED_VALUE"""),0)</f>
        <v>0</v>
      </c>
      <c r="Q536" s="24">
        <f ca="1">IFERROR(__xludf.DUMMYFUNCTION("""COMPUTED_VALUE"""),0)</f>
        <v>0</v>
      </c>
      <c r="R536" s="20"/>
    </row>
    <row r="537" spans="1:18" ht="13.2" hidden="1" outlineLevel="1" x14ac:dyDescent="0.25">
      <c r="A537" s="1"/>
      <c r="B537" s="21" t="str">
        <f ca="1">IFERROR(__xludf.DUMMYFUNCTION("""COMPUTED_VALUE"""),"Energía eólica")</f>
        <v>Energía eólica</v>
      </c>
      <c r="C537" s="22">
        <f ca="1">IFERROR(__xludf.DUMMYFUNCTION("""COMPUTED_VALUE"""),-4.72015574438388)</f>
        <v>-4.72015574438388</v>
      </c>
      <c r="D537" s="23">
        <f ca="1">IFERROR(__xludf.DUMMYFUNCTION("""COMPUTED_VALUE"""),-6.09270561652387)</f>
        <v>-6.0927056165238698</v>
      </c>
      <c r="E537" s="23">
        <f ca="1">IFERROR(__xludf.DUMMYFUNCTION("""COMPUTED_VALUE"""),-13.4182747539153)</f>
        <v>-13.4182747539153</v>
      </c>
      <c r="F537" s="23">
        <f ca="1">IFERROR(__xludf.DUMMYFUNCTION("""COMPUTED_VALUE"""),-15.4326807263786)</f>
        <v>-15.432680726378599</v>
      </c>
      <c r="G537" s="23">
        <f ca="1">IFERROR(__xludf.DUMMYFUNCTION("""COMPUTED_VALUE"""),-23.6933194550924)</f>
        <v>-23.6933194550924</v>
      </c>
      <c r="H537" s="23">
        <f ca="1">IFERROR(__xludf.DUMMYFUNCTION("""COMPUTED_VALUE"""),-32.2266686190985)</f>
        <v>-32.226668619098497</v>
      </c>
      <c r="I537" s="23">
        <f ca="1">IFERROR(__xludf.DUMMYFUNCTION("""COMPUTED_VALUE"""),-38.4244589107372)</f>
        <v>-38.424458910737201</v>
      </c>
      <c r="J537" s="23">
        <f ca="1">IFERROR(__xludf.DUMMYFUNCTION("""COMPUTED_VALUE"""),-38.0122580222196)</f>
        <v>-38.012258022219598</v>
      </c>
      <c r="K537" s="23">
        <f ca="1">IFERROR(__xludf.DUMMYFUNCTION("""COMPUTED_VALUE"""),-45.2287222480656)</f>
        <v>-45.228722248065601</v>
      </c>
      <c r="L537" s="23">
        <f ca="1">IFERROR(__xludf.DUMMYFUNCTION("""COMPUTED_VALUE"""),-60.8230933995897)</f>
        <v>-60.823093399589702</v>
      </c>
      <c r="M537" s="23">
        <f ca="1">IFERROR(__xludf.DUMMYFUNCTION("""COMPUTED_VALUE"""),-71.6722117329134)</f>
        <v>-71.672211732913397</v>
      </c>
      <c r="N537" s="23">
        <f ca="1">IFERROR(__xludf.DUMMYFUNCTION("""COMPUTED_VALUE"""),-76.6530766316587)</f>
        <v>-76.653076631658706</v>
      </c>
      <c r="O537" s="23">
        <f ca="1">IFERROR(__xludf.DUMMYFUNCTION("""COMPUTED_VALUE"""),-73.9145440149017)</f>
        <v>-73.914544014901693</v>
      </c>
      <c r="P537" s="23">
        <f ca="1">IFERROR(__xludf.DUMMYFUNCTION("""COMPUTED_VALUE"""),-75.2858005595479)</f>
        <v>-75.285800559547894</v>
      </c>
      <c r="Q537" s="24">
        <f ca="1">IFERROR(__xludf.DUMMYFUNCTION("""COMPUTED_VALUE"""),-72.6585248964424)</f>
        <v>-72.658524896442401</v>
      </c>
      <c r="R537" s="20"/>
    </row>
    <row r="538" spans="1:18" ht="13.2" hidden="1" outlineLevel="1" x14ac:dyDescent="0.25">
      <c r="A538" s="1"/>
      <c r="B538" s="21" t="str">
        <f ca="1">IFERROR(__xludf.DUMMYFUNCTION("""COMPUTED_VALUE"""),"Bagazo de caña")</f>
        <v>Bagazo de caña</v>
      </c>
      <c r="C538" s="22">
        <f ca="1">IFERROR(__xludf.DUMMYFUNCTION("""COMPUTED_VALUE"""),0)</f>
        <v>0</v>
      </c>
      <c r="D538" s="23">
        <f ca="1">IFERROR(__xludf.DUMMYFUNCTION("""COMPUTED_VALUE"""),0)</f>
        <v>0</v>
      </c>
      <c r="E538" s="23">
        <f ca="1">IFERROR(__xludf.DUMMYFUNCTION("""COMPUTED_VALUE"""),0)</f>
        <v>0</v>
      </c>
      <c r="F538" s="23">
        <f ca="1">IFERROR(__xludf.DUMMYFUNCTION("""COMPUTED_VALUE"""),0)</f>
        <v>0</v>
      </c>
      <c r="G538" s="23">
        <f ca="1">IFERROR(__xludf.DUMMYFUNCTION("""COMPUTED_VALUE"""),0)</f>
        <v>0</v>
      </c>
      <c r="H538" s="23">
        <f ca="1">IFERROR(__xludf.DUMMYFUNCTION("""COMPUTED_VALUE"""),0)</f>
        <v>0</v>
      </c>
      <c r="I538" s="23">
        <f ca="1">IFERROR(__xludf.DUMMYFUNCTION("""COMPUTED_VALUE"""),0)</f>
        <v>0</v>
      </c>
      <c r="J538" s="23">
        <f ca="1">IFERROR(__xludf.DUMMYFUNCTION("""COMPUTED_VALUE"""),0)</f>
        <v>0</v>
      </c>
      <c r="K538" s="23">
        <f ca="1">IFERROR(__xludf.DUMMYFUNCTION("""COMPUTED_VALUE"""),0)</f>
        <v>0</v>
      </c>
      <c r="L538" s="23">
        <f ca="1">IFERROR(__xludf.DUMMYFUNCTION("""COMPUTED_VALUE"""),0)</f>
        <v>0</v>
      </c>
      <c r="M538" s="23">
        <f ca="1">IFERROR(__xludf.DUMMYFUNCTION("""COMPUTED_VALUE"""),0)</f>
        <v>0</v>
      </c>
      <c r="N538" s="23">
        <f ca="1">IFERROR(__xludf.DUMMYFUNCTION("""COMPUTED_VALUE"""),0)</f>
        <v>0</v>
      </c>
      <c r="O538" s="23">
        <f ca="1">IFERROR(__xludf.DUMMYFUNCTION("""COMPUTED_VALUE"""),0)</f>
        <v>0</v>
      </c>
      <c r="P538" s="23">
        <f ca="1">IFERROR(__xludf.DUMMYFUNCTION("""COMPUTED_VALUE"""),0)</f>
        <v>0</v>
      </c>
      <c r="Q538" s="24">
        <f ca="1">IFERROR(__xludf.DUMMYFUNCTION("""COMPUTED_VALUE"""),0)</f>
        <v>0</v>
      </c>
      <c r="R538" s="20"/>
    </row>
    <row r="539" spans="1:18" ht="13.2" hidden="1" outlineLevel="1" x14ac:dyDescent="0.25">
      <c r="A539" s="1"/>
      <c r="B539" s="21" t="str">
        <f ca="1">IFERROR(__xludf.DUMMYFUNCTION("""COMPUTED_VALUE"""),"Leña")</f>
        <v>Leña</v>
      </c>
      <c r="C539" s="22">
        <f ca="1">IFERROR(__xludf.DUMMYFUNCTION("""COMPUTED_VALUE"""),0)</f>
        <v>0</v>
      </c>
      <c r="D539" s="23">
        <f ca="1">IFERROR(__xludf.DUMMYFUNCTION("""COMPUTED_VALUE"""),0)</f>
        <v>0</v>
      </c>
      <c r="E539" s="23">
        <f ca="1">IFERROR(__xludf.DUMMYFUNCTION("""COMPUTED_VALUE"""),0)</f>
        <v>0</v>
      </c>
      <c r="F539" s="23">
        <f ca="1">IFERROR(__xludf.DUMMYFUNCTION("""COMPUTED_VALUE"""),0)</f>
        <v>0</v>
      </c>
      <c r="G539" s="23">
        <f ca="1">IFERROR(__xludf.DUMMYFUNCTION("""COMPUTED_VALUE"""),0)</f>
        <v>0</v>
      </c>
      <c r="H539" s="23">
        <f ca="1">IFERROR(__xludf.DUMMYFUNCTION("""COMPUTED_VALUE"""),0)</f>
        <v>0</v>
      </c>
      <c r="I539" s="23">
        <f ca="1">IFERROR(__xludf.DUMMYFUNCTION("""COMPUTED_VALUE"""),0)</f>
        <v>0</v>
      </c>
      <c r="J539" s="23">
        <f ca="1">IFERROR(__xludf.DUMMYFUNCTION("""COMPUTED_VALUE"""),0)</f>
        <v>0</v>
      </c>
      <c r="K539" s="23">
        <f ca="1">IFERROR(__xludf.DUMMYFUNCTION("""COMPUTED_VALUE"""),0)</f>
        <v>0</v>
      </c>
      <c r="L539" s="23">
        <f ca="1">IFERROR(__xludf.DUMMYFUNCTION("""COMPUTED_VALUE"""),0)</f>
        <v>0</v>
      </c>
      <c r="M539" s="23">
        <f ca="1">IFERROR(__xludf.DUMMYFUNCTION("""COMPUTED_VALUE"""),0)</f>
        <v>0</v>
      </c>
      <c r="N539" s="23">
        <f ca="1">IFERROR(__xludf.DUMMYFUNCTION("""COMPUTED_VALUE"""),0)</f>
        <v>0</v>
      </c>
      <c r="O539" s="23">
        <f ca="1">IFERROR(__xludf.DUMMYFUNCTION("""COMPUTED_VALUE"""),0)</f>
        <v>0</v>
      </c>
      <c r="P539" s="23">
        <f ca="1">IFERROR(__xludf.DUMMYFUNCTION("""COMPUTED_VALUE"""),0)</f>
        <v>0</v>
      </c>
      <c r="Q539" s="24">
        <f ca="1">IFERROR(__xludf.DUMMYFUNCTION("""COMPUTED_VALUE"""),0)</f>
        <v>0</v>
      </c>
      <c r="R539" s="20"/>
    </row>
    <row r="540" spans="1:18" ht="13.2" hidden="1" outlineLevel="1" x14ac:dyDescent="0.25">
      <c r="A540" s="1"/>
      <c r="B540" s="21" t="str">
        <f ca="1">IFERROR(__xludf.DUMMYFUNCTION("""COMPUTED_VALUE"""),"Biogás")</f>
        <v>Biogás</v>
      </c>
      <c r="C540" s="22">
        <f ca="1">IFERROR(__xludf.DUMMYFUNCTION("""COMPUTED_VALUE"""),0)</f>
        <v>0</v>
      </c>
      <c r="D540" s="23">
        <f ca="1">IFERROR(__xludf.DUMMYFUNCTION("""COMPUTED_VALUE"""),0)</f>
        <v>0</v>
      </c>
      <c r="E540" s="23">
        <f ca="1">IFERROR(__xludf.DUMMYFUNCTION("""COMPUTED_VALUE"""),0)</f>
        <v>0</v>
      </c>
      <c r="F540" s="23">
        <f ca="1">IFERROR(__xludf.DUMMYFUNCTION("""COMPUTED_VALUE"""),0)</f>
        <v>0</v>
      </c>
      <c r="G540" s="23">
        <f ca="1">IFERROR(__xludf.DUMMYFUNCTION("""COMPUTED_VALUE"""),0)</f>
        <v>0</v>
      </c>
      <c r="H540" s="23">
        <f ca="1">IFERROR(__xludf.DUMMYFUNCTION("""COMPUTED_VALUE"""),0)</f>
        <v>0</v>
      </c>
      <c r="I540" s="23">
        <f ca="1">IFERROR(__xludf.DUMMYFUNCTION("""COMPUTED_VALUE"""),0)</f>
        <v>0</v>
      </c>
      <c r="J540" s="23">
        <f ca="1">IFERROR(__xludf.DUMMYFUNCTION("""COMPUTED_VALUE"""),0)</f>
        <v>0</v>
      </c>
      <c r="K540" s="23">
        <f ca="1">IFERROR(__xludf.DUMMYFUNCTION("""COMPUTED_VALUE"""),0)</f>
        <v>0</v>
      </c>
      <c r="L540" s="23">
        <f ca="1">IFERROR(__xludf.DUMMYFUNCTION("""COMPUTED_VALUE"""),0)</f>
        <v>0</v>
      </c>
      <c r="M540" s="23">
        <f ca="1">IFERROR(__xludf.DUMMYFUNCTION("""COMPUTED_VALUE"""),0)</f>
        <v>0</v>
      </c>
      <c r="N540" s="23">
        <f ca="1">IFERROR(__xludf.DUMMYFUNCTION("""COMPUTED_VALUE"""),0)</f>
        <v>0</v>
      </c>
      <c r="O540" s="23">
        <f ca="1">IFERROR(__xludf.DUMMYFUNCTION("""COMPUTED_VALUE"""),0)</f>
        <v>0</v>
      </c>
      <c r="P540" s="23">
        <f ca="1">IFERROR(__xludf.DUMMYFUNCTION("""COMPUTED_VALUE"""),0)</f>
        <v>0</v>
      </c>
      <c r="Q540" s="24">
        <f ca="1">IFERROR(__xludf.DUMMYFUNCTION("""COMPUTED_VALUE"""),0)</f>
        <v>0</v>
      </c>
      <c r="R540" s="20"/>
    </row>
    <row r="541" spans="1:18" ht="13.2" hidden="1" outlineLevel="1" x14ac:dyDescent="0.25">
      <c r="A541" s="1"/>
      <c r="B541" s="21" t="str">
        <f ca="1">IFERROR(__xludf.DUMMYFUNCTION("""COMPUTED_VALUE"""),"Coque de carbón")</f>
        <v>Coque de carbón</v>
      </c>
      <c r="C541" s="22">
        <f ca="1">IFERROR(__xludf.DUMMYFUNCTION("""COMPUTED_VALUE"""),0)</f>
        <v>0</v>
      </c>
      <c r="D541" s="23">
        <f ca="1">IFERROR(__xludf.DUMMYFUNCTION("""COMPUTED_VALUE"""),0)</f>
        <v>0</v>
      </c>
      <c r="E541" s="23">
        <f ca="1">IFERROR(__xludf.DUMMYFUNCTION("""COMPUTED_VALUE"""),0)</f>
        <v>0</v>
      </c>
      <c r="F541" s="23">
        <f ca="1">IFERROR(__xludf.DUMMYFUNCTION("""COMPUTED_VALUE"""),0)</f>
        <v>0</v>
      </c>
      <c r="G541" s="23">
        <f ca="1">IFERROR(__xludf.DUMMYFUNCTION("""COMPUTED_VALUE"""),0)</f>
        <v>0</v>
      </c>
      <c r="H541" s="23">
        <f ca="1">IFERROR(__xludf.DUMMYFUNCTION("""COMPUTED_VALUE"""),0)</f>
        <v>0</v>
      </c>
      <c r="I541" s="23">
        <f ca="1">IFERROR(__xludf.DUMMYFUNCTION("""COMPUTED_VALUE"""),0)</f>
        <v>0</v>
      </c>
      <c r="J541" s="23">
        <f ca="1">IFERROR(__xludf.DUMMYFUNCTION("""COMPUTED_VALUE"""),0)</f>
        <v>0</v>
      </c>
      <c r="K541" s="23">
        <f ca="1">IFERROR(__xludf.DUMMYFUNCTION("""COMPUTED_VALUE"""),0)</f>
        <v>0</v>
      </c>
      <c r="L541" s="23">
        <f ca="1">IFERROR(__xludf.DUMMYFUNCTION("""COMPUTED_VALUE"""),0)</f>
        <v>0</v>
      </c>
      <c r="M541" s="23">
        <f ca="1">IFERROR(__xludf.DUMMYFUNCTION("""COMPUTED_VALUE"""),0)</f>
        <v>0</v>
      </c>
      <c r="N541" s="23">
        <f ca="1">IFERROR(__xludf.DUMMYFUNCTION("""COMPUTED_VALUE"""),0)</f>
        <v>0</v>
      </c>
      <c r="O541" s="23">
        <f ca="1">IFERROR(__xludf.DUMMYFUNCTION("""COMPUTED_VALUE"""),0)</f>
        <v>0</v>
      </c>
      <c r="P541" s="23">
        <f ca="1">IFERROR(__xludf.DUMMYFUNCTION("""COMPUTED_VALUE"""),0)</f>
        <v>0</v>
      </c>
      <c r="Q541" s="24">
        <f ca="1">IFERROR(__xludf.DUMMYFUNCTION("""COMPUTED_VALUE"""),0)</f>
        <v>0</v>
      </c>
      <c r="R541" s="20"/>
    </row>
    <row r="542" spans="1:18" ht="13.2" hidden="1" outlineLevel="1" x14ac:dyDescent="0.25">
      <c r="A542" s="1"/>
      <c r="B542" s="21" t="str">
        <f ca="1">IFERROR(__xludf.DUMMYFUNCTION("""COMPUTED_VALUE"""),"Coque de petróleo")</f>
        <v>Coque de petróleo</v>
      </c>
      <c r="C542" s="22">
        <f ca="1">IFERROR(__xludf.DUMMYFUNCTION("""COMPUTED_VALUE"""),0)</f>
        <v>0</v>
      </c>
      <c r="D542" s="23">
        <f ca="1">IFERROR(__xludf.DUMMYFUNCTION("""COMPUTED_VALUE"""),0)</f>
        <v>0</v>
      </c>
      <c r="E542" s="23">
        <f ca="1">IFERROR(__xludf.DUMMYFUNCTION("""COMPUTED_VALUE"""),0)</f>
        <v>0</v>
      </c>
      <c r="F542" s="23">
        <f ca="1">IFERROR(__xludf.DUMMYFUNCTION("""COMPUTED_VALUE"""),0)</f>
        <v>0</v>
      </c>
      <c r="G542" s="23">
        <f ca="1">IFERROR(__xludf.DUMMYFUNCTION("""COMPUTED_VALUE"""),0)</f>
        <v>0</v>
      </c>
      <c r="H542" s="23">
        <f ca="1">IFERROR(__xludf.DUMMYFUNCTION("""COMPUTED_VALUE"""),0)</f>
        <v>0</v>
      </c>
      <c r="I542" s="23">
        <f ca="1">IFERROR(__xludf.DUMMYFUNCTION("""COMPUTED_VALUE"""),0)</f>
        <v>0</v>
      </c>
      <c r="J542" s="23">
        <f ca="1">IFERROR(__xludf.DUMMYFUNCTION("""COMPUTED_VALUE"""),0)</f>
        <v>0</v>
      </c>
      <c r="K542" s="23">
        <f ca="1">IFERROR(__xludf.DUMMYFUNCTION("""COMPUTED_VALUE"""),0)</f>
        <v>0</v>
      </c>
      <c r="L542" s="23">
        <f ca="1">IFERROR(__xludf.DUMMYFUNCTION("""COMPUTED_VALUE"""),0)</f>
        <v>0</v>
      </c>
      <c r="M542" s="23">
        <f ca="1">IFERROR(__xludf.DUMMYFUNCTION("""COMPUTED_VALUE"""),0)</f>
        <v>0</v>
      </c>
      <c r="N542" s="23">
        <f ca="1">IFERROR(__xludf.DUMMYFUNCTION("""COMPUTED_VALUE"""),0)</f>
        <v>0</v>
      </c>
      <c r="O542" s="23">
        <f ca="1">IFERROR(__xludf.DUMMYFUNCTION("""COMPUTED_VALUE"""),0)</f>
        <v>0</v>
      </c>
      <c r="P542" s="23">
        <f ca="1">IFERROR(__xludf.DUMMYFUNCTION("""COMPUTED_VALUE"""),0)</f>
        <v>0</v>
      </c>
      <c r="Q542" s="24">
        <f ca="1">IFERROR(__xludf.DUMMYFUNCTION("""COMPUTED_VALUE"""),0)</f>
        <v>0</v>
      </c>
      <c r="R542" s="20"/>
    </row>
    <row r="543" spans="1:18" ht="13.2" hidden="1" outlineLevel="1" x14ac:dyDescent="0.25">
      <c r="A543" s="1"/>
      <c r="B543" s="21" t="str">
        <f ca="1">IFERROR(__xludf.DUMMYFUNCTION("""COMPUTED_VALUE"""),"Gas licuado de petróleo")</f>
        <v>Gas licuado de petróleo</v>
      </c>
      <c r="C543" s="22">
        <f ca="1">IFERROR(__xludf.DUMMYFUNCTION("""COMPUTED_VALUE"""),0)</f>
        <v>0</v>
      </c>
      <c r="D543" s="23">
        <f ca="1">IFERROR(__xludf.DUMMYFUNCTION("""COMPUTED_VALUE"""),0)</f>
        <v>0</v>
      </c>
      <c r="E543" s="23">
        <f ca="1">IFERROR(__xludf.DUMMYFUNCTION("""COMPUTED_VALUE"""),0)</f>
        <v>0</v>
      </c>
      <c r="F543" s="23">
        <f ca="1">IFERROR(__xludf.DUMMYFUNCTION("""COMPUTED_VALUE"""),0)</f>
        <v>0</v>
      </c>
      <c r="G543" s="23">
        <f ca="1">IFERROR(__xludf.DUMMYFUNCTION("""COMPUTED_VALUE"""),0)</f>
        <v>0</v>
      </c>
      <c r="H543" s="23">
        <f ca="1">IFERROR(__xludf.DUMMYFUNCTION("""COMPUTED_VALUE"""),0)</f>
        <v>0</v>
      </c>
      <c r="I543" s="23">
        <f ca="1">IFERROR(__xludf.DUMMYFUNCTION("""COMPUTED_VALUE"""),0)</f>
        <v>0</v>
      </c>
      <c r="J543" s="23">
        <f ca="1">IFERROR(__xludf.DUMMYFUNCTION("""COMPUTED_VALUE"""),0)</f>
        <v>0</v>
      </c>
      <c r="K543" s="23">
        <f ca="1">IFERROR(__xludf.DUMMYFUNCTION("""COMPUTED_VALUE"""),0)</f>
        <v>0</v>
      </c>
      <c r="L543" s="23">
        <f ca="1">IFERROR(__xludf.DUMMYFUNCTION("""COMPUTED_VALUE"""),0)</f>
        <v>0</v>
      </c>
      <c r="M543" s="23">
        <f ca="1">IFERROR(__xludf.DUMMYFUNCTION("""COMPUTED_VALUE"""),0)</f>
        <v>0</v>
      </c>
      <c r="N543" s="23">
        <f ca="1">IFERROR(__xludf.DUMMYFUNCTION("""COMPUTED_VALUE"""),0)</f>
        <v>0</v>
      </c>
      <c r="O543" s="23">
        <f ca="1">IFERROR(__xludf.DUMMYFUNCTION("""COMPUTED_VALUE"""),0)</f>
        <v>0</v>
      </c>
      <c r="P543" s="23">
        <f ca="1">IFERROR(__xludf.DUMMYFUNCTION("""COMPUTED_VALUE"""),0)</f>
        <v>0</v>
      </c>
      <c r="Q543" s="24">
        <f ca="1">IFERROR(__xludf.DUMMYFUNCTION("""COMPUTED_VALUE"""),0)</f>
        <v>0</v>
      </c>
      <c r="R543" s="20"/>
    </row>
    <row r="544" spans="1:18" ht="13.2" hidden="1" outlineLevel="1" x14ac:dyDescent="0.25">
      <c r="A544" s="1"/>
      <c r="B544" s="21" t="str">
        <f ca="1">IFERROR(__xludf.DUMMYFUNCTION("""COMPUTED_VALUE"""),"Gasolinas y naftas")</f>
        <v>Gasolinas y naftas</v>
      </c>
      <c r="C544" s="22">
        <f ca="1">IFERROR(__xludf.DUMMYFUNCTION("""COMPUTED_VALUE"""),0)</f>
        <v>0</v>
      </c>
      <c r="D544" s="23">
        <f ca="1">IFERROR(__xludf.DUMMYFUNCTION("""COMPUTED_VALUE"""),0)</f>
        <v>0</v>
      </c>
      <c r="E544" s="23">
        <f ca="1">IFERROR(__xludf.DUMMYFUNCTION("""COMPUTED_VALUE"""),0)</f>
        <v>0</v>
      </c>
      <c r="F544" s="23">
        <f ca="1">IFERROR(__xludf.DUMMYFUNCTION("""COMPUTED_VALUE"""),0)</f>
        <v>0</v>
      </c>
      <c r="G544" s="23">
        <f ca="1">IFERROR(__xludf.DUMMYFUNCTION("""COMPUTED_VALUE"""),0)</f>
        <v>0</v>
      </c>
      <c r="H544" s="23">
        <f ca="1">IFERROR(__xludf.DUMMYFUNCTION("""COMPUTED_VALUE"""),0)</f>
        <v>0</v>
      </c>
      <c r="I544" s="23">
        <f ca="1">IFERROR(__xludf.DUMMYFUNCTION("""COMPUTED_VALUE"""),0)</f>
        <v>0</v>
      </c>
      <c r="J544" s="23">
        <f ca="1">IFERROR(__xludf.DUMMYFUNCTION("""COMPUTED_VALUE"""),0)</f>
        <v>0</v>
      </c>
      <c r="K544" s="23">
        <f ca="1">IFERROR(__xludf.DUMMYFUNCTION("""COMPUTED_VALUE"""),0)</f>
        <v>0</v>
      </c>
      <c r="L544" s="23">
        <f ca="1">IFERROR(__xludf.DUMMYFUNCTION("""COMPUTED_VALUE"""),0)</f>
        <v>0</v>
      </c>
      <c r="M544" s="23">
        <f ca="1">IFERROR(__xludf.DUMMYFUNCTION("""COMPUTED_VALUE"""),0)</f>
        <v>0</v>
      </c>
      <c r="N544" s="23">
        <f ca="1">IFERROR(__xludf.DUMMYFUNCTION("""COMPUTED_VALUE"""),0)</f>
        <v>0</v>
      </c>
      <c r="O544" s="23">
        <f ca="1">IFERROR(__xludf.DUMMYFUNCTION("""COMPUTED_VALUE"""),0)</f>
        <v>0</v>
      </c>
      <c r="P544" s="23">
        <f ca="1">IFERROR(__xludf.DUMMYFUNCTION("""COMPUTED_VALUE"""),0)</f>
        <v>0</v>
      </c>
      <c r="Q544" s="24">
        <f ca="1">IFERROR(__xludf.DUMMYFUNCTION("""COMPUTED_VALUE"""),0)</f>
        <v>0</v>
      </c>
      <c r="R544" s="20"/>
    </row>
    <row r="545" spans="1:18" ht="13.2" hidden="1" outlineLevel="1" x14ac:dyDescent="0.25">
      <c r="A545" s="1"/>
      <c r="B545" s="21" t="str">
        <f ca="1">IFERROR(__xludf.DUMMYFUNCTION("""COMPUTED_VALUE"""),"Querosenos")</f>
        <v>Querosenos</v>
      </c>
      <c r="C545" s="22">
        <f ca="1">IFERROR(__xludf.DUMMYFUNCTION("""COMPUTED_VALUE"""),0)</f>
        <v>0</v>
      </c>
      <c r="D545" s="23">
        <f ca="1">IFERROR(__xludf.DUMMYFUNCTION("""COMPUTED_VALUE"""),0)</f>
        <v>0</v>
      </c>
      <c r="E545" s="23">
        <f ca="1">IFERROR(__xludf.DUMMYFUNCTION("""COMPUTED_VALUE"""),0)</f>
        <v>0</v>
      </c>
      <c r="F545" s="23">
        <f ca="1">IFERROR(__xludf.DUMMYFUNCTION("""COMPUTED_VALUE"""),0)</f>
        <v>0</v>
      </c>
      <c r="G545" s="23">
        <f ca="1">IFERROR(__xludf.DUMMYFUNCTION("""COMPUTED_VALUE"""),0)</f>
        <v>0</v>
      </c>
      <c r="H545" s="23">
        <f ca="1">IFERROR(__xludf.DUMMYFUNCTION("""COMPUTED_VALUE"""),0)</f>
        <v>0</v>
      </c>
      <c r="I545" s="23">
        <f ca="1">IFERROR(__xludf.DUMMYFUNCTION("""COMPUTED_VALUE"""),0)</f>
        <v>0</v>
      </c>
      <c r="J545" s="23">
        <f ca="1">IFERROR(__xludf.DUMMYFUNCTION("""COMPUTED_VALUE"""),0)</f>
        <v>0</v>
      </c>
      <c r="K545" s="23">
        <f ca="1">IFERROR(__xludf.DUMMYFUNCTION("""COMPUTED_VALUE"""),0)</f>
        <v>0</v>
      </c>
      <c r="L545" s="23">
        <f ca="1">IFERROR(__xludf.DUMMYFUNCTION("""COMPUTED_VALUE"""),0)</f>
        <v>0</v>
      </c>
      <c r="M545" s="23">
        <f ca="1">IFERROR(__xludf.DUMMYFUNCTION("""COMPUTED_VALUE"""),0)</f>
        <v>0</v>
      </c>
      <c r="N545" s="23">
        <f ca="1">IFERROR(__xludf.DUMMYFUNCTION("""COMPUTED_VALUE"""),0)</f>
        <v>0</v>
      </c>
      <c r="O545" s="23">
        <f ca="1">IFERROR(__xludf.DUMMYFUNCTION("""COMPUTED_VALUE"""),0)</f>
        <v>0</v>
      </c>
      <c r="P545" s="23">
        <f ca="1">IFERROR(__xludf.DUMMYFUNCTION("""COMPUTED_VALUE"""),0)</f>
        <v>0</v>
      </c>
      <c r="Q545" s="24">
        <f ca="1">IFERROR(__xludf.DUMMYFUNCTION("""COMPUTED_VALUE"""),0)</f>
        <v>0</v>
      </c>
      <c r="R545" s="20"/>
    </row>
    <row r="546" spans="1:18" ht="13.2" hidden="1" outlineLevel="1" x14ac:dyDescent="0.25">
      <c r="A546" s="1"/>
      <c r="B546" s="21" t="str">
        <f ca="1">IFERROR(__xludf.DUMMYFUNCTION("""COMPUTED_VALUE"""),"Diesel")</f>
        <v>Diesel</v>
      </c>
      <c r="C546" s="22">
        <f ca="1">IFERROR(__xludf.DUMMYFUNCTION("""COMPUTED_VALUE"""),0)</f>
        <v>0</v>
      </c>
      <c r="D546" s="23">
        <f ca="1">IFERROR(__xludf.DUMMYFUNCTION("""COMPUTED_VALUE"""),0)</f>
        <v>0</v>
      </c>
      <c r="E546" s="23">
        <f ca="1">IFERROR(__xludf.DUMMYFUNCTION("""COMPUTED_VALUE"""),0)</f>
        <v>0</v>
      </c>
      <c r="F546" s="23">
        <f ca="1">IFERROR(__xludf.DUMMYFUNCTION("""COMPUTED_VALUE"""),0)</f>
        <v>0</v>
      </c>
      <c r="G546" s="23">
        <f ca="1">IFERROR(__xludf.DUMMYFUNCTION("""COMPUTED_VALUE"""),0)</f>
        <v>0</v>
      </c>
      <c r="H546" s="23">
        <f ca="1">IFERROR(__xludf.DUMMYFUNCTION("""COMPUTED_VALUE"""),0)</f>
        <v>0</v>
      </c>
      <c r="I546" s="23">
        <f ca="1">IFERROR(__xludf.DUMMYFUNCTION("""COMPUTED_VALUE"""),0)</f>
        <v>0</v>
      </c>
      <c r="J546" s="23">
        <f ca="1">IFERROR(__xludf.DUMMYFUNCTION("""COMPUTED_VALUE"""),0)</f>
        <v>0</v>
      </c>
      <c r="K546" s="23">
        <f ca="1">IFERROR(__xludf.DUMMYFUNCTION("""COMPUTED_VALUE"""),0)</f>
        <v>0</v>
      </c>
      <c r="L546" s="23">
        <f ca="1">IFERROR(__xludf.DUMMYFUNCTION("""COMPUTED_VALUE"""),0)</f>
        <v>0</v>
      </c>
      <c r="M546" s="23">
        <f ca="1">IFERROR(__xludf.DUMMYFUNCTION("""COMPUTED_VALUE"""),0)</f>
        <v>0</v>
      </c>
      <c r="N546" s="23">
        <f ca="1">IFERROR(__xludf.DUMMYFUNCTION("""COMPUTED_VALUE"""),0)</f>
        <v>0</v>
      </c>
      <c r="O546" s="23">
        <f ca="1">IFERROR(__xludf.DUMMYFUNCTION("""COMPUTED_VALUE"""),0)</f>
        <v>0</v>
      </c>
      <c r="P546" s="23">
        <f ca="1">IFERROR(__xludf.DUMMYFUNCTION("""COMPUTED_VALUE"""),0)</f>
        <v>0</v>
      </c>
      <c r="Q546" s="24">
        <f ca="1">IFERROR(__xludf.DUMMYFUNCTION("""COMPUTED_VALUE"""),0)</f>
        <v>0</v>
      </c>
      <c r="R546" s="20"/>
    </row>
    <row r="547" spans="1:18" ht="13.2" hidden="1" outlineLevel="1" x14ac:dyDescent="0.25">
      <c r="A547" s="1"/>
      <c r="B547" s="21" t="str">
        <f ca="1">IFERROR(__xludf.DUMMYFUNCTION("""COMPUTED_VALUE"""),"Combustóleo")</f>
        <v>Combustóleo</v>
      </c>
      <c r="C547" s="22">
        <f ca="1">IFERROR(__xludf.DUMMYFUNCTION("""COMPUTED_VALUE"""),0)</f>
        <v>0</v>
      </c>
      <c r="D547" s="23">
        <f ca="1">IFERROR(__xludf.DUMMYFUNCTION("""COMPUTED_VALUE"""),0)</f>
        <v>0</v>
      </c>
      <c r="E547" s="23">
        <f ca="1">IFERROR(__xludf.DUMMYFUNCTION("""COMPUTED_VALUE"""),0)</f>
        <v>0</v>
      </c>
      <c r="F547" s="23">
        <f ca="1">IFERROR(__xludf.DUMMYFUNCTION("""COMPUTED_VALUE"""),0)</f>
        <v>0</v>
      </c>
      <c r="G547" s="23">
        <f ca="1">IFERROR(__xludf.DUMMYFUNCTION("""COMPUTED_VALUE"""),0)</f>
        <v>0</v>
      </c>
      <c r="H547" s="23">
        <f ca="1">IFERROR(__xludf.DUMMYFUNCTION("""COMPUTED_VALUE"""),0)</f>
        <v>0</v>
      </c>
      <c r="I547" s="23">
        <f ca="1">IFERROR(__xludf.DUMMYFUNCTION("""COMPUTED_VALUE"""),0)</f>
        <v>0</v>
      </c>
      <c r="J547" s="23">
        <f ca="1">IFERROR(__xludf.DUMMYFUNCTION("""COMPUTED_VALUE"""),0)</f>
        <v>0</v>
      </c>
      <c r="K547" s="23">
        <f ca="1">IFERROR(__xludf.DUMMYFUNCTION("""COMPUTED_VALUE"""),0)</f>
        <v>0</v>
      </c>
      <c r="L547" s="23">
        <f ca="1">IFERROR(__xludf.DUMMYFUNCTION("""COMPUTED_VALUE"""),0)</f>
        <v>0</v>
      </c>
      <c r="M547" s="23">
        <f ca="1">IFERROR(__xludf.DUMMYFUNCTION("""COMPUTED_VALUE"""),0)</f>
        <v>0</v>
      </c>
      <c r="N547" s="23">
        <f ca="1">IFERROR(__xludf.DUMMYFUNCTION("""COMPUTED_VALUE"""),0)</f>
        <v>0</v>
      </c>
      <c r="O547" s="23">
        <f ca="1">IFERROR(__xludf.DUMMYFUNCTION("""COMPUTED_VALUE"""),0)</f>
        <v>0</v>
      </c>
      <c r="P547" s="23">
        <f ca="1">IFERROR(__xludf.DUMMYFUNCTION("""COMPUTED_VALUE"""),0)</f>
        <v>0</v>
      </c>
      <c r="Q547" s="24">
        <f ca="1">IFERROR(__xludf.DUMMYFUNCTION("""COMPUTED_VALUE"""),0)</f>
        <v>0</v>
      </c>
      <c r="R547" s="20"/>
    </row>
    <row r="548" spans="1:18" ht="13.2" hidden="1" outlineLevel="1" x14ac:dyDescent="0.25">
      <c r="A548" s="1"/>
      <c r="B548" s="21" t="str">
        <f ca="1">IFERROR(__xludf.DUMMYFUNCTION("""COMPUTED_VALUE"""),"Otros energéticos")</f>
        <v>Otros energéticos</v>
      </c>
      <c r="C548" s="22">
        <f ca="1">IFERROR(__xludf.DUMMYFUNCTION("""COMPUTED_VALUE"""),0)</f>
        <v>0</v>
      </c>
      <c r="D548" s="23">
        <f ca="1">IFERROR(__xludf.DUMMYFUNCTION("""COMPUTED_VALUE"""),0)</f>
        <v>0</v>
      </c>
      <c r="E548" s="23">
        <f ca="1">IFERROR(__xludf.DUMMYFUNCTION("""COMPUTED_VALUE"""),0)</f>
        <v>0</v>
      </c>
      <c r="F548" s="23">
        <f ca="1">IFERROR(__xludf.DUMMYFUNCTION("""COMPUTED_VALUE"""),0)</f>
        <v>0</v>
      </c>
      <c r="G548" s="23">
        <f ca="1">IFERROR(__xludf.DUMMYFUNCTION("""COMPUTED_VALUE"""),0)</f>
        <v>0</v>
      </c>
      <c r="H548" s="23">
        <f ca="1">IFERROR(__xludf.DUMMYFUNCTION("""COMPUTED_VALUE"""),0)</f>
        <v>0</v>
      </c>
      <c r="I548" s="23">
        <f ca="1">IFERROR(__xludf.DUMMYFUNCTION("""COMPUTED_VALUE"""),0)</f>
        <v>0</v>
      </c>
      <c r="J548" s="23">
        <f ca="1">IFERROR(__xludf.DUMMYFUNCTION("""COMPUTED_VALUE"""),0)</f>
        <v>0</v>
      </c>
      <c r="K548" s="23">
        <f ca="1">IFERROR(__xludf.DUMMYFUNCTION("""COMPUTED_VALUE"""),0)</f>
        <v>0</v>
      </c>
      <c r="L548" s="23">
        <f ca="1">IFERROR(__xludf.DUMMYFUNCTION("""COMPUTED_VALUE"""),0)</f>
        <v>0</v>
      </c>
      <c r="M548" s="23">
        <f ca="1">IFERROR(__xludf.DUMMYFUNCTION("""COMPUTED_VALUE"""),0)</f>
        <v>0</v>
      </c>
      <c r="N548" s="23">
        <f ca="1">IFERROR(__xludf.DUMMYFUNCTION("""COMPUTED_VALUE"""),0)</f>
        <v>0</v>
      </c>
      <c r="O548" s="23">
        <f ca="1">IFERROR(__xludf.DUMMYFUNCTION("""COMPUTED_VALUE"""),0)</f>
        <v>0</v>
      </c>
      <c r="P548" s="23">
        <f ca="1">IFERROR(__xludf.DUMMYFUNCTION("""COMPUTED_VALUE"""),0)</f>
        <v>0</v>
      </c>
      <c r="Q548" s="24">
        <f ca="1">IFERROR(__xludf.DUMMYFUNCTION("""COMPUTED_VALUE"""),0)</f>
        <v>0</v>
      </c>
      <c r="R548" s="20"/>
    </row>
    <row r="549" spans="1:18" ht="13.2" hidden="1" outlineLevel="1" x14ac:dyDescent="0.25">
      <c r="A549" s="1"/>
      <c r="B549" s="21" t="str">
        <f ca="1">IFERROR(__xludf.DUMMYFUNCTION("""COMPUTED_VALUE"""),"Gas natural seco")</f>
        <v>Gas natural seco</v>
      </c>
      <c r="C549" s="22">
        <f ca="1">IFERROR(__xludf.DUMMYFUNCTION("""COMPUTED_VALUE"""),0)</f>
        <v>0</v>
      </c>
      <c r="D549" s="23">
        <f ca="1">IFERROR(__xludf.DUMMYFUNCTION("""COMPUTED_VALUE"""),0)</f>
        <v>0</v>
      </c>
      <c r="E549" s="23">
        <f ca="1">IFERROR(__xludf.DUMMYFUNCTION("""COMPUTED_VALUE"""),0)</f>
        <v>0</v>
      </c>
      <c r="F549" s="23">
        <f ca="1">IFERROR(__xludf.DUMMYFUNCTION("""COMPUTED_VALUE"""),0)</f>
        <v>0</v>
      </c>
      <c r="G549" s="23">
        <f ca="1">IFERROR(__xludf.DUMMYFUNCTION("""COMPUTED_VALUE"""),0)</f>
        <v>0</v>
      </c>
      <c r="H549" s="23">
        <f ca="1">IFERROR(__xludf.DUMMYFUNCTION("""COMPUTED_VALUE"""),0)</f>
        <v>0</v>
      </c>
      <c r="I549" s="23">
        <f ca="1">IFERROR(__xludf.DUMMYFUNCTION("""COMPUTED_VALUE"""),0)</f>
        <v>0</v>
      </c>
      <c r="J549" s="23">
        <f ca="1">IFERROR(__xludf.DUMMYFUNCTION("""COMPUTED_VALUE"""),0)</f>
        <v>0</v>
      </c>
      <c r="K549" s="23">
        <f ca="1">IFERROR(__xludf.DUMMYFUNCTION("""COMPUTED_VALUE"""),0)</f>
        <v>0</v>
      </c>
      <c r="L549" s="23">
        <f ca="1">IFERROR(__xludf.DUMMYFUNCTION("""COMPUTED_VALUE"""),0)</f>
        <v>0</v>
      </c>
      <c r="M549" s="23">
        <f ca="1">IFERROR(__xludf.DUMMYFUNCTION("""COMPUTED_VALUE"""),0)</f>
        <v>0</v>
      </c>
      <c r="N549" s="23">
        <f ca="1">IFERROR(__xludf.DUMMYFUNCTION("""COMPUTED_VALUE"""),0)</f>
        <v>0</v>
      </c>
      <c r="O549" s="23">
        <f ca="1">IFERROR(__xludf.DUMMYFUNCTION("""COMPUTED_VALUE"""),0)</f>
        <v>0</v>
      </c>
      <c r="P549" s="23">
        <f ca="1">IFERROR(__xludf.DUMMYFUNCTION("""COMPUTED_VALUE"""),0)</f>
        <v>0</v>
      </c>
      <c r="Q549" s="24">
        <f ca="1">IFERROR(__xludf.DUMMYFUNCTION("""COMPUTED_VALUE"""),0)</f>
        <v>0</v>
      </c>
      <c r="R549" s="20"/>
    </row>
    <row r="550" spans="1:18" ht="13.2" hidden="1" outlineLevel="1" x14ac:dyDescent="0.25">
      <c r="A550" s="1"/>
      <c r="B550" s="25" t="str">
        <f ca="1">IFERROR(__xludf.DUMMYFUNCTION("""COMPUTED_VALUE"""),"Energía eléctrica")</f>
        <v>Energía eléctrica</v>
      </c>
      <c r="C550" s="26">
        <f ca="1">IFERROR(__xludf.DUMMYFUNCTION("""COMPUTED_VALUE"""),4.72015574438388)</f>
        <v>4.72015574438388</v>
      </c>
      <c r="D550" s="27">
        <f ca="1">IFERROR(__xludf.DUMMYFUNCTION("""COMPUTED_VALUE"""),6.09270561652387)</f>
        <v>6.0927056165238698</v>
      </c>
      <c r="E550" s="27">
        <f ca="1">IFERROR(__xludf.DUMMYFUNCTION("""COMPUTED_VALUE"""),13.4182747539153)</f>
        <v>13.4182747539153</v>
      </c>
      <c r="F550" s="27">
        <f ca="1">IFERROR(__xludf.DUMMYFUNCTION("""COMPUTED_VALUE"""),15.4326807263786)</f>
        <v>15.432680726378599</v>
      </c>
      <c r="G550" s="27">
        <f ca="1">IFERROR(__xludf.DUMMYFUNCTION("""COMPUTED_VALUE"""),23.6933194550924)</f>
        <v>23.6933194550924</v>
      </c>
      <c r="H550" s="27">
        <f ca="1">IFERROR(__xludf.DUMMYFUNCTION("""COMPUTED_VALUE"""),32.2266686190985)</f>
        <v>32.226668619098497</v>
      </c>
      <c r="I550" s="27">
        <f ca="1">IFERROR(__xludf.DUMMYFUNCTION("""COMPUTED_VALUE"""),38.4244589107372)</f>
        <v>38.424458910737201</v>
      </c>
      <c r="J550" s="27">
        <f ca="1">IFERROR(__xludf.DUMMYFUNCTION("""COMPUTED_VALUE"""),38.0122580222196)</f>
        <v>38.012258022219598</v>
      </c>
      <c r="K550" s="27">
        <f ca="1">IFERROR(__xludf.DUMMYFUNCTION("""COMPUTED_VALUE"""),45.2287222480656)</f>
        <v>45.228722248065601</v>
      </c>
      <c r="L550" s="27">
        <f ca="1">IFERROR(__xludf.DUMMYFUNCTION("""COMPUTED_VALUE"""),60.8230933995897)</f>
        <v>60.823093399589702</v>
      </c>
      <c r="M550" s="27">
        <f ca="1">IFERROR(__xludf.DUMMYFUNCTION("""COMPUTED_VALUE"""),71.6722117329134)</f>
        <v>71.672211732913397</v>
      </c>
      <c r="N550" s="27">
        <f ca="1">IFERROR(__xludf.DUMMYFUNCTION("""COMPUTED_VALUE"""),76.6530766316587)</f>
        <v>76.653076631658706</v>
      </c>
      <c r="O550" s="27">
        <f ca="1">IFERROR(__xludf.DUMMYFUNCTION("""COMPUTED_VALUE"""),73.9145440149017)</f>
        <v>73.914544014901693</v>
      </c>
      <c r="P550" s="27">
        <f ca="1">IFERROR(__xludf.DUMMYFUNCTION("""COMPUTED_VALUE"""),75.2858005595479)</f>
        <v>75.285800559547894</v>
      </c>
      <c r="Q550" s="28">
        <f ca="1">IFERROR(__xludf.DUMMYFUNCTION("""COMPUTED_VALUE"""),72.6585248964424)</f>
        <v>72.658524896442401</v>
      </c>
      <c r="R550" s="20"/>
    </row>
    <row r="551" spans="1:18" ht="13.2" hidden="1" outlineLevel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0"/>
    </row>
    <row r="552" spans="1:18" ht="13.2" collapsed="1" x14ac:dyDescent="0.25">
      <c r="A552" s="30"/>
      <c r="B552" s="5" t="str">
        <f ca="1">IFERROR(__xludf.DUMMYFUNCTION("""COMPUTED_VALUE"""),"CE.FV(e,a)")</f>
        <v>CE.FV(e,a)</v>
      </c>
      <c r="C552" s="6" t="str">
        <f ca="1">IFERROR(__xludf.DUMMYFUNCTION("""COMPUTED_VALUE"""),"-/+")</f>
        <v>-/+</v>
      </c>
      <c r="D552" s="7" t="str">
        <f ca="1">IFERROR(__xludf.DUMMYFUNCTION("""COMPUTED_VALUE"""),"Solar fotovoltáica por energético e y año a.")</f>
        <v>Solar fotovoltáica por energético e y año a.</v>
      </c>
      <c r="E552" s="6" t="str">
        <f ca="1">IFERROR(__xludf.DUMMYFUNCTION("""COMPUTED_VALUE"""),"cbne")</f>
        <v>cbne</v>
      </c>
      <c r="F552" s="6" t="str">
        <f ca="1">IFERROR(__xludf.DUMMYFUNCTION("""COMPUTED_VALUE"""),"a")</f>
        <v>a</v>
      </c>
      <c r="G552" s="8" t="str">
        <f ca="1">IFERROR(__xludf.DUMMYFUNCTION("""COMPUTED_VALUE"""),"PJ")</f>
        <v>PJ</v>
      </c>
      <c r="H552" s="9"/>
      <c r="I552" s="1"/>
      <c r="J552" s="1"/>
      <c r="K552" s="1"/>
      <c r="L552" s="1"/>
      <c r="M552" s="1"/>
      <c r="N552" s="1"/>
      <c r="O552" s="1"/>
      <c r="P552" s="1"/>
      <c r="Q552" s="1"/>
      <c r="R552" s="10"/>
    </row>
    <row r="553" spans="1:18" ht="13.2" hidden="1" outlineLevel="1" x14ac:dyDescent="0.25">
      <c r="A553" s="1"/>
      <c r="B553" s="11"/>
      <c r="C553" s="12">
        <f ca="1">IFERROR(__xludf.DUMMYFUNCTION("""COMPUTED_VALUE"""),2010)</f>
        <v>2010</v>
      </c>
      <c r="D553" s="13">
        <f ca="1">IFERROR(__xludf.DUMMYFUNCTION("""COMPUTED_VALUE"""),2011)</f>
        <v>2011</v>
      </c>
      <c r="E553" s="13">
        <f ca="1">IFERROR(__xludf.DUMMYFUNCTION("""COMPUTED_VALUE"""),2012)</f>
        <v>2012</v>
      </c>
      <c r="F553" s="13">
        <f ca="1">IFERROR(__xludf.DUMMYFUNCTION("""COMPUTED_VALUE"""),2013)</f>
        <v>2013</v>
      </c>
      <c r="G553" s="13">
        <f ca="1">IFERROR(__xludf.DUMMYFUNCTION("""COMPUTED_VALUE"""),2014)</f>
        <v>2014</v>
      </c>
      <c r="H553" s="13">
        <f ca="1">IFERROR(__xludf.DUMMYFUNCTION("""COMPUTED_VALUE"""),2015)</f>
        <v>2015</v>
      </c>
      <c r="I553" s="13">
        <f ca="1">IFERROR(__xludf.DUMMYFUNCTION("""COMPUTED_VALUE"""),2016)</f>
        <v>2016</v>
      </c>
      <c r="J553" s="13">
        <f ca="1">IFERROR(__xludf.DUMMYFUNCTION("""COMPUTED_VALUE"""),2017)</f>
        <v>2017</v>
      </c>
      <c r="K553" s="13">
        <f ca="1">IFERROR(__xludf.DUMMYFUNCTION("""COMPUTED_VALUE"""),2018)</f>
        <v>2018</v>
      </c>
      <c r="L553" s="13">
        <f ca="1">IFERROR(__xludf.DUMMYFUNCTION("""COMPUTED_VALUE"""),2019)</f>
        <v>2019</v>
      </c>
      <c r="M553" s="13">
        <f ca="1">IFERROR(__xludf.DUMMYFUNCTION("""COMPUTED_VALUE"""),2020)</f>
        <v>2020</v>
      </c>
      <c r="N553" s="13">
        <f ca="1">IFERROR(__xludf.DUMMYFUNCTION("""COMPUTED_VALUE"""),2021)</f>
        <v>2021</v>
      </c>
      <c r="O553" s="13">
        <f ca="1">IFERROR(__xludf.DUMMYFUNCTION("""COMPUTED_VALUE"""),2022)</f>
        <v>2022</v>
      </c>
      <c r="P553" s="13">
        <f ca="1">IFERROR(__xludf.DUMMYFUNCTION("""COMPUTED_VALUE"""),2023)</f>
        <v>2023</v>
      </c>
      <c r="Q553" s="14">
        <f ca="1">IFERROR(__xludf.DUMMYFUNCTION("""COMPUTED_VALUE"""),2024)</f>
        <v>2024</v>
      </c>
      <c r="R553" s="15"/>
    </row>
    <row r="554" spans="1:18" ht="13.2" hidden="1" outlineLevel="1" x14ac:dyDescent="0.25">
      <c r="A554" s="1"/>
      <c r="B554" s="16" t="str">
        <f ca="1">IFERROR(__xludf.DUMMYFUNCTION("""COMPUTED_VALUE"""),"Carbón mineral")</f>
        <v>Carbón mineral</v>
      </c>
      <c r="C554" s="17">
        <f ca="1">IFERROR(__xludf.DUMMYFUNCTION("""COMPUTED_VALUE"""),0)</f>
        <v>0</v>
      </c>
      <c r="D554" s="18">
        <f ca="1">IFERROR(__xludf.DUMMYFUNCTION("""COMPUTED_VALUE"""),0)</f>
        <v>0</v>
      </c>
      <c r="E554" s="18">
        <f ca="1">IFERROR(__xludf.DUMMYFUNCTION("""COMPUTED_VALUE"""),0)</f>
        <v>0</v>
      </c>
      <c r="F554" s="18">
        <f ca="1">IFERROR(__xludf.DUMMYFUNCTION("""COMPUTED_VALUE"""),0)</f>
        <v>0</v>
      </c>
      <c r="G554" s="18">
        <f ca="1">IFERROR(__xludf.DUMMYFUNCTION("""COMPUTED_VALUE"""),0)</f>
        <v>0</v>
      </c>
      <c r="H554" s="18">
        <f ca="1">IFERROR(__xludf.DUMMYFUNCTION("""COMPUTED_VALUE"""),0)</f>
        <v>0</v>
      </c>
      <c r="I554" s="18">
        <f ca="1">IFERROR(__xludf.DUMMYFUNCTION("""COMPUTED_VALUE"""),0)</f>
        <v>0</v>
      </c>
      <c r="J554" s="18">
        <f ca="1">IFERROR(__xludf.DUMMYFUNCTION("""COMPUTED_VALUE"""),0)</f>
        <v>0</v>
      </c>
      <c r="K554" s="18">
        <f ca="1">IFERROR(__xludf.DUMMYFUNCTION("""COMPUTED_VALUE"""),0)</f>
        <v>0</v>
      </c>
      <c r="L554" s="18">
        <f ca="1">IFERROR(__xludf.DUMMYFUNCTION("""COMPUTED_VALUE"""),0)</f>
        <v>0</v>
      </c>
      <c r="M554" s="18">
        <f ca="1">IFERROR(__xludf.DUMMYFUNCTION("""COMPUTED_VALUE"""),0)</f>
        <v>0</v>
      </c>
      <c r="N554" s="18">
        <f ca="1">IFERROR(__xludf.DUMMYFUNCTION("""COMPUTED_VALUE"""),0)</f>
        <v>0</v>
      </c>
      <c r="O554" s="18">
        <f ca="1">IFERROR(__xludf.DUMMYFUNCTION("""COMPUTED_VALUE"""),0)</f>
        <v>0</v>
      </c>
      <c r="P554" s="18">
        <f ca="1">IFERROR(__xludf.DUMMYFUNCTION("""COMPUTED_VALUE"""),0)</f>
        <v>0</v>
      </c>
      <c r="Q554" s="19">
        <f ca="1">IFERROR(__xludf.DUMMYFUNCTION("""COMPUTED_VALUE"""),0)</f>
        <v>0</v>
      </c>
      <c r="R554" s="20"/>
    </row>
    <row r="555" spans="1:18" ht="13.2" hidden="1" outlineLevel="1" x14ac:dyDescent="0.25">
      <c r="A555" s="1"/>
      <c r="B555" s="21" t="str">
        <f ca="1">IFERROR(__xludf.DUMMYFUNCTION("""COMPUTED_VALUE"""),"Petróleo crudo")</f>
        <v>Petróleo crudo</v>
      </c>
      <c r="C555" s="22">
        <f ca="1">IFERROR(__xludf.DUMMYFUNCTION("""COMPUTED_VALUE"""),0)</f>
        <v>0</v>
      </c>
      <c r="D555" s="23">
        <f ca="1">IFERROR(__xludf.DUMMYFUNCTION("""COMPUTED_VALUE"""),0)</f>
        <v>0</v>
      </c>
      <c r="E555" s="23">
        <f ca="1">IFERROR(__xludf.DUMMYFUNCTION("""COMPUTED_VALUE"""),0)</f>
        <v>0</v>
      </c>
      <c r="F555" s="23">
        <f ca="1">IFERROR(__xludf.DUMMYFUNCTION("""COMPUTED_VALUE"""),0)</f>
        <v>0</v>
      </c>
      <c r="G555" s="23">
        <f ca="1">IFERROR(__xludf.DUMMYFUNCTION("""COMPUTED_VALUE"""),0)</f>
        <v>0</v>
      </c>
      <c r="H555" s="23">
        <f ca="1">IFERROR(__xludf.DUMMYFUNCTION("""COMPUTED_VALUE"""),0)</f>
        <v>0</v>
      </c>
      <c r="I555" s="23">
        <f ca="1">IFERROR(__xludf.DUMMYFUNCTION("""COMPUTED_VALUE"""),0)</f>
        <v>0</v>
      </c>
      <c r="J555" s="23">
        <f ca="1">IFERROR(__xludf.DUMMYFUNCTION("""COMPUTED_VALUE"""),0)</f>
        <v>0</v>
      </c>
      <c r="K555" s="23">
        <f ca="1">IFERROR(__xludf.DUMMYFUNCTION("""COMPUTED_VALUE"""),0)</f>
        <v>0</v>
      </c>
      <c r="L555" s="23">
        <f ca="1">IFERROR(__xludf.DUMMYFUNCTION("""COMPUTED_VALUE"""),0)</f>
        <v>0</v>
      </c>
      <c r="M555" s="23">
        <f ca="1">IFERROR(__xludf.DUMMYFUNCTION("""COMPUTED_VALUE"""),0)</f>
        <v>0</v>
      </c>
      <c r="N555" s="23">
        <f ca="1">IFERROR(__xludf.DUMMYFUNCTION("""COMPUTED_VALUE"""),0)</f>
        <v>0</v>
      </c>
      <c r="O555" s="23">
        <f ca="1">IFERROR(__xludf.DUMMYFUNCTION("""COMPUTED_VALUE"""),0)</f>
        <v>0</v>
      </c>
      <c r="P555" s="23">
        <f ca="1">IFERROR(__xludf.DUMMYFUNCTION("""COMPUTED_VALUE"""),0)</f>
        <v>0</v>
      </c>
      <c r="Q555" s="24">
        <f ca="1">IFERROR(__xludf.DUMMYFUNCTION("""COMPUTED_VALUE"""),0)</f>
        <v>0</v>
      </c>
      <c r="R555" s="20"/>
    </row>
    <row r="556" spans="1:18" ht="13.2" hidden="1" outlineLevel="1" x14ac:dyDescent="0.25">
      <c r="A556" s="1"/>
      <c r="B556" s="21" t="str">
        <f ca="1">IFERROR(__xludf.DUMMYFUNCTION("""COMPUTED_VALUE"""),"Condensados")</f>
        <v>Condensados</v>
      </c>
      <c r="C556" s="22">
        <f ca="1">IFERROR(__xludf.DUMMYFUNCTION("""COMPUTED_VALUE"""),0)</f>
        <v>0</v>
      </c>
      <c r="D556" s="23">
        <f ca="1">IFERROR(__xludf.DUMMYFUNCTION("""COMPUTED_VALUE"""),0)</f>
        <v>0</v>
      </c>
      <c r="E556" s="23">
        <f ca="1">IFERROR(__xludf.DUMMYFUNCTION("""COMPUTED_VALUE"""),0)</f>
        <v>0</v>
      </c>
      <c r="F556" s="23">
        <f ca="1">IFERROR(__xludf.DUMMYFUNCTION("""COMPUTED_VALUE"""),0)</f>
        <v>0</v>
      </c>
      <c r="G556" s="23">
        <f ca="1">IFERROR(__xludf.DUMMYFUNCTION("""COMPUTED_VALUE"""),0)</f>
        <v>0</v>
      </c>
      <c r="H556" s="23">
        <f ca="1">IFERROR(__xludf.DUMMYFUNCTION("""COMPUTED_VALUE"""),0)</f>
        <v>0</v>
      </c>
      <c r="I556" s="23">
        <f ca="1">IFERROR(__xludf.DUMMYFUNCTION("""COMPUTED_VALUE"""),0)</f>
        <v>0</v>
      </c>
      <c r="J556" s="23">
        <f ca="1">IFERROR(__xludf.DUMMYFUNCTION("""COMPUTED_VALUE"""),0)</f>
        <v>0</v>
      </c>
      <c r="K556" s="23">
        <f ca="1">IFERROR(__xludf.DUMMYFUNCTION("""COMPUTED_VALUE"""),0)</f>
        <v>0</v>
      </c>
      <c r="L556" s="23">
        <f ca="1">IFERROR(__xludf.DUMMYFUNCTION("""COMPUTED_VALUE"""),0)</f>
        <v>0</v>
      </c>
      <c r="M556" s="23">
        <f ca="1">IFERROR(__xludf.DUMMYFUNCTION("""COMPUTED_VALUE"""),0)</f>
        <v>0</v>
      </c>
      <c r="N556" s="23">
        <f ca="1">IFERROR(__xludf.DUMMYFUNCTION("""COMPUTED_VALUE"""),0)</f>
        <v>0</v>
      </c>
      <c r="O556" s="23">
        <f ca="1">IFERROR(__xludf.DUMMYFUNCTION("""COMPUTED_VALUE"""),0)</f>
        <v>0</v>
      </c>
      <c r="P556" s="23">
        <f ca="1">IFERROR(__xludf.DUMMYFUNCTION("""COMPUTED_VALUE"""),0)</f>
        <v>0</v>
      </c>
      <c r="Q556" s="24">
        <f ca="1">IFERROR(__xludf.DUMMYFUNCTION("""COMPUTED_VALUE"""),0)</f>
        <v>0</v>
      </c>
      <c r="R556" s="20"/>
    </row>
    <row r="557" spans="1:18" ht="13.2" hidden="1" outlineLevel="1" x14ac:dyDescent="0.25">
      <c r="A557" s="1"/>
      <c r="B557" s="21" t="str">
        <f ca="1">IFERROR(__xludf.DUMMYFUNCTION("""COMPUTED_VALUE"""),"Gas natural")</f>
        <v>Gas natural</v>
      </c>
      <c r="C557" s="22">
        <f ca="1">IFERROR(__xludf.DUMMYFUNCTION("""COMPUTED_VALUE"""),0)</f>
        <v>0</v>
      </c>
      <c r="D557" s="23">
        <f ca="1">IFERROR(__xludf.DUMMYFUNCTION("""COMPUTED_VALUE"""),0)</f>
        <v>0</v>
      </c>
      <c r="E557" s="23">
        <f ca="1">IFERROR(__xludf.DUMMYFUNCTION("""COMPUTED_VALUE"""),0)</f>
        <v>0</v>
      </c>
      <c r="F557" s="23">
        <f ca="1">IFERROR(__xludf.DUMMYFUNCTION("""COMPUTED_VALUE"""),0)</f>
        <v>0</v>
      </c>
      <c r="G557" s="23">
        <f ca="1">IFERROR(__xludf.DUMMYFUNCTION("""COMPUTED_VALUE"""),0)</f>
        <v>0</v>
      </c>
      <c r="H557" s="23">
        <f ca="1">IFERROR(__xludf.DUMMYFUNCTION("""COMPUTED_VALUE"""),0)</f>
        <v>0</v>
      </c>
      <c r="I557" s="23">
        <f ca="1">IFERROR(__xludf.DUMMYFUNCTION("""COMPUTED_VALUE"""),0)</f>
        <v>0</v>
      </c>
      <c r="J557" s="23">
        <f ca="1">IFERROR(__xludf.DUMMYFUNCTION("""COMPUTED_VALUE"""),0)</f>
        <v>0</v>
      </c>
      <c r="K557" s="23">
        <f ca="1">IFERROR(__xludf.DUMMYFUNCTION("""COMPUTED_VALUE"""),0)</f>
        <v>0</v>
      </c>
      <c r="L557" s="23">
        <f ca="1">IFERROR(__xludf.DUMMYFUNCTION("""COMPUTED_VALUE"""),0)</f>
        <v>0</v>
      </c>
      <c r="M557" s="23">
        <f ca="1">IFERROR(__xludf.DUMMYFUNCTION("""COMPUTED_VALUE"""),0)</f>
        <v>0</v>
      </c>
      <c r="N557" s="23">
        <f ca="1">IFERROR(__xludf.DUMMYFUNCTION("""COMPUTED_VALUE"""),0)</f>
        <v>0</v>
      </c>
      <c r="O557" s="23">
        <f ca="1">IFERROR(__xludf.DUMMYFUNCTION("""COMPUTED_VALUE"""),0)</f>
        <v>0</v>
      </c>
      <c r="P557" s="23">
        <f ca="1">IFERROR(__xludf.DUMMYFUNCTION("""COMPUTED_VALUE"""),0)</f>
        <v>0</v>
      </c>
      <c r="Q557" s="24">
        <f ca="1">IFERROR(__xludf.DUMMYFUNCTION("""COMPUTED_VALUE"""),0)</f>
        <v>0</v>
      </c>
      <c r="R557" s="20"/>
    </row>
    <row r="558" spans="1:18" ht="13.2" hidden="1" outlineLevel="1" x14ac:dyDescent="0.25">
      <c r="A558" s="1"/>
      <c r="B558" s="21" t="str">
        <f ca="1">IFERROR(__xludf.DUMMYFUNCTION("""COMPUTED_VALUE"""),"Energía Nuclear")</f>
        <v>Energía Nuclear</v>
      </c>
      <c r="C558" s="22">
        <f ca="1">IFERROR(__xludf.DUMMYFUNCTION("""COMPUTED_VALUE"""),0)</f>
        <v>0</v>
      </c>
      <c r="D558" s="23">
        <f ca="1">IFERROR(__xludf.DUMMYFUNCTION("""COMPUTED_VALUE"""),0)</f>
        <v>0</v>
      </c>
      <c r="E558" s="23">
        <f ca="1">IFERROR(__xludf.DUMMYFUNCTION("""COMPUTED_VALUE"""),0)</f>
        <v>0</v>
      </c>
      <c r="F558" s="23">
        <f ca="1">IFERROR(__xludf.DUMMYFUNCTION("""COMPUTED_VALUE"""),0)</f>
        <v>0</v>
      </c>
      <c r="G558" s="23">
        <f ca="1">IFERROR(__xludf.DUMMYFUNCTION("""COMPUTED_VALUE"""),0)</f>
        <v>0</v>
      </c>
      <c r="H558" s="23">
        <f ca="1">IFERROR(__xludf.DUMMYFUNCTION("""COMPUTED_VALUE"""),0)</f>
        <v>0</v>
      </c>
      <c r="I558" s="23">
        <f ca="1">IFERROR(__xludf.DUMMYFUNCTION("""COMPUTED_VALUE"""),0)</f>
        <v>0</v>
      </c>
      <c r="J558" s="23">
        <f ca="1">IFERROR(__xludf.DUMMYFUNCTION("""COMPUTED_VALUE"""),0)</f>
        <v>0</v>
      </c>
      <c r="K558" s="23">
        <f ca="1">IFERROR(__xludf.DUMMYFUNCTION("""COMPUTED_VALUE"""),0)</f>
        <v>0</v>
      </c>
      <c r="L558" s="23">
        <f ca="1">IFERROR(__xludf.DUMMYFUNCTION("""COMPUTED_VALUE"""),0)</f>
        <v>0</v>
      </c>
      <c r="M558" s="23">
        <f ca="1">IFERROR(__xludf.DUMMYFUNCTION("""COMPUTED_VALUE"""),0)</f>
        <v>0</v>
      </c>
      <c r="N558" s="23">
        <f ca="1">IFERROR(__xludf.DUMMYFUNCTION("""COMPUTED_VALUE"""),0)</f>
        <v>0</v>
      </c>
      <c r="O558" s="23">
        <f ca="1">IFERROR(__xludf.DUMMYFUNCTION("""COMPUTED_VALUE"""),0)</f>
        <v>0</v>
      </c>
      <c r="P558" s="23">
        <f ca="1">IFERROR(__xludf.DUMMYFUNCTION("""COMPUTED_VALUE"""),0)</f>
        <v>0</v>
      </c>
      <c r="Q558" s="24">
        <f ca="1">IFERROR(__xludf.DUMMYFUNCTION("""COMPUTED_VALUE"""),0)</f>
        <v>0</v>
      </c>
      <c r="R558" s="20"/>
    </row>
    <row r="559" spans="1:18" ht="13.2" hidden="1" outlineLevel="1" x14ac:dyDescent="0.25">
      <c r="A559" s="1"/>
      <c r="B559" s="21" t="str">
        <f ca="1">IFERROR(__xludf.DUMMYFUNCTION("""COMPUTED_VALUE"""),"Energia Hidraúlica")</f>
        <v>Energia Hidraúlica</v>
      </c>
      <c r="C559" s="22">
        <f ca="1">IFERROR(__xludf.DUMMYFUNCTION("""COMPUTED_VALUE"""),0)</f>
        <v>0</v>
      </c>
      <c r="D559" s="23">
        <f ca="1">IFERROR(__xludf.DUMMYFUNCTION("""COMPUTED_VALUE"""),0)</f>
        <v>0</v>
      </c>
      <c r="E559" s="23">
        <f ca="1">IFERROR(__xludf.DUMMYFUNCTION("""COMPUTED_VALUE"""),0)</f>
        <v>0</v>
      </c>
      <c r="F559" s="23">
        <f ca="1">IFERROR(__xludf.DUMMYFUNCTION("""COMPUTED_VALUE"""),0)</f>
        <v>0</v>
      </c>
      <c r="G559" s="23">
        <f ca="1">IFERROR(__xludf.DUMMYFUNCTION("""COMPUTED_VALUE"""),0)</f>
        <v>0</v>
      </c>
      <c r="H559" s="23">
        <f ca="1">IFERROR(__xludf.DUMMYFUNCTION("""COMPUTED_VALUE"""),0)</f>
        <v>0</v>
      </c>
      <c r="I559" s="23">
        <f ca="1">IFERROR(__xludf.DUMMYFUNCTION("""COMPUTED_VALUE"""),0)</f>
        <v>0</v>
      </c>
      <c r="J559" s="23">
        <f ca="1">IFERROR(__xludf.DUMMYFUNCTION("""COMPUTED_VALUE"""),0)</f>
        <v>0</v>
      </c>
      <c r="K559" s="23">
        <f ca="1">IFERROR(__xludf.DUMMYFUNCTION("""COMPUTED_VALUE"""),0)</f>
        <v>0</v>
      </c>
      <c r="L559" s="23">
        <f ca="1">IFERROR(__xludf.DUMMYFUNCTION("""COMPUTED_VALUE"""),0)</f>
        <v>0</v>
      </c>
      <c r="M559" s="23">
        <f ca="1">IFERROR(__xludf.DUMMYFUNCTION("""COMPUTED_VALUE"""),0)</f>
        <v>0</v>
      </c>
      <c r="N559" s="23">
        <f ca="1">IFERROR(__xludf.DUMMYFUNCTION("""COMPUTED_VALUE"""),0)</f>
        <v>0</v>
      </c>
      <c r="O559" s="23">
        <f ca="1">IFERROR(__xludf.DUMMYFUNCTION("""COMPUTED_VALUE"""),0)</f>
        <v>0</v>
      </c>
      <c r="P559" s="23">
        <f ca="1">IFERROR(__xludf.DUMMYFUNCTION("""COMPUTED_VALUE"""),0)</f>
        <v>0</v>
      </c>
      <c r="Q559" s="24">
        <f ca="1">IFERROR(__xludf.DUMMYFUNCTION("""COMPUTED_VALUE"""),0)</f>
        <v>0</v>
      </c>
      <c r="R559" s="20"/>
    </row>
    <row r="560" spans="1:18" ht="13.2" hidden="1" outlineLevel="1" x14ac:dyDescent="0.25">
      <c r="A560" s="1"/>
      <c r="B560" s="21" t="str">
        <f ca="1">IFERROR(__xludf.DUMMYFUNCTION("""COMPUTED_VALUE"""),"Geoenergía")</f>
        <v>Geoenergía</v>
      </c>
      <c r="C560" s="22">
        <f ca="1">IFERROR(__xludf.DUMMYFUNCTION("""COMPUTED_VALUE"""),0)</f>
        <v>0</v>
      </c>
      <c r="D560" s="23">
        <f ca="1">IFERROR(__xludf.DUMMYFUNCTION("""COMPUTED_VALUE"""),0)</f>
        <v>0</v>
      </c>
      <c r="E560" s="23">
        <f ca="1">IFERROR(__xludf.DUMMYFUNCTION("""COMPUTED_VALUE"""),0)</f>
        <v>0</v>
      </c>
      <c r="F560" s="23">
        <f ca="1">IFERROR(__xludf.DUMMYFUNCTION("""COMPUTED_VALUE"""),0)</f>
        <v>0</v>
      </c>
      <c r="G560" s="23">
        <f ca="1">IFERROR(__xludf.DUMMYFUNCTION("""COMPUTED_VALUE"""),0)</f>
        <v>0</v>
      </c>
      <c r="H560" s="23">
        <f ca="1">IFERROR(__xludf.DUMMYFUNCTION("""COMPUTED_VALUE"""),0)</f>
        <v>0</v>
      </c>
      <c r="I560" s="23">
        <f ca="1">IFERROR(__xludf.DUMMYFUNCTION("""COMPUTED_VALUE"""),0)</f>
        <v>0</v>
      </c>
      <c r="J560" s="23">
        <f ca="1">IFERROR(__xludf.DUMMYFUNCTION("""COMPUTED_VALUE"""),0)</f>
        <v>0</v>
      </c>
      <c r="K560" s="23">
        <f ca="1">IFERROR(__xludf.DUMMYFUNCTION("""COMPUTED_VALUE"""),0)</f>
        <v>0</v>
      </c>
      <c r="L560" s="23">
        <f ca="1">IFERROR(__xludf.DUMMYFUNCTION("""COMPUTED_VALUE"""),0)</f>
        <v>0</v>
      </c>
      <c r="M560" s="23">
        <f ca="1">IFERROR(__xludf.DUMMYFUNCTION("""COMPUTED_VALUE"""),0)</f>
        <v>0</v>
      </c>
      <c r="N560" s="23">
        <f ca="1">IFERROR(__xludf.DUMMYFUNCTION("""COMPUTED_VALUE"""),0)</f>
        <v>0</v>
      </c>
      <c r="O560" s="23">
        <f ca="1">IFERROR(__xludf.DUMMYFUNCTION("""COMPUTED_VALUE"""),0)</f>
        <v>0</v>
      </c>
      <c r="P560" s="23">
        <f ca="1">IFERROR(__xludf.DUMMYFUNCTION("""COMPUTED_VALUE"""),0)</f>
        <v>0</v>
      </c>
      <c r="Q560" s="24">
        <f ca="1">IFERROR(__xludf.DUMMYFUNCTION("""COMPUTED_VALUE"""),0)</f>
        <v>0</v>
      </c>
      <c r="R560" s="20"/>
    </row>
    <row r="561" spans="1:18" ht="13.2" hidden="1" outlineLevel="1" x14ac:dyDescent="0.25">
      <c r="A561" s="1"/>
      <c r="B561" s="21" t="str">
        <f ca="1">IFERROR(__xludf.DUMMYFUNCTION("""COMPUTED_VALUE"""),"Energía solar")</f>
        <v>Energía solar</v>
      </c>
      <c r="C561" s="22">
        <f ca="1">IFERROR(__xludf.DUMMYFUNCTION("""COMPUTED_VALUE"""),-0.000397384392433985)</f>
        <v>-3.9738439243398502E-4</v>
      </c>
      <c r="D561" s="23">
        <f ca="1">IFERROR(__xludf.DUMMYFUNCTION("""COMPUTED_VALUE"""),-0.000396878776998109)</f>
        <v>-3.9687877699810901E-4</v>
      </c>
      <c r="E561" s="23">
        <f ca="1">IFERROR(__xludf.DUMMYFUNCTION("""COMPUTED_VALUE"""),-0.0106455052817297)</f>
        <v>-1.06455052817297E-2</v>
      </c>
      <c r="F561" s="23">
        <f ca="1">IFERROR(__xludf.DUMMYFUNCTION("""COMPUTED_VALUE"""),-0.0722697809260149)</f>
        <v>-7.2269780926014895E-2</v>
      </c>
      <c r="G561" s="23">
        <f ca="1">IFERROR(__xludf.DUMMYFUNCTION("""COMPUTED_VALUE"""),-0.31473222566015)</f>
        <v>-0.31473222566015002</v>
      </c>
      <c r="H561" s="23">
        <f ca="1">IFERROR(__xludf.DUMMYFUNCTION("""COMPUTED_VALUE"""),-0.288611840186412)</f>
        <v>-0.28861184018641201</v>
      </c>
      <c r="I561" s="23">
        <f ca="1">IFERROR(__xludf.DUMMYFUNCTION("""COMPUTED_VALUE"""),-0.58853047827557)</f>
        <v>-0.58853047827557003</v>
      </c>
      <c r="J561" s="23">
        <f ca="1">IFERROR(__xludf.DUMMYFUNCTION("""COMPUTED_VALUE"""),-1.27257390865549)</f>
        <v>-1.2725739086554899</v>
      </c>
      <c r="K561" s="23">
        <f ca="1">IFERROR(__xludf.DUMMYFUNCTION("""COMPUTED_VALUE"""),-7.92743128895603)</f>
        <v>-7.9274312889560301</v>
      </c>
      <c r="L561" s="23">
        <f ca="1">IFERROR(__xludf.DUMMYFUNCTION("""COMPUTED_VALUE"""),-30.6022560465888)</f>
        <v>-30.602256046588799</v>
      </c>
      <c r="M561" s="23">
        <f ca="1">IFERROR(__xludf.DUMMYFUNCTION("""COMPUTED_VALUE"""),-49.25516431347)</f>
        <v>-49.255164313469997</v>
      </c>
      <c r="N561" s="23">
        <f ca="1">IFERROR(__xludf.DUMMYFUNCTION("""COMPUTED_VALUE"""),-62.2277737831912)</f>
        <v>-62.227773783191203</v>
      </c>
      <c r="O561" s="23">
        <f ca="1">IFERROR(__xludf.DUMMYFUNCTION("""COMPUTED_VALUE"""),-59.3126296193328)</f>
        <v>-59.312629619332803</v>
      </c>
      <c r="P561" s="23">
        <f ca="1">IFERROR(__xludf.DUMMYFUNCTION("""COMPUTED_VALUE"""),-66.3463914819941)</f>
        <v>-66.346391481994104</v>
      </c>
      <c r="Q561" s="24">
        <f ca="1">IFERROR(__xludf.DUMMYFUNCTION("""COMPUTED_VALUE"""),-67.8802661590502)</f>
        <v>-67.880266159050194</v>
      </c>
      <c r="R561" s="20"/>
    </row>
    <row r="562" spans="1:18" ht="13.2" hidden="1" outlineLevel="1" x14ac:dyDescent="0.25">
      <c r="A562" s="1"/>
      <c r="B562" s="21" t="str">
        <f ca="1">IFERROR(__xludf.DUMMYFUNCTION("""COMPUTED_VALUE"""),"Energía eólica")</f>
        <v>Energía eólica</v>
      </c>
      <c r="C562" s="22">
        <f ca="1">IFERROR(__xludf.DUMMYFUNCTION("""COMPUTED_VALUE"""),0)</f>
        <v>0</v>
      </c>
      <c r="D562" s="23">
        <f ca="1">IFERROR(__xludf.DUMMYFUNCTION("""COMPUTED_VALUE"""),0)</f>
        <v>0</v>
      </c>
      <c r="E562" s="23">
        <f ca="1">IFERROR(__xludf.DUMMYFUNCTION("""COMPUTED_VALUE"""),0)</f>
        <v>0</v>
      </c>
      <c r="F562" s="23">
        <f ca="1">IFERROR(__xludf.DUMMYFUNCTION("""COMPUTED_VALUE"""),0)</f>
        <v>0</v>
      </c>
      <c r="G562" s="23">
        <f ca="1">IFERROR(__xludf.DUMMYFUNCTION("""COMPUTED_VALUE"""),0)</f>
        <v>0</v>
      </c>
      <c r="H562" s="23">
        <f ca="1">IFERROR(__xludf.DUMMYFUNCTION("""COMPUTED_VALUE"""),0)</f>
        <v>0</v>
      </c>
      <c r="I562" s="23">
        <f ca="1">IFERROR(__xludf.DUMMYFUNCTION("""COMPUTED_VALUE"""),0)</f>
        <v>0</v>
      </c>
      <c r="J562" s="23">
        <f ca="1">IFERROR(__xludf.DUMMYFUNCTION("""COMPUTED_VALUE"""),0)</f>
        <v>0</v>
      </c>
      <c r="K562" s="23">
        <f ca="1">IFERROR(__xludf.DUMMYFUNCTION("""COMPUTED_VALUE"""),0)</f>
        <v>0</v>
      </c>
      <c r="L562" s="23">
        <f ca="1">IFERROR(__xludf.DUMMYFUNCTION("""COMPUTED_VALUE"""),0)</f>
        <v>0</v>
      </c>
      <c r="M562" s="23">
        <f ca="1">IFERROR(__xludf.DUMMYFUNCTION("""COMPUTED_VALUE"""),0)</f>
        <v>0</v>
      </c>
      <c r="N562" s="23">
        <f ca="1">IFERROR(__xludf.DUMMYFUNCTION("""COMPUTED_VALUE"""),0)</f>
        <v>0</v>
      </c>
      <c r="O562" s="23">
        <f ca="1">IFERROR(__xludf.DUMMYFUNCTION("""COMPUTED_VALUE"""),0)</f>
        <v>0</v>
      </c>
      <c r="P562" s="23">
        <f ca="1">IFERROR(__xludf.DUMMYFUNCTION("""COMPUTED_VALUE"""),0)</f>
        <v>0</v>
      </c>
      <c r="Q562" s="24">
        <f ca="1">IFERROR(__xludf.DUMMYFUNCTION("""COMPUTED_VALUE"""),0)</f>
        <v>0</v>
      </c>
      <c r="R562" s="20"/>
    </row>
    <row r="563" spans="1:18" ht="13.2" hidden="1" outlineLevel="1" x14ac:dyDescent="0.25">
      <c r="A563" s="1"/>
      <c r="B563" s="21" t="str">
        <f ca="1">IFERROR(__xludf.DUMMYFUNCTION("""COMPUTED_VALUE"""),"Bagazo de caña")</f>
        <v>Bagazo de caña</v>
      </c>
      <c r="C563" s="22">
        <f ca="1">IFERROR(__xludf.DUMMYFUNCTION("""COMPUTED_VALUE"""),0)</f>
        <v>0</v>
      </c>
      <c r="D563" s="23">
        <f ca="1">IFERROR(__xludf.DUMMYFUNCTION("""COMPUTED_VALUE"""),0)</f>
        <v>0</v>
      </c>
      <c r="E563" s="23">
        <f ca="1">IFERROR(__xludf.DUMMYFUNCTION("""COMPUTED_VALUE"""),0)</f>
        <v>0</v>
      </c>
      <c r="F563" s="23">
        <f ca="1">IFERROR(__xludf.DUMMYFUNCTION("""COMPUTED_VALUE"""),0)</f>
        <v>0</v>
      </c>
      <c r="G563" s="23">
        <f ca="1">IFERROR(__xludf.DUMMYFUNCTION("""COMPUTED_VALUE"""),0)</f>
        <v>0</v>
      </c>
      <c r="H563" s="23">
        <f ca="1">IFERROR(__xludf.DUMMYFUNCTION("""COMPUTED_VALUE"""),0)</f>
        <v>0</v>
      </c>
      <c r="I563" s="23">
        <f ca="1">IFERROR(__xludf.DUMMYFUNCTION("""COMPUTED_VALUE"""),0)</f>
        <v>0</v>
      </c>
      <c r="J563" s="23">
        <f ca="1">IFERROR(__xludf.DUMMYFUNCTION("""COMPUTED_VALUE"""),0)</f>
        <v>0</v>
      </c>
      <c r="K563" s="23">
        <f ca="1">IFERROR(__xludf.DUMMYFUNCTION("""COMPUTED_VALUE"""),0)</f>
        <v>0</v>
      </c>
      <c r="L563" s="23">
        <f ca="1">IFERROR(__xludf.DUMMYFUNCTION("""COMPUTED_VALUE"""),0)</f>
        <v>0</v>
      </c>
      <c r="M563" s="23">
        <f ca="1">IFERROR(__xludf.DUMMYFUNCTION("""COMPUTED_VALUE"""),0)</f>
        <v>0</v>
      </c>
      <c r="N563" s="23">
        <f ca="1">IFERROR(__xludf.DUMMYFUNCTION("""COMPUTED_VALUE"""),0)</f>
        <v>0</v>
      </c>
      <c r="O563" s="23">
        <f ca="1">IFERROR(__xludf.DUMMYFUNCTION("""COMPUTED_VALUE"""),0)</f>
        <v>0</v>
      </c>
      <c r="P563" s="23">
        <f ca="1">IFERROR(__xludf.DUMMYFUNCTION("""COMPUTED_VALUE"""),0)</f>
        <v>0</v>
      </c>
      <c r="Q563" s="24">
        <f ca="1">IFERROR(__xludf.DUMMYFUNCTION("""COMPUTED_VALUE"""),0)</f>
        <v>0</v>
      </c>
      <c r="R563" s="20"/>
    </row>
    <row r="564" spans="1:18" ht="13.2" hidden="1" outlineLevel="1" x14ac:dyDescent="0.25">
      <c r="A564" s="1"/>
      <c r="B564" s="21" t="str">
        <f ca="1">IFERROR(__xludf.DUMMYFUNCTION("""COMPUTED_VALUE"""),"Leña")</f>
        <v>Leña</v>
      </c>
      <c r="C564" s="22">
        <f ca="1">IFERROR(__xludf.DUMMYFUNCTION("""COMPUTED_VALUE"""),0)</f>
        <v>0</v>
      </c>
      <c r="D564" s="23">
        <f ca="1">IFERROR(__xludf.DUMMYFUNCTION("""COMPUTED_VALUE"""),0)</f>
        <v>0</v>
      </c>
      <c r="E564" s="23">
        <f ca="1">IFERROR(__xludf.DUMMYFUNCTION("""COMPUTED_VALUE"""),0)</f>
        <v>0</v>
      </c>
      <c r="F564" s="23">
        <f ca="1">IFERROR(__xludf.DUMMYFUNCTION("""COMPUTED_VALUE"""),0)</f>
        <v>0</v>
      </c>
      <c r="G564" s="23">
        <f ca="1">IFERROR(__xludf.DUMMYFUNCTION("""COMPUTED_VALUE"""),0)</f>
        <v>0</v>
      </c>
      <c r="H564" s="23">
        <f ca="1">IFERROR(__xludf.DUMMYFUNCTION("""COMPUTED_VALUE"""),0)</f>
        <v>0</v>
      </c>
      <c r="I564" s="23">
        <f ca="1">IFERROR(__xludf.DUMMYFUNCTION("""COMPUTED_VALUE"""),0)</f>
        <v>0</v>
      </c>
      <c r="J564" s="23">
        <f ca="1">IFERROR(__xludf.DUMMYFUNCTION("""COMPUTED_VALUE"""),0)</f>
        <v>0</v>
      </c>
      <c r="K564" s="23">
        <f ca="1">IFERROR(__xludf.DUMMYFUNCTION("""COMPUTED_VALUE"""),0)</f>
        <v>0</v>
      </c>
      <c r="L564" s="23">
        <f ca="1">IFERROR(__xludf.DUMMYFUNCTION("""COMPUTED_VALUE"""),0)</f>
        <v>0</v>
      </c>
      <c r="M564" s="23">
        <f ca="1">IFERROR(__xludf.DUMMYFUNCTION("""COMPUTED_VALUE"""),0)</f>
        <v>0</v>
      </c>
      <c r="N564" s="23">
        <f ca="1">IFERROR(__xludf.DUMMYFUNCTION("""COMPUTED_VALUE"""),0)</f>
        <v>0</v>
      </c>
      <c r="O564" s="23">
        <f ca="1">IFERROR(__xludf.DUMMYFUNCTION("""COMPUTED_VALUE"""),0)</f>
        <v>0</v>
      </c>
      <c r="P564" s="23">
        <f ca="1">IFERROR(__xludf.DUMMYFUNCTION("""COMPUTED_VALUE"""),0)</f>
        <v>0</v>
      </c>
      <c r="Q564" s="24">
        <f ca="1">IFERROR(__xludf.DUMMYFUNCTION("""COMPUTED_VALUE"""),0)</f>
        <v>0</v>
      </c>
      <c r="R564" s="20"/>
    </row>
    <row r="565" spans="1:18" ht="13.2" hidden="1" outlineLevel="1" x14ac:dyDescent="0.25">
      <c r="A565" s="1"/>
      <c r="B565" s="21" t="str">
        <f ca="1">IFERROR(__xludf.DUMMYFUNCTION("""COMPUTED_VALUE"""),"Biogás")</f>
        <v>Biogás</v>
      </c>
      <c r="C565" s="22">
        <f ca="1">IFERROR(__xludf.DUMMYFUNCTION("""COMPUTED_VALUE"""),0)</f>
        <v>0</v>
      </c>
      <c r="D565" s="23">
        <f ca="1">IFERROR(__xludf.DUMMYFUNCTION("""COMPUTED_VALUE"""),0)</f>
        <v>0</v>
      </c>
      <c r="E565" s="23">
        <f ca="1">IFERROR(__xludf.DUMMYFUNCTION("""COMPUTED_VALUE"""),0)</f>
        <v>0</v>
      </c>
      <c r="F565" s="23">
        <f ca="1">IFERROR(__xludf.DUMMYFUNCTION("""COMPUTED_VALUE"""),0)</f>
        <v>0</v>
      </c>
      <c r="G565" s="23">
        <f ca="1">IFERROR(__xludf.DUMMYFUNCTION("""COMPUTED_VALUE"""),0)</f>
        <v>0</v>
      </c>
      <c r="H565" s="23">
        <f ca="1">IFERROR(__xludf.DUMMYFUNCTION("""COMPUTED_VALUE"""),0)</f>
        <v>0</v>
      </c>
      <c r="I565" s="23">
        <f ca="1">IFERROR(__xludf.DUMMYFUNCTION("""COMPUTED_VALUE"""),0)</f>
        <v>0</v>
      </c>
      <c r="J565" s="23">
        <f ca="1">IFERROR(__xludf.DUMMYFUNCTION("""COMPUTED_VALUE"""),0)</f>
        <v>0</v>
      </c>
      <c r="K565" s="23">
        <f ca="1">IFERROR(__xludf.DUMMYFUNCTION("""COMPUTED_VALUE"""),0)</f>
        <v>0</v>
      </c>
      <c r="L565" s="23">
        <f ca="1">IFERROR(__xludf.DUMMYFUNCTION("""COMPUTED_VALUE"""),0)</f>
        <v>0</v>
      </c>
      <c r="M565" s="23">
        <f ca="1">IFERROR(__xludf.DUMMYFUNCTION("""COMPUTED_VALUE"""),0)</f>
        <v>0</v>
      </c>
      <c r="N565" s="23">
        <f ca="1">IFERROR(__xludf.DUMMYFUNCTION("""COMPUTED_VALUE"""),0)</f>
        <v>0</v>
      </c>
      <c r="O565" s="23">
        <f ca="1">IFERROR(__xludf.DUMMYFUNCTION("""COMPUTED_VALUE"""),0)</f>
        <v>0</v>
      </c>
      <c r="P565" s="23">
        <f ca="1">IFERROR(__xludf.DUMMYFUNCTION("""COMPUTED_VALUE"""),0)</f>
        <v>0</v>
      </c>
      <c r="Q565" s="24">
        <f ca="1">IFERROR(__xludf.DUMMYFUNCTION("""COMPUTED_VALUE"""),0)</f>
        <v>0</v>
      </c>
      <c r="R565" s="20"/>
    </row>
    <row r="566" spans="1:18" ht="13.2" hidden="1" outlineLevel="1" x14ac:dyDescent="0.25">
      <c r="A566" s="1"/>
      <c r="B566" s="21" t="str">
        <f ca="1">IFERROR(__xludf.DUMMYFUNCTION("""COMPUTED_VALUE"""),"Coque de carbón")</f>
        <v>Coque de carbón</v>
      </c>
      <c r="C566" s="22">
        <f ca="1">IFERROR(__xludf.DUMMYFUNCTION("""COMPUTED_VALUE"""),0)</f>
        <v>0</v>
      </c>
      <c r="D566" s="23">
        <f ca="1">IFERROR(__xludf.DUMMYFUNCTION("""COMPUTED_VALUE"""),0)</f>
        <v>0</v>
      </c>
      <c r="E566" s="23">
        <f ca="1">IFERROR(__xludf.DUMMYFUNCTION("""COMPUTED_VALUE"""),0)</f>
        <v>0</v>
      </c>
      <c r="F566" s="23">
        <f ca="1">IFERROR(__xludf.DUMMYFUNCTION("""COMPUTED_VALUE"""),0)</f>
        <v>0</v>
      </c>
      <c r="G566" s="23">
        <f ca="1">IFERROR(__xludf.DUMMYFUNCTION("""COMPUTED_VALUE"""),0)</f>
        <v>0</v>
      </c>
      <c r="H566" s="23">
        <f ca="1">IFERROR(__xludf.DUMMYFUNCTION("""COMPUTED_VALUE"""),0)</f>
        <v>0</v>
      </c>
      <c r="I566" s="23">
        <f ca="1">IFERROR(__xludf.DUMMYFUNCTION("""COMPUTED_VALUE"""),0)</f>
        <v>0</v>
      </c>
      <c r="J566" s="23">
        <f ca="1">IFERROR(__xludf.DUMMYFUNCTION("""COMPUTED_VALUE"""),0)</f>
        <v>0</v>
      </c>
      <c r="K566" s="23">
        <f ca="1">IFERROR(__xludf.DUMMYFUNCTION("""COMPUTED_VALUE"""),0)</f>
        <v>0</v>
      </c>
      <c r="L566" s="23">
        <f ca="1">IFERROR(__xludf.DUMMYFUNCTION("""COMPUTED_VALUE"""),0)</f>
        <v>0</v>
      </c>
      <c r="M566" s="23">
        <f ca="1">IFERROR(__xludf.DUMMYFUNCTION("""COMPUTED_VALUE"""),0)</f>
        <v>0</v>
      </c>
      <c r="N566" s="23">
        <f ca="1">IFERROR(__xludf.DUMMYFUNCTION("""COMPUTED_VALUE"""),0)</f>
        <v>0</v>
      </c>
      <c r="O566" s="23">
        <f ca="1">IFERROR(__xludf.DUMMYFUNCTION("""COMPUTED_VALUE"""),0)</f>
        <v>0</v>
      </c>
      <c r="P566" s="23">
        <f ca="1">IFERROR(__xludf.DUMMYFUNCTION("""COMPUTED_VALUE"""),0)</f>
        <v>0</v>
      </c>
      <c r="Q566" s="24">
        <f ca="1">IFERROR(__xludf.DUMMYFUNCTION("""COMPUTED_VALUE"""),0)</f>
        <v>0</v>
      </c>
      <c r="R566" s="20"/>
    </row>
    <row r="567" spans="1:18" ht="13.2" hidden="1" outlineLevel="1" x14ac:dyDescent="0.25">
      <c r="A567" s="1"/>
      <c r="B567" s="21" t="str">
        <f ca="1">IFERROR(__xludf.DUMMYFUNCTION("""COMPUTED_VALUE"""),"Coque de petróleo")</f>
        <v>Coque de petróleo</v>
      </c>
      <c r="C567" s="22">
        <f ca="1">IFERROR(__xludf.DUMMYFUNCTION("""COMPUTED_VALUE"""),0)</f>
        <v>0</v>
      </c>
      <c r="D567" s="23">
        <f ca="1">IFERROR(__xludf.DUMMYFUNCTION("""COMPUTED_VALUE"""),0)</f>
        <v>0</v>
      </c>
      <c r="E567" s="23">
        <f ca="1">IFERROR(__xludf.DUMMYFUNCTION("""COMPUTED_VALUE"""),0)</f>
        <v>0</v>
      </c>
      <c r="F567" s="23">
        <f ca="1">IFERROR(__xludf.DUMMYFUNCTION("""COMPUTED_VALUE"""),0)</f>
        <v>0</v>
      </c>
      <c r="G567" s="23">
        <f ca="1">IFERROR(__xludf.DUMMYFUNCTION("""COMPUTED_VALUE"""),0)</f>
        <v>0</v>
      </c>
      <c r="H567" s="23">
        <f ca="1">IFERROR(__xludf.DUMMYFUNCTION("""COMPUTED_VALUE"""),0)</f>
        <v>0</v>
      </c>
      <c r="I567" s="23">
        <f ca="1">IFERROR(__xludf.DUMMYFUNCTION("""COMPUTED_VALUE"""),0)</f>
        <v>0</v>
      </c>
      <c r="J567" s="23">
        <f ca="1">IFERROR(__xludf.DUMMYFUNCTION("""COMPUTED_VALUE"""),0)</f>
        <v>0</v>
      </c>
      <c r="K567" s="23">
        <f ca="1">IFERROR(__xludf.DUMMYFUNCTION("""COMPUTED_VALUE"""),0)</f>
        <v>0</v>
      </c>
      <c r="L567" s="23">
        <f ca="1">IFERROR(__xludf.DUMMYFUNCTION("""COMPUTED_VALUE"""),0)</f>
        <v>0</v>
      </c>
      <c r="M567" s="23">
        <f ca="1">IFERROR(__xludf.DUMMYFUNCTION("""COMPUTED_VALUE"""),0)</f>
        <v>0</v>
      </c>
      <c r="N567" s="23">
        <f ca="1">IFERROR(__xludf.DUMMYFUNCTION("""COMPUTED_VALUE"""),0)</f>
        <v>0</v>
      </c>
      <c r="O567" s="23">
        <f ca="1">IFERROR(__xludf.DUMMYFUNCTION("""COMPUTED_VALUE"""),0)</f>
        <v>0</v>
      </c>
      <c r="P567" s="23">
        <f ca="1">IFERROR(__xludf.DUMMYFUNCTION("""COMPUTED_VALUE"""),0)</f>
        <v>0</v>
      </c>
      <c r="Q567" s="24">
        <f ca="1">IFERROR(__xludf.DUMMYFUNCTION("""COMPUTED_VALUE"""),0)</f>
        <v>0</v>
      </c>
      <c r="R567" s="20"/>
    </row>
    <row r="568" spans="1:18" ht="13.2" hidden="1" outlineLevel="1" x14ac:dyDescent="0.25">
      <c r="A568" s="1"/>
      <c r="B568" s="21" t="str">
        <f ca="1">IFERROR(__xludf.DUMMYFUNCTION("""COMPUTED_VALUE"""),"Gas licuado de petróleo")</f>
        <v>Gas licuado de petróleo</v>
      </c>
      <c r="C568" s="22">
        <f ca="1">IFERROR(__xludf.DUMMYFUNCTION("""COMPUTED_VALUE"""),0)</f>
        <v>0</v>
      </c>
      <c r="D568" s="23">
        <f ca="1">IFERROR(__xludf.DUMMYFUNCTION("""COMPUTED_VALUE"""),0)</f>
        <v>0</v>
      </c>
      <c r="E568" s="23">
        <f ca="1">IFERROR(__xludf.DUMMYFUNCTION("""COMPUTED_VALUE"""),0)</f>
        <v>0</v>
      </c>
      <c r="F568" s="23">
        <f ca="1">IFERROR(__xludf.DUMMYFUNCTION("""COMPUTED_VALUE"""),0)</f>
        <v>0</v>
      </c>
      <c r="G568" s="23">
        <f ca="1">IFERROR(__xludf.DUMMYFUNCTION("""COMPUTED_VALUE"""),0)</f>
        <v>0</v>
      </c>
      <c r="H568" s="23">
        <f ca="1">IFERROR(__xludf.DUMMYFUNCTION("""COMPUTED_VALUE"""),0)</f>
        <v>0</v>
      </c>
      <c r="I568" s="23">
        <f ca="1">IFERROR(__xludf.DUMMYFUNCTION("""COMPUTED_VALUE"""),0)</f>
        <v>0</v>
      </c>
      <c r="J568" s="23">
        <f ca="1">IFERROR(__xludf.DUMMYFUNCTION("""COMPUTED_VALUE"""),0)</f>
        <v>0</v>
      </c>
      <c r="K568" s="23">
        <f ca="1">IFERROR(__xludf.DUMMYFUNCTION("""COMPUTED_VALUE"""),0)</f>
        <v>0</v>
      </c>
      <c r="L568" s="23">
        <f ca="1">IFERROR(__xludf.DUMMYFUNCTION("""COMPUTED_VALUE"""),0)</f>
        <v>0</v>
      </c>
      <c r="M568" s="23">
        <f ca="1">IFERROR(__xludf.DUMMYFUNCTION("""COMPUTED_VALUE"""),0)</f>
        <v>0</v>
      </c>
      <c r="N568" s="23">
        <f ca="1">IFERROR(__xludf.DUMMYFUNCTION("""COMPUTED_VALUE"""),0)</f>
        <v>0</v>
      </c>
      <c r="O568" s="23">
        <f ca="1">IFERROR(__xludf.DUMMYFUNCTION("""COMPUTED_VALUE"""),0)</f>
        <v>0</v>
      </c>
      <c r="P568" s="23">
        <f ca="1">IFERROR(__xludf.DUMMYFUNCTION("""COMPUTED_VALUE"""),0)</f>
        <v>0</v>
      </c>
      <c r="Q568" s="24">
        <f ca="1">IFERROR(__xludf.DUMMYFUNCTION("""COMPUTED_VALUE"""),0)</f>
        <v>0</v>
      </c>
      <c r="R568" s="20"/>
    </row>
    <row r="569" spans="1:18" ht="13.2" hidden="1" outlineLevel="1" x14ac:dyDescent="0.25">
      <c r="A569" s="1"/>
      <c r="B569" s="21" t="str">
        <f ca="1">IFERROR(__xludf.DUMMYFUNCTION("""COMPUTED_VALUE"""),"Gasolinas y naftas")</f>
        <v>Gasolinas y naftas</v>
      </c>
      <c r="C569" s="22">
        <f ca="1">IFERROR(__xludf.DUMMYFUNCTION("""COMPUTED_VALUE"""),0)</f>
        <v>0</v>
      </c>
      <c r="D569" s="23">
        <f ca="1">IFERROR(__xludf.DUMMYFUNCTION("""COMPUTED_VALUE"""),0)</f>
        <v>0</v>
      </c>
      <c r="E569" s="23">
        <f ca="1">IFERROR(__xludf.DUMMYFUNCTION("""COMPUTED_VALUE"""),0)</f>
        <v>0</v>
      </c>
      <c r="F569" s="23">
        <f ca="1">IFERROR(__xludf.DUMMYFUNCTION("""COMPUTED_VALUE"""),0)</f>
        <v>0</v>
      </c>
      <c r="G569" s="23">
        <f ca="1">IFERROR(__xludf.DUMMYFUNCTION("""COMPUTED_VALUE"""),0)</f>
        <v>0</v>
      </c>
      <c r="H569" s="23">
        <f ca="1">IFERROR(__xludf.DUMMYFUNCTION("""COMPUTED_VALUE"""),0)</f>
        <v>0</v>
      </c>
      <c r="I569" s="23">
        <f ca="1">IFERROR(__xludf.DUMMYFUNCTION("""COMPUTED_VALUE"""),0)</f>
        <v>0</v>
      </c>
      <c r="J569" s="23">
        <f ca="1">IFERROR(__xludf.DUMMYFUNCTION("""COMPUTED_VALUE"""),0)</f>
        <v>0</v>
      </c>
      <c r="K569" s="23">
        <f ca="1">IFERROR(__xludf.DUMMYFUNCTION("""COMPUTED_VALUE"""),0)</f>
        <v>0</v>
      </c>
      <c r="L569" s="23">
        <f ca="1">IFERROR(__xludf.DUMMYFUNCTION("""COMPUTED_VALUE"""),0)</f>
        <v>0</v>
      </c>
      <c r="M569" s="23">
        <f ca="1">IFERROR(__xludf.DUMMYFUNCTION("""COMPUTED_VALUE"""),0)</f>
        <v>0</v>
      </c>
      <c r="N569" s="23">
        <f ca="1">IFERROR(__xludf.DUMMYFUNCTION("""COMPUTED_VALUE"""),0)</f>
        <v>0</v>
      </c>
      <c r="O569" s="23">
        <f ca="1">IFERROR(__xludf.DUMMYFUNCTION("""COMPUTED_VALUE"""),0)</f>
        <v>0</v>
      </c>
      <c r="P569" s="23">
        <f ca="1">IFERROR(__xludf.DUMMYFUNCTION("""COMPUTED_VALUE"""),0)</f>
        <v>0</v>
      </c>
      <c r="Q569" s="24">
        <f ca="1">IFERROR(__xludf.DUMMYFUNCTION("""COMPUTED_VALUE"""),0)</f>
        <v>0</v>
      </c>
      <c r="R569" s="20"/>
    </row>
    <row r="570" spans="1:18" ht="13.2" hidden="1" outlineLevel="1" x14ac:dyDescent="0.25">
      <c r="A570" s="1"/>
      <c r="B570" s="21" t="str">
        <f ca="1">IFERROR(__xludf.DUMMYFUNCTION("""COMPUTED_VALUE"""),"Querosenos")</f>
        <v>Querosenos</v>
      </c>
      <c r="C570" s="22">
        <f ca="1">IFERROR(__xludf.DUMMYFUNCTION("""COMPUTED_VALUE"""),0)</f>
        <v>0</v>
      </c>
      <c r="D570" s="23">
        <f ca="1">IFERROR(__xludf.DUMMYFUNCTION("""COMPUTED_VALUE"""),0)</f>
        <v>0</v>
      </c>
      <c r="E570" s="23">
        <f ca="1">IFERROR(__xludf.DUMMYFUNCTION("""COMPUTED_VALUE"""),0)</f>
        <v>0</v>
      </c>
      <c r="F570" s="23">
        <f ca="1">IFERROR(__xludf.DUMMYFUNCTION("""COMPUTED_VALUE"""),0)</f>
        <v>0</v>
      </c>
      <c r="G570" s="23">
        <f ca="1">IFERROR(__xludf.DUMMYFUNCTION("""COMPUTED_VALUE"""),0)</f>
        <v>0</v>
      </c>
      <c r="H570" s="23">
        <f ca="1">IFERROR(__xludf.DUMMYFUNCTION("""COMPUTED_VALUE"""),0)</f>
        <v>0</v>
      </c>
      <c r="I570" s="23">
        <f ca="1">IFERROR(__xludf.DUMMYFUNCTION("""COMPUTED_VALUE"""),0)</f>
        <v>0</v>
      </c>
      <c r="J570" s="23">
        <f ca="1">IFERROR(__xludf.DUMMYFUNCTION("""COMPUTED_VALUE"""),0)</f>
        <v>0</v>
      </c>
      <c r="K570" s="23">
        <f ca="1">IFERROR(__xludf.DUMMYFUNCTION("""COMPUTED_VALUE"""),0)</f>
        <v>0</v>
      </c>
      <c r="L570" s="23">
        <f ca="1">IFERROR(__xludf.DUMMYFUNCTION("""COMPUTED_VALUE"""),0)</f>
        <v>0</v>
      </c>
      <c r="M570" s="23">
        <f ca="1">IFERROR(__xludf.DUMMYFUNCTION("""COMPUTED_VALUE"""),0)</f>
        <v>0</v>
      </c>
      <c r="N570" s="23">
        <f ca="1">IFERROR(__xludf.DUMMYFUNCTION("""COMPUTED_VALUE"""),0)</f>
        <v>0</v>
      </c>
      <c r="O570" s="23">
        <f ca="1">IFERROR(__xludf.DUMMYFUNCTION("""COMPUTED_VALUE"""),0)</f>
        <v>0</v>
      </c>
      <c r="P570" s="23">
        <f ca="1">IFERROR(__xludf.DUMMYFUNCTION("""COMPUTED_VALUE"""),0)</f>
        <v>0</v>
      </c>
      <c r="Q570" s="24">
        <f ca="1">IFERROR(__xludf.DUMMYFUNCTION("""COMPUTED_VALUE"""),0)</f>
        <v>0</v>
      </c>
      <c r="R570" s="20"/>
    </row>
    <row r="571" spans="1:18" ht="13.2" hidden="1" outlineLevel="1" x14ac:dyDescent="0.25">
      <c r="A571" s="1"/>
      <c r="B571" s="21" t="str">
        <f ca="1">IFERROR(__xludf.DUMMYFUNCTION("""COMPUTED_VALUE"""),"Diesel")</f>
        <v>Diesel</v>
      </c>
      <c r="C571" s="22">
        <f ca="1">IFERROR(__xludf.DUMMYFUNCTION("""COMPUTED_VALUE"""),0)</f>
        <v>0</v>
      </c>
      <c r="D571" s="23">
        <f ca="1">IFERROR(__xludf.DUMMYFUNCTION("""COMPUTED_VALUE"""),0)</f>
        <v>0</v>
      </c>
      <c r="E571" s="23">
        <f ca="1">IFERROR(__xludf.DUMMYFUNCTION("""COMPUTED_VALUE"""),0)</f>
        <v>0</v>
      </c>
      <c r="F571" s="23">
        <f ca="1">IFERROR(__xludf.DUMMYFUNCTION("""COMPUTED_VALUE"""),0)</f>
        <v>0</v>
      </c>
      <c r="G571" s="23">
        <f ca="1">IFERROR(__xludf.DUMMYFUNCTION("""COMPUTED_VALUE"""),0)</f>
        <v>0</v>
      </c>
      <c r="H571" s="23">
        <f ca="1">IFERROR(__xludf.DUMMYFUNCTION("""COMPUTED_VALUE"""),0)</f>
        <v>0</v>
      </c>
      <c r="I571" s="23">
        <f ca="1">IFERROR(__xludf.DUMMYFUNCTION("""COMPUTED_VALUE"""),0)</f>
        <v>0</v>
      </c>
      <c r="J571" s="23">
        <f ca="1">IFERROR(__xludf.DUMMYFUNCTION("""COMPUTED_VALUE"""),0)</f>
        <v>0</v>
      </c>
      <c r="K571" s="23">
        <f ca="1">IFERROR(__xludf.DUMMYFUNCTION("""COMPUTED_VALUE"""),0)</f>
        <v>0</v>
      </c>
      <c r="L571" s="23">
        <f ca="1">IFERROR(__xludf.DUMMYFUNCTION("""COMPUTED_VALUE"""),0)</f>
        <v>0</v>
      </c>
      <c r="M571" s="23">
        <f ca="1">IFERROR(__xludf.DUMMYFUNCTION("""COMPUTED_VALUE"""),0)</f>
        <v>0</v>
      </c>
      <c r="N571" s="23">
        <f ca="1">IFERROR(__xludf.DUMMYFUNCTION("""COMPUTED_VALUE"""),0)</f>
        <v>0</v>
      </c>
      <c r="O571" s="23">
        <f ca="1">IFERROR(__xludf.DUMMYFUNCTION("""COMPUTED_VALUE"""),0)</f>
        <v>0</v>
      </c>
      <c r="P571" s="23">
        <f ca="1">IFERROR(__xludf.DUMMYFUNCTION("""COMPUTED_VALUE"""),0)</f>
        <v>0</v>
      </c>
      <c r="Q571" s="24">
        <f ca="1">IFERROR(__xludf.DUMMYFUNCTION("""COMPUTED_VALUE"""),0)</f>
        <v>0</v>
      </c>
      <c r="R571" s="20"/>
    </row>
    <row r="572" spans="1:18" ht="13.2" hidden="1" outlineLevel="1" x14ac:dyDescent="0.25">
      <c r="A572" s="1"/>
      <c r="B572" s="21" t="str">
        <f ca="1">IFERROR(__xludf.DUMMYFUNCTION("""COMPUTED_VALUE"""),"Combustóleo")</f>
        <v>Combustóleo</v>
      </c>
      <c r="C572" s="22">
        <f ca="1">IFERROR(__xludf.DUMMYFUNCTION("""COMPUTED_VALUE"""),0)</f>
        <v>0</v>
      </c>
      <c r="D572" s="23">
        <f ca="1">IFERROR(__xludf.DUMMYFUNCTION("""COMPUTED_VALUE"""),0)</f>
        <v>0</v>
      </c>
      <c r="E572" s="23">
        <f ca="1">IFERROR(__xludf.DUMMYFUNCTION("""COMPUTED_VALUE"""),0)</f>
        <v>0</v>
      </c>
      <c r="F572" s="23">
        <f ca="1">IFERROR(__xludf.DUMMYFUNCTION("""COMPUTED_VALUE"""),0)</f>
        <v>0</v>
      </c>
      <c r="G572" s="23">
        <f ca="1">IFERROR(__xludf.DUMMYFUNCTION("""COMPUTED_VALUE"""),0)</f>
        <v>0</v>
      </c>
      <c r="H572" s="23">
        <f ca="1">IFERROR(__xludf.DUMMYFUNCTION("""COMPUTED_VALUE"""),0)</f>
        <v>0</v>
      </c>
      <c r="I572" s="23">
        <f ca="1">IFERROR(__xludf.DUMMYFUNCTION("""COMPUTED_VALUE"""),0)</f>
        <v>0</v>
      </c>
      <c r="J572" s="23">
        <f ca="1">IFERROR(__xludf.DUMMYFUNCTION("""COMPUTED_VALUE"""),0)</f>
        <v>0</v>
      </c>
      <c r="K572" s="23">
        <f ca="1">IFERROR(__xludf.DUMMYFUNCTION("""COMPUTED_VALUE"""),0)</f>
        <v>0</v>
      </c>
      <c r="L572" s="23">
        <f ca="1">IFERROR(__xludf.DUMMYFUNCTION("""COMPUTED_VALUE"""),0)</f>
        <v>0</v>
      </c>
      <c r="M572" s="23">
        <f ca="1">IFERROR(__xludf.DUMMYFUNCTION("""COMPUTED_VALUE"""),0)</f>
        <v>0</v>
      </c>
      <c r="N572" s="23">
        <f ca="1">IFERROR(__xludf.DUMMYFUNCTION("""COMPUTED_VALUE"""),0)</f>
        <v>0</v>
      </c>
      <c r="O572" s="23">
        <f ca="1">IFERROR(__xludf.DUMMYFUNCTION("""COMPUTED_VALUE"""),0)</f>
        <v>0</v>
      </c>
      <c r="P572" s="23">
        <f ca="1">IFERROR(__xludf.DUMMYFUNCTION("""COMPUTED_VALUE"""),0)</f>
        <v>0</v>
      </c>
      <c r="Q572" s="24">
        <f ca="1">IFERROR(__xludf.DUMMYFUNCTION("""COMPUTED_VALUE"""),0)</f>
        <v>0</v>
      </c>
      <c r="R572" s="20"/>
    </row>
    <row r="573" spans="1:18" ht="13.2" hidden="1" outlineLevel="1" x14ac:dyDescent="0.25">
      <c r="A573" s="1"/>
      <c r="B573" s="21" t="str">
        <f ca="1">IFERROR(__xludf.DUMMYFUNCTION("""COMPUTED_VALUE"""),"Otros energéticos")</f>
        <v>Otros energéticos</v>
      </c>
      <c r="C573" s="22">
        <f ca="1">IFERROR(__xludf.DUMMYFUNCTION("""COMPUTED_VALUE"""),0)</f>
        <v>0</v>
      </c>
      <c r="D573" s="23">
        <f ca="1">IFERROR(__xludf.DUMMYFUNCTION("""COMPUTED_VALUE"""),0)</f>
        <v>0</v>
      </c>
      <c r="E573" s="23">
        <f ca="1">IFERROR(__xludf.DUMMYFUNCTION("""COMPUTED_VALUE"""),0)</f>
        <v>0</v>
      </c>
      <c r="F573" s="23">
        <f ca="1">IFERROR(__xludf.DUMMYFUNCTION("""COMPUTED_VALUE"""),0)</f>
        <v>0</v>
      </c>
      <c r="G573" s="23">
        <f ca="1">IFERROR(__xludf.DUMMYFUNCTION("""COMPUTED_VALUE"""),0)</f>
        <v>0</v>
      </c>
      <c r="H573" s="23">
        <f ca="1">IFERROR(__xludf.DUMMYFUNCTION("""COMPUTED_VALUE"""),0)</f>
        <v>0</v>
      </c>
      <c r="I573" s="23">
        <f ca="1">IFERROR(__xludf.DUMMYFUNCTION("""COMPUTED_VALUE"""),0)</f>
        <v>0</v>
      </c>
      <c r="J573" s="23">
        <f ca="1">IFERROR(__xludf.DUMMYFUNCTION("""COMPUTED_VALUE"""),0)</f>
        <v>0</v>
      </c>
      <c r="K573" s="23">
        <f ca="1">IFERROR(__xludf.DUMMYFUNCTION("""COMPUTED_VALUE"""),0)</f>
        <v>0</v>
      </c>
      <c r="L573" s="23">
        <f ca="1">IFERROR(__xludf.DUMMYFUNCTION("""COMPUTED_VALUE"""),0)</f>
        <v>0</v>
      </c>
      <c r="M573" s="23">
        <f ca="1">IFERROR(__xludf.DUMMYFUNCTION("""COMPUTED_VALUE"""),0)</f>
        <v>0</v>
      </c>
      <c r="N573" s="23">
        <f ca="1">IFERROR(__xludf.DUMMYFUNCTION("""COMPUTED_VALUE"""),0)</f>
        <v>0</v>
      </c>
      <c r="O573" s="23">
        <f ca="1">IFERROR(__xludf.DUMMYFUNCTION("""COMPUTED_VALUE"""),0)</f>
        <v>0</v>
      </c>
      <c r="P573" s="23">
        <f ca="1">IFERROR(__xludf.DUMMYFUNCTION("""COMPUTED_VALUE"""),0)</f>
        <v>0</v>
      </c>
      <c r="Q573" s="24">
        <f ca="1">IFERROR(__xludf.DUMMYFUNCTION("""COMPUTED_VALUE"""),0)</f>
        <v>0</v>
      </c>
      <c r="R573" s="20"/>
    </row>
    <row r="574" spans="1:18" ht="13.2" hidden="1" outlineLevel="1" x14ac:dyDescent="0.25">
      <c r="A574" s="1"/>
      <c r="B574" s="21" t="str">
        <f ca="1">IFERROR(__xludf.DUMMYFUNCTION("""COMPUTED_VALUE"""),"Gas natural seco")</f>
        <v>Gas natural seco</v>
      </c>
      <c r="C574" s="22">
        <f ca="1">IFERROR(__xludf.DUMMYFUNCTION("""COMPUTED_VALUE"""),0)</f>
        <v>0</v>
      </c>
      <c r="D574" s="23">
        <f ca="1">IFERROR(__xludf.DUMMYFUNCTION("""COMPUTED_VALUE"""),0)</f>
        <v>0</v>
      </c>
      <c r="E574" s="23">
        <f ca="1">IFERROR(__xludf.DUMMYFUNCTION("""COMPUTED_VALUE"""),0)</f>
        <v>0</v>
      </c>
      <c r="F574" s="23">
        <f ca="1">IFERROR(__xludf.DUMMYFUNCTION("""COMPUTED_VALUE"""),0)</f>
        <v>0</v>
      </c>
      <c r="G574" s="23">
        <f ca="1">IFERROR(__xludf.DUMMYFUNCTION("""COMPUTED_VALUE"""),0)</f>
        <v>0</v>
      </c>
      <c r="H574" s="23">
        <f ca="1">IFERROR(__xludf.DUMMYFUNCTION("""COMPUTED_VALUE"""),0)</f>
        <v>0</v>
      </c>
      <c r="I574" s="23">
        <f ca="1">IFERROR(__xludf.DUMMYFUNCTION("""COMPUTED_VALUE"""),0)</f>
        <v>0</v>
      </c>
      <c r="J574" s="23">
        <f ca="1">IFERROR(__xludf.DUMMYFUNCTION("""COMPUTED_VALUE"""),0)</f>
        <v>0</v>
      </c>
      <c r="K574" s="23">
        <f ca="1">IFERROR(__xludf.DUMMYFUNCTION("""COMPUTED_VALUE"""),0)</f>
        <v>0</v>
      </c>
      <c r="L574" s="23">
        <f ca="1">IFERROR(__xludf.DUMMYFUNCTION("""COMPUTED_VALUE"""),0)</f>
        <v>0</v>
      </c>
      <c r="M574" s="23">
        <f ca="1">IFERROR(__xludf.DUMMYFUNCTION("""COMPUTED_VALUE"""),0)</f>
        <v>0</v>
      </c>
      <c r="N574" s="23">
        <f ca="1">IFERROR(__xludf.DUMMYFUNCTION("""COMPUTED_VALUE"""),0)</f>
        <v>0</v>
      </c>
      <c r="O574" s="23">
        <f ca="1">IFERROR(__xludf.DUMMYFUNCTION("""COMPUTED_VALUE"""),0)</f>
        <v>0</v>
      </c>
      <c r="P574" s="23">
        <f ca="1">IFERROR(__xludf.DUMMYFUNCTION("""COMPUTED_VALUE"""),0)</f>
        <v>0</v>
      </c>
      <c r="Q574" s="24">
        <f ca="1">IFERROR(__xludf.DUMMYFUNCTION("""COMPUTED_VALUE"""),0)</f>
        <v>0</v>
      </c>
      <c r="R574" s="20"/>
    </row>
    <row r="575" spans="1:18" ht="13.2" hidden="1" outlineLevel="1" x14ac:dyDescent="0.25">
      <c r="A575" s="1"/>
      <c r="B575" s="25" t="str">
        <f ca="1">IFERROR(__xludf.DUMMYFUNCTION("""COMPUTED_VALUE"""),"Energía eléctrica")</f>
        <v>Energía eléctrica</v>
      </c>
      <c r="C575" s="26">
        <f ca="1">IFERROR(__xludf.DUMMYFUNCTION("""COMPUTED_VALUE"""),0.000397384392433985)</f>
        <v>3.9738439243398502E-4</v>
      </c>
      <c r="D575" s="27">
        <f ca="1">IFERROR(__xludf.DUMMYFUNCTION("""COMPUTED_VALUE"""),0.000396878776998109)</f>
        <v>3.9687877699810901E-4</v>
      </c>
      <c r="E575" s="27">
        <f ca="1">IFERROR(__xludf.DUMMYFUNCTION("""COMPUTED_VALUE"""),0.0106455052817297)</f>
        <v>1.06455052817297E-2</v>
      </c>
      <c r="F575" s="27">
        <f ca="1">IFERROR(__xludf.DUMMYFUNCTION("""COMPUTED_VALUE"""),0.0722697809260149)</f>
        <v>7.2269780926014895E-2</v>
      </c>
      <c r="G575" s="27">
        <f ca="1">IFERROR(__xludf.DUMMYFUNCTION("""COMPUTED_VALUE"""),0.31473222566015)</f>
        <v>0.31473222566015002</v>
      </c>
      <c r="H575" s="27">
        <f ca="1">IFERROR(__xludf.DUMMYFUNCTION("""COMPUTED_VALUE"""),0.288611840186412)</f>
        <v>0.28861184018641201</v>
      </c>
      <c r="I575" s="27">
        <f ca="1">IFERROR(__xludf.DUMMYFUNCTION("""COMPUTED_VALUE"""),0.58853047827557)</f>
        <v>0.58853047827557003</v>
      </c>
      <c r="J575" s="27">
        <f ca="1">IFERROR(__xludf.DUMMYFUNCTION("""COMPUTED_VALUE"""),1.27257390865549)</f>
        <v>1.2725739086554899</v>
      </c>
      <c r="K575" s="27">
        <f ca="1">IFERROR(__xludf.DUMMYFUNCTION("""COMPUTED_VALUE"""),7.92743128895603)</f>
        <v>7.9274312889560301</v>
      </c>
      <c r="L575" s="27">
        <f ca="1">IFERROR(__xludf.DUMMYFUNCTION("""COMPUTED_VALUE"""),30.6022560465888)</f>
        <v>30.602256046588799</v>
      </c>
      <c r="M575" s="27">
        <f ca="1">IFERROR(__xludf.DUMMYFUNCTION("""COMPUTED_VALUE"""),49.25516431347)</f>
        <v>49.255164313469997</v>
      </c>
      <c r="N575" s="27">
        <f ca="1">IFERROR(__xludf.DUMMYFUNCTION("""COMPUTED_VALUE"""),62.2277737831912)</f>
        <v>62.227773783191203</v>
      </c>
      <c r="O575" s="27">
        <f ca="1">IFERROR(__xludf.DUMMYFUNCTION("""COMPUTED_VALUE"""),59.3126296193328)</f>
        <v>59.312629619332803</v>
      </c>
      <c r="P575" s="27">
        <f ca="1">IFERROR(__xludf.DUMMYFUNCTION("""COMPUTED_VALUE"""),66.3463914819941)</f>
        <v>66.346391481994104</v>
      </c>
      <c r="Q575" s="28">
        <f ca="1">IFERROR(__xludf.DUMMYFUNCTION("""COMPUTED_VALUE"""),67.8802661590502)</f>
        <v>67.880266159050194</v>
      </c>
      <c r="R575" s="20"/>
    </row>
    <row r="576" spans="1:18" ht="13.2" hidden="1" outlineLevel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0"/>
    </row>
    <row r="577" spans="1:18" ht="13.2" collapsed="1" x14ac:dyDescent="0.25">
      <c r="A577" s="4"/>
      <c r="B577" s="5" t="str">
        <f ca="1">IFERROR(__xludf.DUMMYFUNCTION("""COMPUTED_VALUE"""),"Tot.CS(e,a)")</f>
        <v>Tot.CS(e,a)</v>
      </c>
      <c r="C577" s="6" t="str">
        <f ca="1">IFERROR(__xludf.DUMMYFUNCTION("""COMPUTED_VALUE"""),"-/+")</f>
        <v>-/+</v>
      </c>
      <c r="D577" s="7" t="str">
        <f ca="1">IFERROR(__xludf.DUMMYFUNCTION("""COMPUTED_VALUE"""),"Total consumo del sector por energético e y año a.")</f>
        <v>Total consumo del sector por energético e y año a.</v>
      </c>
      <c r="E577" s="6" t="str">
        <f ca="1">IFERROR(__xludf.DUMMYFUNCTION("""COMPUTED_VALUE"""),"cbne")</f>
        <v>cbne</v>
      </c>
      <c r="F577" s="6" t="str">
        <f ca="1">IFERROR(__xludf.DUMMYFUNCTION("""COMPUTED_VALUE"""),"a")</f>
        <v>a</v>
      </c>
      <c r="G577" s="8" t="str">
        <f ca="1">IFERROR(__xludf.DUMMYFUNCTION("""COMPUTED_VALUE"""),"PJ")</f>
        <v>PJ</v>
      </c>
      <c r="H577" s="9"/>
      <c r="I577" s="1"/>
      <c r="J577" s="1"/>
      <c r="K577" s="1"/>
      <c r="L577" s="1"/>
      <c r="M577" s="1"/>
      <c r="N577" s="1"/>
      <c r="O577" s="1"/>
      <c r="P577" s="1"/>
      <c r="Q577" s="1"/>
      <c r="R577" s="10"/>
    </row>
    <row r="578" spans="1:18" ht="13.2" hidden="1" outlineLevel="1" x14ac:dyDescent="0.25">
      <c r="A578" s="1"/>
      <c r="B578" s="11"/>
      <c r="C578" s="12">
        <f ca="1">IFERROR(__xludf.DUMMYFUNCTION("""COMPUTED_VALUE"""),2010)</f>
        <v>2010</v>
      </c>
      <c r="D578" s="13">
        <f ca="1">IFERROR(__xludf.DUMMYFUNCTION("""COMPUTED_VALUE"""),2011)</f>
        <v>2011</v>
      </c>
      <c r="E578" s="13">
        <f ca="1">IFERROR(__xludf.DUMMYFUNCTION("""COMPUTED_VALUE"""),2012)</f>
        <v>2012</v>
      </c>
      <c r="F578" s="13">
        <f ca="1">IFERROR(__xludf.DUMMYFUNCTION("""COMPUTED_VALUE"""),2013)</f>
        <v>2013</v>
      </c>
      <c r="G578" s="13">
        <f ca="1">IFERROR(__xludf.DUMMYFUNCTION("""COMPUTED_VALUE"""),2014)</f>
        <v>2014</v>
      </c>
      <c r="H578" s="13">
        <f ca="1">IFERROR(__xludf.DUMMYFUNCTION("""COMPUTED_VALUE"""),2015)</f>
        <v>2015</v>
      </c>
      <c r="I578" s="13">
        <f ca="1">IFERROR(__xludf.DUMMYFUNCTION("""COMPUTED_VALUE"""),2016)</f>
        <v>2016</v>
      </c>
      <c r="J578" s="13">
        <f ca="1">IFERROR(__xludf.DUMMYFUNCTION("""COMPUTED_VALUE"""),2017)</f>
        <v>2017</v>
      </c>
      <c r="K578" s="13">
        <f ca="1">IFERROR(__xludf.DUMMYFUNCTION("""COMPUTED_VALUE"""),2018)</f>
        <v>2018</v>
      </c>
      <c r="L578" s="13">
        <f ca="1">IFERROR(__xludf.DUMMYFUNCTION("""COMPUTED_VALUE"""),2019)</f>
        <v>2019</v>
      </c>
      <c r="M578" s="13">
        <f ca="1">IFERROR(__xludf.DUMMYFUNCTION("""COMPUTED_VALUE"""),2020)</f>
        <v>2020</v>
      </c>
      <c r="N578" s="13">
        <f ca="1">IFERROR(__xludf.DUMMYFUNCTION("""COMPUTED_VALUE"""),2021)</f>
        <v>2021</v>
      </c>
      <c r="O578" s="13">
        <f ca="1">IFERROR(__xludf.DUMMYFUNCTION("""COMPUTED_VALUE"""),2022)</f>
        <v>2022</v>
      </c>
      <c r="P578" s="13">
        <f ca="1">IFERROR(__xludf.DUMMYFUNCTION("""COMPUTED_VALUE"""),2023)</f>
        <v>2023</v>
      </c>
      <c r="Q578" s="14">
        <f ca="1">IFERROR(__xludf.DUMMYFUNCTION("""COMPUTED_VALUE"""),2024)</f>
        <v>2024</v>
      </c>
      <c r="R578" s="15"/>
    </row>
    <row r="579" spans="1:18" ht="13.2" hidden="1" outlineLevel="1" x14ac:dyDescent="0.25">
      <c r="A579" s="1"/>
      <c r="B579" s="16" t="str">
        <f ca="1">IFERROR(__xludf.DUMMYFUNCTION("""COMPUTED_VALUE"""),"Carbón mineral")</f>
        <v>Carbón mineral</v>
      </c>
      <c r="C579" s="17">
        <f ca="1">IFERROR(__xludf.DUMMYFUNCTION("""COMPUTED_VALUE"""),0)</f>
        <v>0</v>
      </c>
      <c r="D579" s="18">
        <f ca="1">IFERROR(__xludf.DUMMYFUNCTION("""COMPUTED_VALUE"""),0)</f>
        <v>0</v>
      </c>
      <c r="E579" s="18">
        <f ca="1">IFERROR(__xludf.DUMMYFUNCTION("""COMPUTED_VALUE"""),0)</f>
        <v>0</v>
      </c>
      <c r="F579" s="18">
        <f ca="1">IFERROR(__xludf.DUMMYFUNCTION("""COMPUTED_VALUE"""),0)</f>
        <v>0</v>
      </c>
      <c r="G579" s="18">
        <f ca="1">IFERROR(__xludf.DUMMYFUNCTION("""COMPUTED_VALUE"""),0)</f>
        <v>0</v>
      </c>
      <c r="H579" s="18">
        <f ca="1">IFERROR(__xludf.DUMMYFUNCTION("""COMPUTED_VALUE"""),0)</f>
        <v>0</v>
      </c>
      <c r="I579" s="18">
        <f ca="1">IFERROR(__xludf.DUMMYFUNCTION("""COMPUTED_VALUE"""),0)</f>
        <v>0</v>
      </c>
      <c r="J579" s="18">
        <f ca="1">IFERROR(__xludf.DUMMYFUNCTION("""COMPUTED_VALUE"""),0)</f>
        <v>0</v>
      </c>
      <c r="K579" s="18">
        <f ca="1">IFERROR(__xludf.DUMMYFUNCTION("""COMPUTED_VALUE"""),0)</f>
        <v>0</v>
      </c>
      <c r="L579" s="18">
        <f ca="1">IFERROR(__xludf.DUMMYFUNCTION("""COMPUTED_VALUE"""),0)</f>
        <v>0</v>
      </c>
      <c r="M579" s="18">
        <f ca="1">IFERROR(__xludf.DUMMYFUNCTION("""COMPUTED_VALUE"""),0)</f>
        <v>0</v>
      </c>
      <c r="N579" s="18">
        <f ca="1">IFERROR(__xludf.DUMMYFUNCTION("""COMPUTED_VALUE"""),0)</f>
        <v>0</v>
      </c>
      <c r="O579" s="18">
        <f ca="1">IFERROR(__xludf.DUMMYFUNCTION("""COMPUTED_VALUE"""),0)</f>
        <v>0</v>
      </c>
      <c r="P579" s="18">
        <f ca="1">IFERROR(__xludf.DUMMYFUNCTION("""COMPUTED_VALUE"""),0)</f>
        <v>0</v>
      </c>
      <c r="Q579" s="19">
        <f ca="1">IFERROR(__xludf.DUMMYFUNCTION("""COMPUTED_VALUE"""),0)</f>
        <v>0</v>
      </c>
      <c r="R579" s="20"/>
    </row>
    <row r="580" spans="1:18" ht="13.2" hidden="1" outlineLevel="1" x14ac:dyDescent="0.25">
      <c r="A580" s="1"/>
      <c r="B580" s="21" t="str">
        <f ca="1">IFERROR(__xludf.DUMMYFUNCTION("""COMPUTED_VALUE"""),"Petróleo crudo")</f>
        <v>Petróleo crudo</v>
      </c>
      <c r="C580" s="22">
        <f ca="1">IFERROR(__xludf.DUMMYFUNCTION("""COMPUTED_VALUE"""),-50.04359)</f>
        <v>-50.043590000000002</v>
      </c>
      <c r="D580" s="23">
        <f ca="1">IFERROR(__xludf.DUMMYFUNCTION("""COMPUTED_VALUE"""),-80.33659)</f>
        <v>-80.336590000000001</v>
      </c>
      <c r="E580" s="23">
        <f ca="1">IFERROR(__xludf.DUMMYFUNCTION("""COMPUTED_VALUE"""),-33.930302)</f>
        <v>-33.930301999999998</v>
      </c>
      <c r="F580" s="23">
        <f ca="1">IFERROR(__xludf.DUMMYFUNCTION("""COMPUTED_VALUE"""),-31.352831)</f>
        <v>-31.352830999999998</v>
      </c>
      <c r="G580" s="23">
        <f ca="1">IFERROR(__xludf.DUMMYFUNCTION("""COMPUTED_VALUE"""),-19.266988457556)</f>
        <v>-19.266988457556</v>
      </c>
      <c r="H580" s="23">
        <f ca="1">IFERROR(__xludf.DUMMYFUNCTION("""COMPUTED_VALUE"""),42.2140291125611)</f>
        <v>42.2140291125611</v>
      </c>
      <c r="I580" s="23">
        <f ca="1">IFERROR(__xludf.DUMMYFUNCTION("""COMPUTED_VALUE"""),11.2389999999999)</f>
        <v>11.2389999999999</v>
      </c>
      <c r="J580" s="23">
        <f ca="1">IFERROR(__xludf.DUMMYFUNCTION("""COMPUTED_VALUE"""),1.06752924080515)</f>
        <v>1.06752924080515</v>
      </c>
      <c r="K580" s="23">
        <f ca="1">IFERROR(__xludf.DUMMYFUNCTION("""COMPUTED_VALUE"""),-27.7963417764194)</f>
        <v>-27.7963417764194</v>
      </c>
      <c r="L580" s="23">
        <f ca="1">IFERROR(__xludf.DUMMYFUNCTION("""COMPUTED_VALUE"""),46.6445220535549)</f>
        <v>46.644522053554901</v>
      </c>
      <c r="M580" s="23">
        <f ca="1">IFERROR(__xludf.DUMMYFUNCTION("""COMPUTED_VALUE"""),-2.16375588922983)</f>
        <v>-2.1637558892298299</v>
      </c>
      <c r="N580" s="23">
        <f ca="1">IFERROR(__xludf.DUMMYFUNCTION("""COMPUTED_VALUE"""),29.3123874647502)</f>
        <v>29.312387464750199</v>
      </c>
      <c r="O580" s="23">
        <f ca="1">IFERROR(__xludf.DUMMYFUNCTION("""COMPUTED_VALUE"""),-30.1069743248627)</f>
        <v>-30.106974324862701</v>
      </c>
      <c r="P580" s="23">
        <f ca="1">IFERROR(__xludf.DUMMYFUNCTION("""COMPUTED_VALUE"""),14.8419259153453)</f>
        <v>14.8419259153453</v>
      </c>
      <c r="Q580" s="24">
        <f ca="1">IFERROR(__xludf.DUMMYFUNCTION("""COMPUTED_VALUE"""),45.6003030992472)</f>
        <v>45.600303099247199</v>
      </c>
      <c r="R580" s="20"/>
    </row>
    <row r="581" spans="1:18" ht="13.2" hidden="1" outlineLevel="1" x14ac:dyDescent="0.25">
      <c r="A581" s="1"/>
      <c r="B581" s="21" t="str">
        <f ca="1">IFERROR(__xludf.DUMMYFUNCTION("""COMPUTED_VALUE"""),"Condensados")</f>
        <v>Condensados</v>
      </c>
      <c r="C581" s="22">
        <f ca="1">IFERROR(__xludf.DUMMYFUNCTION("""COMPUTED_VALUE"""),0.34863)</f>
        <v>0.34863</v>
      </c>
      <c r="D581" s="23">
        <f ca="1">IFERROR(__xludf.DUMMYFUNCTION("""COMPUTED_VALUE"""),0.292019999999994)</f>
        <v>0.29201999999999401</v>
      </c>
      <c r="E581" s="23">
        <f ca="1">IFERROR(__xludf.DUMMYFUNCTION("""COMPUTED_VALUE"""),0.29694)</f>
        <v>0.29693999999999998</v>
      </c>
      <c r="F581" s="23">
        <f ca="1">IFERROR(__xludf.DUMMYFUNCTION("""COMPUTED_VALUE"""),-0.4796)</f>
        <v>-0.47960000000000003</v>
      </c>
      <c r="G581" s="23">
        <f ca="1">IFERROR(__xludf.DUMMYFUNCTION("""COMPUTED_VALUE"""),-0.234679049743832)</f>
        <v>-0.234679049743832</v>
      </c>
      <c r="H581" s="23">
        <f ca="1">IFERROR(__xludf.DUMMYFUNCTION("""COMPUTED_VALUE"""),-0.401036499189871)</f>
        <v>-0.401036499189871</v>
      </c>
      <c r="I581" s="23">
        <f ca="1">IFERROR(__xludf.DUMMYFUNCTION("""COMPUTED_VALUE"""),-0.747)</f>
        <v>-0.747</v>
      </c>
      <c r="J581" s="23">
        <f ca="1">IFERROR(__xludf.DUMMYFUNCTION("""COMPUTED_VALUE"""),-1.86195981079644)</f>
        <v>-1.8619598107964399</v>
      </c>
      <c r="K581" s="23">
        <f ca="1">IFERROR(__xludf.DUMMYFUNCTION("""COMPUTED_VALUE"""),-6.05188619869098)</f>
        <v>-6.0518861986909798</v>
      </c>
      <c r="L581" s="23">
        <f ca="1">IFERROR(__xludf.DUMMYFUNCTION("""COMPUTED_VALUE"""),-5.8856005381192)</f>
        <v>-5.8856005381192</v>
      </c>
      <c r="M581" s="23">
        <f ca="1">IFERROR(__xludf.DUMMYFUNCTION("""COMPUTED_VALUE"""),4.28628118983376)</f>
        <v>4.2862811898337601</v>
      </c>
      <c r="N581" s="23">
        <f ca="1">IFERROR(__xludf.DUMMYFUNCTION("""COMPUTED_VALUE"""),-2.5791453099053)</f>
        <v>-2.5791453099053001</v>
      </c>
      <c r="O581" s="23">
        <f ca="1">IFERROR(__xludf.DUMMYFUNCTION("""COMPUTED_VALUE"""),2.61000000000001)</f>
        <v>2.6100000000000101</v>
      </c>
      <c r="P581" s="23">
        <f ca="1">IFERROR(__xludf.DUMMYFUNCTION("""COMPUTED_VALUE"""),-0.230000000000246)</f>
        <v>-0.23000000000024601</v>
      </c>
      <c r="Q581" s="24">
        <f ca="1">IFERROR(__xludf.DUMMYFUNCTION("""COMPUTED_VALUE"""),1.63)</f>
        <v>1.63</v>
      </c>
      <c r="R581" s="20"/>
    </row>
    <row r="582" spans="1:18" ht="13.2" hidden="1" outlineLevel="1" x14ac:dyDescent="0.25">
      <c r="A582" s="1"/>
      <c r="B582" s="21" t="str">
        <f ca="1">IFERROR(__xludf.DUMMYFUNCTION("""COMPUTED_VALUE"""),"Gas natural")</f>
        <v>Gas natural</v>
      </c>
      <c r="C582" s="22">
        <f ca="1">IFERROR(__xludf.DUMMYFUNCTION("""COMPUTED_VALUE"""),-819.225306806)</f>
        <v>-819.22530680600005</v>
      </c>
      <c r="D582" s="23">
        <f ca="1">IFERROR(__xludf.DUMMYFUNCTION("""COMPUTED_VALUE"""),-661.55406461673)</f>
        <v>-661.55406461672999</v>
      </c>
      <c r="E582" s="23">
        <f ca="1">IFERROR(__xludf.DUMMYFUNCTION("""COMPUTED_VALUE"""),-644.77118544638)</f>
        <v>-644.77118544637995</v>
      </c>
      <c r="F582" s="23">
        <f ca="1">IFERROR(__xludf.DUMMYFUNCTION("""COMPUTED_VALUE"""),-612.72454500659)</f>
        <v>-612.72454500659001</v>
      </c>
      <c r="G582" s="23">
        <f ca="1">IFERROR(__xludf.DUMMYFUNCTION("""COMPUTED_VALUE"""),-583.369817552887)</f>
        <v>-583.36981755288696</v>
      </c>
      <c r="H582" s="23">
        <f ca="1">IFERROR(__xludf.DUMMYFUNCTION("""COMPUTED_VALUE"""),-556.915572710532)</f>
        <v>-556.91557271053205</v>
      </c>
      <c r="I582" s="23">
        <f ca="1">IFERROR(__xludf.DUMMYFUNCTION("""COMPUTED_VALUE"""),-402.021557857199)</f>
        <v>-402.02155785719901</v>
      </c>
      <c r="J582" s="23">
        <f ca="1">IFERROR(__xludf.DUMMYFUNCTION("""COMPUTED_VALUE"""),-476.527919749964)</f>
        <v>-476.52791974996398</v>
      </c>
      <c r="K582" s="23">
        <f ca="1">IFERROR(__xludf.DUMMYFUNCTION("""COMPUTED_VALUE"""),-519.338335964614)</f>
        <v>-519.33833596461398</v>
      </c>
      <c r="L582" s="23">
        <f ca="1">IFERROR(__xludf.DUMMYFUNCTION("""COMPUTED_VALUE"""),-684.544967408942)</f>
        <v>-684.54496740894206</v>
      </c>
      <c r="M582" s="23">
        <f ca="1">IFERROR(__xludf.DUMMYFUNCTION("""COMPUTED_VALUE"""),-799.953905767552)</f>
        <v>-799.95390576755199</v>
      </c>
      <c r="N582" s="23">
        <f ca="1">IFERROR(__xludf.DUMMYFUNCTION("""COMPUTED_VALUE"""),-471.019463479257)</f>
        <v>-471.01946347925701</v>
      </c>
      <c r="O582" s="23">
        <f ca="1">IFERROR(__xludf.DUMMYFUNCTION("""COMPUTED_VALUE"""),-529.765692578016)</f>
        <v>-529.765692578016</v>
      </c>
      <c r="P582" s="23">
        <f ca="1">IFERROR(__xludf.DUMMYFUNCTION("""COMPUTED_VALUE"""),-470.997229266443)</f>
        <v>-470.99722926644301</v>
      </c>
      <c r="Q582" s="24">
        <f ca="1">IFERROR(__xludf.DUMMYFUNCTION("""COMPUTED_VALUE"""),-595.692503743707)</f>
        <v>-595.69250374370699</v>
      </c>
      <c r="R582" s="20"/>
    </row>
    <row r="583" spans="1:18" ht="13.2" hidden="1" outlineLevel="1" x14ac:dyDescent="0.25">
      <c r="A583" s="1"/>
      <c r="B583" s="21" t="str">
        <f ca="1">IFERROR(__xludf.DUMMYFUNCTION("""COMPUTED_VALUE"""),"Energía Nuclear")</f>
        <v>Energía Nuclear</v>
      </c>
      <c r="C583" s="22">
        <f ca="1">IFERROR(__xludf.DUMMYFUNCTION("""COMPUTED_VALUE"""),0)</f>
        <v>0</v>
      </c>
      <c r="D583" s="23">
        <f ca="1">IFERROR(__xludf.DUMMYFUNCTION("""COMPUTED_VALUE"""),0)</f>
        <v>0</v>
      </c>
      <c r="E583" s="23">
        <f ca="1">IFERROR(__xludf.DUMMYFUNCTION("""COMPUTED_VALUE"""),0)</f>
        <v>0</v>
      </c>
      <c r="F583" s="23">
        <f ca="1">IFERROR(__xludf.DUMMYFUNCTION("""COMPUTED_VALUE"""),0)</f>
        <v>0</v>
      </c>
      <c r="G583" s="23">
        <f ca="1">IFERROR(__xludf.DUMMYFUNCTION("""COMPUTED_VALUE"""),0)</f>
        <v>0</v>
      </c>
      <c r="H583" s="23">
        <f ca="1">IFERROR(__xludf.DUMMYFUNCTION("""COMPUTED_VALUE"""),0)</f>
        <v>0</v>
      </c>
      <c r="I583" s="23">
        <f ca="1">IFERROR(__xludf.DUMMYFUNCTION("""COMPUTED_VALUE"""),0)</f>
        <v>0</v>
      </c>
      <c r="J583" s="23">
        <f ca="1">IFERROR(__xludf.DUMMYFUNCTION("""COMPUTED_VALUE"""),0)</f>
        <v>0</v>
      </c>
      <c r="K583" s="23">
        <f ca="1">IFERROR(__xludf.DUMMYFUNCTION("""COMPUTED_VALUE"""),0)</f>
        <v>0</v>
      </c>
      <c r="L583" s="23">
        <f ca="1">IFERROR(__xludf.DUMMYFUNCTION("""COMPUTED_VALUE"""),0)</f>
        <v>0</v>
      </c>
      <c r="M583" s="23">
        <f ca="1">IFERROR(__xludf.DUMMYFUNCTION("""COMPUTED_VALUE"""),0)</f>
        <v>0</v>
      </c>
      <c r="N583" s="23">
        <f ca="1">IFERROR(__xludf.DUMMYFUNCTION("""COMPUTED_VALUE"""),0)</f>
        <v>0</v>
      </c>
      <c r="O583" s="23">
        <f ca="1">IFERROR(__xludf.DUMMYFUNCTION("""COMPUTED_VALUE"""),0)</f>
        <v>0</v>
      </c>
      <c r="P583" s="23">
        <f ca="1">IFERROR(__xludf.DUMMYFUNCTION("""COMPUTED_VALUE"""),0)</f>
        <v>0</v>
      </c>
      <c r="Q583" s="24">
        <f ca="1">IFERROR(__xludf.DUMMYFUNCTION("""COMPUTED_VALUE"""),0)</f>
        <v>0</v>
      </c>
      <c r="R583" s="20"/>
    </row>
    <row r="584" spans="1:18" ht="13.2" hidden="1" outlineLevel="1" x14ac:dyDescent="0.25">
      <c r="A584" s="1"/>
      <c r="B584" s="21" t="str">
        <f ca="1">IFERROR(__xludf.DUMMYFUNCTION("""COMPUTED_VALUE"""),"Energia Hidraúlica")</f>
        <v>Energia Hidraúlica</v>
      </c>
      <c r="C584" s="22">
        <f ca="1">IFERROR(__xludf.DUMMYFUNCTION("""COMPUTED_VALUE"""),0)</f>
        <v>0</v>
      </c>
      <c r="D584" s="23">
        <f ca="1">IFERROR(__xludf.DUMMYFUNCTION("""COMPUTED_VALUE"""),0)</f>
        <v>0</v>
      </c>
      <c r="E584" s="23">
        <f ca="1">IFERROR(__xludf.DUMMYFUNCTION("""COMPUTED_VALUE"""),0)</f>
        <v>0</v>
      </c>
      <c r="F584" s="23">
        <f ca="1">IFERROR(__xludf.DUMMYFUNCTION("""COMPUTED_VALUE"""),0)</f>
        <v>0</v>
      </c>
      <c r="G584" s="23">
        <f ca="1">IFERROR(__xludf.DUMMYFUNCTION("""COMPUTED_VALUE"""),0)</f>
        <v>0</v>
      </c>
      <c r="H584" s="23">
        <f ca="1">IFERROR(__xludf.DUMMYFUNCTION("""COMPUTED_VALUE"""),0)</f>
        <v>0</v>
      </c>
      <c r="I584" s="23">
        <f ca="1">IFERROR(__xludf.DUMMYFUNCTION("""COMPUTED_VALUE"""),0)</f>
        <v>0</v>
      </c>
      <c r="J584" s="23">
        <f ca="1">IFERROR(__xludf.DUMMYFUNCTION("""COMPUTED_VALUE"""),0)</f>
        <v>0</v>
      </c>
      <c r="K584" s="23">
        <f ca="1">IFERROR(__xludf.DUMMYFUNCTION("""COMPUTED_VALUE"""),0)</f>
        <v>0</v>
      </c>
      <c r="L584" s="23">
        <f ca="1">IFERROR(__xludf.DUMMYFUNCTION("""COMPUTED_VALUE"""),0)</f>
        <v>0</v>
      </c>
      <c r="M584" s="23">
        <f ca="1">IFERROR(__xludf.DUMMYFUNCTION("""COMPUTED_VALUE"""),0)</f>
        <v>0</v>
      </c>
      <c r="N584" s="23">
        <f ca="1">IFERROR(__xludf.DUMMYFUNCTION("""COMPUTED_VALUE"""),0)</f>
        <v>0</v>
      </c>
      <c r="O584" s="23">
        <f ca="1">IFERROR(__xludf.DUMMYFUNCTION("""COMPUTED_VALUE"""),0)</f>
        <v>0</v>
      </c>
      <c r="P584" s="23">
        <f ca="1">IFERROR(__xludf.DUMMYFUNCTION("""COMPUTED_VALUE"""),0)</f>
        <v>0</v>
      </c>
      <c r="Q584" s="24">
        <f ca="1">IFERROR(__xludf.DUMMYFUNCTION("""COMPUTED_VALUE"""),0)</f>
        <v>0</v>
      </c>
      <c r="R584" s="20"/>
    </row>
    <row r="585" spans="1:18" ht="13.2" hidden="1" outlineLevel="1" x14ac:dyDescent="0.25">
      <c r="A585" s="1"/>
      <c r="B585" s="21" t="str">
        <f ca="1">IFERROR(__xludf.DUMMYFUNCTION("""COMPUTED_VALUE"""),"Geoenergía")</f>
        <v>Geoenergía</v>
      </c>
      <c r="C585" s="22">
        <f ca="1">IFERROR(__xludf.DUMMYFUNCTION("""COMPUTED_VALUE"""),0)</f>
        <v>0</v>
      </c>
      <c r="D585" s="23">
        <f ca="1">IFERROR(__xludf.DUMMYFUNCTION("""COMPUTED_VALUE"""),0)</f>
        <v>0</v>
      </c>
      <c r="E585" s="23">
        <f ca="1">IFERROR(__xludf.DUMMYFUNCTION("""COMPUTED_VALUE"""),0)</f>
        <v>0</v>
      </c>
      <c r="F585" s="23">
        <f ca="1">IFERROR(__xludf.DUMMYFUNCTION("""COMPUTED_VALUE"""),0)</f>
        <v>0</v>
      </c>
      <c r="G585" s="23">
        <f ca="1">IFERROR(__xludf.DUMMYFUNCTION("""COMPUTED_VALUE"""),0)</f>
        <v>0</v>
      </c>
      <c r="H585" s="23">
        <f ca="1">IFERROR(__xludf.DUMMYFUNCTION("""COMPUTED_VALUE"""),0)</f>
        <v>0</v>
      </c>
      <c r="I585" s="23">
        <f ca="1">IFERROR(__xludf.DUMMYFUNCTION("""COMPUTED_VALUE"""),0)</f>
        <v>0</v>
      </c>
      <c r="J585" s="23">
        <f ca="1">IFERROR(__xludf.DUMMYFUNCTION("""COMPUTED_VALUE"""),0)</f>
        <v>0</v>
      </c>
      <c r="K585" s="23">
        <f ca="1">IFERROR(__xludf.DUMMYFUNCTION("""COMPUTED_VALUE"""),0)</f>
        <v>0</v>
      </c>
      <c r="L585" s="23">
        <f ca="1">IFERROR(__xludf.DUMMYFUNCTION("""COMPUTED_VALUE"""),0)</f>
        <v>0</v>
      </c>
      <c r="M585" s="23">
        <f ca="1">IFERROR(__xludf.DUMMYFUNCTION("""COMPUTED_VALUE"""),0)</f>
        <v>0</v>
      </c>
      <c r="N585" s="23">
        <f ca="1">IFERROR(__xludf.DUMMYFUNCTION("""COMPUTED_VALUE"""),0)</f>
        <v>0</v>
      </c>
      <c r="O585" s="23">
        <f ca="1">IFERROR(__xludf.DUMMYFUNCTION("""COMPUTED_VALUE"""),0)</f>
        <v>0</v>
      </c>
      <c r="P585" s="23">
        <f ca="1">IFERROR(__xludf.DUMMYFUNCTION("""COMPUTED_VALUE"""),0)</f>
        <v>0</v>
      </c>
      <c r="Q585" s="24">
        <f ca="1">IFERROR(__xludf.DUMMYFUNCTION("""COMPUTED_VALUE"""),0)</f>
        <v>0</v>
      </c>
      <c r="R585" s="20"/>
    </row>
    <row r="586" spans="1:18" ht="13.2" hidden="1" outlineLevel="1" x14ac:dyDescent="0.25">
      <c r="A586" s="1"/>
      <c r="B586" s="21" t="str">
        <f ca="1">IFERROR(__xludf.DUMMYFUNCTION("""COMPUTED_VALUE"""),"Energía solar")</f>
        <v>Energía solar</v>
      </c>
      <c r="C586" s="22">
        <f ca="1">IFERROR(__xludf.DUMMYFUNCTION("""COMPUTED_VALUE"""),0)</f>
        <v>0</v>
      </c>
      <c r="D586" s="23">
        <f ca="1">IFERROR(__xludf.DUMMYFUNCTION("""COMPUTED_VALUE"""),0)</f>
        <v>0</v>
      </c>
      <c r="E586" s="23">
        <f ca="1">IFERROR(__xludf.DUMMYFUNCTION("""COMPUTED_VALUE"""),0)</f>
        <v>0</v>
      </c>
      <c r="F586" s="23">
        <f ca="1">IFERROR(__xludf.DUMMYFUNCTION("""COMPUTED_VALUE"""),0)</f>
        <v>0</v>
      </c>
      <c r="G586" s="23">
        <f ca="1">IFERROR(__xludf.DUMMYFUNCTION("""COMPUTED_VALUE"""),0)</f>
        <v>0</v>
      </c>
      <c r="H586" s="23">
        <f ca="1">IFERROR(__xludf.DUMMYFUNCTION("""COMPUTED_VALUE"""),0)</f>
        <v>0</v>
      </c>
      <c r="I586" s="23">
        <f ca="1">IFERROR(__xludf.DUMMYFUNCTION("""COMPUTED_VALUE"""),0)</f>
        <v>0</v>
      </c>
      <c r="J586" s="23">
        <f ca="1">IFERROR(__xludf.DUMMYFUNCTION("""COMPUTED_VALUE"""),0)</f>
        <v>0</v>
      </c>
      <c r="K586" s="23">
        <f ca="1">IFERROR(__xludf.DUMMYFUNCTION("""COMPUTED_VALUE"""),0)</f>
        <v>0</v>
      </c>
      <c r="L586" s="23">
        <f ca="1">IFERROR(__xludf.DUMMYFUNCTION("""COMPUTED_VALUE"""),0)</f>
        <v>0</v>
      </c>
      <c r="M586" s="23">
        <f ca="1">IFERROR(__xludf.DUMMYFUNCTION("""COMPUTED_VALUE"""),0)</f>
        <v>0</v>
      </c>
      <c r="N586" s="23">
        <f ca="1">IFERROR(__xludf.DUMMYFUNCTION("""COMPUTED_VALUE"""),0)</f>
        <v>0</v>
      </c>
      <c r="O586" s="23">
        <f ca="1">IFERROR(__xludf.DUMMYFUNCTION("""COMPUTED_VALUE"""),0)</f>
        <v>0</v>
      </c>
      <c r="P586" s="23">
        <f ca="1">IFERROR(__xludf.DUMMYFUNCTION("""COMPUTED_VALUE"""),0)</f>
        <v>0</v>
      </c>
      <c r="Q586" s="24">
        <f ca="1">IFERROR(__xludf.DUMMYFUNCTION("""COMPUTED_VALUE"""),0)</f>
        <v>0</v>
      </c>
      <c r="R586" s="20"/>
    </row>
    <row r="587" spans="1:18" ht="13.2" hidden="1" outlineLevel="1" x14ac:dyDescent="0.25">
      <c r="A587" s="1"/>
      <c r="B587" s="21" t="str">
        <f ca="1">IFERROR(__xludf.DUMMYFUNCTION("""COMPUTED_VALUE"""),"Energía eólica")</f>
        <v>Energía eólica</v>
      </c>
      <c r="C587" s="22">
        <f ca="1">IFERROR(__xludf.DUMMYFUNCTION("""COMPUTED_VALUE"""),0)</f>
        <v>0</v>
      </c>
      <c r="D587" s="23">
        <f ca="1">IFERROR(__xludf.DUMMYFUNCTION("""COMPUTED_VALUE"""),0)</f>
        <v>0</v>
      </c>
      <c r="E587" s="23">
        <f ca="1">IFERROR(__xludf.DUMMYFUNCTION("""COMPUTED_VALUE"""),0)</f>
        <v>0</v>
      </c>
      <c r="F587" s="23">
        <f ca="1">IFERROR(__xludf.DUMMYFUNCTION("""COMPUTED_VALUE"""),0)</f>
        <v>0</v>
      </c>
      <c r="G587" s="23">
        <f ca="1">IFERROR(__xludf.DUMMYFUNCTION("""COMPUTED_VALUE"""),0)</f>
        <v>0</v>
      </c>
      <c r="H587" s="23">
        <f ca="1">IFERROR(__xludf.DUMMYFUNCTION("""COMPUTED_VALUE"""),0)</f>
        <v>0</v>
      </c>
      <c r="I587" s="23">
        <f ca="1">IFERROR(__xludf.DUMMYFUNCTION("""COMPUTED_VALUE"""),0)</f>
        <v>0</v>
      </c>
      <c r="J587" s="23">
        <f ca="1">IFERROR(__xludf.DUMMYFUNCTION("""COMPUTED_VALUE"""),0)</f>
        <v>0</v>
      </c>
      <c r="K587" s="23">
        <f ca="1">IFERROR(__xludf.DUMMYFUNCTION("""COMPUTED_VALUE"""),0)</f>
        <v>0</v>
      </c>
      <c r="L587" s="23">
        <f ca="1">IFERROR(__xludf.DUMMYFUNCTION("""COMPUTED_VALUE"""),0)</f>
        <v>0</v>
      </c>
      <c r="M587" s="23">
        <f ca="1">IFERROR(__xludf.DUMMYFUNCTION("""COMPUTED_VALUE"""),0)</f>
        <v>0</v>
      </c>
      <c r="N587" s="23">
        <f ca="1">IFERROR(__xludf.DUMMYFUNCTION("""COMPUTED_VALUE"""),0)</f>
        <v>0</v>
      </c>
      <c r="O587" s="23">
        <f ca="1">IFERROR(__xludf.DUMMYFUNCTION("""COMPUTED_VALUE"""),0)</f>
        <v>0</v>
      </c>
      <c r="P587" s="23">
        <f ca="1">IFERROR(__xludf.DUMMYFUNCTION("""COMPUTED_VALUE"""),0)</f>
        <v>0</v>
      </c>
      <c r="Q587" s="24">
        <f ca="1">IFERROR(__xludf.DUMMYFUNCTION("""COMPUTED_VALUE"""),0)</f>
        <v>0</v>
      </c>
      <c r="R587" s="20"/>
    </row>
    <row r="588" spans="1:18" ht="13.2" hidden="1" outlineLevel="1" x14ac:dyDescent="0.25">
      <c r="A588" s="1"/>
      <c r="B588" s="21" t="str">
        <f ca="1">IFERROR(__xludf.DUMMYFUNCTION("""COMPUTED_VALUE"""),"Bagazo de caña")</f>
        <v>Bagazo de caña</v>
      </c>
      <c r="C588" s="22">
        <f ca="1">IFERROR(__xludf.DUMMYFUNCTION("""COMPUTED_VALUE"""),0)</f>
        <v>0</v>
      </c>
      <c r="D588" s="23">
        <f ca="1">IFERROR(__xludf.DUMMYFUNCTION("""COMPUTED_VALUE"""),0)</f>
        <v>0</v>
      </c>
      <c r="E588" s="23">
        <f ca="1">IFERROR(__xludf.DUMMYFUNCTION("""COMPUTED_VALUE"""),0)</f>
        <v>0</v>
      </c>
      <c r="F588" s="23">
        <f ca="1">IFERROR(__xludf.DUMMYFUNCTION("""COMPUTED_VALUE"""),0)</f>
        <v>0</v>
      </c>
      <c r="G588" s="23">
        <f ca="1">IFERROR(__xludf.DUMMYFUNCTION("""COMPUTED_VALUE"""),0)</f>
        <v>0</v>
      </c>
      <c r="H588" s="23">
        <f ca="1">IFERROR(__xludf.DUMMYFUNCTION("""COMPUTED_VALUE"""),0)</f>
        <v>0</v>
      </c>
      <c r="I588" s="23">
        <f ca="1">IFERROR(__xludf.DUMMYFUNCTION("""COMPUTED_VALUE"""),0)</f>
        <v>0</v>
      </c>
      <c r="J588" s="23">
        <f ca="1">IFERROR(__xludf.DUMMYFUNCTION("""COMPUTED_VALUE"""),0)</f>
        <v>0</v>
      </c>
      <c r="K588" s="23">
        <f ca="1">IFERROR(__xludf.DUMMYFUNCTION("""COMPUTED_VALUE"""),0)</f>
        <v>0</v>
      </c>
      <c r="L588" s="23">
        <f ca="1">IFERROR(__xludf.DUMMYFUNCTION("""COMPUTED_VALUE"""),0)</f>
        <v>0</v>
      </c>
      <c r="M588" s="23">
        <f ca="1">IFERROR(__xludf.DUMMYFUNCTION("""COMPUTED_VALUE"""),0)</f>
        <v>0</v>
      </c>
      <c r="N588" s="23">
        <f ca="1">IFERROR(__xludf.DUMMYFUNCTION("""COMPUTED_VALUE"""),0)</f>
        <v>0</v>
      </c>
      <c r="O588" s="23">
        <f ca="1">IFERROR(__xludf.DUMMYFUNCTION("""COMPUTED_VALUE"""),0)</f>
        <v>0</v>
      </c>
      <c r="P588" s="23">
        <f ca="1">IFERROR(__xludf.DUMMYFUNCTION("""COMPUTED_VALUE"""),0)</f>
        <v>0</v>
      </c>
      <c r="Q588" s="24">
        <f ca="1">IFERROR(__xludf.DUMMYFUNCTION("""COMPUTED_VALUE"""),0)</f>
        <v>0</v>
      </c>
      <c r="R588" s="20"/>
    </row>
    <row r="589" spans="1:18" ht="13.2" hidden="1" outlineLevel="1" x14ac:dyDescent="0.25">
      <c r="A589" s="1"/>
      <c r="B589" s="21" t="str">
        <f ca="1">IFERROR(__xludf.DUMMYFUNCTION("""COMPUTED_VALUE"""),"Leña")</f>
        <v>Leña</v>
      </c>
      <c r="C589" s="22">
        <f ca="1">IFERROR(__xludf.DUMMYFUNCTION("""COMPUTED_VALUE"""),0)</f>
        <v>0</v>
      </c>
      <c r="D589" s="23">
        <f ca="1">IFERROR(__xludf.DUMMYFUNCTION("""COMPUTED_VALUE"""),0)</f>
        <v>0</v>
      </c>
      <c r="E589" s="23">
        <f ca="1">IFERROR(__xludf.DUMMYFUNCTION("""COMPUTED_VALUE"""),0)</f>
        <v>0</v>
      </c>
      <c r="F589" s="23">
        <f ca="1">IFERROR(__xludf.DUMMYFUNCTION("""COMPUTED_VALUE"""),0)</f>
        <v>0</v>
      </c>
      <c r="G589" s="23">
        <f ca="1">IFERROR(__xludf.DUMMYFUNCTION("""COMPUTED_VALUE"""),0)</f>
        <v>0</v>
      </c>
      <c r="H589" s="23">
        <f ca="1">IFERROR(__xludf.DUMMYFUNCTION("""COMPUTED_VALUE"""),0)</f>
        <v>0</v>
      </c>
      <c r="I589" s="23">
        <f ca="1">IFERROR(__xludf.DUMMYFUNCTION("""COMPUTED_VALUE"""),0)</f>
        <v>0</v>
      </c>
      <c r="J589" s="23">
        <f ca="1">IFERROR(__xludf.DUMMYFUNCTION("""COMPUTED_VALUE"""),0)</f>
        <v>0</v>
      </c>
      <c r="K589" s="23">
        <f ca="1">IFERROR(__xludf.DUMMYFUNCTION("""COMPUTED_VALUE"""),0)</f>
        <v>0</v>
      </c>
      <c r="L589" s="23">
        <f ca="1">IFERROR(__xludf.DUMMYFUNCTION("""COMPUTED_VALUE"""),0)</f>
        <v>0</v>
      </c>
      <c r="M589" s="23">
        <f ca="1">IFERROR(__xludf.DUMMYFUNCTION("""COMPUTED_VALUE"""),0)</f>
        <v>0</v>
      </c>
      <c r="N589" s="23">
        <f ca="1">IFERROR(__xludf.DUMMYFUNCTION("""COMPUTED_VALUE"""),0)</f>
        <v>0</v>
      </c>
      <c r="O589" s="23">
        <f ca="1">IFERROR(__xludf.DUMMYFUNCTION("""COMPUTED_VALUE"""),0)</f>
        <v>0</v>
      </c>
      <c r="P589" s="23">
        <f ca="1">IFERROR(__xludf.DUMMYFUNCTION("""COMPUTED_VALUE"""),0)</f>
        <v>0</v>
      </c>
      <c r="Q589" s="24">
        <f ca="1">IFERROR(__xludf.DUMMYFUNCTION("""COMPUTED_VALUE"""),0)</f>
        <v>0</v>
      </c>
      <c r="R589" s="20"/>
    </row>
    <row r="590" spans="1:18" ht="13.2" hidden="1" outlineLevel="1" x14ac:dyDescent="0.25">
      <c r="A590" s="1"/>
      <c r="B590" s="21" t="str">
        <f ca="1">IFERROR(__xludf.DUMMYFUNCTION("""COMPUTED_VALUE"""),"Biogás")</f>
        <v>Biogás</v>
      </c>
      <c r="C590" s="22">
        <f ca="1">IFERROR(__xludf.DUMMYFUNCTION("""COMPUTED_VALUE"""),0)</f>
        <v>0</v>
      </c>
      <c r="D590" s="23">
        <f ca="1">IFERROR(__xludf.DUMMYFUNCTION("""COMPUTED_VALUE"""),0)</f>
        <v>0</v>
      </c>
      <c r="E590" s="23">
        <f ca="1">IFERROR(__xludf.DUMMYFUNCTION("""COMPUTED_VALUE"""),0)</f>
        <v>0</v>
      </c>
      <c r="F590" s="23">
        <f ca="1">IFERROR(__xludf.DUMMYFUNCTION("""COMPUTED_VALUE"""),0)</f>
        <v>0</v>
      </c>
      <c r="G590" s="23">
        <f ca="1">IFERROR(__xludf.DUMMYFUNCTION("""COMPUTED_VALUE"""),0)</f>
        <v>0</v>
      </c>
      <c r="H590" s="23">
        <f ca="1">IFERROR(__xludf.DUMMYFUNCTION("""COMPUTED_VALUE"""),0)</f>
        <v>0</v>
      </c>
      <c r="I590" s="23">
        <f ca="1">IFERROR(__xludf.DUMMYFUNCTION("""COMPUTED_VALUE"""),0)</f>
        <v>0</v>
      </c>
      <c r="J590" s="23">
        <f ca="1">IFERROR(__xludf.DUMMYFUNCTION("""COMPUTED_VALUE"""),0)</f>
        <v>0</v>
      </c>
      <c r="K590" s="23">
        <f ca="1">IFERROR(__xludf.DUMMYFUNCTION("""COMPUTED_VALUE"""),0)</f>
        <v>0</v>
      </c>
      <c r="L590" s="23">
        <f ca="1">IFERROR(__xludf.DUMMYFUNCTION("""COMPUTED_VALUE"""),0)</f>
        <v>0</v>
      </c>
      <c r="M590" s="23">
        <f ca="1">IFERROR(__xludf.DUMMYFUNCTION("""COMPUTED_VALUE"""),0)</f>
        <v>0</v>
      </c>
      <c r="N590" s="23">
        <f ca="1">IFERROR(__xludf.DUMMYFUNCTION("""COMPUTED_VALUE"""),0)</f>
        <v>0</v>
      </c>
      <c r="O590" s="23">
        <f ca="1">IFERROR(__xludf.DUMMYFUNCTION("""COMPUTED_VALUE"""),0)</f>
        <v>0</v>
      </c>
      <c r="P590" s="23">
        <f ca="1">IFERROR(__xludf.DUMMYFUNCTION("""COMPUTED_VALUE"""),0)</f>
        <v>0</v>
      </c>
      <c r="Q590" s="24">
        <f ca="1">IFERROR(__xludf.DUMMYFUNCTION("""COMPUTED_VALUE"""),0)</f>
        <v>0</v>
      </c>
      <c r="R590" s="20"/>
    </row>
    <row r="591" spans="1:18" ht="13.2" hidden="1" outlineLevel="1" x14ac:dyDescent="0.25">
      <c r="A591" s="1"/>
      <c r="B591" s="21" t="str">
        <f ca="1">IFERROR(__xludf.DUMMYFUNCTION("""COMPUTED_VALUE"""),"Coque de carbón")</f>
        <v>Coque de carbón</v>
      </c>
      <c r="C591" s="22">
        <f ca="1">IFERROR(__xludf.DUMMYFUNCTION("""COMPUTED_VALUE"""),-3.35)</f>
        <v>-3.35</v>
      </c>
      <c r="D591" s="23">
        <f ca="1">IFERROR(__xludf.DUMMYFUNCTION("""COMPUTED_VALUE"""),-3.38)</f>
        <v>-3.38</v>
      </c>
      <c r="E591" s="23">
        <f ca="1">IFERROR(__xludf.DUMMYFUNCTION("""COMPUTED_VALUE"""),-3.45)</f>
        <v>-3.45</v>
      </c>
      <c r="F591" s="23">
        <f ca="1">IFERROR(__xludf.DUMMYFUNCTION("""COMPUTED_VALUE"""),-3.53)</f>
        <v>-3.53</v>
      </c>
      <c r="G591" s="23">
        <f ca="1">IFERROR(__xludf.DUMMYFUNCTION("""COMPUTED_VALUE"""),-3.54)</f>
        <v>-3.54</v>
      </c>
      <c r="H591" s="23">
        <f ca="1">IFERROR(__xludf.DUMMYFUNCTION("""COMPUTED_VALUE"""),-2.86)</f>
        <v>-2.86</v>
      </c>
      <c r="I591" s="23">
        <f ca="1">IFERROR(__xludf.DUMMYFUNCTION("""COMPUTED_VALUE"""),-2.18)</f>
        <v>-2.1800000000000002</v>
      </c>
      <c r="J591" s="23">
        <f ca="1">IFERROR(__xludf.DUMMYFUNCTION("""COMPUTED_VALUE"""),-2.06)</f>
        <v>-2.06</v>
      </c>
      <c r="K591" s="23">
        <f ca="1">IFERROR(__xludf.DUMMYFUNCTION("""COMPUTED_VALUE"""),-1.88)</f>
        <v>-1.88</v>
      </c>
      <c r="L591" s="23">
        <f ca="1">IFERROR(__xludf.DUMMYFUNCTION("""COMPUTED_VALUE"""),-1.58)</f>
        <v>-1.58</v>
      </c>
      <c r="M591" s="23">
        <f ca="1">IFERROR(__xludf.DUMMYFUNCTION("""COMPUTED_VALUE"""),-1.11)</f>
        <v>-1.1100000000000001</v>
      </c>
      <c r="N591" s="23">
        <f ca="1">IFERROR(__xludf.DUMMYFUNCTION("""COMPUTED_VALUE"""),-0.77)</f>
        <v>-0.77</v>
      </c>
      <c r="O591" s="23">
        <f ca="1">IFERROR(__xludf.DUMMYFUNCTION("""COMPUTED_VALUE"""),-0.76)</f>
        <v>-0.76</v>
      </c>
      <c r="P591" s="23">
        <f ca="1">IFERROR(__xludf.DUMMYFUNCTION("""COMPUTED_VALUE"""),-0.57)</f>
        <v>-0.56999999999999995</v>
      </c>
      <c r="Q591" s="24">
        <f ca="1">IFERROR(__xludf.DUMMYFUNCTION("""COMPUTED_VALUE"""),-0.36)</f>
        <v>-0.36</v>
      </c>
      <c r="R591" s="20"/>
    </row>
    <row r="592" spans="1:18" ht="13.2" hidden="1" outlineLevel="1" x14ac:dyDescent="0.25">
      <c r="A592" s="1"/>
      <c r="B592" s="21" t="str">
        <f ca="1">IFERROR(__xludf.DUMMYFUNCTION("""COMPUTED_VALUE"""),"Coque de petróleo")</f>
        <v>Coque de petróleo</v>
      </c>
      <c r="C592" s="22">
        <f ca="1">IFERROR(__xludf.DUMMYFUNCTION("""COMPUTED_VALUE"""),-8.18993)</f>
        <v>-8.1899300000000004</v>
      </c>
      <c r="D592" s="23">
        <f ca="1">IFERROR(__xludf.DUMMYFUNCTION("""COMPUTED_VALUE"""),-20.10399)</f>
        <v>-20.10399</v>
      </c>
      <c r="E592" s="23">
        <f ca="1">IFERROR(__xludf.DUMMYFUNCTION("""COMPUTED_VALUE"""),-19.43912)</f>
        <v>-19.439119999999999</v>
      </c>
      <c r="F592" s="23">
        <f ca="1">IFERROR(__xludf.DUMMYFUNCTION("""COMPUTED_VALUE"""),1.33809999999999)</f>
        <v>1.3380999999999901</v>
      </c>
      <c r="G592" s="23">
        <f ca="1">IFERROR(__xludf.DUMMYFUNCTION("""COMPUTED_VALUE"""),1.31641032036167)</f>
        <v>1.3164103203616699</v>
      </c>
      <c r="H592" s="23">
        <f ca="1">IFERROR(__xludf.DUMMYFUNCTION("""COMPUTED_VALUE"""),3.80051411665545)</f>
        <v>3.8005141166554499</v>
      </c>
      <c r="I592" s="23">
        <f ca="1">IFERROR(__xludf.DUMMYFUNCTION("""COMPUTED_VALUE"""),-10.259)</f>
        <v>-10.259</v>
      </c>
      <c r="J592" s="23">
        <f ca="1">IFERROR(__xludf.DUMMYFUNCTION("""COMPUTED_VALUE"""),-4.8278617784707)</f>
        <v>-4.8278617784706999</v>
      </c>
      <c r="K592" s="23">
        <f ca="1">IFERROR(__xludf.DUMMYFUNCTION("""COMPUTED_VALUE"""),-6.6426974122473)</f>
        <v>-6.6426974122473004</v>
      </c>
      <c r="L592" s="23">
        <f ca="1">IFERROR(__xludf.DUMMYFUNCTION("""COMPUTED_VALUE"""),-4.37040856869965)</f>
        <v>-4.3704085686996503</v>
      </c>
      <c r="M592" s="23">
        <f ca="1">IFERROR(__xludf.DUMMYFUNCTION("""COMPUTED_VALUE"""),-6.29265648491936)</f>
        <v>-6.2926564849193598</v>
      </c>
      <c r="N592" s="23">
        <f ca="1">IFERROR(__xludf.DUMMYFUNCTION("""COMPUTED_VALUE"""),-5.10200559363175)</f>
        <v>-5.1020055936317501</v>
      </c>
      <c r="O592" s="23">
        <f ca="1">IFERROR(__xludf.DUMMYFUNCTION("""COMPUTED_VALUE"""),-9.4078096942428)</f>
        <v>-9.4078096942428004</v>
      </c>
      <c r="P592" s="23">
        <f ca="1">IFERROR(__xludf.DUMMYFUNCTION("""COMPUTED_VALUE"""),-18.1573)</f>
        <v>-18.157299999999999</v>
      </c>
      <c r="Q592" s="24">
        <f ca="1">IFERROR(__xludf.DUMMYFUNCTION("""COMPUTED_VALUE"""),-5.64978936372693)</f>
        <v>-5.6497893637269296</v>
      </c>
      <c r="R592" s="20"/>
    </row>
    <row r="593" spans="1:18" ht="13.2" hidden="1" outlineLevel="1" x14ac:dyDescent="0.25">
      <c r="A593" s="1"/>
      <c r="B593" s="21" t="str">
        <f ca="1">IFERROR(__xludf.DUMMYFUNCTION("""COMPUTED_VALUE"""),"Gas licuado de petróleo")</f>
        <v>Gas licuado de petróleo</v>
      </c>
      <c r="C593" s="22">
        <f ca="1">IFERROR(__xludf.DUMMYFUNCTION("""COMPUTED_VALUE"""),1.9028)</f>
        <v>1.9028</v>
      </c>
      <c r="D593" s="23">
        <f ca="1">IFERROR(__xludf.DUMMYFUNCTION("""COMPUTED_VALUE"""),-4.40889999999999)</f>
        <v>-4.4088999999999903</v>
      </c>
      <c r="E593" s="23">
        <f ca="1">IFERROR(__xludf.DUMMYFUNCTION("""COMPUTED_VALUE"""),-5.1885)</f>
        <v>-5.1885000000000003</v>
      </c>
      <c r="F593" s="23">
        <f ca="1">IFERROR(__xludf.DUMMYFUNCTION("""COMPUTED_VALUE"""),-4.4178)</f>
        <v>-4.4177999999999997</v>
      </c>
      <c r="G593" s="23">
        <f ca="1">IFERROR(__xludf.DUMMYFUNCTION("""COMPUTED_VALUE"""),-6.14051455940556)</f>
        <v>-6.1405145594055597</v>
      </c>
      <c r="H593" s="23">
        <f ca="1">IFERROR(__xludf.DUMMYFUNCTION("""COMPUTED_VALUE"""),-7.87098312603297)</f>
        <v>-7.8709831260329697</v>
      </c>
      <c r="I593" s="23">
        <f ca="1">IFERROR(__xludf.DUMMYFUNCTION("""COMPUTED_VALUE"""),-2.48199999999999)</f>
        <v>-2.48199999999999</v>
      </c>
      <c r="J593" s="23">
        <f ca="1">IFERROR(__xludf.DUMMYFUNCTION("""COMPUTED_VALUE"""),-16.0867244645088)</f>
        <v>-16.086724464508801</v>
      </c>
      <c r="K593" s="23">
        <f ca="1">IFERROR(__xludf.DUMMYFUNCTION("""COMPUTED_VALUE"""),21.4995117089479)</f>
        <v>21.4995117089479</v>
      </c>
      <c r="L593" s="23">
        <f ca="1">IFERROR(__xludf.DUMMYFUNCTION("""COMPUTED_VALUE"""),4.25596095496139)</f>
        <v>4.2559609549613899</v>
      </c>
      <c r="M593" s="23">
        <f ca="1">IFERROR(__xludf.DUMMYFUNCTION("""COMPUTED_VALUE"""),-1.51076923518736)</f>
        <v>-1.5107692351873601</v>
      </c>
      <c r="N593" s="23">
        <f ca="1">IFERROR(__xludf.DUMMYFUNCTION("""COMPUTED_VALUE"""),-0.194098658738202)</f>
        <v>-0.19409865873820201</v>
      </c>
      <c r="O593" s="23">
        <f ca="1">IFERROR(__xludf.DUMMYFUNCTION("""COMPUTED_VALUE"""),8.58195033976249)</f>
        <v>8.5819503397624892</v>
      </c>
      <c r="P593" s="23">
        <f ca="1">IFERROR(__xludf.DUMMYFUNCTION("""COMPUTED_VALUE"""),11.1399999999999)</f>
        <v>11.139999999999899</v>
      </c>
      <c r="Q593" s="24">
        <f ca="1">IFERROR(__xludf.DUMMYFUNCTION("""COMPUTED_VALUE"""),13.1730885824833)</f>
        <v>13.173088582483301</v>
      </c>
      <c r="R593" s="20"/>
    </row>
    <row r="594" spans="1:18" ht="13.2" hidden="1" outlineLevel="1" x14ac:dyDescent="0.25">
      <c r="A594" s="1"/>
      <c r="B594" s="21" t="str">
        <f ca="1">IFERROR(__xludf.DUMMYFUNCTION("""COMPUTED_VALUE"""),"Gasolinas y naftas")</f>
        <v>Gasolinas y naftas</v>
      </c>
      <c r="C594" s="22">
        <f ca="1">IFERROR(__xludf.DUMMYFUNCTION("""COMPUTED_VALUE"""),2.0031)</f>
        <v>2.0030999999999999</v>
      </c>
      <c r="D594" s="23">
        <f ca="1">IFERROR(__xludf.DUMMYFUNCTION("""COMPUTED_VALUE"""),8.6736)</f>
        <v>8.6736000000000004</v>
      </c>
      <c r="E594" s="23">
        <f ca="1">IFERROR(__xludf.DUMMYFUNCTION("""COMPUTED_VALUE"""),-2.893)</f>
        <v>-2.8929999999999998</v>
      </c>
      <c r="F594" s="23">
        <f ca="1">IFERROR(__xludf.DUMMYFUNCTION("""COMPUTED_VALUE"""),-16.9565)</f>
        <v>-16.956499999999998</v>
      </c>
      <c r="G594" s="23">
        <f ca="1">IFERROR(__xludf.DUMMYFUNCTION("""COMPUTED_VALUE"""),-11.3944843488104)</f>
        <v>-11.3944843488104</v>
      </c>
      <c r="H594" s="23">
        <f ca="1">IFERROR(__xludf.DUMMYFUNCTION("""COMPUTED_VALUE"""),4.51528285105221)</f>
        <v>4.5152828510522101</v>
      </c>
      <c r="I594" s="23">
        <f ca="1">IFERROR(__xludf.DUMMYFUNCTION("""COMPUTED_VALUE"""),-0.283)</f>
        <v>-0.28299999999999997</v>
      </c>
      <c r="J594" s="23">
        <f ca="1">IFERROR(__xludf.DUMMYFUNCTION("""COMPUTED_VALUE"""),32.5415045748629)</f>
        <v>32.541504574862898</v>
      </c>
      <c r="K594" s="23">
        <f ca="1">IFERROR(__xludf.DUMMYFUNCTION("""COMPUTED_VALUE"""),46.7299845568827)</f>
        <v>46.729984556882698</v>
      </c>
      <c r="L594" s="23">
        <f ca="1">IFERROR(__xludf.DUMMYFUNCTION("""COMPUTED_VALUE"""),46.742823847187)</f>
        <v>46.742823847186997</v>
      </c>
      <c r="M594" s="23">
        <f ca="1">IFERROR(__xludf.DUMMYFUNCTION("""COMPUTED_VALUE"""),-17.1304085749786)</f>
        <v>-17.130408574978599</v>
      </c>
      <c r="N594" s="23">
        <f ca="1">IFERROR(__xludf.DUMMYFUNCTION("""COMPUTED_VALUE"""),-0.991896000813154)</f>
        <v>-0.99189600081315399</v>
      </c>
      <c r="O594" s="23">
        <f ca="1">IFERROR(__xludf.DUMMYFUNCTION("""COMPUTED_VALUE"""),31.9401494894885)</f>
        <v>31.940149489488501</v>
      </c>
      <c r="P594" s="23">
        <f ca="1">IFERROR(__xludf.DUMMYFUNCTION("""COMPUTED_VALUE"""),32.6875)</f>
        <v>32.6875</v>
      </c>
      <c r="Q594" s="24">
        <f ca="1">IFERROR(__xludf.DUMMYFUNCTION("""COMPUTED_VALUE"""),14.9396352966033)</f>
        <v>14.939635296603299</v>
      </c>
      <c r="R594" s="20"/>
    </row>
    <row r="595" spans="1:18" ht="13.2" hidden="1" outlineLevel="1" x14ac:dyDescent="0.25">
      <c r="A595" s="1"/>
      <c r="B595" s="21" t="str">
        <f ca="1">IFERROR(__xludf.DUMMYFUNCTION("""COMPUTED_VALUE"""),"Querosenos")</f>
        <v>Querosenos</v>
      </c>
      <c r="C595" s="22">
        <f ca="1">IFERROR(__xludf.DUMMYFUNCTION("""COMPUTED_VALUE"""),-0.3588)</f>
        <v>-0.35880000000000001</v>
      </c>
      <c r="D595" s="23">
        <f ca="1">IFERROR(__xludf.DUMMYFUNCTION("""COMPUTED_VALUE"""),-5.7284)</f>
        <v>-5.7283999999999997</v>
      </c>
      <c r="E595" s="23">
        <f ca="1">IFERROR(__xludf.DUMMYFUNCTION("""COMPUTED_VALUE"""),2.1514)</f>
        <v>2.1514000000000002</v>
      </c>
      <c r="F595" s="23">
        <f ca="1">IFERROR(__xludf.DUMMYFUNCTION("""COMPUTED_VALUE"""),-0.7174)</f>
        <v>-0.71740000000000004</v>
      </c>
      <c r="G595" s="23">
        <f ca="1">IFERROR(__xludf.DUMMYFUNCTION("""COMPUTED_VALUE"""),-2.7412576770383)</f>
        <v>-2.7412576770383001</v>
      </c>
      <c r="H595" s="23">
        <f ca="1">IFERROR(__xludf.DUMMYFUNCTION("""COMPUTED_VALUE"""),-3.45670265973108)</f>
        <v>-3.4567026597310799</v>
      </c>
      <c r="I595" s="23">
        <f ca="1">IFERROR(__xludf.DUMMYFUNCTION("""COMPUTED_VALUE"""),-0.12)</f>
        <v>-0.12</v>
      </c>
      <c r="J595" s="23">
        <f ca="1">IFERROR(__xludf.DUMMYFUNCTION("""COMPUTED_VALUE"""),4.71187325081298)</f>
        <v>4.7118732508129799</v>
      </c>
      <c r="K595" s="23">
        <f ca="1">IFERROR(__xludf.DUMMYFUNCTION("""COMPUTED_VALUE"""),13.6861092016396)</f>
        <v>13.686109201639599</v>
      </c>
      <c r="L595" s="23">
        <f ca="1">IFERROR(__xludf.DUMMYFUNCTION("""COMPUTED_VALUE"""),16.7851312149104)</f>
        <v>16.7851312149104</v>
      </c>
      <c r="M595" s="23">
        <f ca="1">IFERROR(__xludf.DUMMYFUNCTION("""COMPUTED_VALUE"""),2.06764247707883)</f>
        <v>2.06764247707883</v>
      </c>
      <c r="N595" s="23">
        <f ca="1">IFERROR(__xludf.DUMMYFUNCTION("""COMPUTED_VALUE"""),0.253378845280735)</f>
        <v>0.25337884528073501</v>
      </c>
      <c r="O595" s="23">
        <f ca="1">IFERROR(__xludf.DUMMYFUNCTION("""COMPUTED_VALUE"""),0.814048274131661)</f>
        <v>0.81404827413166103</v>
      </c>
      <c r="P595" s="23">
        <f ca="1">IFERROR(__xludf.DUMMYFUNCTION("""COMPUTED_VALUE"""),2.92)</f>
        <v>2.92</v>
      </c>
      <c r="Q595" s="24">
        <f ca="1">IFERROR(__xludf.DUMMYFUNCTION("""COMPUTED_VALUE"""),-0.0394578681705866)</f>
        <v>-3.9457868170586601E-2</v>
      </c>
      <c r="R595" s="20"/>
    </row>
    <row r="596" spans="1:18" ht="13.2" hidden="1" outlineLevel="1" x14ac:dyDescent="0.25">
      <c r="A596" s="1" t="str">
        <f ca="1">IFERROR(__xludf.DUMMYFUNCTION("""COMPUTED_VALUE"""),"X")</f>
        <v>X</v>
      </c>
      <c r="B596" s="21" t="str">
        <f ca="1">IFERROR(__xludf.DUMMYFUNCTION("""COMPUTED_VALUE"""),"Diesel")</f>
        <v>Diesel</v>
      </c>
      <c r="C596" s="22">
        <f ca="1">IFERROR(__xludf.DUMMYFUNCTION("""COMPUTED_VALUE"""),-69.5011)</f>
        <v>-69.501099999999994</v>
      </c>
      <c r="D596" s="23">
        <f ca="1">IFERROR(__xludf.DUMMYFUNCTION("""COMPUTED_VALUE"""),-53.5017999999999)</f>
        <v>-53.501799999999903</v>
      </c>
      <c r="E596" s="23">
        <f ca="1">IFERROR(__xludf.DUMMYFUNCTION("""COMPUTED_VALUE"""),-29.0377)</f>
        <v>-29.037700000000001</v>
      </c>
      <c r="F596" s="23">
        <f ca="1">IFERROR(__xludf.DUMMYFUNCTION("""COMPUTED_VALUE"""),-42.1507)</f>
        <v>-42.150700000000001</v>
      </c>
      <c r="G596" s="23">
        <f ca="1">IFERROR(__xludf.DUMMYFUNCTION("""COMPUTED_VALUE"""),-69.9235172886552)</f>
        <v>-69.923517288655205</v>
      </c>
      <c r="H596" s="23">
        <f ca="1">IFERROR(__xludf.DUMMYFUNCTION("""COMPUTED_VALUE"""),-78.6868588475535)</f>
        <v>-78.686858847553495</v>
      </c>
      <c r="I596" s="23">
        <f ca="1">IFERROR(__xludf.DUMMYFUNCTION("""COMPUTED_VALUE"""),-65.231)</f>
        <v>-65.230999999999995</v>
      </c>
      <c r="J596" s="23">
        <f ca="1">IFERROR(__xludf.DUMMYFUNCTION("""COMPUTED_VALUE"""),-49.4326194696385)</f>
        <v>-49.432619469638503</v>
      </c>
      <c r="K596" s="23">
        <f ca="1">IFERROR(__xludf.DUMMYFUNCTION("""COMPUTED_VALUE"""),-17.207770763233)</f>
        <v>-17.207770763233</v>
      </c>
      <c r="L596" s="23">
        <f ca="1">IFERROR(__xludf.DUMMYFUNCTION("""COMPUTED_VALUE"""),-9.08612631054533)</f>
        <v>-9.08612631054533</v>
      </c>
      <c r="M596" s="23">
        <f ca="1">IFERROR(__xludf.DUMMYFUNCTION("""COMPUTED_VALUE"""),-80.2629400995163)</f>
        <v>-80.2629400995163</v>
      </c>
      <c r="N596" s="23">
        <f ca="1">IFERROR(__xludf.DUMMYFUNCTION("""COMPUTED_VALUE"""),-53.4865929880211)</f>
        <v>-53.486592988021101</v>
      </c>
      <c r="O596" s="23">
        <f ca="1">IFERROR(__xludf.DUMMYFUNCTION("""COMPUTED_VALUE"""),-14.3368303923531)</f>
        <v>-14.3368303923531</v>
      </c>
      <c r="P596" s="23">
        <f ca="1">IFERROR(__xludf.DUMMYFUNCTION("""COMPUTED_VALUE"""),3.14499999999999)</f>
        <v>3.1449999999999898</v>
      </c>
      <c r="Q596" s="24">
        <f ca="1">IFERROR(__xludf.DUMMYFUNCTION("""COMPUTED_VALUE"""),-46.5003670622713)</f>
        <v>-46.500367062271302</v>
      </c>
      <c r="R596" s="20"/>
    </row>
    <row r="597" spans="1:18" ht="13.2" hidden="1" outlineLevel="1" x14ac:dyDescent="0.25">
      <c r="A597" s="1"/>
      <c r="B597" s="21" t="str">
        <f ca="1">IFERROR(__xludf.DUMMYFUNCTION("""COMPUTED_VALUE"""),"Combustóleo")</f>
        <v>Combustóleo</v>
      </c>
      <c r="C597" s="22">
        <f ca="1">IFERROR(__xludf.DUMMYFUNCTION("""COMPUTED_VALUE"""),-64.8892)</f>
        <v>-64.889200000000002</v>
      </c>
      <c r="D597" s="23">
        <f ca="1">IFERROR(__xludf.DUMMYFUNCTION("""COMPUTED_VALUE"""),-92.9513999999999)</f>
        <v>-92.951399999999893</v>
      </c>
      <c r="E597" s="23">
        <f ca="1">IFERROR(__xludf.DUMMYFUNCTION("""COMPUTED_VALUE"""),-73.4989)</f>
        <v>-73.498900000000006</v>
      </c>
      <c r="F597" s="23">
        <f ca="1">IFERROR(__xludf.DUMMYFUNCTION("""COMPUTED_VALUE"""),-32.6634)</f>
        <v>-32.663400000000003</v>
      </c>
      <c r="G597" s="23">
        <f ca="1">IFERROR(__xludf.DUMMYFUNCTION("""COMPUTED_VALUE"""),-63.70417578061)</f>
        <v>-63.704175780610001</v>
      </c>
      <c r="H597" s="23">
        <f ca="1">IFERROR(__xludf.DUMMYFUNCTION("""COMPUTED_VALUE"""),-63.7380190941053)</f>
        <v>-63.738019094105297</v>
      </c>
      <c r="I597" s="23">
        <f ca="1">IFERROR(__xludf.DUMMYFUNCTION("""COMPUTED_VALUE"""),-51.234)</f>
        <v>-51.234000000000002</v>
      </c>
      <c r="J597" s="23">
        <f ca="1">IFERROR(__xludf.DUMMYFUNCTION("""COMPUTED_VALUE"""),-32.1631838073177)</f>
        <v>-32.163183807317701</v>
      </c>
      <c r="K597" s="23">
        <f ca="1">IFERROR(__xludf.DUMMYFUNCTION("""COMPUTED_VALUE"""),-55.9075293956837)</f>
        <v>-55.907529395683703</v>
      </c>
      <c r="L597" s="23">
        <f ca="1">IFERROR(__xludf.DUMMYFUNCTION("""COMPUTED_VALUE"""),-18.1376964170545)</f>
        <v>-18.137696417054499</v>
      </c>
      <c r="M597" s="23">
        <f ca="1">IFERROR(__xludf.DUMMYFUNCTION("""COMPUTED_VALUE"""),-3.93064762749109)</f>
        <v>-3.9306476274910902</v>
      </c>
      <c r="N597" s="23">
        <f ca="1">IFERROR(__xludf.DUMMYFUNCTION("""COMPUTED_VALUE"""),-30.8303354312962)</f>
        <v>-30.830335431296199</v>
      </c>
      <c r="O597" s="23">
        <f ca="1">IFERROR(__xludf.DUMMYFUNCTION("""COMPUTED_VALUE"""),-27.1082317019591)</f>
        <v>-27.108231701959099</v>
      </c>
      <c r="P597" s="23">
        <f ca="1">IFERROR(__xludf.DUMMYFUNCTION("""COMPUTED_VALUE"""),-37.04)</f>
        <v>-37.04</v>
      </c>
      <c r="Q597" s="24">
        <f ca="1">IFERROR(__xludf.DUMMYFUNCTION("""COMPUTED_VALUE"""),-40.0349344288134)</f>
        <v>-40.034934428813401</v>
      </c>
      <c r="R597" s="20"/>
    </row>
    <row r="598" spans="1:18" ht="13.2" hidden="1" outlineLevel="1" x14ac:dyDescent="0.25">
      <c r="A598" s="1"/>
      <c r="B598" s="21" t="str">
        <f ca="1">IFERROR(__xludf.DUMMYFUNCTION("""COMPUTED_VALUE"""),"Otros energéticos")</f>
        <v>Otros energéticos</v>
      </c>
      <c r="C598" s="22">
        <f ca="1">IFERROR(__xludf.DUMMYFUNCTION("""COMPUTED_VALUE"""),-2.5205)</f>
        <v>-2.5205000000000002</v>
      </c>
      <c r="D598" s="23">
        <f ca="1">IFERROR(__xludf.DUMMYFUNCTION("""COMPUTED_VALUE"""),-4.9221)</f>
        <v>-4.9221000000000004</v>
      </c>
      <c r="E598" s="23">
        <f ca="1">IFERROR(__xludf.DUMMYFUNCTION("""COMPUTED_VALUE"""),-7.1991)</f>
        <v>-7.1990999999999996</v>
      </c>
      <c r="F598" s="23">
        <f ca="1">IFERROR(__xludf.DUMMYFUNCTION("""COMPUTED_VALUE"""),-8.3367)</f>
        <v>-8.3367000000000004</v>
      </c>
      <c r="G598" s="23">
        <f ca="1">IFERROR(__xludf.DUMMYFUNCTION("""COMPUTED_VALUE"""),-5.78954420814154)</f>
        <v>-5.7895442081415398</v>
      </c>
      <c r="H598" s="23">
        <f ca="1">IFERROR(__xludf.DUMMYFUNCTION("""COMPUTED_VALUE"""),-4.70811204399947)</f>
        <v>-4.7081120439994697</v>
      </c>
      <c r="I598" s="23">
        <f ca="1">IFERROR(__xludf.DUMMYFUNCTION("""COMPUTED_VALUE"""),-42.701)</f>
        <v>-42.701000000000001</v>
      </c>
      <c r="J598" s="23">
        <f ca="1">IFERROR(__xludf.DUMMYFUNCTION("""COMPUTED_VALUE"""),-106.843687984332)</f>
        <v>-106.84368798433201</v>
      </c>
      <c r="K598" s="23">
        <f ca="1">IFERROR(__xludf.DUMMYFUNCTION("""COMPUTED_VALUE"""),-91.2768765799197)</f>
        <v>-91.276876579919701</v>
      </c>
      <c r="L598" s="23">
        <f ca="1">IFERROR(__xludf.DUMMYFUNCTION("""COMPUTED_VALUE"""),-70.282095712602)</f>
        <v>-70.282095712602001</v>
      </c>
      <c r="M598" s="23">
        <f ca="1">IFERROR(__xludf.DUMMYFUNCTION("""COMPUTED_VALUE"""),-57.0891101967859)</f>
        <v>-57.089110196785903</v>
      </c>
      <c r="N598" s="23">
        <f ca="1">IFERROR(__xludf.DUMMYFUNCTION("""COMPUTED_VALUE"""),-26.3064985527964)</f>
        <v>-26.306498552796398</v>
      </c>
      <c r="O598" s="23">
        <f ca="1">IFERROR(__xludf.DUMMYFUNCTION("""COMPUTED_VALUE"""),-9.92962854188436)</f>
        <v>-9.9296285418843606</v>
      </c>
      <c r="P598" s="23">
        <f ca="1">IFERROR(__xludf.DUMMYFUNCTION("""COMPUTED_VALUE"""),6.77999999999999)</f>
        <v>6.7799999999999896</v>
      </c>
      <c r="Q598" s="24">
        <f ca="1">IFERROR(__xludf.DUMMYFUNCTION("""COMPUTED_VALUE"""),7.10252104513239)</f>
        <v>7.1025210451323897</v>
      </c>
      <c r="R598" s="20"/>
    </row>
    <row r="599" spans="1:18" ht="13.2" hidden="1" outlineLevel="1" x14ac:dyDescent="0.25">
      <c r="A599" s="1"/>
      <c r="B599" s="21" t="str">
        <f ca="1">IFERROR(__xludf.DUMMYFUNCTION("""COMPUTED_VALUE"""),"Gas natural seco")</f>
        <v>Gas natural seco</v>
      </c>
      <c r="C599" s="22">
        <f ca="1">IFERROR(__xludf.DUMMYFUNCTION("""COMPUTED_VALUE"""),-727.3278)</f>
        <v>-727.32780000000002</v>
      </c>
      <c r="D599" s="23">
        <f ca="1">IFERROR(__xludf.DUMMYFUNCTION("""COMPUTED_VALUE"""),-946.1132)</f>
        <v>-946.11320000000001</v>
      </c>
      <c r="E599" s="23">
        <f ca="1">IFERROR(__xludf.DUMMYFUNCTION("""COMPUTED_VALUE"""),-815.3139)</f>
        <v>-815.31389999999999</v>
      </c>
      <c r="F599" s="23">
        <f ca="1">IFERROR(__xludf.DUMMYFUNCTION("""COMPUTED_VALUE"""),-952.941399999999)</f>
        <v>-952.94139999999902</v>
      </c>
      <c r="G599" s="23">
        <f ca="1">IFERROR(__xludf.DUMMYFUNCTION("""COMPUTED_VALUE"""),-838.472431163699)</f>
        <v>-838.47243116369896</v>
      </c>
      <c r="H599" s="23">
        <f ca="1">IFERROR(__xludf.DUMMYFUNCTION("""COMPUTED_VALUE"""),-846.327902467413)</f>
        <v>-846.32790246741297</v>
      </c>
      <c r="I599" s="23">
        <f ca="1">IFERROR(__xludf.DUMMYFUNCTION("""COMPUTED_VALUE"""),-947.314)</f>
        <v>-947.31399999999996</v>
      </c>
      <c r="J599" s="23">
        <f ca="1">IFERROR(__xludf.DUMMYFUNCTION("""COMPUTED_VALUE"""),-798.135130886882)</f>
        <v>-798.13513088688205</v>
      </c>
      <c r="K599" s="23">
        <f ca="1">IFERROR(__xludf.DUMMYFUNCTION("""COMPUTED_VALUE"""),-643.921221787733)</f>
        <v>-643.92122178773297</v>
      </c>
      <c r="L599" s="23">
        <f ca="1">IFERROR(__xludf.DUMMYFUNCTION("""COMPUTED_VALUE"""),-719.006073065886)</f>
        <v>-719.00607306588597</v>
      </c>
      <c r="M599" s="23">
        <f ca="1">IFERROR(__xludf.DUMMYFUNCTION("""COMPUTED_VALUE"""),-677.535502628874)</f>
        <v>-677.53550262887404</v>
      </c>
      <c r="N599" s="23">
        <f ca="1">IFERROR(__xludf.DUMMYFUNCTION("""COMPUTED_VALUE"""),-697.678716724886)</f>
        <v>-697.67871672488604</v>
      </c>
      <c r="O599" s="23">
        <f ca="1">IFERROR(__xludf.DUMMYFUNCTION("""COMPUTED_VALUE"""),-764.998227294458)</f>
        <v>-764.99822729445805</v>
      </c>
      <c r="P599" s="23">
        <f ca="1">IFERROR(__xludf.DUMMYFUNCTION("""COMPUTED_VALUE"""),-652.837)</f>
        <v>-652.83699999999999</v>
      </c>
      <c r="Q599" s="24">
        <f ca="1">IFERROR(__xludf.DUMMYFUNCTION("""COMPUTED_VALUE"""),-630.830336831783)</f>
        <v>-630.83033683178303</v>
      </c>
      <c r="R599" s="20"/>
    </row>
    <row r="600" spans="1:18" ht="13.2" hidden="1" outlineLevel="1" x14ac:dyDescent="0.25">
      <c r="A600" s="1"/>
      <c r="B600" s="25" t="str">
        <f ca="1">IFERROR(__xludf.DUMMYFUNCTION("""COMPUTED_VALUE"""),"Energía eléctrica")</f>
        <v>Energía eléctrica</v>
      </c>
      <c r="C600" s="26">
        <f ca="1">IFERROR(__xludf.DUMMYFUNCTION("""COMPUTED_VALUE"""),-205.223786924558)</f>
        <v>-205.223786924558</v>
      </c>
      <c r="D600" s="27">
        <f ca="1">IFERROR(__xludf.DUMMYFUNCTION("""COMPUTED_VALUE"""),-221.409466905262)</f>
        <v>-221.40946690526201</v>
      </c>
      <c r="E600" s="27">
        <f ca="1">IFERROR(__xludf.DUMMYFUNCTION("""COMPUTED_VALUE"""),-209.00956174567)</f>
        <v>-209.00956174567</v>
      </c>
      <c r="F600" s="27">
        <f ca="1">IFERROR(__xludf.DUMMYFUNCTION("""COMPUTED_VALUE"""),-212.495096052858)</f>
        <v>-212.495096052858</v>
      </c>
      <c r="G600" s="27">
        <f ca="1">IFERROR(__xludf.DUMMYFUNCTION("""COMPUTED_VALUE"""),-204.266693593905)</f>
        <v>-204.26669359390499</v>
      </c>
      <c r="H600" s="27">
        <f ca="1">IFERROR(__xludf.DUMMYFUNCTION("""COMPUTED_VALUE"""),-225.893082839643)</f>
        <v>-225.893082839643</v>
      </c>
      <c r="I600" s="27">
        <f ca="1">IFERROR(__xludf.DUMMYFUNCTION("""COMPUTED_VALUE"""),-227.592841082192)</f>
        <v>-227.592841082192</v>
      </c>
      <c r="J600" s="27">
        <f ca="1">IFERROR(__xludf.DUMMYFUNCTION("""COMPUTED_VALUE"""),-207.722437921122)</f>
        <v>-207.72243792112201</v>
      </c>
      <c r="K600" s="27">
        <f ca="1">IFERROR(__xludf.DUMMYFUNCTION("""COMPUTED_VALUE"""),-205.983920103787)</f>
        <v>-205.983920103787</v>
      </c>
      <c r="L600" s="27">
        <f ca="1">IFERROR(__xludf.DUMMYFUNCTION("""COMPUTED_VALUE"""),-204.103975484604)</f>
        <v>-204.10397548460401</v>
      </c>
      <c r="M600" s="27">
        <f ca="1">IFERROR(__xludf.DUMMYFUNCTION("""COMPUTED_VALUE"""),-219.347212346143)</f>
        <v>-219.34721234614301</v>
      </c>
      <c r="N600" s="27">
        <f ca="1">IFERROR(__xludf.DUMMYFUNCTION("""COMPUTED_VALUE"""),-205.170355863995)</f>
        <v>-205.17035586399501</v>
      </c>
      <c r="O600" s="27">
        <f ca="1">IFERROR(__xludf.DUMMYFUNCTION("""COMPUTED_VALUE"""),-204.690222994447)</f>
        <v>-204.690222994447</v>
      </c>
      <c r="P600" s="27">
        <f ca="1">IFERROR(__xludf.DUMMYFUNCTION("""COMPUTED_VALUE"""),-233.0389686289)</f>
        <v>-233.03896862889999</v>
      </c>
      <c r="Q600" s="28">
        <f ca="1">IFERROR(__xludf.DUMMYFUNCTION("""COMPUTED_VALUE"""),-224.08127754908)</f>
        <v>-224.08127754908</v>
      </c>
      <c r="R600" s="20"/>
    </row>
    <row r="601" spans="1:18" ht="13.2" hidden="1" outlineLevel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0"/>
    </row>
    <row r="602" spans="1:18" ht="13.2" collapsed="1" x14ac:dyDescent="0.25">
      <c r="A602" s="29"/>
      <c r="B602" s="5" t="str">
        <f ca="1">IFERROR(__xludf.DUMMYFUNCTION("""COMPUTED_VALUE"""),"CPS(e,a)")</f>
        <v>CPS(e,a)</v>
      </c>
      <c r="C602" s="6" t="str">
        <f ca="1">IFERROR(__xludf.DUMMYFUNCTION("""COMPUTED_VALUE"""),"-/")</f>
        <v>-/</v>
      </c>
      <c r="D602" s="7" t="str">
        <f ca="1">IFERROR(__xludf.DUMMYFUNCTION("""COMPUTED_VALUE"""),"Consumo propio del sector por energético e y año a.")</f>
        <v>Consumo propio del sector por energético e y año a.</v>
      </c>
      <c r="E602" s="6" t="str">
        <f ca="1">IFERROR(__xludf.DUMMYFUNCTION("""COMPUTED_VALUE"""),"cbne")</f>
        <v>cbne</v>
      </c>
      <c r="F602" s="6" t="str">
        <f ca="1">IFERROR(__xludf.DUMMYFUNCTION("""COMPUTED_VALUE"""),"a")</f>
        <v>a</v>
      </c>
      <c r="G602" s="8" t="str">
        <f ca="1">IFERROR(__xludf.DUMMYFUNCTION("""COMPUTED_VALUE"""),"PJ")</f>
        <v>PJ</v>
      </c>
      <c r="H602" s="9"/>
      <c r="I602" s="1"/>
      <c r="J602" s="1"/>
      <c r="K602" s="1"/>
      <c r="L602" s="1"/>
      <c r="M602" s="1"/>
      <c r="N602" s="1"/>
      <c r="O602" s="1"/>
      <c r="P602" s="1"/>
      <c r="Q602" s="1"/>
      <c r="R602" s="10"/>
    </row>
    <row r="603" spans="1:18" ht="13.2" hidden="1" outlineLevel="1" x14ac:dyDescent="0.25">
      <c r="A603" s="1"/>
      <c r="B603" s="11"/>
      <c r="C603" s="12">
        <f ca="1">IFERROR(__xludf.DUMMYFUNCTION("""COMPUTED_VALUE"""),2010)</f>
        <v>2010</v>
      </c>
      <c r="D603" s="13">
        <f ca="1">IFERROR(__xludf.DUMMYFUNCTION("""COMPUTED_VALUE"""),2011)</f>
        <v>2011</v>
      </c>
      <c r="E603" s="13">
        <f ca="1">IFERROR(__xludf.DUMMYFUNCTION("""COMPUTED_VALUE"""),2012)</f>
        <v>2012</v>
      </c>
      <c r="F603" s="13">
        <f ca="1">IFERROR(__xludf.DUMMYFUNCTION("""COMPUTED_VALUE"""),2013)</f>
        <v>2013</v>
      </c>
      <c r="G603" s="13">
        <f ca="1">IFERROR(__xludf.DUMMYFUNCTION("""COMPUTED_VALUE"""),2014)</f>
        <v>2014</v>
      </c>
      <c r="H603" s="13">
        <f ca="1">IFERROR(__xludf.DUMMYFUNCTION("""COMPUTED_VALUE"""),2015)</f>
        <v>2015</v>
      </c>
      <c r="I603" s="13">
        <f ca="1">IFERROR(__xludf.DUMMYFUNCTION("""COMPUTED_VALUE"""),2016)</f>
        <v>2016</v>
      </c>
      <c r="J603" s="13">
        <f ca="1">IFERROR(__xludf.DUMMYFUNCTION("""COMPUTED_VALUE"""),2017)</f>
        <v>2017</v>
      </c>
      <c r="K603" s="13">
        <f ca="1">IFERROR(__xludf.DUMMYFUNCTION("""COMPUTED_VALUE"""),2018)</f>
        <v>2018</v>
      </c>
      <c r="L603" s="13">
        <f ca="1">IFERROR(__xludf.DUMMYFUNCTION("""COMPUTED_VALUE"""),2019)</f>
        <v>2019</v>
      </c>
      <c r="M603" s="13">
        <f ca="1">IFERROR(__xludf.DUMMYFUNCTION("""COMPUTED_VALUE"""),2020)</f>
        <v>2020</v>
      </c>
      <c r="N603" s="13">
        <f ca="1">IFERROR(__xludf.DUMMYFUNCTION("""COMPUTED_VALUE"""),2021)</f>
        <v>2021</v>
      </c>
      <c r="O603" s="13">
        <f ca="1">IFERROR(__xludf.DUMMYFUNCTION("""COMPUTED_VALUE"""),2022)</f>
        <v>2022</v>
      </c>
      <c r="P603" s="13">
        <f ca="1">IFERROR(__xludf.DUMMYFUNCTION("""COMPUTED_VALUE"""),2023)</f>
        <v>2023</v>
      </c>
      <c r="Q603" s="14">
        <f ca="1">IFERROR(__xludf.DUMMYFUNCTION("""COMPUTED_VALUE"""),2024)</f>
        <v>2024</v>
      </c>
      <c r="R603" s="15"/>
    </row>
    <row r="604" spans="1:18" ht="13.2" hidden="1" outlineLevel="1" x14ac:dyDescent="0.25">
      <c r="A604" s="1"/>
      <c r="B604" s="16" t="str">
        <f ca="1">IFERROR(__xludf.DUMMYFUNCTION("""COMPUTED_VALUE"""),"Carbón mineral")</f>
        <v>Carbón mineral</v>
      </c>
      <c r="C604" s="17">
        <f ca="1">IFERROR(__xludf.DUMMYFUNCTION("""COMPUTED_VALUE"""),0)</f>
        <v>0</v>
      </c>
      <c r="D604" s="18">
        <f ca="1">IFERROR(__xludf.DUMMYFUNCTION("""COMPUTED_VALUE"""),0)</f>
        <v>0</v>
      </c>
      <c r="E604" s="18">
        <f ca="1">IFERROR(__xludf.DUMMYFUNCTION("""COMPUTED_VALUE"""),0)</f>
        <v>0</v>
      </c>
      <c r="F604" s="18">
        <f ca="1">IFERROR(__xludf.DUMMYFUNCTION("""COMPUTED_VALUE"""),0)</f>
        <v>0</v>
      </c>
      <c r="G604" s="18">
        <f ca="1">IFERROR(__xludf.DUMMYFUNCTION("""COMPUTED_VALUE"""),0)</f>
        <v>0</v>
      </c>
      <c r="H604" s="18">
        <f ca="1">IFERROR(__xludf.DUMMYFUNCTION("""COMPUTED_VALUE"""),0)</f>
        <v>0</v>
      </c>
      <c r="I604" s="18">
        <f ca="1">IFERROR(__xludf.DUMMYFUNCTION("""COMPUTED_VALUE"""),0)</f>
        <v>0</v>
      </c>
      <c r="J604" s="18">
        <f ca="1">IFERROR(__xludf.DUMMYFUNCTION("""COMPUTED_VALUE"""),0)</f>
        <v>0</v>
      </c>
      <c r="K604" s="18">
        <f ca="1">IFERROR(__xludf.DUMMYFUNCTION("""COMPUTED_VALUE"""),0)</f>
        <v>0</v>
      </c>
      <c r="L604" s="18">
        <f ca="1">IFERROR(__xludf.DUMMYFUNCTION("""COMPUTED_VALUE"""),0)</f>
        <v>0</v>
      </c>
      <c r="M604" s="18">
        <f ca="1">IFERROR(__xludf.DUMMYFUNCTION("""COMPUTED_VALUE"""),0)</f>
        <v>0</v>
      </c>
      <c r="N604" s="18">
        <f ca="1">IFERROR(__xludf.DUMMYFUNCTION("""COMPUTED_VALUE"""),0)</f>
        <v>0</v>
      </c>
      <c r="O604" s="18">
        <f ca="1">IFERROR(__xludf.DUMMYFUNCTION("""COMPUTED_VALUE"""),0)</f>
        <v>0</v>
      </c>
      <c r="P604" s="18">
        <f ca="1">IFERROR(__xludf.DUMMYFUNCTION("""COMPUTED_VALUE"""),0)</f>
        <v>0</v>
      </c>
      <c r="Q604" s="19">
        <f ca="1">IFERROR(__xludf.DUMMYFUNCTION("""COMPUTED_VALUE"""),0)</f>
        <v>0</v>
      </c>
      <c r="R604" s="20"/>
    </row>
    <row r="605" spans="1:18" ht="13.2" hidden="1" outlineLevel="1" x14ac:dyDescent="0.25">
      <c r="A605" s="1"/>
      <c r="B605" s="21" t="str">
        <f ca="1">IFERROR(__xludf.DUMMYFUNCTION("""COMPUTED_VALUE"""),"Petróleo crudo")</f>
        <v>Petróleo crudo</v>
      </c>
      <c r="C605" s="22">
        <f ca="1">IFERROR(__xludf.DUMMYFUNCTION("""COMPUTED_VALUE"""),-32.02)</f>
        <v>-32.020000000000003</v>
      </c>
      <c r="D605" s="23">
        <f ca="1">IFERROR(__xludf.DUMMYFUNCTION("""COMPUTED_VALUE"""),-52.58)</f>
        <v>-52.58</v>
      </c>
      <c r="E605" s="23">
        <f ca="1">IFERROR(__xludf.DUMMYFUNCTION("""COMPUTED_VALUE"""),-13.082)</f>
        <v>-13.082000000000001</v>
      </c>
      <c r="F605" s="23">
        <f ca="1">IFERROR(__xludf.DUMMYFUNCTION("""COMPUTED_VALUE"""),-20.457)</f>
        <v>-20.457000000000001</v>
      </c>
      <c r="G605" s="23">
        <f ca="1">IFERROR(__xludf.DUMMYFUNCTION("""COMPUTED_VALUE"""),-21.42)</f>
        <v>-21.42</v>
      </c>
      <c r="H605" s="23">
        <f ca="1">IFERROR(__xludf.DUMMYFUNCTION("""COMPUTED_VALUE"""),-14.43)</f>
        <v>-14.43</v>
      </c>
      <c r="I605" s="23">
        <f ca="1">IFERROR(__xludf.DUMMYFUNCTION("""COMPUTED_VALUE"""),-24.67)</f>
        <v>-24.67</v>
      </c>
      <c r="J605" s="23">
        <f ca="1">IFERROR(__xludf.DUMMYFUNCTION("""COMPUTED_VALUE"""),-16.69)</f>
        <v>-16.690000000000001</v>
      </c>
      <c r="K605" s="23">
        <f ca="1">IFERROR(__xludf.DUMMYFUNCTION("""COMPUTED_VALUE"""),-24.404)</f>
        <v>-24.404</v>
      </c>
      <c r="L605" s="23">
        <f ca="1">IFERROR(__xludf.DUMMYFUNCTION("""COMPUTED_VALUE"""),-23.492)</f>
        <v>-23.492000000000001</v>
      </c>
      <c r="M605" s="23">
        <f ca="1">IFERROR(__xludf.DUMMYFUNCTION("""COMPUTED_VALUE"""),-18.6108)</f>
        <v>-18.610800000000001</v>
      </c>
      <c r="N605" s="23">
        <f ca="1">IFERROR(__xludf.DUMMYFUNCTION("""COMPUTED_VALUE"""),-23.369)</f>
        <v>-23.369</v>
      </c>
      <c r="O605" s="23">
        <f ca="1">IFERROR(__xludf.DUMMYFUNCTION("""COMPUTED_VALUE"""),-21.167)</f>
        <v>-21.167000000000002</v>
      </c>
      <c r="P605" s="23">
        <f ca="1">IFERROR(__xludf.DUMMYFUNCTION("""COMPUTED_VALUE"""),-13.8526)</f>
        <v>-13.852600000000001</v>
      </c>
      <c r="Q605" s="24">
        <f ca="1">IFERROR(__xludf.DUMMYFUNCTION("""COMPUTED_VALUE"""),-12.39841)</f>
        <v>-12.39841</v>
      </c>
      <c r="R605" s="20"/>
    </row>
    <row r="606" spans="1:18" ht="13.2" hidden="1" outlineLevel="1" x14ac:dyDescent="0.25">
      <c r="A606" s="1"/>
      <c r="B606" s="21" t="str">
        <f ca="1">IFERROR(__xludf.DUMMYFUNCTION("""COMPUTED_VALUE"""),"Condensados")</f>
        <v>Condensados</v>
      </c>
      <c r="C606" s="22">
        <f ca="1">IFERROR(__xludf.DUMMYFUNCTION("""COMPUTED_VALUE"""),0)</f>
        <v>0</v>
      </c>
      <c r="D606" s="23">
        <f ca="1">IFERROR(__xludf.DUMMYFUNCTION("""COMPUTED_VALUE"""),0)</f>
        <v>0</v>
      </c>
      <c r="E606" s="23">
        <f ca="1">IFERROR(__xludf.DUMMYFUNCTION("""COMPUTED_VALUE"""),0)</f>
        <v>0</v>
      </c>
      <c r="F606" s="23">
        <f ca="1">IFERROR(__xludf.DUMMYFUNCTION("""COMPUTED_VALUE"""),0)</f>
        <v>0</v>
      </c>
      <c r="G606" s="23">
        <f ca="1">IFERROR(__xludf.DUMMYFUNCTION("""COMPUTED_VALUE"""),0)</f>
        <v>0</v>
      </c>
      <c r="H606" s="23">
        <f ca="1">IFERROR(__xludf.DUMMYFUNCTION("""COMPUTED_VALUE"""),0)</f>
        <v>0</v>
      </c>
      <c r="I606" s="23">
        <f ca="1">IFERROR(__xludf.DUMMYFUNCTION("""COMPUTED_VALUE"""),0)</f>
        <v>0</v>
      </c>
      <c r="J606" s="23">
        <f ca="1">IFERROR(__xludf.DUMMYFUNCTION("""COMPUTED_VALUE"""),0)</f>
        <v>0</v>
      </c>
      <c r="K606" s="23">
        <f ca="1">IFERROR(__xludf.DUMMYFUNCTION("""COMPUTED_VALUE"""),0)</f>
        <v>0</v>
      </c>
      <c r="L606" s="23">
        <f ca="1">IFERROR(__xludf.DUMMYFUNCTION("""COMPUTED_VALUE"""),0)</f>
        <v>0</v>
      </c>
      <c r="M606" s="23">
        <f ca="1">IFERROR(__xludf.DUMMYFUNCTION("""COMPUTED_VALUE"""),0)</f>
        <v>0</v>
      </c>
      <c r="N606" s="23">
        <f ca="1">IFERROR(__xludf.DUMMYFUNCTION("""COMPUTED_VALUE"""),0)</f>
        <v>0</v>
      </c>
      <c r="O606" s="23">
        <f ca="1">IFERROR(__xludf.DUMMYFUNCTION("""COMPUTED_VALUE"""),0)</f>
        <v>0</v>
      </c>
      <c r="P606" s="23">
        <f ca="1">IFERROR(__xludf.DUMMYFUNCTION("""COMPUTED_VALUE"""),0)</f>
        <v>0</v>
      </c>
      <c r="Q606" s="24">
        <f ca="1">IFERROR(__xludf.DUMMYFUNCTION("""COMPUTED_VALUE"""),0)</f>
        <v>0</v>
      </c>
      <c r="R606" s="20"/>
    </row>
    <row r="607" spans="1:18" ht="13.2" hidden="1" outlineLevel="1" x14ac:dyDescent="0.25">
      <c r="A607" s="1"/>
      <c r="B607" s="21" t="str">
        <f ca="1">IFERROR(__xludf.DUMMYFUNCTION("""COMPUTED_VALUE"""),"Gas natural")</f>
        <v>Gas natural</v>
      </c>
      <c r="C607" s="22">
        <f ca="1">IFERROR(__xludf.DUMMYFUNCTION("""COMPUTED_VALUE"""),-819.225306806)</f>
        <v>-819.22530680600005</v>
      </c>
      <c r="D607" s="23">
        <f ca="1">IFERROR(__xludf.DUMMYFUNCTION("""COMPUTED_VALUE"""),-661.55406461673)</f>
        <v>-661.55406461672999</v>
      </c>
      <c r="E607" s="23">
        <f ca="1">IFERROR(__xludf.DUMMYFUNCTION("""COMPUTED_VALUE"""),-644.77118544638)</f>
        <v>-644.77118544637995</v>
      </c>
      <c r="F607" s="23">
        <f ca="1">IFERROR(__xludf.DUMMYFUNCTION("""COMPUTED_VALUE"""),-612.72454500659)</f>
        <v>-612.72454500659001</v>
      </c>
      <c r="G607" s="23">
        <f ca="1">IFERROR(__xludf.DUMMYFUNCTION("""COMPUTED_VALUE"""),-583.36981737916)</f>
        <v>-583.36981737916005</v>
      </c>
      <c r="H607" s="23">
        <f ca="1">IFERROR(__xludf.DUMMYFUNCTION("""COMPUTED_VALUE"""),-556.9155721898)</f>
        <v>-556.91557218979995</v>
      </c>
      <c r="I607" s="23">
        <f ca="1">IFERROR(__xludf.DUMMYFUNCTION("""COMPUTED_VALUE"""),-402.021557857199)</f>
        <v>-402.02155785719901</v>
      </c>
      <c r="J607" s="23">
        <f ca="1">IFERROR(__xludf.DUMMYFUNCTION("""COMPUTED_VALUE"""),-474.906717449691)</f>
        <v>-474.90671744969097</v>
      </c>
      <c r="K607" s="23">
        <f ca="1">IFERROR(__xludf.DUMMYFUNCTION("""COMPUTED_VALUE"""),-519.202313319293)</f>
        <v>-519.20231331929301</v>
      </c>
      <c r="L607" s="23">
        <f ca="1">IFERROR(__xludf.DUMMYFUNCTION("""COMPUTED_VALUE"""),-673.854401877491)</f>
        <v>-673.854401877491</v>
      </c>
      <c r="M607" s="23">
        <f ca="1">IFERROR(__xludf.DUMMYFUNCTION("""COMPUTED_VALUE"""),-789.527635188017)</f>
        <v>-789.52763518801703</v>
      </c>
      <c r="N607" s="23">
        <f ca="1">IFERROR(__xludf.DUMMYFUNCTION("""COMPUTED_VALUE"""),-470.475632005905)</f>
        <v>-470.47563200590503</v>
      </c>
      <c r="O607" s="23">
        <f ca="1">IFERROR(__xludf.DUMMYFUNCTION("""COMPUTED_VALUE"""),-529.96929664357)</f>
        <v>-529.96929664357003</v>
      </c>
      <c r="P607" s="23">
        <f ca="1">IFERROR(__xludf.DUMMYFUNCTION("""COMPUTED_VALUE"""),-470.998229266443)</f>
        <v>-470.99822926644299</v>
      </c>
      <c r="Q607" s="24">
        <f ca="1">IFERROR(__xludf.DUMMYFUNCTION("""COMPUTED_VALUE"""),-595.692488356829)</f>
        <v>-595.69248835682902</v>
      </c>
      <c r="R607" s="20"/>
    </row>
    <row r="608" spans="1:18" ht="13.2" hidden="1" outlineLevel="1" x14ac:dyDescent="0.25">
      <c r="A608" s="1"/>
      <c r="B608" s="21" t="str">
        <f ca="1">IFERROR(__xludf.DUMMYFUNCTION("""COMPUTED_VALUE"""),"Energía Nuclear")</f>
        <v>Energía Nuclear</v>
      </c>
      <c r="C608" s="22">
        <f ca="1">IFERROR(__xludf.DUMMYFUNCTION("""COMPUTED_VALUE"""),0)</f>
        <v>0</v>
      </c>
      <c r="D608" s="23">
        <f ca="1">IFERROR(__xludf.DUMMYFUNCTION("""COMPUTED_VALUE"""),0)</f>
        <v>0</v>
      </c>
      <c r="E608" s="23">
        <f ca="1">IFERROR(__xludf.DUMMYFUNCTION("""COMPUTED_VALUE"""),0)</f>
        <v>0</v>
      </c>
      <c r="F608" s="23">
        <f ca="1">IFERROR(__xludf.DUMMYFUNCTION("""COMPUTED_VALUE"""),0)</f>
        <v>0</v>
      </c>
      <c r="G608" s="23">
        <f ca="1">IFERROR(__xludf.DUMMYFUNCTION("""COMPUTED_VALUE"""),0)</f>
        <v>0</v>
      </c>
      <c r="H608" s="23">
        <f ca="1">IFERROR(__xludf.DUMMYFUNCTION("""COMPUTED_VALUE"""),0)</f>
        <v>0</v>
      </c>
      <c r="I608" s="23">
        <f ca="1">IFERROR(__xludf.DUMMYFUNCTION("""COMPUTED_VALUE"""),0)</f>
        <v>0</v>
      </c>
      <c r="J608" s="23">
        <f ca="1">IFERROR(__xludf.DUMMYFUNCTION("""COMPUTED_VALUE"""),0)</f>
        <v>0</v>
      </c>
      <c r="K608" s="23">
        <f ca="1">IFERROR(__xludf.DUMMYFUNCTION("""COMPUTED_VALUE"""),0)</f>
        <v>0</v>
      </c>
      <c r="L608" s="23">
        <f ca="1">IFERROR(__xludf.DUMMYFUNCTION("""COMPUTED_VALUE"""),0)</f>
        <v>0</v>
      </c>
      <c r="M608" s="23">
        <f ca="1">IFERROR(__xludf.DUMMYFUNCTION("""COMPUTED_VALUE"""),0)</f>
        <v>0</v>
      </c>
      <c r="N608" s="23">
        <f ca="1">IFERROR(__xludf.DUMMYFUNCTION("""COMPUTED_VALUE"""),0)</f>
        <v>0</v>
      </c>
      <c r="O608" s="23">
        <f ca="1">IFERROR(__xludf.DUMMYFUNCTION("""COMPUTED_VALUE"""),0)</f>
        <v>0</v>
      </c>
      <c r="P608" s="23">
        <f ca="1">IFERROR(__xludf.DUMMYFUNCTION("""COMPUTED_VALUE"""),0)</f>
        <v>0</v>
      </c>
      <c r="Q608" s="24">
        <f ca="1">IFERROR(__xludf.DUMMYFUNCTION("""COMPUTED_VALUE"""),0)</f>
        <v>0</v>
      </c>
      <c r="R608" s="20"/>
    </row>
    <row r="609" spans="1:18" ht="13.2" hidden="1" outlineLevel="1" x14ac:dyDescent="0.25">
      <c r="A609" s="1"/>
      <c r="B609" s="21" t="str">
        <f ca="1">IFERROR(__xludf.DUMMYFUNCTION("""COMPUTED_VALUE"""),"Energia Hidraúlica")</f>
        <v>Energia Hidraúlica</v>
      </c>
      <c r="C609" s="22">
        <f ca="1">IFERROR(__xludf.DUMMYFUNCTION("""COMPUTED_VALUE"""),0)</f>
        <v>0</v>
      </c>
      <c r="D609" s="23">
        <f ca="1">IFERROR(__xludf.DUMMYFUNCTION("""COMPUTED_VALUE"""),0)</f>
        <v>0</v>
      </c>
      <c r="E609" s="23">
        <f ca="1">IFERROR(__xludf.DUMMYFUNCTION("""COMPUTED_VALUE"""),0)</f>
        <v>0</v>
      </c>
      <c r="F609" s="23">
        <f ca="1">IFERROR(__xludf.DUMMYFUNCTION("""COMPUTED_VALUE"""),0)</f>
        <v>0</v>
      </c>
      <c r="G609" s="23">
        <f ca="1">IFERROR(__xludf.DUMMYFUNCTION("""COMPUTED_VALUE"""),0)</f>
        <v>0</v>
      </c>
      <c r="H609" s="23">
        <f ca="1">IFERROR(__xludf.DUMMYFUNCTION("""COMPUTED_VALUE"""),0)</f>
        <v>0</v>
      </c>
      <c r="I609" s="23">
        <f ca="1">IFERROR(__xludf.DUMMYFUNCTION("""COMPUTED_VALUE"""),0)</f>
        <v>0</v>
      </c>
      <c r="J609" s="23">
        <f ca="1">IFERROR(__xludf.DUMMYFUNCTION("""COMPUTED_VALUE"""),0)</f>
        <v>0</v>
      </c>
      <c r="K609" s="23">
        <f ca="1">IFERROR(__xludf.DUMMYFUNCTION("""COMPUTED_VALUE"""),0)</f>
        <v>0</v>
      </c>
      <c r="L609" s="23">
        <f ca="1">IFERROR(__xludf.DUMMYFUNCTION("""COMPUTED_VALUE"""),0)</f>
        <v>0</v>
      </c>
      <c r="M609" s="23">
        <f ca="1">IFERROR(__xludf.DUMMYFUNCTION("""COMPUTED_VALUE"""),0)</f>
        <v>0</v>
      </c>
      <c r="N609" s="23">
        <f ca="1">IFERROR(__xludf.DUMMYFUNCTION("""COMPUTED_VALUE"""),0)</f>
        <v>0</v>
      </c>
      <c r="O609" s="23">
        <f ca="1">IFERROR(__xludf.DUMMYFUNCTION("""COMPUTED_VALUE"""),0)</f>
        <v>0</v>
      </c>
      <c r="P609" s="23">
        <f ca="1">IFERROR(__xludf.DUMMYFUNCTION("""COMPUTED_VALUE"""),0)</f>
        <v>0</v>
      </c>
      <c r="Q609" s="24">
        <f ca="1">IFERROR(__xludf.DUMMYFUNCTION("""COMPUTED_VALUE"""),0)</f>
        <v>0</v>
      </c>
      <c r="R609" s="20"/>
    </row>
    <row r="610" spans="1:18" ht="13.2" hidden="1" outlineLevel="1" x14ac:dyDescent="0.25">
      <c r="A610" s="1"/>
      <c r="B610" s="21" t="str">
        <f ca="1">IFERROR(__xludf.DUMMYFUNCTION("""COMPUTED_VALUE"""),"Geoenergía")</f>
        <v>Geoenergía</v>
      </c>
      <c r="C610" s="22">
        <f ca="1">IFERROR(__xludf.DUMMYFUNCTION("""COMPUTED_VALUE"""),0)</f>
        <v>0</v>
      </c>
      <c r="D610" s="23">
        <f ca="1">IFERROR(__xludf.DUMMYFUNCTION("""COMPUTED_VALUE"""),0)</f>
        <v>0</v>
      </c>
      <c r="E610" s="23">
        <f ca="1">IFERROR(__xludf.DUMMYFUNCTION("""COMPUTED_VALUE"""),0)</f>
        <v>0</v>
      </c>
      <c r="F610" s="23">
        <f ca="1">IFERROR(__xludf.DUMMYFUNCTION("""COMPUTED_VALUE"""),0)</f>
        <v>0</v>
      </c>
      <c r="G610" s="23">
        <f ca="1">IFERROR(__xludf.DUMMYFUNCTION("""COMPUTED_VALUE"""),0)</f>
        <v>0</v>
      </c>
      <c r="H610" s="23">
        <f ca="1">IFERROR(__xludf.DUMMYFUNCTION("""COMPUTED_VALUE"""),0)</f>
        <v>0</v>
      </c>
      <c r="I610" s="23">
        <f ca="1">IFERROR(__xludf.DUMMYFUNCTION("""COMPUTED_VALUE"""),0)</f>
        <v>0</v>
      </c>
      <c r="J610" s="23">
        <f ca="1">IFERROR(__xludf.DUMMYFUNCTION("""COMPUTED_VALUE"""),0)</f>
        <v>0</v>
      </c>
      <c r="K610" s="23">
        <f ca="1">IFERROR(__xludf.DUMMYFUNCTION("""COMPUTED_VALUE"""),0)</f>
        <v>0</v>
      </c>
      <c r="L610" s="23">
        <f ca="1">IFERROR(__xludf.DUMMYFUNCTION("""COMPUTED_VALUE"""),0)</f>
        <v>0</v>
      </c>
      <c r="M610" s="23">
        <f ca="1">IFERROR(__xludf.DUMMYFUNCTION("""COMPUTED_VALUE"""),0)</f>
        <v>0</v>
      </c>
      <c r="N610" s="23">
        <f ca="1">IFERROR(__xludf.DUMMYFUNCTION("""COMPUTED_VALUE"""),0)</f>
        <v>0</v>
      </c>
      <c r="O610" s="23">
        <f ca="1">IFERROR(__xludf.DUMMYFUNCTION("""COMPUTED_VALUE"""),0)</f>
        <v>0</v>
      </c>
      <c r="P610" s="23">
        <f ca="1">IFERROR(__xludf.DUMMYFUNCTION("""COMPUTED_VALUE"""),0)</f>
        <v>0</v>
      </c>
      <c r="Q610" s="24">
        <f ca="1">IFERROR(__xludf.DUMMYFUNCTION("""COMPUTED_VALUE"""),0)</f>
        <v>0</v>
      </c>
      <c r="R610" s="20"/>
    </row>
    <row r="611" spans="1:18" ht="13.2" hidden="1" outlineLevel="1" x14ac:dyDescent="0.25">
      <c r="A611" s="1"/>
      <c r="B611" s="21" t="str">
        <f ca="1">IFERROR(__xludf.DUMMYFUNCTION("""COMPUTED_VALUE"""),"Energía solar")</f>
        <v>Energía solar</v>
      </c>
      <c r="C611" s="22">
        <f ca="1">IFERROR(__xludf.DUMMYFUNCTION("""COMPUTED_VALUE"""),0)</f>
        <v>0</v>
      </c>
      <c r="D611" s="23">
        <f ca="1">IFERROR(__xludf.DUMMYFUNCTION("""COMPUTED_VALUE"""),0)</f>
        <v>0</v>
      </c>
      <c r="E611" s="23">
        <f ca="1">IFERROR(__xludf.DUMMYFUNCTION("""COMPUTED_VALUE"""),0)</f>
        <v>0</v>
      </c>
      <c r="F611" s="23">
        <f ca="1">IFERROR(__xludf.DUMMYFUNCTION("""COMPUTED_VALUE"""),0)</f>
        <v>0</v>
      </c>
      <c r="G611" s="23">
        <f ca="1">IFERROR(__xludf.DUMMYFUNCTION("""COMPUTED_VALUE"""),0)</f>
        <v>0</v>
      </c>
      <c r="H611" s="23">
        <f ca="1">IFERROR(__xludf.DUMMYFUNCTION("""COMPUTED_VALUE"""),0)</f>
        <v>0</v>
      </c>
      <c r="I611" s="23">
        <f ca="1">IFERROR(__xludf.DUMMYFUNCTION("""COMPUTED_VALUE"""),0)</f>
        <v>0</v>
      </c>
      <c r="J611" s="23">
        <f ca="1">IFERROR(__xludf.DUMMYFUNCTION("""COMPUTED_VALUE"""),0)</f>
        <v>0</v>
      </c>
      <c r="K611" s="23">
        <f ca="1">IFERROR(__xludf.DUMMYFUNCTION("""COMPUTED_VALUE"""),0)</f>
        <v>0</v>
      </c>
      <c r="L611" s="23">
        <f ca="1">IFERROR(__xludf.DUMMYFUNCTION("""COMPUTED_VALUE"""),0)</f>
        <v>0</v>
      </c>
      <c r="M611" s="23">
        <f ca="1">IFERROR(__xludf.DUMMYFUNCTION("""COMPUTED_VALUE"""),0)</f>
        <v>0</v>
      </c>
      <c r="N611" s="23">
        <f ca="1">IFERROR(__xludf.DUMMYFUNCTION("""COMPUTED_VALUE"""),0)</f>
        <v>0</v>
      </c>
      <c r="O611" s="23">
        <f ca="1">IFERROR(__xludf.DUMMYFUNCTION("""COMPUTED_VALUE"""),0)</f>
        <v>0</v>
      </c>
      <c r="P611" s="23">
        <f ca="1">IFERROR(__xludf.DUMMYFUNCTION("""COMPUTED_VALUE"""),0)</f>
        <v>0</v>
      </c>
      <c r="Q611" s="24">
        <f ca="1">IFERROR(__xludf.DUMMYFUNCTION("""COMPUTED_VALUE"""),0)</f>
        <v>0</v>
      </c>
      <c r="R611" s="20"/>
    </row>
    <row r="612" spans="1:18" ht="13.2" hidden="1" outlineLevel="1" x14ac:dyDescent="0.25">
      <c r="A612" s="1"/>
      <c r="B612" s="21" t="str">
        <f ca="1">IFERROR(__xludf.DUMMYFUNCTION("""COMPUTED_VALUE"""),"Energía eólica")</f>
        <v>Energía eólica</v>
      </c>
      <c r="C612" s="22">
        <f ca="1">IFERROR(__xludf.DUMMYFUNCTION("""COMPUTED_VALUE"""),0)</f>
        <v>0</v>
      </c>
      <c r="D612" s="23">
        <f ca="1">IFERROR(__xludf.DUMMYFUNCTION("""COMPUTED_VALUE"""),0)</f>
        <v>0</v>
      </c>
      <c r="E612" s="23">
        <f ca="1">IFERROR(__xludf.DUMMYFUNCTION("""COMPUTED_VALUE"""),0)</f>
        <v>0</v>
      </c>
      <c r="F612" s="23">
        <f ca="1">IFERROR(__xludf.DUMMYFUNCTION("""COMPUTED_VALUE"""),0)</f>
        <v>0</v>
      </c>
      <c r="G612" s="23">
        <f ca="1">IFERROR(__xludf.DUMMYFUNCTION("""COMPUTED_VALUE"""),0)</f>
        <v>0</v>
      </c>
      <c r="H612" s="23">
        <f ca="1">IFERROR(__xludf.DUMMYFUNCTION("""COMPUTED_VALUE"""),0)</f>
        <v>0</v>
      </c>
      <c r="I612" s="23">
        <f ca="1">IFERROR(__xludf.DUMMYFUNCTION("""COMPUTED_VALUE"""),0)</f>
        <v>0</v>
      </c>
      <c r="J612" s="23">
        <f ca="1">IFERROR(__xludf.DUMMYFUNCTION("""COMPUTED_VALUE"""),0)</f>
        <v>0</v>
      </c>
      <c r="K612" s="23">
        <f ca="1">IFERROR(__xludf.DUMMYFUNCTION("""COMPUTED_VALUE"""),0)</f>
        <v>0</v>
      </c>
      <c r="L612" s="23">
        <f ca="1">IFERROR(__xludf.DUMMYFUNCTION("""COMPUTED_VALUE"""),0)</f>
        <v>0</v>
      </c>
      <c r="M612" s="23">
        <f ca="1">IFERROR(__xludf.DUMMYFUNCTION("""COMPUTED_VALUE"""),0)</f>
        <v>0</v>
      </c>
      <c r="N612" s="23">
        <f ca="1">IFERROR(__xludf.DUMMYFUNCTION("""COMPUTED_VALUE"""),0)</f>
        <v>0</v>
      </c>
      <c r="O612" s="23">
        <f ca="1">IFERROR(__xludf.DUMMYFUNCTION("""COMPUTED_VALUE"""),0)</f>
        <v>0</v>
      </c>
      <c r="P612" s="23">
        <f ca="1">IFERROR(__xludf.DUMMYFUNCTION("""COMPUTED_VALUE"""),0)</f>
        <v>0</v>
      </c>
      <c r="Q612" s="24">
        <f ca="1">IFERROR(__xludf.DUMMYFUNCTION("""COMPUTED_VALUE"""),0)</f>
        <v>0</v>
      </c>
      <c r="R612" s="20"/>
    </row>
    <row r="613" spans="1:18" ht="13.2" hidden="1" outlineLevel="1" x14ac:dyDescent="0.25">
      <c r="A613" s="1"/>
      <c r="B613" s="21" t="str">
        <f ca="1">IFERROR(__xludf.DUMMYFUNCTION("""COMPUTED_VALUE"""),"Bagazo de caña")</f>
        <v>Bagazo de caña</v>
      </c>
      <c r="C613" s="22">
        <f ca="1">IFERROR(__xludf.DUMMYFUNCTION("""COMPUTED_VALUE"""),0)</f>
        <v>0</v>
      </c>
      <c r="D613" s="23">
        <f ca="1">IFERROR(__xludf.DUMMYFUNCTION("""COMPUTED_VALUE"""),0)</f>
        <v>0</v>
      </c>
      <c r="E613" s="23">
        <f ca="1">IFERROR(__xludf.DUMMYFUNCTION("""COMPUTED_VALUE"""),0)</f>
        <v>0</v>
      </c>
      <c r="F613" s="23">
        <f ca="1">IFERROR(__xludf.DUMMYFUNCTION("""COMPUTED_VALUE"""),0)</f>
        <v>0</v>
      </c>
      <c r="G613" s="23">
        <f ca="1">IFERROR(__xludf.DUMMYFUNCTION("""COMPUTED_VALUE"""),0)</f>
        <v>0</v>
      </c>
      <c r="H613" s="23">
        <f ca="1">IFERROR(__xludf.DUMMYFUNCTION("""COMPUTED_VALUE"""),0)</f>
        <v>0</v>
      </c>
      <c r="I613" s="23">
        <f ca="1">IFERROR(__xludf.DUMMYFUNCTION("""COMPUTED_VALUE"""),0)</f>
        <v>0</v>
      </c>
      <c r="J613" s="23">
        <f ca="1">IFERROR(__xludf.DUMMYFUNCTION("""COMPUTED_VALUE"""),0)</f>
        <v>0</v>
      </c>
      <c r="K613" s="23">
        <f ca="1">IFERROR(__xludf.DUMMYFUNCTION("""COMPUTED_VALUE"""),0)</f>
        <v>0</v>
      </c>
      <c r="L613" s="23">
        <f ca="1">IFERROR(__xludf.DUMMYFUNCTION("""COMPUTED_VALUE"""),0)</f>
        <v>0</v>
      </c>
      <c r="M613" s="23">
        <f ca="1">IFERROR(__xludf.DUMMYFUNCTION("""COMPUTED_VALUE"""),0)</f>
        <v>0</v>
      </c>
      <c r="N613" s="23">
        <f ca="1">IFERROR(__xludf.DUMMYFUNCTION("""COMPUTED_VALUE"""),0)</f>
        <v>0</v>
      </c>
      <c r="O613" s="23">
        <f ca="1">IFERROR(__xludf.DUMMYFUNCTION("""COMPUTED_VALUE"""),0)</f>
        <v>0</v>
      </c>
      <c r="P613" s="23">
        <f ca="1">IFERROR(__xludf.DUMMYFUNCTION("""COMPUTED_VALUE"""),0)</f>
        <v>0</v>
      </c>
      <c r="Q613" s="24">
        <f ca="1">IFERROR(__xludf.DUMMYFUNCTION("""COMPUTED_VALUE"""),0)</f>
        <v>0</v>
      </c>
      <c r="R613" s="20"/>
    </row>
    <row r="614" spans="1:18" ht="13.2" hidden="1" outlineLevel="1" x14ac:dyDescent="0.25">
      <c r="A614" s="1"/>
      <c r="B614" s="21" t="str">
        <f ca="1">IFERROR(__xludf.DUMMYFUNCTION("""COMPUTED_VALUE"""),"Leña")</f>
        <v>Leña</v>
      </c>
      <c r="C614" s="22">
        <f ca="1">IFERROR(__xludf.DUMMYFUNCTION("""COMPUTED_VALUE"""),0)</f>
        <v>0</v>
      </c>
      <c r="D614" s="23">
        <f ca="1">IFERROR(__xludf.DUMMYFUNCTION("""COMPUTED_VALUE"""),0)</f>
        <v>0</v>
      </c>
      <c r="E614" s="23">
        <f ca="1">IFERROR(__xludf.DUMMYFUNCTION("""COMPUTED_VALUE"""),0)</f>
        <v>0</v>
      </c>
      <c r="F614" s="23">
        <f ca="1">IFERROR(__xludf.DUMMYFUNCTION("""COMPUTED_VALUE"""),0)</f>
        <v>0</v>
      </c>
      <c r="G614" s="23">
        <f ca="1">IFERROR(__xludf.DUMMYFUNCTION("""COMPUTED_VALUE"""),0)</f>
        <v>0</v>
      </c>
      <c r="H614" s="23">
        <f ca="1">IFERROR(__xludf.DUMMYFUNCTION("""COMPUTED_VALUE"""),0)</f>
        <v>0</v>
      </c>
      <c r="I614" s="23">
        <f ca="1">IFERROR(__xludf.DUMMYFUNCTION("""COMPUTED_VALUE"""),0)</f>
        <v>0</v>
      </c>
      <c r="J614" s="23">
        <f ca="1">IFERROR(__xludf.DUMMYFUNCTION("""COMPUTED_VALUE"""),0)</f>
        <v>0</v>
      </c>
      <c r="K614" s="23">
        <f ca="1">IFERROR(__xludf.DUMMYFUNCTION("""COMPUTED_VALUE"""),0)</f>
        <v>0</v>
      </c>
      <c r="L614" s="23">
        <f ca="1">IFERROR(__xludf.DUMMYFUNCTION("""COMPUTED_VALUE"""),0)</f>
        <v>0</v>
      </c>
      <c r="M614" s="23">
        <f ca="1">IFERROR(__xludf.DUMMYFUNCTION("""COMPUTED_VALUE"""),0)</f>
        <v>0</v>
      </c>
      <c r="N614" s="23">
        <f ca="1">IFERROR(__xludf.DUMMYFUNCTION("""COMPUTED_VALUE"""),0)</f>
        <v>0</v>
      </c>
      <c r="O614" s="23">
        <f ca="1">IFERROR(__xludf.DUMMYFUNCTION("""COMPUTED_VALUE"""),0)</f>
        <v>0</v>
      </c>
      <c r="P614" s="23">
        <f ca="1">IFERROR(__xludf.DUMMYFUNCTION("""COMPUTED_VALUE"""),0)</f>
        <v>0</v>
      </c>
      <c r="Q614" s="24">
        <f ca="1">IFERROR(__xludf.DUMMYFUNCTION("""COMPUTED_VALUE"""),0)</f>
        <v>0</v>
      </c>
      <c r="R614" s="20"/>
    </row>
    <row r="615" spans="1:18" ht="13.2" hidden="1" outlineLevel="1" x14ac:dyDescent="0.25">
      <c r="A615" s="1"/>
      <c r="B615" s="21" t="str">
        <f ca="1">IFERROR(__xludf.DUMMYFUNCTION("""COMPUTED_VALUE"""),"Biogás")</f>
        <v>Biogás</v>
      </c>
      <c r="C615" s="22">
        <f ca="1">IFERROR(__xludf.DUMMYFUNCTION("""COMPUTED_VALUE"""),0)</f>
        <v>0</v>
      </c>
      <c r="D615" s="23">
        <f ca="1">IFERROR(__xludf.DUMMYFUNCTION("""COMPUTED_VALUE"""),0)</f>
        <v>0</v>
      </c>
      <c r="E615" s="23">
        <f ca="1">IFERROR(__xludf.DUMMYFUNCTION("""COMPUTED_VALUE"""),0)</f>
        <v>0</v>
      </c>
      <c r="F615" s="23">
        <f ca="1">IFERROR(__xludf.DUMMYFUNCTION("""COMPUTED_VALUE"""),0)</f>
        <v>0</v>
      </c>
      <c r="G615" s="23">
        <f ca="1">IFERROR(__xludf.DUMMYFUNCTION("""COMPUTED_VALUE"""),0)</f>
        <v>0</v>
      </c>
      <c r="H615" s="23">
        <f ca="1">IFERROR(__xludf.DUMMYFUNCTION("""COMPUTED_VALUE"""),0)</f>
        <v>0</v>
      </c>
      <c r="I615" s="23">
        <f ca="1">IFERROR(__xludf.DUMMYFUNCTION("""COMPUTED_VALUE"""),0)</f>
        <v>0</v>
      </c>
      <c r="J615" s="23">
        <f ca="1">IFERROR(__xludf.DUMMYFUNCTION("""COMPUTED_VALUE"""),0)</f>
        <v>0</v>
      </c>
      <c r="K615" s="23">
        <f ca="1">IFERROR(__xludf.DUMMYFUNCTION("""COMPUTED_VALUE"""),0)</f>
        <v>0</v>
      </c>
      <c r="L615" s="23">
        <f ca="1">IFERROR(__xludf.DUMMYFUNCTION("""COMPUTED_VALUE"""),0)</f>
        <v>0</v>
      </c>
      <c r="M615" s="23">
        <f ca="1">IFERROR(__xludf.DUMMYFUNCTION("""COMPUTED_VALUE"""),0)</f>
        <v>0</v>
      </c>
      <c r="N615" s="23">
        <f ca="1">IFERROR(__xludf.DUMMYFUNCTION("""COMPUTED_VALUE"""),0)</f>
        <v>0</v>
      </c>
      <c r="O615" s="23">
        <f ca="1">IFERROR(__xludf.DUMMYFUNCTION("""COMPUTED_VALUE"""),0)</f>
        <v>0</v>
      </c>
      <c r="P615" s="23">
        <f ca="1">IFERROR(__xludf.DUMMYFUNCTION("""COMPUTED_VALUE"""),0)</f>
        <v>0</v>
      </c>
      <c r="Q615" s="24">
        <f ca="1">IFERROR(__xludf.DUMMYFUNCTION("""COMPUTED_VALUE"""),0)</f>
        <v>0</v>
      </c>
      <c r="R615" s="20"/>
    </row>
    <row r="616" spans="1:18" ht="13.2" hidden="1" outlineLevel="1" x14ac:dyDescent="0.25">
      <c r="A616" s="1"/>
      <c r="B616" s="21" t="str">
        <f ca="1">IFERROR(__xludf.DUMMYFUNCTION("""COMPUTED_VALUE"""),"Coque de carbón")</f>
        <v>Coque de carbón</v>
      </c>
      <c r="C616" s="22">
        <f ca="1">IFERROR(__xludf.DUMMYFUNCTION("""COMPUTED_VALUE"""),-3.35)</f>
        <v>-3.35</v>
      </c>
      <c r="D616" s="23">
        <f ca="1">IFERROR(__xludf.DUMMYFUNCTION("""COMPUTED_VALUE"""),-3.38)</f>
        <v>-3.38</v>
      </c>
      <c r="E616" s="23">
        <f ca="1">IFERROR(__xludf.DUMMYFUNCTION("""COMPUTED_VALUE"""),-3.45)</f>
        <v>-3.45</v>
      </c>
      <c r="F616" s="23">
        <f ca="1">IFERROR(__xludf.DUMMYFUNCTION("""COMPUTED_VALUE"""),-3.53)</f>
        <v>-3.53</v>
      </c>
      <c r="G616" s="23">
        <f ca="1">IFERROR(__xludf.DUMMYFUNCTION("""COMPUTED_VALUE"""),-3.54)</f>
        <v>-3.54</v>
      </c>
      <c r="H616" s="23">
        <f ca="1">IFERROR(__xludf.DUMMYFUNCTION("""COMPUTED_VALUE"""),-2.86)</f>
        <v>-2.86</v>
      </c>
      <c r="I616" s="23">
        <f ca="1">IFERROR(__xludf.DUMMYFUNCTION("""COMPUTED_VALUE"""),-2.18)</f>
        <v>-2.1800000000000002</v>
      </c>
      <c r="J616" s="23">
        <f ca="1">IFERROR(__xludf.DUMMYFUNCTION("""COMPUTED_VALUE"""),-2.06)</f>
        <v>-2.06</v>
      </c>
      <c r="K616" s="23">
        <f ca="1">IFERROR(__xludf.DUMMYFUNCTION("""COMPUTED_VALUE"""),-1.88)</f>
        <v>-1.88</v>
      </c>
      <c r="L616" s="23">
        <f ca="1">IFERROR(__xludf.DUMMYFUNCTION("""COMPUTED_VALUE"""),-1.58)</f>
        <v>-1.58</v>
      </c>
      <c r="M616" s="23">
        <f ca="1">IFERROR(__xludf.DUMMYFUNCTION("""COMPUTED_VALUE"""),-1.11)</f>
        <v>-1.1100000000000001</v>
      </c>
      <c r="N616" s="23">
        <f ca="1">IFERROR(__xludf.DUMMYFUNCTION("""COMPUTED_VALUE"""),-0.77)</f>
        <v>-0.77</v>
      </c>
      <c r="O616" s="23">
        <f ca="1">IFERROR(__xludf.DUMMYFUNCTION("""COMPUTED_VALUE"""),-0.76)</f>
        <v>-0.76</v>
      </c>
      <c r="P616" s="23">
        <f ca="1">IFERROR(__xludf.DUMMYFUNCTION("""COMPUTED_VALUE"""),-0.57)</f>
        <v>-0.56999999999999995</v>
      </c>
      <c r="Q616" s="24">
        <f ca="1">IFERROR(__xludf.DUMMYFUNCTION("""COMPUTED_VALUE"""),-0.36)</f>
        <v>-0.36</v>
      </c>
      <c r="R616" s="20"/>
    </row>
    <row r="617" spans="1:18" ht="13.2" hidden="1" outlineLevel="1" x14ac:dyDescent="0.25">
      <c r="A617" s="1"/>
      <c r="B617" s="21" t="str">
        <f ca="1">IFERROR(__xludf.DUMMYFUNCTION("""COMPUTED_VALUE"""),"Coque de petróleo")</f>
        <v>Coque de petróleo</v>
      </c>
      <c r="C617" s="22">
        <f ca="1">IFERROR(__xludf.DUMMYFUNCTION("""COMPUTED_VALUE"""),-6.46793)</f>
        <v>-6.46793</v>
      </c>
      <c r="D617" s="23">
        <f ca="1">IFERROR(__xludf.DUMMYFUNCTION("""COMPUTED_VALUE"""),-10.87119)</f>
        <v>-10.87119</v>
      </c>
      <c r="E617" s="23">
        <f ca="1">IFERROR(__xludf.DUMMYFUNCTION("""COMPUTED_VALUE"""),-9.90632)</f>
        <v>-9.9063199999999991</v>
      </c>
      <c r="F617" s="23">
        <f ca="1">IFERROR(__xludf.DUMMYFUNCTION("""COMPUTED_VALUE"""),-7.8723)</f>
        <v>-7.8723000000000001</v>
      </c>
      <c r="G617" s="23">
        <f ca="1">IFERROR(__xludf.DUMMYFUNCTION("""COMPUTED_VALUE"""),-3.6453420958183)</f>
        <v>-3.6453420958182998</v>
      </c>
      <c r="H617" s="23">
        <f ca="1">IFERROR(__xludf.DUMMYFUNCTION("""COMPUTED_VALUE"""),-3.55781105297486)</f>
        <v>-3.5578110529748601</v>
      </c>
      <c r="I617" s="23">
        <f ca="1">IFERROR(__xludf.DUMMYFUNCTION("""COMPUTED_VALUE"""),-10.09)</f>
        <v>-10.09</v>
      </c>
      <c r="J617" s="23">
        <f ca="1">IFERROR(__xludf.DUMMYFUNCTION("""COMPUTED_VALUE"""),-8.11686360512814)</f>
        <v>-8.11686360512814</v>
      </c>
      <c r="K617" s="23">
        <f ca="1">IFERROR(__xludf.DUMMYFUNCTION("""COMPUTED_VALUE"""),-6.25121934192314)</f>
        <v>-6.2512193419231403</v>
      </c>
      <c r="L617" s="23">
        <f ca="1">IFERROR(__xludf.DUMMYFUNCTION("""COMPUTED_VALUE"""),-6.29732226545873)</f>
        <v>-6.29732226545873</v>
      </c>
      <c r="M617" s="23">
        <f ca="1">IFERROR(__xludf.DUMMYFUNCTION("""COMPUTED_VALUE"""),-5.40177067494597)</f>
        <v>-5.4017706749459702</v>
      </c>
      <c r="N617" s="23">
        <f ca="1">IFERROR(__xludf.DUMMYFUNCTION("""COMPUTED_VALUE"""),-6.55746225851192)</f>
        <v>-6.5574622585119204</v>
      </c>
      <c r="O617" s="23">
        <f ca="1">IFERROR(__xludf.DUMMYFUNCTION("""COMPUTED_VALUE"""),-8.04627658064924)</f>
        <v>-8.0462765806492396</v>
      </c>
      <c r="P617" s="23">
        <f ca="1">IFERROR(__xludf.DUMMYFUNCTION("""COMPUTED_VALUE"""),-6.9658)</f>
        <v>-6.9657999999999998</v>
      </c>
      <c r="Q617" s="24">
        <f ca="1">IFERROR(__xludf.DUMMYFUNCTION("""COMPUTED_VALUE"""),-7.83109048958002)</f>
        <v>-7.8310904895800197</v>
      </c>
      <c r="R617" s="20"/>
    </row>
    <row r="618" spans="1:18" ht="13.2" hidden="1" outlineLevel="1" x14ac:dyDescent="0.25">
      <c r="A618" s="1"/>
      <c r="B618" s="21" t="str">
        <f ca="1">IFERROR(__xludf.DUMMYFUNCTION("""COMPUTED_VALUE"""),"Gas licuado de petróleo")</f>
        <v>Gas licuado de petróleo</v>
      </c>
      <c r="C618" s="22">
        <f ca="1">IFERROR(__xludf.DUMMYFUNCTION("""COMPUTED_VALUE"""),-4.898)</f>
        <v>-4.8979999999999997</v>
      </c>
      <c r="D618" s="23">
        <f ca="1">IFERROR(__xludf.DUMMYFUNCTION("""COMPUTED_VALUE"""),-5.483)</f>
        <v>-5.4829999999999997</v>
      </c>
      <c r="E618" s="23">
        <f ca="1">IFERROR(__xludf.DUMMYFUNCTION("""COMPUTED_VALUE"""),-1.538)</f>
        <v>-1.538</v>
      </c>
      <c r="F618" s="23">
        <f ca="1">IFERROR(__xludf.DUMMYFUNCTION("""COMPUTED_VALUE"""),-8.978)</f>
        <v>-8.9779999999999998</v>
      </c>
      <c r="G618" s="23">
        <f ca="1">IFERROR(__xludf.DUMMYFUNCTION("""COMPUTED_VALUE"""),-7.70492349385369)</f>
        <v>-7.7049234938536904</v>
      </c>
      <c r="H618" s="23">
        <f ca="1">IFERROR(__xludf.DUMMYFUNCTION("""COMPUTED_VALUE"""),-5.42304494999149)</f>
        <v>-5.4230449499914899</v>
      </c>
      <c r="I618" s="23">
        <f ca="1">IFERROR(__xludf.DUMMYFUNCTION("""COMPUTED_VALUE"""),-2.541)</f>
        <v>-2.5409999999999999</v>
      </c>
      <c r="J618" s="23">
        <f ca="1">IFERROR(__xludf.DUMMYFUNCTION("""COMPUTED_VALUE"""),-14.5565001339725)</f>
        <v>-14.5565001339725</v>
      </c>
      <c r="K618" s="23">
        <f ca="1">IFERROR(__xludf.DUMMYFUNCTION("""COMPUTED_VALUE"""),-3.39438177221366)</f>
        <v>-3.3943817722136602</v>
      </c>
      <c r="L618" s="23">
        <f ca="1">IFERROR(__xludf.DUMMYFUNCTION("""COMPUTED_VALUE"""),-2.37645083565454)</f>
        <v>-2.37645083565454</v>
      </c>
      <c r="M618" s="23">
        <f ca="1">IFERROR(__xludf.DUMMYFUNCTION("""COMPUTED_VALUE"""),-2.41800331144383)</f>
        <v>-2.41800331144383</v>
      </c>
      <c r="N618" s="23">
        <f ca="1">IFERROR(__xludf.DUMMYFUNCTION("""COMPUTED_VALUE"""),-2.35064543725838)</f>
        <v>-2.3506454372583798</v>
      </c>
      <c r="O618" s="23">
        <f ca="1">IFERROR(__xludf.DUMMYFUNCTION("""COMPUTED_VALUE"""),-2.84538206808983)</f>
        <v>-2.8453820680898301</v>
      </c>
      <c r="P618" s="23">
        <f ca="1">IFERROR(__xludf.DUMMYFUNCTION("""COMPUTED_VALUE"""),-2.73)</f>
        <v>-2.73</v>
      </c>
      <c r="Q618" s="24">
        <f ca="1">IFERROR(__xludf.DUMMYFUNCTION("""COMPUTED_VALUE"""),-2.65976047836949)</f>
        <v>-2.6597604783694901</v>
      </c>
      <c r="R618" s="20"/>
    </row>
    <row r="619" spans="1:18" ht="13.2" hidden="1" outlineLevel="1" x14ac:dyDescent="0.25">
      <c r="A619" s="1"/>
      <c r="B619" s="21" t="str">
        <f ca="1">IFERROR(__xludf.DUMMYFUNCTION("""COMPUTED_VALUE"""),"Gasolinas y naftas")</f>
        <v>Gasolinas y naftas</v>
      </c>
      <c r="C619" s="22">
        <f ca="1">IFERROR(__xludf.DUMMYFUNCTION("""COMPUTED_VALUE"""),-5.2629)</f>
        <v>-5.2629000000000001</v>
      </c>
      <c r="D619" s="23">
        <f ca="1">IFERROR(__xludf.DUMMYFUNCTION("""COMPUTED_VALUE"""),-5.3713)</f>
        <v>-5.3712999999999997</v>
      </c>
      <c r="E619" s="23">
        <f ca="1">IFERROR(__xludf.DUMMYFUNCTION("""COMPUTED_VALUE"""),-2.1478)</f>
        <v>-2.1478000000000002</v>
      </c>
      <c r="F619" s="23">
        <f ca="1">IFERROR(__xludf.DUMMYFUNCTION("""COMPUTED_VALUE"""),-8.8233)</f>
        <v>-8.8232999999999997</v>
      </c>
      <c r="G619" s="23">
        <f ca="1">IFERROR(__xludf.DUMMYFUNCTION("""COMPUTED_VALUE"""),-15.091582975815)</f>
        <v>-15.091582975814999</v>
      </c>
      <c r="H619" s="23">
        <f ca="1">IFERROR(__xludf.DUMMYFUNCTION("""COMPUTED_VALUE"""),-7.7894558631822)</f>
        <v>-7.7894558631821997</v>
      </c>
      <c r="I619" s="23">
        <f ca="1">IFERROR(__xludf.DUMMYFUNCTION("""COMPUTED_VALUE"""),-4.139)</f>
        <v>-4.1390000000000002</v>
      </c>
      <c r="J619" s="23">
        <f ca="1">IFERROR(__xludf.DUMMYFUNCTION("""COMPUTED_VALUE"""),-4.71686548092459)</f>
        <v>-4.7168654809245902</v>
      </c>
      <c r="K619" s="23">
        <f ca="1">IFERROR(__xludf.DUMMYFUNCTION("""COMPUTED_VALUE"""),-4.76105228590066)</f>
        <v>-4.7610522859006599</v>
      </c>
      <c r="L619" s="23">
        <f ca="1">IFERROR(__xludf.DUMMYFUNCTION("""COMPUTED_VALUE"""),-3.41343699521105)</f>
        <v>-3.4134369952110499</v>
      </c>
      <c r="M619" s="23">
        <f ca="1">IFERROR(__xludf.DUMMYFUNCTION("""COMPUTED_VALUE"""),-4.61081458050071)</f>
        <v>-4.6108145805007101</v>
      </c>
      <c r="N619" s="23">
        <f ca="1">IFERROR(__xludf.DUMMYFUNCTION("""COMPUTED_VALUE"""),-4.23465360039911)</f>
        <v>-4.2346536003991098</v>
      </c>
      <c r="O619" s="23">
        <f ca="1">IFERROR(__xludf.DUMMYFUNCTION("""COMPUTED_VALUE"""),-3.88369617718793)</f>
        <v>-3.8836961771879301</v>
      </c>
      <c r="P619" s="23">
        <f ca="1">IFERROR(__xludf.DUMMYFUNCTION("""COMPUTED_VALUE"""),-4.2755)</f>
        <v>-4.2755000000000001</v>
      </c>
      <c r="Q619" s="24">
        <f ca="1">IFERROR(__xludf.DUMMYFUNCTION("""COMPUTED_VALUE"""),-4.14595249856658)</f>
        <v>-4.1459524985665803</v>
      </c>
      <c r="R619" s="20"/>
    </row>
    <row r="620" spans="1:18" ht="13.2" hidden="1" outlineLevel="1" x14ac:dyDescent="0.25">
      <c r="A620" s="1"/>
      <c r="B620" s="21" t="str">
        <f ca="1">IFERROR(__xludf.DUMMYFUNCTION("""COMPUTED_VALUE"""),"Querosenos")</f>
        <v>Querosenos</v>
      </c>
      <c r="C620" s="22">
        <f ca="1">IFERROR(__xludf.DUMMYFUNCTION("""COMPUTED_VALUE"""),-0.0835)</f>
        <v>-8.3500000000000005E-2</v>
      </c>
      <c r="D620" s="23">
        <f ca="1">IFERROR(__xludf.DUMMYFUNCTION("""COMPUTED_VALUE"""),-0.8162)</f>
        <v>-0.81620000000000004</v>
      </c>
      <c r="E620" s="23">
        <f ca="1">IFERROR(__xludf.DUMMYFUNCTION("""COMPUTED_VALUE"""),-0.7293)</f>
        <v>-0.72929999999999995</v>
      </c>
      <c r="F620" s="23">
        <f ca="1">IFERROR(__xludf.DUMMYFUNCTION("""COMPUTED_VALUE"""),-0.2359)</f>
        <v>-0.2359</v>
      </c>
      <c r="G620" s="23">
        <f ca="1">IFERROR(__xludf.DUMMYFUNCTION("""COMPUTED_VALUE"""),-0.113258834219438)</f>
        <v>-0.113258834219438</v>
      </c>
      <c r="H620" s="23">
        <f ca="1">IFERROR(__xludf.DUMMYFUNCTION("""COMPUTED_VALUE"""),-0.0987251539480316)</f>
        <v>-9.8725153948031594E-2</v>
      </c>
      <c r="I620" s="23">
        <f ca="1">IFERROR(__xludf.DUMMYFUNCTION("""COMPUTED_VALUE"""),-0.086)</f>
        <v>-8.5999999999999993E-2</v>
      </c>
      <c r="J620" s="23">
        <f ca="1">IFERROR(__xludf.DUMMYFUNCTION("""COMPUTED_VALUE"""),-0.0347852719590242)</f>
        <v>-3.47852719590242E-2</v>
      </c>
      <c r="K620" s="23">
        <f ca="1">IFERROR(__xludf.DUMMYFUNCTION("""COMPUTED_VALUE"""),-0.0265918434236902)</f>
        <v>-2.6591843423690201E-2</v>
      </c>
      <c r="L620" s="23">
        <f ca="1">IFERROR(__xludf.DUMMYFUNCTION("""COMPUTED_VALUE"""),-0.00645925198865686)</f>
        <v>-6.4592519886568604E-3</v>
      </c>
      <c r="M620" s="23">
        <f ca="1">IFERROR(__xludf.DUMMYFUNCTION("""COMPUTED_VALUE"""),0)</f>
        <v>0</v>
      </c>
      <c r="N620" s="23">
        <f ca="1">IFERROR(__xludf.DUMMYFUNCTION("""COMPUTED_VALUE"""),0)</f>
        <v>0</v>
      </c>
      <c r="O620" s="23">
        <f ca="1">IFERROR(__xludf.DUMMYFUNCTION("""COMPUTED_VALUE"""),0)</f>
        <v>0</v>
      </c>
      <c r="P620" s="23">
        <f ca="1">IFERROR(__xludf.DUMMYFUNCTION("""COMPUTED_VALUE"""),0)</f>
        <v>0</v>
      </c>
      <c r="Q620" s="24">
        <f ca="1">IFERROR(__xludf.DUMMYFUNCTION("""COMPUTED_VALUE"""),0)</f>
        <v>0</v>
      </c>
      <c r="R620" s="20"/>
    </row>
    <row r="621" spans="1:18" ht="13.2" hidden="1" outlineLevel="1" x14ac:dyDescent="0.25">
      <c r="A621" s="1"/>
      <c r="B621" s="21" t="str">
        <f ca="1">IFERROR(__xludf.DUMMYFUNCTION("""COMPUTED_VALUE"""),"Diesel")</f>
        <v>Diesel</v>
      </c>
      <c r="C621" s="22">
        <f ca="1">IFERROR(__xludf.DUMMYFUNCTION("""COMPUTED_VALUE"""),-59.6582)</f>
        <v>-59.658200000000001</v>
      </c>
      <c r="D621" s="23">
        <f ca="1">IFERROR(__xludf.DUMMYFUNCTION("""COMPUTED_VALUE"""),-58.0971)</f>
        <v>-58.097099999999998</v>
      </c>
      <c r="E621" s="23">
        <f ca="1">IFERROR(__xludf.DUMMYFUNCTION("""COMPUTED_VALUE"""),-36.1115)</f>
        <v>-36.111499999999999</v>
      </c>
      <c r="F621" s="23">
        <f ca="1">IFERROR(__xludf.DUMMYFUNCTION("""COMPUTED_VALUE"""),-28.88)</f>
        <v>-28.88</v>
      </c>
      <c r="G621" s="23">
        <f ca="1">IFERROR(__xludf.DUMMYFUNCTION("""COMPUTED_VALUE"""),-72.862487522169)</f>
        <v>-72.862487522169005</v>
      </c>
      <c r="H621" s="23">
        <f ca="1">IFERROR(__xludf.DUMMYFUNCTION("""COMPUTED_VALUE"""),-80.7450214664634)</f>
        <v>-80.745021466463399</v>
      </c>
      <c r="I621" s="23">
        <f ca="1">IFERROR(__xludf.DUMMYFUNCTION("""COMPUTED_VALUE"""),-58.914)</f>
        <v>-58.914000000000001</v>
      </c>
      <c r="J621" s="23">
        <f ca="1">IFERROR(__xludf.DUMMYFUNCTION("""COMPUTED_VALUE"""),-48.312097379595)</f>
        <v>-48.312097379595002</v>
      </c>
      <c r="K621" s="23">
        <f ca="1">IFERROR(__xludf.DUMMYFUNCTION("""COMPUTED_VALUE"""),-54.7100296226586)</f>
        <v>-54.710029622658602</v>
      </c>
      <c r="L621" s="23">
        <f ca="1">IFERROR(__xludf.DUMMYFUNCTION("""COMPUTED_VALUE"""),-42.8471998484364)</f>
        <v>-42.847199848436397</v>
      </c>
      <c r="M621" s="23">
        <f ca="1">IFERROR(__xludf.DUMMYFUNCTION("""COMPUTED_VALUE"""),-39.5577502623621)</f>
        <v>-39.557750262362099</v>
      </c>
      <c r="N621" s="23">
        <f ca="1">IFERROR(__xludf.DUMMYFUNCTION("""COMPUTED_VALUE"""),-39.4999110582686)</f>
        <v>-39.499911058268601</v>
      </c>
      <c r="O621" s="23">
        <f ca="1">IFERROR(__xludf.DUMMYFUNCTION("""COMPUTED_VALUE"""),-22.5517042947133)</f>
        <v>-22.5517042947133</v>
      </c>
      <c r="P621" s="23">
        <f ca="1">IFERROR(__xludf.DUMMYFUNCTION("""COMPUTED_VALUE"""),-24.51)</f>
        <v>-24.51</v>
      </c>
      <c r="Q621" s="24">
        <f ca="1">IFERROR(__xludf.DUMMYFUNCTION("""COMPUTED_VALUE"""),-23.9358917089103)</f>
        <v>-23.935891708910301</v>
      </c>
      <c r="R621" s="20"/>
    </row>
    <row r="622" spans="1:18" ht="13.2" hidden="1" outlineLevel="1" x14ac:dyDescent="0.25">
      <c r="A622" s="1"/>
      <c r="B622" s="21" t="str">
        <f ca="1">IFERROR(__xludf.DUMMYFUNCTION("""COMPUTED_VALUE"""),"Combustóleo")</f>
        <v>Combustóleo</v>
      </c>
      <c r="C622" s="22">
        <f ca="1">IFERROR(__xludf.DUMMYFUNCTION("""COMPUTED_VALUE"""),-68.55)</f>
        <v>-68.55</v>
      </c>
      <c r="D622" s="23">
        <f ca="1">IFERROR(__xludf.DUMMYFUNCTION("""COMPUTED_VALUE"""),-83.8)</f>
        <v>-83.8</v>
      </c>
      <c r="E622" s="23">
        <f ca="1">IFERROR(__xludf.DUMMYFUNCTION("""COMPUTED_VALUE"""),-80.5)</f>
        <v>-80.5</v>
      </c>
      <c r="F622" s="23">
        <f ca="1">IFERROR(__xludf.DUMMYFUNCTION("""COMPUTED_VALUE"""),-37.82)</f>
        <v>-37.82</v>
      </c>
      <c r="G622" s="23">
        <f ca="1">IFERROR(__xludf.DUMMYFUNCTION("""COMPUTED_VALUE"""),-59.4717993478712)</f>
        <v>-59.471799347871197</v>
      </c>
      <c r="H622" s="23">
        <f ca="1">IFERROR(__xludf.DUMMYFUNCTION("""COMPUTED_VALUE"""),-57.132328751686)</f>
        <v>-57.132328751686003</v>
      </c>
      <c r="I622" s="23">
        <f ca="1">IFERROR(__xludf.DUMMYFUNCTION("""COMPUTED_VALUE"""),-51.341)</f>
        <v>-51.341000000000001</v>
      </c>
      <c r="J622" s="23">
        <f ca="1">IFERROR(__xludf.DUMMYFUNCTION("""COMPUTED_VALUE"""),-35.2438203238977)</f>
        <v>-35.243820323897701</v>
      </c>
      <c r="K622" s="23">
        <f ca="1">IFERROR(__xludf.DUMMYFUNCTION("""COMPUTED_VALUE"""),-42.9857158129492)</f>
        <v>-42.985715812949202</v>
      </c>
      <c r="L622" s="23">
        <f ca="1">IFERROR(__xludf.DUMMYFUNCTION("""COMPUTED_VALUE"""),-36.274830206198)</f>
        <v>-36.274830206197997</v>
      </c>
      <c r="M622" s="23">
        <f ca="1">IFERROR(__xludf.DUMMYFUNCTION("""COMPUTED_VALUE"""),-26.8951710931778)</f>
        <v>-26.895171093177801</v>
      </c>
      <c r="N622" s="23">
        <f ca="1">IFERROR(__xludf.DUMMYFUNCTION("""COMPUTED_VALUE"""),-30.2982283294235)</f>
        <v>-30.298228329423502</v>
      </c>
      <c r="O622" s="23">
        <f ca="1">IFERROR(__xludf.DUMMYFUNCTION("""COMPUTED_VALUE"""),-32.2485647090089)</f>
        <v>-32.248564709008903</v>
      </c>
      <c r="P622" s="23">
        <f ca="1">IFERROR(__xludf.DUMMYFUNCTION("""COMPUTED_VALUE"""),-36.07)</f>
        <v>-36.07</v>
      </c>
      <c r="Q622" s="24">
        <f ca="1">IFERROR(__xludf.DUMMYFUNCTION("""COMPUTED_VALUE"""),-30.2354072930357)</f>
        <v>-30.235407293035699</v>
      </c>
      <c r="R622" s="20"/>
    </row>
    <row r="623" spans="1:18" ht="13.2" hidden="1" outlineLevel="1" x14ac:dyDescent="0.25">
      <c r="A623" s="1"/>
      <c r="B623" s="21" t="str">
        <f ca="1">IFERROR(__xludf.DUMMYFUNCTION("""COMPUTED_VALUE"""),"Otros energéticos")</f>
        <v>Otros energéticos</v>
      </c>
      <c r="C623" s="22">
        <f ca="1">IFERROR(__xludf.DUMMYFUNCTION("""COMPUTED_VALUE"""),-4.57)</f>
        <v>-4.57</v>
      </c>
      <c r="D623" s="23">
        <f ca="1">IFERROR(__xludf.DUMMYFUNCTION("""COMPUTED_VALUE"""),-5.11)</f>
        <v>-5.1100000000000003</v>
      </c>
      <c r="E623" s="23">
        <f ca="1">IFERROR(__xludf.DUMMYFUNCTION("""COMPUTED_VALUE"""),-5.08)</f>
        <v>-5.08</v>
      </c>
      <c r="F623" s="23">
        <f ca="1">IFERROR(__xludf.DUMMYFUNCTION("""COMPUTED_VALUE"""),-10.74)</f>
        <v>-10.74</v>
      </c>
      <c r="G623" s="23">
        <f ca="1">IFERROR(__xludf.DUMMYFUNCTION("""COMPUTED_VALUE"""),-6.18258855219688)</f>
        <v>-6.1825885521968802</v>
      </c>
      <c r="H623" s="23">
        <f ca="1">IFERROR(__xludf.DUMMYFUNCTION("""COMPUTED_VALUE"""),-5.27421182898743)</f>
        <v>-5.27421182898743</v>
      </c>
      <c r="I623" s="23">
        <f ca="1">IFERROR(__xludf.DUMMYFUNCTION("""COMPUTED_VALUE"""),-70.402)</f>
        <v>-70.402000000000001</v>
      </c>
      <c r="J623" s="23">
        <f ca="1">IFERROR(__xludf.DUMMYFUNCTION("""COMPUTED_VALUE"""),-106.414493308243)</f>
        <v>-106.414493308243</v>
      </c>
      <c r="K623" s="23">
        <f ca="1">IFERROR(__xludf.DUMMYFUNCTION("""COMPUTED_VALUE"""),-89.4402932065955)</f>
        <v>-89.440293206595499</v>
      </c>
      <c r="L623" s="23">
        <f ca="1">IFERROR(__xludf.DUMMYFUNCTION("""COMPUTED_VALUE"""),-67.6492937754883)</f>
        <v>-67.649293775488303</v>
      </c>
      <c r="M623" s="23">
        <f ca="1">IFERROR(__xludf.DUMMYFUNCTION("""COMPUTED_VALUE"""),-56.2210513550414)</f>
        <v>-56.221051355041403</v>
      </c>
      <c r="N623" s="23">
        <f ca="1">IFERROR(__xludf.DUMMYFUNCTION("""COMPUTED_VALUE"""),-25.8816778501631)</f>
        <v>-25.881677850163101</v>
      </c>
      <c r="O623" s="23">
        <f ca="1">IFERROR(__xludf.DUMMYFUNCTION("""COMPUTED_VALUE"""),-9.95647566733891)</f>
        <v>-9.9564756673389105</v>
      </c>
      <c r="P623" s="23">
        <f ca="1">IFERROR(__xludf.DUMMYFUNCTION("""COMPUTED_VALUE"""),-22.932)</f>
        <v>-22.931999999999999</v>
      </c>
      <c r="Q623" s="24">
        <f ca="1">IFERROR(__xludf.DUMMYFUNCTION("""COMPUTED_VALUE"""),-23.0380500766999)</f>
        <v>-23.0380500766999</v>
      </c>
      <c r="R623" s="20"/>
    </row>
    <row r="624" spans="1:18" ht="13.2" hidden="1" outlineLevel="1" x14ac:dyDescent="0.25">
      <c r="A624" s="1"/>
      <c r="B624" s="21" t="str">
        <f ca="1">IFERROR(__xludf.DUMMYFUNCTION("""COMPUTED_VALUE"""),"Gas natural seco")</f>
        <v>Gas natural seco</v>
      </c>
      <c r="C624" s="22">
        <f ca="1">IFERROR(__xludf.DUMMYFUNCTION("""COMPUTED_VALUE"""),-729.428)</f>
        <v>-729.428</v>
      </c>
      <c r="D624" s="23">
        <f ca="1">IFERROR(__xludf.DUMMYFUNCTION("""COMPUTED_VALUE"""),-937.898)</f>
        <v>-937.89800000000002</v>
      </c>
      <c r="E624" s="23">
        <f ca="1">IFERROR(__xludf.DUMMYFUNCTION("""COMPUTED_VALUE"""),-816.397)</f>
        <v>-816.39700000000005</v>
      </c>
      <c r="F624" s="23">
        <f ca="1">IFERROR(__xludf.DUMMYFUNCTION("""COMPUTED_VALUE"""),-951.483)</f>
        <v>-951.48299999999995</v>
      </c>
      <c r="G624" s="23">
        <f ca="1">IFERROR(__xludf.DUMMYFUNCTION("""COMPUTED_VALUE"""),-845.376158909658)</f>
        <v>-845.37615890965799</v>
      </c>
      <c r="H624" s="23">
        <f ca="1">IFERROR(__xludf.DUMMYFUNCTION("""COMPUTED_VALUE"""),-844.74806115245)</f>
        <v>-844.74806115244996</v>
      </c>
      <c r="I624" s="23">
        <f ca="1">IFERROR(__xludf.DUMMYFUNCTION("""COMPUTED_VALUE"""),-899.712)</f>
        <v>-899.71199999999999</v>
      </c>
      <c r="J624" s="23">
        <f ca="1">IFERROR(__xludf.DUMMYFUNCTION("""COMPUTED_VALUE"""),-818.066481610755)</f>
        <v>-818.06648161075498</v>
      </c>
      <c r="K624" s="23">
        <f ca="1">IFERROR(__xludf.DUMMYFUNCTION("""COMPUTED_VALUE"""),-720.958124866645)</f>
        <v>-720.95812486664499</v>
      </c>
      <c r="L624" s="23">
        <f ca="1">IFERROR(__xludf.DUMMYFUNCTION("""COMPUTED_VALUE"""),-768.986428099305)</f>
        <v>-768.98642809930504</v>
      </c>
      <c r="M624" s="23">
        <f ca="1">IFERROR(__xludf.DUMMYFUNCTION("""COMPUTED_VALUE"""),-755.288964292995)</f>
        <v>-755.28896429299505</v>
      </c>
      <c r="N624" s="23">
        <f ca="1">IFERROR(__xludf.DUMMYFUNCTION("""COMPUTED_VALUE"""),-779.456701084437)</f>
        <v>-779.45670108443699</v>
      </c>
      <c r="O624" s="23">
        <f ca="1">IFERROR(__xludf.DUMMYFUNCTION("""COMPUTED_VALUE"""),-818.359224764341)</f>
        <v>-818.35922476434098</v>
      </c>
      <c r="P624" s="23">
        <f ca="1">IFERROR(__xludf.DUMMYFUNCTION("""COMPUTED_VALUE"""),-709.358)</f>
        <v>-709.35799999999995</v>
      </c>
      <c r="Q624" s="24">
        <f ca="1">IFERROR(__xludf.DUMMYFUNCTION("""COMPUTED_VALUE"""),-709.428609113954)</f>
        <v>-709.42860911395405</v>
      </c>
      <c r="R624" s="20"/>
    </row>
    <row r="625" spans="1:18" ht="13.2" hidden="1" outlineLevel="1" x14ac:dyDescent="0.25">
      <c r="A625" s="1"/>
      <c r="B625" s="25" t="str">
        <f ca="1">IFERROR(__xludf.DUMMYFUNCTION("""COMPUTED_VALUE"""),"Energía eléctrica")</f>
        <v>Energía eléctrica</v>
      </c>
      <c r="C625" s="26">
        <f ca="1">IFERROR(__xludf.DUMMYFUNCTION("""COMPUTED_VALUE"""),-45.9137869245584)</f>
        <v>-45.913786924558401</v>
      </c>
      <c r="D625" s="27">
        <f ca="1">IFERROR(__xludf.DUMMYFUNCTION("""COMPUTED_VALUE"""),-57.2394669052624)</f>
        <v>-57.239466905262397</v>
      </c>
      <c r="E625" s="27">
        <f ca="1">IFERROR(__xludf.DUMMYFUNCTION("""COMPUTED_VALUE"""),-50.4295617456699)</f>
        <v>-50.429561745669901</v>
      </c>
      <c r="F625" s="27">
        <f ca="1">IFERROR(__xludf.DUMMYFUNCTION("""COMPUTED_VALUE"""),-59.4150960528589)</f>
        <v>-59.4150960528589</v>
      </c>
      <c r="G625" s="27">
        <f ca="1">IFERROR(__xludf.DUMMYFUNCTION("""COMPUTED_VALUE"""),-55.5066935939055)</f>
        <v>-55.506693593905503</v>
      </c>
      <c r="H625" s="27">
        <f ca="1">IFERROR(__xludf.DUMMYFUNCTION("""COMPUTED_VALUE"""),-53.2230828396434)</f>
        <v>-53.223082839643403</v>
      </c>
      <c r="I625" s="27">
        <f ca="1">IFERROR(__xludf.DUMMYFUNCTION("""COMPUTED_VALUE"""),-59.8427410821923)</f>
        <v>-59.842741082192298</v>
      </c>
      <c r="J625" s="27">
        <f ca="1">IFERROR(__xludf.DUMMYFUNCTION("""COMPUTED_VALUE"""),-51.3724379211227)</f>
        <v>-51.372437921122703</v>
      </c>
      <c r="K625" s="27">
        <f ca="1">IFERROR(__xludf.DUMMYFUNCTION("""COMPUTED_VALUE"""),-57.6639201037874)</f>
        <v>-57.663920103787397</v>
      </c>
      <c r="L625" s="27">
        <f ca="1">IFERROR(__xludf.DUMMYFUNCTION("""COMPUTED_VALUE"""),-60.0391755998563)</f>
        <v>-60.0391755998563</v>
      </c>
      <c r="M625" s="27">
        <f ca="1">IFERROR(__xludf.DUMMYFUNCTION("""COMPUTED_VALUE"""),-71.642812464307)</f>
        <v>-71.642812464306999</v>
      </c>
      <c r="N625" s="27">
        <f ca="1">IFERROR(__xludf.DUMMYFUNCTION("""COMPUTED_VALUE"""),-56.897155982614)</f>
        <v>-56.897155982614002</v>
      </c>
      <c r="O625" s="27">
        <f ca="1">IFERROR(__xludf.DUMMYFUNCTION("""COMPUTED_VALUE"""),-56.6358934605375)</f>
        <v>-56.635893460537503</v>
      </c>
      <c r="P625" s="27">
        <f ca="1">IFERROR(__xludf.DUMMYFUNCTION("""COMPUTED_VALUE"""),-80.5222926401192)</f>
        <v>-80.522292640119204</v>
      </c>
      <c r="Q625" s="28">
        <f ca="1">IFERROR(__xludf.DUMMYFUNCTION("""COMPUTED_VALUE"""),-67.890661686949)</f>
        <v>-67.890661686949002</v>
      </c>
      <c r="R625" s="20"/>
    </row>
    <row r="626" spans="1:18" ht="13.2" hidden="1" outlineLevel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0"/>
    </row>
    <row r="627" spans="1:18" ht="13.2" collapsed="1" x14ac:dyDescent="0.25">
      <c r="A627" s="29"/>
      <c r="B627" s="5" t="str">
        <f ca="1">IFERROR(__xludf.DUMMYFUNCTION("""COMPUTED_VALUE"""),"DifEst(e,a)")</f>
        <v>DifEst(e,a)</v>
      </c>
      <c r="C627" s="6" t="str">
        <f ca="1">IFERROR(__xludf.DUMMYFUNCTION("""COMPUTED_VALUE"""),"-/+")</f>
        <v>-/+</v>
      </c>
      <c r="D627" s="7" t="str">
        <f ca="1">IFERROR(__xludf.DUMMYFUNCTION("""COMPUTED_VALUE"""),"Diferencia estadística por energético e y año a.")</f>
        <v>Diferencia estadística por energético e y año a.</v>
      </c>
      <c r="E627" s="6" t="str">
        <f ca="1">IFERROR(__xludf.DUMMYFUNCTION("""COMPUTED_VALUE"""),"cbne")</f>
        <v>cbne</v>
      </c>
      <c r="F627" s="6" t="str">
        <f ca="1">IFERROR(__xludf.DUMMYFUNCTION("""COMPUTED_VALUE"""),"a")</f>
        <v>a</v>
      </c>
      <c r="G627" s="8" t="str">
        <f ca="1">IFERROR(__xludf.DUMMYFUNCTION("""COMPUTED_VALUE"""),"PJ")</f>
        <v>PJ</v>
      </c>
      <c r="H627" s="9"/>
      <c r="I627" s="1"/>
      <c r="J627" s="1"/>
      <c r="K627" s="1"/>
      <c r="L627" s="1"/>
      <c r="M627" s="1"/>
      <c r="N627" s="1"/>
      <c r="O627" s="1"/>
      <c r="P627" s="1"/>
      <c r="Q627" s="1"/>
      <c r="R627" s="10"/>
    </row>
    <row r="628" spans="1:18" ht="13.2" hidden="1" outlineLevel="1" x14ac:dyDescent="0.25">
      <c r="A628" s="1"/>
      <c r="B628" s="11"/>
      <c r="C628" s="12">
        <f ca="1">IFERROR(__xludf.DUMMYFUNCTION("""COMPUTED_VALUE"""),2010)</f>
        <v>2010</v>
      </c>
      <c r="D628" s="13">
        <f ca="1">IFERROR(__xludf.DUMMYFUNCTION("""COMPUTED_VALUE"""),2011)</f>
        <v>2011</v>
      </c>
      <c r="E628" s="13">
        <f ca="1">IFERROR(__xludf.DUMMYFUNCTION("""COMPUTED_VALUE"""),2012)</f>
        <v>2012</v>
      </c>
      <c r="F628" s="13">
        <f ca="1">IFERROR(__xludf.DUMMYFUNCTION("""COMPUTED_VALUE"""),2013)</f>
        <v>2013</v>
      </c>
      <c r="G628" s="13">
        <f ca="1">IFERROR(__xludf.DUMMYFUNCTION("""COMPUTED_VALUE"""),2014)</f>
        <v>2014</v>
      </c>
      <c r="H628" s="13">
        <f ca="1">IFERROR(__xludf.DUMMYFUNCTION("""COMPUTED_VALUE"""),2015)</f>
        <v>2015</v>
      </c>
      <c r="I628" s="13">
        <f ca="1">IFERROR(__xludf.DUMMYFUNCTION("""COMPUTED_VALUE"""),2016)</f>
        <v>2016</v>
      </c>
      <c r="J628" s="13">
        <f ca="1">IFERROR(__xludf.DUMMYFUNCTION("""COMPUTED_VALUE"""),2017)</f>
        <v>2017</v>
      </c>
      <c r="K628" s="13">
        <f ca="1">IFERROR(__xludf.DUMMYFUNCTION("""COMPUTED_VALUE"""),2018)</f>
        <v>2018</v>
      </c>
      <c r="L628" s="13">
        <f ca="1">IFERROR(__xludf.DUMMYFUNCTION("""COMPUTED_VALUE"""),2019)</f>
        <v>2019</v>
      </c>
      <c r="M628" s="13">
        <f ca="1">IFERROR(__xludf.DUMMYFUNCTION("""COMPUTED_VALUE"""),2020)</f>
        <v>2020</v>
      </c>
      <c r="N628" s="13">
        <f ca="1">IFERROR(__xludf.DUMMYFUNCTION("""COMPUTED_VALUE"""),2021)</f>
        <v>2021</v>
      </c>
      <c r="O628" s="13">
        <f ca="1">IFERROR(__xludf.DUMMYFUNCTION("""COMPUTED_VALUE"""),2022)</f>
        <v>2022</v>
      </c>
      <c r="P628" s="13">
        <f ca="1">IFERROR(__xludf.DUMMYFUNCTION("""COMPUTED_VALUE"""),2023)</f>
        <v>2023</v>
      </c>
      <c r="Q628" s="14">
        <f ca="1">IFERROR(__xludf.DUMMYFUNCTION("""COMPUTED_VALUE"""),2024)</f>
        <v>2024</v>
      </c>
      <c r="R628" s="15"/>
    </row>
    <row r="629" spans="1:18" ht="13.2" hidden="1" outlineLevel="1" x14ac:dyDescent="0.25">
      <c r="A629" s="1"/>
      <c r="B629" s="16" t="str">
        <f ca="1">IFERROR(__xludf.DUMMYFUNCTION("""COMPUTED_VALUE"""),"Carbón mineral")</f>
        <v>Carbón mineral</v>
      </c>
      <c r="C629" s="17">
        <f ca="1">IFERROR(__xludf.DUMMYFUNCTION("""COMPUTED_VALUE"""),0)</f>
        <v>0</v>
      </c>
      <c r="D629" s="18">
        <f ca="1">IFERROR(__xludf.DUMMYFUNCTION("""COMPUTED_VALUE"""),0)</f>
        <v>0</v>
      </c>
      <c r="E629" s="18">
        <f ca="1">IFERROR(__xludf.DUMMYFUNCTION("""COMPUTED_VALUE"""),0)</f>
        <v>0</v>
      </c>
      <c r="F629" s="18">
        <f ca="1">IFERROR(__xludf.DUMMYFUNCTION("""COMPUTED_VALUE"""),0)</f>
        <v>0</v>
      </c>
      <c r="G629" s="18">
        <f ca="1">IFERROR(__xludf.DUMMYFUNCTION("""COMPUTED_VALUE"""),0)</f>
        <v>0</v>
      </c>
      <c r="H629" s="18">
        <f ca="1">IFERROR(__xludf.DUMMYFUNCTION("""COMPUTED_VALUE"""),0)</f>
        <v>0</v>
      </c>
      <c r="I629" s="18">
        <f ca="1">IFERROR(__xludf.DUMMYFUNCTION("""COMPUTED_VALUE"""),0)</f>
        <v>0</v>
      </c>
      <c r="J629" s="18">
        <f ca="1">IFERROR(__xludf.DUMMYFUNCTION("""COMPUTED_VALUE"""),0)</f>
        <v>0</v>
      </c>
      <c r="K629" s="18">
        <f ca="1">IFERROR(__xludf.DUMMYFUNCTION("""COMPUTED_VALUE"""),0)</f>
        <v>0</v>
      </c>
      <c r="L629" s="18">
        <f ca="1">IFERROR(__xludf.DUMMYFUNCTION("""COMPUTED_VALUE"""),0)</f>
        <v>0</v>
      </c>
      <c r="M629" s="18">
        <f ca="1">IFERROR(__xludf.DUMMYFUNCTION("""COMPUTED_VALUE"""),0)</f>
        <v>0</v>
      </c>
      <c r="N629" s="18">
        <f ca="1">IFERROR(__xludf.DUMMYFUNCTION("""COMPUTED_VALUE"""),0)</f>
        <v>0</v>
      </c>
      <c r="O629" s="18">
        <f ca="1">IFERROR(__xludf.DUMMYFUNCTION("""COMPUTED_VALUE"""),0)</f>
        <v>0</v>
      </c>
      <c r="P629" s="18">
        <f ca="1">IFERROR(__xludf.DUMMYFUNCTION("""COMPUTED_VALUE"""),0)</f>
        <v>0</v>
      </c>
      <c r="Q629" s="19">
        <f ca="1">IFERROR(__xludf.DUMMYFUNCTION("""COMPUTED_VALUE"""),0)</f>
        <v>0</v>
      </c>
      <c r="R629" s="20"/>
    </row>
    <row r="630" spans="1:18" ht="13.2" hidden="1" outlineLevel="1" x14ac:dyDescent="0.25">
      <c r="A630" s="1"/>
      <c r="B630" s="21" t="str">
        <f ca="1">IFERROR(__xludf.DUMMYFUNCTION("""COMPUTED_VALUE"""),"Petróleo crudo")</f>
        <v>Petróleo crudo</v>
      </c>
      <c r="C630" s="22">
        <f ca="1">IFERROR(__xludf.DUMMYFUNCTION("""COMPUTED_VALUE"""),13.28641)</f>
        <v>13.28641</v>
      </c>
      <c r="D630" s="23">
        <f ca="1">IFERROR(__xludf.DUMMYFUNCTION("""COMPUTED_VALUE"""),-3.18659)</f>
        <v>-3.1865899999999998</v>
      </c>
      <c r="E630" s="23">
        <f ca="1">IFERROR(__xludf.DUMMYFUNCTION("""COMPUTED_VALUE"""),7.751698)</f>
        <v>7.7516980000000002</v>
      </c>
      <c r="F630" s="23">
        <f ca="1">IFERROR(__xludf.DUMMYFUNCTION("""COMPUTED_VALUE"""),21.084169)</f>
        <v>21.084168999999999</v>
      </c>
      <c r="G630" s="23">
        <f ca="1">IFERROR(__xludf.DUMMYFUNCTION("""COMPUTED_VALUE"""),32.13)</f>
        <v>32.130000000000003</v>
      </c>
      <c r="H630" s="23">
        <f ca="1">IFERROR(__xludf.DUMMYFUNCTION("""COMPUTED_VALUE"""),71.53)</f>
        <v>71.53</v>
      </c>
      <c r="I630" s="23">
        <f ca="1">IFERROR(__xludf.DUMMYFUNCTION("""COMPUTED_VALUE"""),45.16)</f>
        <v>45.16</v>
      </c>
      <c r="J630" s="23">
        <f ca="1">IFERROR(__xludf.DUMMYFUNCTION("""COMPUTED_VALUE"""),24.36)</f>
        <v>24.36</v>
      </c>
      <c r="K630" s="23">
        <f ca="1">IFERROR(__xludf.DUMMYFUNCTION("""COMPUTED_VALUE"""),4.26056082223283)</f>
        <v>4.2605608222328302</v>
      </c>
      <c r="L630" s="23">
        <f ca="1">IFERROR(__xludf.DUMMYFUNCTION("""COMPUTED_VALUE"""),73.3521455723874)</f>
        <v>73.3521455723874</v>
      </c>
      <c r="M630" s="23">
        <f ca="1">IFERROR(__xludf.DUMMYFUNCTION("""COMPUTED_VALUE"""),23.2407803616064)</f>
        <v>23.240780361606401</v>
      </c>
      <c r="N630" s="23">
        <f ca="1">IFERROR(__xludf.DUMMYFUNCTION("""COMPUTED_VALUE"""),59.597632287984)</f>
        <v>59.597632287983998</v>
      </c>
      <c r="O630" s="23">
        <f ca="1">IFERROR(__xludf.DUMMYFUNCTION("""COMPUTED_VALUE"""),-1.86211413234061)</f>
        <v>-1.8621141323406101</v>
      </c>
      <c r="P630" s="23">
        <f ca="1">IFERROR(__xludf.DUMMYFUNCTION("""COMPUTED_VALUE"""),36.1324938679328)</f>
        <v>36.132493867932801</v>
      </c>
      <c r="Q630" s="24">
        <f ca="1">IFERROR(__xludf.DUMMYFUNCTION("""COMPUTED_VALUE"""),69.8174190512637)</f>
        <v>69.817419051263698</v>
      </c>
      <c r="R630" s="20"/>
    </row>
    <row r="631" spans="1:18" ht="13.2" hidden="1" outlineLevel="1" x14ac:dyDescent="0.25">
      <c r="A631" s="1"/>
      <c r="B631" s="21" t="str">
        <f ca="1">IFERROR(__xludf.DUMMYFUNCTION("""COMPUTED_VALUE"""),"Condensados")</f>
        <v>Condensados</v>
      </c>
      <c r="C631" s="22">
        <f ca="1">IFERROR(__xludf.DUMMYFUNCTION("""COMPUTED_VALUE"""),0.34863)</f>
        <v>0.34863</v>
      </c>
      <c r="D631" s="23">
        <f ca="1">IFERROR(__xludf.DUMMYFUNCTION("""COMPUTED_VALUE"""),0.292019999999994)</f>
        <v>0.29201999999999401</v>
      </c>
      <c r="E631" s="23">
        <f ca="1">IFERROR(__xludf.DUMMYFUNCTION("""COMPUTED_VALUE"""),0.29694)</f>
        <v>0.29693999999999998</v>
      </c>
      <c r="F631" s="23">
        <f ca="1">IFERROR(__xludf.DUMMYFUNCTION("""COMPUTED_VALUE"""),-0.4796)</f>
        <v>-0.47960000000000003</v>
      </c>
      <c r="G631" s="23">
        <f ca="1">IFERROR(__xludf.DUMMYFUNCTION("""COMPUTED_VALUE"""),-0.234679049743832)</f>
        <v>-0.234679049743832</v>
      </c>
      <c r="H631" s="23">
        <f ca="1">IFERROR(__xludf.DUMMYFUNCTION("""COMPUTED_VALUE"""),-0.401036499189871)</f>
        <v>-0.401036499189871</v>
      </c>
      <c r="I631" s="23">
        <f ca="1">IFERROR(__xludf.DUMMYFUNCTION("""COMPUTED_VALUE"""),-0.747)</f>
        <v>-0.747</v>
      </c>
      <c r="J631" s="23">
        <f ca="1">IFERROR(__xludf.DUMMYFUNCTION("""COMPUTED_VALUE"""),-1.86195981079644)</f>
        <v>-1.8619598107964399</v>
      </c>
      <c r="K631" s="23">
        <f ca="1">IFERROR(__xludf.DUMMYFUNCTION("""COMPUTED_VALUE"""),-6.05188619869098)</f>
        <v>-6.0518861986909798</v>
      </c>
      <c r="L631" s="23">
        <f ca="1">IFERROR(__xludf.DUMMYFUNCTION("""COMPUTED_VALUE"""),-5.8856005381192)</f>
        <v>-5.8856005381192</v>
      </c>
      <c r="M631" s="23">
        <f ca="1">IFERROR(__xludf.DUMMYFUNCTION("""COMPUTED_VALUE"""),4.28628118983376)</f>
        <v>4.2862811898337601</v>
      </c>
      <c r="N631" s="23">
        <f ca="1">IFERROR(__xludf.DUMMYFUNCTION("""COMPUTED_VALUE"""),-2.5791453099053)</f>
        <v>-2.5791453099053001</v>
      </c>
      <c r="O631" s="23">
        <f ca="1">IFERROR(__xludf.DUMMYFUNCTION("""COMPUTED_VALUE"""),2.61000000000001)</f>
        <v>2.6100000000000101</v>
      </c>
      <c r="P631" s="23">
        <f ca="1">IFERROR(__xludf.DUMMYFUNCTION("""COMPUTED_VALUE"""),-0.230000000000246)</f>
        <v>-0.23000000000024601</v>
      </c>
      <c r="Q631" s="24">
        <f ca="1">IFERROR(__xludf.DUMMYFUNCTION("""COMPUTED_VALUE"""),1.63)</f>
        <v>1.63</v>
      </c>
      <c r="R631" s="20"/>
    </row>
    <row r="632" spans="1:18" ht="13.2" hidden="1" outlineLevel="1" x14ac:dyDescent="0.25">
      <c r="A632" s="1"/>
      <c r="B632" s="21" t="str">
        <f ca="1">IFERROR(__xludf.DUMMYFUNCTION("""COMPUTED_VALUE"""),"Gas natural")</f>
        <v>Gas natural</v>
      </c>
      <c r="C632" s="22">
        <f ca="1">IFERROR(__xludf.DUMMYFUNCTION("""COMPUTED_VALUE"""),0)</f>
        <v>0</v>
      </c>
      <c r="D632" s="23">
        <f ca="1">IFERROR(__xludf.DUMMYFUNCTION("""COMPUTED_VALUE"""),0)</f>
        <v>0</v>
      </c>
      <c r="E632" s="23">
        <f ca="1">IFERROR(__xludf.DUMMYFUNCTION("""COMPUTED_VALUE"""),0)</f>
        <v>0</v>
      </c>
      <c r="F632" s="23">
        <f ca="1">IFERROR(__xludf.DUMMYFUNCTION("""COMPUTED_VALUE"""),0)</f>
        <v>0</v>
      </c>
      <c r="G632" s="23">
        <f ca="1">IFERROR(__xludf.DUMMYFUNCTION("""COMPUTED_VALUE"""),-1.73726562024967E-07)</f>
        <v>-1.7372656202496699E-7</v>
      </c>
      <c r="H632" s="23">
        <f ca="1">IFERROR(__xludf.DUMMYFUNCTION("""COMPUTED_VALUE"""),-5.20732385211886E-07)</f>
        <v>-5.2073238521188603E-7</v>
      </c>
      <c r="I632" s="23">
        <f ca="1">IFERROR(__xludf.DUMMYFUNCTION("""COMPUTED_VALUE"""),0)</f>
        <v>0</v>
      </c>
      <c r="J632" s="23">
        <f ca="1">IFERROR(__xludf.DUMMYFUNCTION("""COMPUTED_VALUE"""),-1.62120230027315)</f>
        <v>-1.6212023002731499</v>
      </c>
      <c r="K632" s="23">
        <f ca="1">IFERROR(__xludf.DUMMYFUNCTION("""COMPUTED_VALUE"""),-0.136022645321075)</f>
        <v>-0.136022645321075</v>
      </c>
      <c r="L632" s="23">
        <f ca="1">IFERROR(__xludf.DUMMYFUNCTION("""COMPUTED_VALUE"""),-10.6905655314506)</f>
        <v>-10.6905655314506</v>
      </c>
      <c r="M632" s="23">
        <f ca="1">IFERROR(__xludf.DUMMYFUNCTION("""COMPUTED_VALUE"""),-10.426270579534)</f>
        <v>-10.426270579534</v>
      </c>
      <c r="N632" s="23">
        <f ca="1">IFERROR(__xludf.DUMMYFUNCTION("""COMPUTED_VALUE"""),-0.543831473351601)</f>
        <v>-0.54383147335160098</v>
      </c>
      <c r="O632" s="23">
        <f ca="1">IFERROR(__xludf.DUMMYFUNCTION("""COMPUTED_VALUE"""),0.203604065554827)</f>
        <v>0.20360406555482699</v>
      </c>
      <c r="P632" s="23">
        <f ca="1">IFERROR(__xludf.DUMMYFUNCTION("""COMPUTED_VALUE"""),0.001)</f>
        <v>1E-3</v>
      </c>
      <c r="Q632" s="24">
        <f ca="1">IFERROR(__xludf.DUMMYFUNCTION("""COMPUTED_VALUE"""),-0.000015386877862511)</f>
        <v>-1.5386877862511001E-5</v>
      </c>
      <c r="R632" s="20"/>
    </row>
    <row r="633" spans="1:18" ht="13.2" hidden="1" outlineLevel="1" x14ac:dyDescent="0.25">
      <c r="A633" s="1"/>
      <c r="B633" s="21" t="str">
        <f ca="1">IFERROR(__xludf.DUMMYFUNCTION("""COMPUTED_VALUE"""),"Energía Nuclear")</f>
        <v>Energía Nuclear</v>
      </c>
      <c r="C633" s="22">
        <f ca="1">IFERROR(__xludf.DUMMYFUNCTION("""COMPUTED_VALUE"""),0)</f>
        <v>0</v>
      </c>
      <c r="D633" s="23">
        <f ca="1">IFERROR(__xludf.DUMMYFUNCTION("""COMPUTED_VALUE"""),0)</f>
        <v>0</v>
      </c>
      <c r="E633" s="23">
        <f ca="1">IFERROR(__xludf.DUMMYFUNCTION("""COMPUTED_VALUE"""),0)</f>
        <v>0</v>
      </c>
      <c r="F633" s="23">
        <f ca="1">IFERROR(__xludf.DUMMYFUNCTION("""COMPUTED_VALUE"""),0)</f>
        <v>0</v>
      </c>
      <c r="G633" s="23">
        <f ca="1">IFERROR(__xludf.DUMMYFUNCTION("""COMPUTED_VALUE"""),0)</f>
        <v>0</v>
      </c>
      <c r="H633" s="23">
        <f ca="1">IFERROR(__xludf.DUMMYFUNCTION("""COMPUTED_VALUE"""),0)</f>
        <v>0</v>
      </c>
      <c r="I633" s="23">
        <f ca="1">IFERROR(__xludf.DUMMYFUNCTION("""COMPUTED_VALUE"""),0)</f>
        <v>0</v>
      </c>
      <c r="J633" s="23">
        <f ca="1">IFERROR(__xludf.DUMMYFUNCTION("""COMPUTED_VALUE"""),0)</f>
        <v>0</v>
      </c>
      <c r="K633" s="23">
        <f ca="1">IFERROR(__xludf.DUMMYFUNCTION("""COMPUTED_VALUE"""),0)</f>
        <v>0</v>
      </c>
      <c r="L633" s="23">
        <f ca="1">IFERROR(__xludf.DUMMYFUNCTION("""COMPUTED_VALUE"""),0)</f>
        <v>0</v>
      </c>
      <c r="M633" s="23">
        <f ca="1">IFERROR(__xludf.DUMMYFUNCTION("""COMPUTED_VALUE"""),0)</f>
        <v>0</v>
      </c>
      <c r="N633" s="23">
        <f ca="1">IFERROR(__xludf.DUMMYFUNCTION("""COMPUTED_VALUE"""),0)</f>
        <v>0</v>
      </c>
      <c r="O633" s="23">
        <f ca="1">IFERROR(__xludf.DUMMYFUNCTION("""COMPUTED_VALUE"""),0)</f>
        <v>0</v>
      </c>
      <c r="P633" s="23">
        <f ca="1">IFERROR(__xludf.DUMMYFUNCTION("""COMPUTED_VALUE"""),0)</f>
        <v>0</v>
      </c>
      <c r="Q633" s="24">
        <f ca="1">IFERROR(__xludf.DUMMYFUNCTION("""COMPUTED_VALUE"""),0)</f>
        <v>0</v>
      </c>
      <c r="R633" s="20"/>
    </row>
    <row r="634" spans="1:18" ht="13.2" hidden="1" outlineLevel="1" x14ac:dyDescent="0.25">
      <c r="A634" s="1"/>
      <c r="B634" s="21" t="str">
        <f ca="1">IFERROR(__xludf.DUMMYFUNCTION("""COMPUTED_VALUE"""),"Energia Hidraúlica")</f>
        <v>Energia Hidraúlica</v>
      </c>
      <c r="C634" s="22">
        <f ca="1">IFERROR(__xludf.DUMMYFUNCTION("""COMPUTED_VALUE"""),0)</f>
        <v>0</v>
      </c>
      <c r="D634" s="23">
        <f ca="1">IFERROR(__xludf.DUMMYFUNCTION("""COMPUTED_VALUE"""),0)</f>
        <v>0</v>
      </c>
      <c r="E634" s="23">
        <f ca="1">IFERROR(__xludf.DUMMYFUNCTION("""COMPUTED_VALUE"""),0)</f>
        <v>0</v>
      </c>
      <c r="F634" s="23">
        <f ca="1">IFERROR(__xludf.DUMMYFUNCTION("""COMPUTED_VALUE"""),0)</f>
        <v>0</v>
      </c>
      <c r="G634" s="23">
        <f ca="1">IFERROR(__xludf.DUMMYFUNCTION("""COMPUTED_VALUE"""),0)</f>
        <v>0</v>
      </c>
      <c r="H634" s="23">
        <f ca="1">IFERROR(__xludf.DUMMYFUNCTION("""COMPUTED_VALUE"""),0)</f>
        <v>0</v>
      </c>
      <c r="I634" s="23">
        <f ca="1">IFERROR(__xludf.DUMMYFUNCTION("""COMPUTED_VALUE"""),0)</f>
        <v>0</v>
      </c>
      <c r="J634" s="23">
        <f ca="1">IFERROR(__xludf.DUMMYFUNCTION("""COMPUTED_VALUE"""),0)</f>
        <v>0</v>
      </c>
      <c r="K634" s="23">
        <f ca="1">IFERROR(__xludf.DUMMYFUNCTION("""COMPUTED_VALUE"""),0)</f>
        <v>0</v>
      </c>
      <c r="L634" s="23">
        <f ca="1">IFERROR(__xludf.DUMMYFUNCTION("""COMPUTED_VALUE"""),0)</f>
        <v>0</v>
      </c>
      <c r="M634" s="23">
        <f ca="1">IFERROR(__xludf.DUMMYFUNCTION("""COMPUTED_VALUE"""),0)</f>
        <v>0</v>
      </c>
      <c r="N634" s="23">
        <f ca="1">IFERROR(__xludf.DUMMYFUNCTION("""COMPUTED_VALUE"""),0)</f>
        <v>0</v>
      </c>
      <c r="O634" s="23">
        <f ca="1">IFERROR(__xludf.DUMMYFUNCTION("""COMPUTED_VALUE"""),0)</f>
        <v>0</v>
      </c>
      <c r="P634" s="23">
        <f ca="1">IFERROR(__xludf.DUMMYFUNCTION("""COMPUTED_VALUE"""),0)</f>
        <v>0</v>
      </c>
      <c r="Q634" s="24">
        <f ca="1">IFERROR(__xludf.DUMMYFUNCTION("""COMPUTED_VALUE"""),0)</f>
        <v>0</v>
      </c>
      <c r="R634" s="20"/>
    </row>
    <row r="635" spans="1:18" ht="13.2" hidden="1" outlineLevel="1" x14ac:dyDescent="0.25">
      <c r="A635" s="1"/>
      <c r="B635" s="21" t="str">
        <f ca="1">IFERROR(__xludf.DUMMYFUNCTION("""COMPUTED_VALUE"""),"Geoenergía")</f>
        <v>Geoenergía</v>
      </c>
      <c r="C635" s="22">
        <f ca="1">IFERROR(__xludf.DUMMYFUNCTION("""COMPUTED_VALUE"""),0)</f>
        <v>0</v>
      </c>
      <c r="D635" s="23">
        <f ca="1">IFERROR(__xludf.DUMMYFUNCTION("""COMPUTED_VALUE"""),0)</f>
        <v>0</v>
      </c>
      <c r="E635" s="23">
        <f ca="1">IFERROR(__xludf.DUMMYFUNCTION("""COMPUTED_VALUE"""),0)</f>
        <v>0</v>
      </c>
      <c r="F635" s="23">
        <f ca="1">IFERROR(__xludf.DUMMYFUNCTION("""COMPUTED_VALUE"""),0)</f>
        <v>0</v>
      </c>
      <c r="G635" s="23">
        <f ca="1">IFERROR(__xludf.DUMMYFUNCTION("""COMPUTED_VALUE"""),0)</f>
        <v>0</v>
      </c>
      <c r="H635" s="23">
        <f ca="1">IFERROR(__xludf.DUMMYFUNCTION("""COMPUTED_VALUE"""),0)</f>
        <v>0</v>
      </c>
      <c r="I635" s="23">
        <f ca="1">IFERROR(__xludf.DUMMYFUNCTION("""COMPUTED_VALUE"""),0)</f>
        <v>0</v>
      </c>
      <c r="J635" s="23">
        <f ca="1">IFERROR(__xludf.DUMMYFUNCTION("""COMPUTED_VALUE"""),0)</f>
        <v>0</v>
      </c>
      <c r="K635" s="23">
        <f ca="1">IFERROR(__xludf.DUMMYFUNCTION("""COMPUTED_VALUE"""),0)</f>
        <v>0</v>
      </c>
      <c r="L635" s="23">
        <f ca="1">IFERROR(__xludf.DUMMYFUNCTION("""COMPUTED_VALUE"""),0)</f>
        <v>0</v>
      </c>
      <c r="M635" s="23">
        <f ca="1">IFERROR(__xludf.DUMMYFUNCTION("""COMPUTED_VALUE"""),0)</f>
        <v>0</v>
      </c>
      <c r="N635" s="23">
        <f ca="1">IFERROR(__xludf.DUMMYFUNCTION("""COMPUTED_VALUE"""),0)</f>
        <v>0</v>
      </c>
      <c r="O635" s="23">
        <f ca="1">IFERROR(__xludf.DUMMYFUNCTION("""COMPUTED_VALUE"""),0)</f>
        <v>0</v>
      </c>
      <c r="P635" s="23">
        <f ca="1">IFERROR(__xludf.DUMMYFUNCTION("""COMPUTED_VALUE"""),0)</f>
        <v>0</v>
      </c>
      <c r="Q635" s="24">
        <f ca="1">IFERROR(__xludf.DUMMYFUNCTION("""COMPUTED_VALUE"""),0)</f>
        <v>0</v>
      </c>
      <c r="R635" s="20"/>
    </row>
    <row r="636" spans="1:18" ht="13.2" hidden="1" outlineLevel="1" x14ac:dyDescent="0.25">
      <c r="A636" s="1"/>
      <c r="B636" s="21" t="str">
        <f ca="1">IFERROR(__xludf.DUMMYFUNCTION("""COMPUTED_VALUE"""),"Energía solar")</f>
        <v>Energía solar</v>
      </c>
      <c r="C636" s="22">
        <f ca="1">IFERROR(__xludf.DUMMYFUNCTION("""COMPUTED_VALUE"""),0)</f>
        <v>0</v>
      </c>
      <c r="D636" s="23">
        <f ca="1">IFERROR(__xludf.DUMMYFUNCTION("""COMPUTED_VALUE"""),0)</f>
        <v>0</v>
      </c>
      <c r="E636" s="23">
        <f ca="1">IFERROR(__xludf.DUMMYFUNCTION("""COMPUTED_VALUE"""),0)</f>
        <v>0</v>
      </c>
      <c r="F636" s="23">
        <f ca="1">IFERROR(__xludf.DUMMYFUNCTION("""COMPUTED_VALUE"""),0)</f>
        <v>0</v>
      </c>
      <c r="G636" s="23">
        <f ca="1">IFERROR(__xludf.DUMMYFUNCTION("""COMPUTED_VALUE"""),0)</f>
        <v>0</v>
      </c>
      <c r="H636" s="23">
        <f ca="1">IFERROR(__xludf.DUMMYFUNCTION("""COMPUTED_VALUE"""),0)</f>
        <v>0</v>
      </c>
      <c r="I636" s="23">
        <f ca="1">IFERROR(__xludf.DUMMYFUNCTION("""COMPUTED_VALUE"""),0)</f>
        <v>0</v>
      </c>
      <c r="J636" s="23">
        <f ca="1">IFERROR(__xludf.DUMMYFUNCTION("""COMPUTED_VALUE"""),0)</f>
        <v>0</v>
      </c>
      <c r="K636" s="23">
        <f ca="1">IFERROR(__xludf.DUMMYFUNCTION("""COMPUTED_VALUE"""),0)</f>
        <v>0</v>
      </c>
      <c r="L636" s="23">
        <f ca="1">IFERROR(__xludf.DUMMYFUNCTION("""COMPUTED_VALUE"""),0)</f>
        <v>0</v>
      </c>
      <c r="M636" s="23">
        <f ca="1">IFERROR(__xludf.DUMMYFUNCTION("""COMPUTED_VALUE"""),0)</f>
        <v>0</v>
      </c>
      <c r="N636" s="23">
        <f ca="1">IFERROR(__xludf.DUMMYFUNCTION("""COMPUTED_VALUE"""),0)</f>
        <v>0</v>
      </c>
      <c r="O636" s="23">
        <f ca="1">IFERROR(__xludf.DUMMYFUNCTION("""COMPUTED_VALUE"""),0)</f>
        <v>0</v>
      </c>
      <c r="P636" s="23">
        <f ca="1">IFERROR(__xludf.DUMMYFUNCTION("""COMPUTED_VALUE"""),0)</f>
        <v>0</v>
      </c>
      <c r="Q636" s="24">
        <f ca="1">IFERROR(__xludf.DUMMYFUNCTION("""COMPUTED_VALUE"""),0)</f>
        <v>0</v>
      </c>
      <c r="R636" s="20"/>
    </row>
    <row r="637" spans="1:18" ht="13.2" hidden="1" outlineLevel="1" x14ac:dyDescent="0.25">
      <c r="A637" s="1"/>
      <c r="B637" s="21" t="str">
        <f ca="1">IFERROR(__xludf.DUMMYFUNCTION("""COMPUTED_VALUE"""),"Energía eólica")</f>
        <v>Energía eólica</v>
      </c>
      <c r="C637" s="22">
        <f ca="1">IFERROR(__xludf.DUMMYFUNCTION("""COMPUTED_VALUE"""),0)</f>
        <v>0</v>
      </c>
      <c r="D637" s="23">
        <f ca="1">IFERROR(__xludf.DUMMYFUNCTION("""COMPUTED_VALUE"""),0)</f>
        <v>0</v>
      </c>
      <c r="E637" s="23">
        <f ca="1">IFERROR(__xludf.DUMMYFUNCTION("""COMPUTED_VALUE"""),0)</f>
        <v>0</v>
      </c>
      <c r="F637" s="23">
        <f ca="1">IFERROR(__xludf.DUMMYFUNCTION("""COMPUTED_VALUE"""),0)</f>
        <v>0</v>
      </c>
      <c r="G637" s="23">
        <f ca="1">IFERROR(__xludf.DUMMYFUNCTION("""COMPUTED_VALUE"""),0)</f>
        <v>0</v>
      </c>
      <c r="H637" s="23">
        <f ca="1">IFERROR(__xludf.DUMMYFUNCTION("""COMPUTED_VALUE"""),0)</f>
        <v>0</v>
      </c>
      <c r="I637" s="23">
        <f ca="1">IFERROR(__xludf.DUMMYFUNCTION("""COMPUTED_VALUE"""),0)</f>
        <v>0</v>
      </c>
      <c r="J637" s="23">
        <f ca="1">IFERROR(__xludf.DUMMYFUNCTION("""COMPUTED_VALUE"""),0)</f>
        <v>0</v>
      </c>
      <c r="K637" s="23">
        <f ca="1">IFERROR(__xludf.DUMMYFUNCTION("""COMPUTED_VALUE"""),0)</f>
        <v>0</v>
      </c>
      <c r="L637" s="23">
        <f ca="1">IFERROR(__xludf.DUMMYFUNCTION("""COMPUTED_VALUE"""),0)</f>
        <v>0</v>
      </c>
      <c r="M637" s="23">
        <f ca="1">IFERROR(__xludf.DUMMYFUNCTION("""COMPUTED_VALUE"""),0)</f>
        <v>0</v>
      </c>
      <c r="N637" s="23">
        <f ca="1">IFERROR(__xludf.DUMMYFUNCTION("""COMPUTED_VALUE"""),0)</f>
        <v>0</v>
      </c>
      <c r="O637" s="23">
        <f ca="1">IFERROR(__xludf.DUMMYFUNCTION("""COMPUTED_VALUE"""),0)</f>
        <v>0</v>
      </c>
      <c r="P637" s="23">
        <f ca="1">IFERROR(__xludf.DUMMYFUNCTION("""COMPUTED_VALUE"""),0)</f>
        <v>0</v>
      </c>
      <c r="Q637" s="24">
        <f ca="1">IFERROR(__xludf.DUMMYFUNCTION("""COMPUTED_VALUE"""),0)</f>
        <v>0</v>
      </c>
      <c r="R637" s="20"/>
    </row>
    <row r="638" spans="1:18" ht="13.2" hidden="1" outlineLevel="1" x14ac:dyDescent="0.25">
      <c r="A638" s="1"/>
      <c r="B638" s="21" t="str">
        <f ca="1">IFERROR(__xludf.DUMMYFUNCTION("""COMPUTED_VALUE"""),"Bagazo de caña")</f>
        <v>Bagazo de caña</v>
      </c>
      <c r="C638" s="22">
        <f ca="1">IFERROR(__xludf.DUMMYFUNCTION("""COMPUTED_VALUE"""),0)</f>
        <v>0</v>
      </c>
      <c r="D638" s="23">
        <f ca="1">IFERROR(__xludf.DUMMYFUNCTION("""COMPUTED_VALUE"""),0)</f>
        <v>0</v>
      </c>
      <c r="E638" s="23">
        <f ca="1">IFERROR(__xludf.DUMMYFUNCTION("""COMPUTED_VALUE"""),0)</f>
        <v>0</v>
      </c>
      <c r="F638" s="23">
        <f ca="1">IFERROR(__xludf.DUMMYFUNCTION("""COMPUTED_VALUE"""),0)</f>
        <v>0</v>
      </c>
      <c r="G638" s="23">
        <f ca="1">IFERROR(__xludf.DUMMYFUNCTION("""COMPUTED_VALUE"""),0)</f>
        <v>0</v>
      </c>
      <c r="H638" s="23">
        <f ca="1">IFERROR(__xludf.DUMMYFUNCTION("""COMPUTED_VALUE"""),0)</f>
        <v>0</v>
      </c>
      <c r="I638" s="23">
        <f ca="1">IFERROR(__xludf.DUMMYFUNCTION("""COMPUTED_VALUE"""),0)</f>
        <v>0</v>
      </c>
      <c r="J638" s="23">
        <f ca="1">IFERROR(__xludf.DUMMYFUNCTION("""COMPUTED_VALUE"""),0)</f>
        <v>0</v>
      </c>
      <c r="K638" s="23">
        <f ca="1">IFERROR(__xludf.DUMMYFUNCTION("""COMPUTED_VALUE"""),0)</f>
        <v>0</v>
      </c>
      <c r="L638" s="23">
        <f ca="1">IFERROR(__xludf.DUMMYFUNCTION("""COMPUTED_VALUE"""),0)</f>
        <v>0</v>
      </c>
      <c r="M638" s="23">
        <f ca="1">IFERROR(__xludf.DUMMYFUNCTION("""COMPUTED_VALUE"""),0)</f>
        <v>0</v>
      </c>
      <c r="N638" s="23">
        <f ca="1">IFERROR(__xludf.DUMMYFUNCTION("""COMPUTED_VALUE"""),0)</f>
        <v>0</v>
      </c>
      <c r="O638" s="23">
        <f ca="1">IFERROR(__xludf.DUMMYFUNCTION("""COMPUTED_VALUE"""),0)</f>
        <v>0</v>
      </c>
      <c r="P638" s="23">
        <f ca="1">IFERROR(__xludf.DUMMYFUNCTION("""COMPUTED_VALUE"""),0)</f>
        <v>0</v>
      </c>
      <c r="Q638" s="24">
        <f ca="1">IFERROR(__xludf.DUMMYFUNCTION("""COMPUTED_VALUE"""),0)</f>
        <v>0</v>
      </c>
      <c r="R638" s="20"/>
    </row>
    <row r="639" spans="1:18" ht="13.2" hidden="1" outlineLevel="1" x14ac:dyDescent="0.25">
      <c r="A639" s="1"/>
      <c r="B639" s="21" t="str">
        <f ca="1">IFERROR(__xludf.DUMMYFUNCTION("""COMPUTED_VALUE"""),"Leña")</f>
        <v>Leña</v>
      </c>
      <c r="C639" s="22">
        <f ca="1">IFERROR(__xludf.DUMMYFUNCTION("""COMPUTED_VALUE"""),0)</f>
        <v>0</v>
      </c>
      <c r="D639" s="23">
        <f ca="1">IFERROR(__xludf.DUMMYFUNCTION("""COMPUTED_VALUE"""),0)</f>
        <v>0</v>
      </c>
      <c r="E639" s="23">
        <f ca="1">IFERROR(__xludf.DUMMYFUNCTION("""COMPUTED_VALUE"""),0)</f>
        <v>0</v>
      </c>
      <c r="F639" s="23">
        <f ca="1">IFERROR(__xludf.DUMMYFUNCTION("""COMPUTED_VALUE"""),0)</f>
        <v>0</v>
      </c>
      <c r="G639" s="23">
        <f ca="1">IFERROR(__xludf.DUMMYFUNCTION("""COMPUTED_VALUE"""),0)</f>
        <v>0</v>
      </c>
      <c r="H639" s="23">
        <f ca="1">IFERROR(__xludf.DUMMYFUNCTION("""COMPUTED_VALUE"""),0)</f>
        <v>0</v>
      </c>
      <c r="I639" s="23">
        <f ca="1">IFERROR(__xludf.DUMMYFUNCTION("""COMPUTED_VALUE"""),0)</f>
        <v>0</v>
      </c>
      <c r="J639" s="23">
        <f ca="1">IFERROR(__xludf.DUMMYFUNCTION("""COMPUTED_VALUE"""),0)</f>
        <v>0</v>
      </c>
      <c r="K639" s="23">
        <f ca="1">IFERROR(__xludf.DUMMYFUNCTION("""COMPUTED_VALUE"""),0)</f>
        <v>0</v>
      </c>
      <c r="L639" s="23">
        <f ca="1">IFERROR(__xludf.DUMMYFUNCTION("""COMPUTED_VALUE"""),0)</f>
        <v>0</v>
      </c>
      <c r="M639" s="23">
        <f ca="1">IFERROR(__xludf.DUMMYFUNCTION("""COMPUTED_VALUE"""),0)</f>
        <v>0</v>
      </c>
      <c r="N639" s="23">
        <f ca="1">IFERROR(__xludf.DUMMYFUNCTION("""COMPUTED_VALUE"""),0)</f>
        <v>0</v>
      </c>
      <c r="O639" s="23">
        <f ca="1">IFERROR(__xludf.DUMMYFUNCTION("""COMPUTED_VALUE"""),0)</f>
        <v>0</v>
      </c>
      <c r="P639" s="23">
        <f ca="1">IFERROR(__xludf.DUMMYFUNCTION("""COMPUTED_VALUE"""),0)</f>
        <v>0</v>
      </c>
      <c r="Q639" s="24">
        <f ca="1">IFERROR(__xludf.DUMMYFUNCTION("""COMPUTED_VALUE"""),0)</f>
        <v>0</v>
      </c>
      <c r="R639" s="20"/>
    </row>
    <row r="640" spans="1:18" ht="13.2" hidden="1" outlineLevel="1" x14ac:dyDescent="0.25">
      <c r="A640" s="1"/>
      <c r="B640" s="21" t="str">
        <f ca="1">IFERROR(__xludf.DUMMYFUNCTION("""COMPUTED_VALUE"""),"Biogás")</f>
        <v>Biogás</v>
      </c>
      <c r="C640" s="22">
        <f ca="1">IFERROR(__xludf.DUMMYFUNCTION("""COMPUTED_VALUE"""),0)</f>
        <v>0</v>
      </c>
      <c r="D640" s="23">
        <f ca="1">IFERROR(__xludf.DUMMYFUNCTION("""COMPUTED_VALUE"""),0)</f>
        <v>0</v>
      </c>
      <c r="E640" s="23">
        <f ca="1">IFERROR(__xludf.DUMMYFUNCTION("""COMPUTED_VALUE"""),0)</f>
        <v>0</v>
      </c>
      <c r="F640" s="23">
        <f ca="1">IFERROR(__xludf.DUMMYFUNCTION("""COMPUTED_VALUE"""),0)</f>
        <v>0</v>
      </c>
      <c r="G640" s="23">
        <f ca="1">IFERROR(__xludf.DUMMYFUNCTION("""COMPUTED_VALUE"""),0)</f>
        <v>0</v>
      </c>
      <c r="H640" s="23">
        <f ca="1">IFERROR(__xludf.DUMMYFUNCTION("""COMPUTED_VALUE"""),0)</f>
        <v>0</v>
      </c>
      <c r="I640" s="23">
        <f ca="1">IFERROR(__xludf.DUMMYFUNCTION("""COMPUTED_VALUE"""),0)</f>
        <v>0</v>
      </c>
      <c r="J640" s="23">
        <f ca="1">IFERROR(__xludf.DUMMYFUNCTION("""COMPUTED_VALUE"""),0)</f>
        <v>0</v>
      </c>
      <c r="K640" s="23">
        <f ca="1">IFERROR(__xludf.DUMMYFUNCTION("""COMPUTED_VALUE"""),0)</f>
        <v>0</v>
      </c>
      <c r="L640" s="23">
        <f ca="1">IFERROR(__xludf.DUMMYFUNCTION("""COMPUTED_VALUE"""),0)</f>
        <v>0</v>
      </c>
      <c r="M640" s="23">
        <f ca="1">IFERROR(__xludf.DUMMYFUNCTION("""COMPUTED_VALUE"""),0)</f>
        <v>0</v>
      </c>
      <c r="N640" s="23">
        <f ca="1">IFERROR(__xludf.DUMMYFUNCTION("""COMPUTED_VALUE"""),0)</f>
        <v>0</v>
      </c>
      <c r="O640" s="23">
        <f ca="1">IFERROR(__xludf.DUMMYFUNCTION("""COMPUTED_VALUE"""),0)</f>
        <v>0</v>
      </c>
      <c r="P640" s="23">
        <f ca="1">IFERROR(__xludf.DUMMYFUNCTION("""COMPUTED_VALUE"""),0)</f>
        <v>0</v>
      </c>
      <c r="Q640" s="24">
        <f ca="1">IFERROR(__xludf.DUMMYFUNCTION("""COMPUTED_VALUE"""),0)</f>
        <v>0</v>
      </c>
      <c r="R640" s="20"/>
    </row>
    <row r="641" spans="1:18" ht="13.2" hidden="1" outlineLevel="1" x14ac:dyDescent="0.25">
      <c r="A641" s="1"/>
      <c r="B641" s="21" t="str">
        <f ca="1">IFERROR(__xludf.DUMMYFUNCTION("""COMPUTED_VALUE"""),"Coque de carbón")</f>
        <v>Coque de carbón</v>
      </c>
      <c r="C641" s="22">
        <f ca="1">IFERROR(__xludf.DUMMYFUNCTION("""COMPUTED_VALUE"""),0)</f>
        <v>0</v>
      </c>
      <c r="D641" s="23">
        <f ca="1">IFERROR(__xludf.DUMMYFUNCTION("""COMPUTED_VALUE"""),0)</f>
        <v>0</v>
      </c>
      <c r="E641" s="23">
        <f ca="1">IFERROR(__xludf.DUMMYFUNCTION("""COMPUTED_VALUE"""),0)</f>
        <v>0</v>
      </c>
      <c r="F641" s="23">
        <f ca="1">IFERROR(__xludf.DUMMYFUNCTION("""COMPUTED_VALUE"""),0)</f>
        <v>0</v>
      </c>
      <c r="G641" s="23">
        <f ca="1">IFERROR(__xludf.DUMMYFUNCTION("""COMPUTED_VALUE"""),0)</f>
        <v>0</v>
      </c>
      <c r="H641" s="23">
        <f ca="1">IFERROR(__xludf.DUMMYFUNCTION("""COMPUTED_VALUE"""),0)</f>
        <v>0</v>
      </c>
      <c r="I641" s="23">
        <f ca="1">IFERROR(__xludf.DUMMYFUNCTION("""COMPUTED_VALUE"""),0)</f>
        <v>0</v>
      </c>
      <c r="J641" s="23">
        <f ca="1">IFERROR(__xludf.DUMMYFUNCTION("""COMPUTED_VALUE"""),0)</f>
        <v>0</v>
      </c>
      <c r="K641" s="23">
        <f ca="1">IFERROR(__xludf.DUMMYFUNCTION("""COMPUTED_VALUE"""),0)</f>
        <v>0</v>
      </c>
      <c r="L641" s="23">
        <f ca="1">IFERROR(__xludf.DUMMYFUNCTION("""COMPUTED_VALUE"""),0)</f>
        <v>0</v>
      </c>
      <c r="M641" s="23">
        <f ca="1">IFERROR(__xludf.DUMMYFUNCTION("""COMPUTED_VALUE"""),0)</f>
        <v>0</v>
      </c>
      <c r="N641" s="23">
        <f ca="1">IFERROR(__xludf.DUMMYFUNCTION("""COMPUTED_VALUE"""),0)</f>
        <v>0</v>
      </c>
      <c r="O641" s="23">
        <f ca="1">IFERROR(__xludf.DUMMYFUNCTION("""COMPUTED_VALUE"""),0)</f>
        <v>0</v>
      </c>
      <c r="P641" s="23">
        <f ca="1">IFERROR(__xludf.DUMMYFUNCTION("""COMPUTED_VALUE"""),0)</f>
        <v>0</v>
      </c>
      <c r="Q641" s="24">
        <f ca="1">IFERROR(__xludf.DUMMYFUNCTION("""COMPUTED_VALUE"""),0)</f>
        <v>0</v>
      </c>
      <c r="R641" s="20"/>
    </row>
    <row r="642" spans="1:18" ht="13.2" hidden="1" outlineLevel="1" x14ac:dyDescent="0.25">
      <c r="A642" s="1"/>
      <c r="B642" s="21" t="str">
        <f ca="1">IFERROR(__xludf.DUMMYFUNCTION("""COMPUTED_VALUE"""),"Coque de petróleo")</f>
        <v>Coque de petróleo</v>
      </c>
      <c r="C642" s="22">
        <f ca="1">IFERROR(__xludf.DUMMYFUNCTION("""COMPUTED_VALUE"""),-1.722)</f>
        <v>-1.722</v>
      </c>
      <c r="D642" s="23">
        <f ca="1">IFERROR(__xludf.DUMMYFUNCTION("""COMPUTED_VALUE"""),-9.2328)</f>
        <v>-9.2327999999999992</v>
      </c>
      <c r="E642" s="23">
        <f ca="1">IFERROR(__xludf.DUMMYFUNCTION("""COMPUTED_VALUE"""),-9.5328)</f>
        <v>-9.5327999999999999</v>
      </c>
      <c r="F642" s="23">
        <f ca="1">IFERROR(__xludf.DUMMYFUNCTION("""COMPUTED_VALUE"""),9.2104)</f>
        <v>9.2103999999999999</v>
      </c>
      <c r="G642" s="23">
        <f ca="1">IFERROR(__xludf.DUMMYFUNCTION("""COMPUTED_VALUE"""),4.96175241617998)</f>
        <v>4.96175241617998</v>
      </c>
      <c r="H642" s="23">
        <f ca="1">IFERROR(__xludf.DUMMYFUNCTION("""COMPUTED_VALUE"""),7.35832516963031)</f>
        <v>7.3583251696303096</v>
      </c>
      <c r="I642" s="23">
        <f ca="1">IFERROR(__xludf.DUMMYFUNCTION("""COMPUTED_VALUE"""),-0.169)</f>
        <v>-0.16900000000000001</v>
      </c>
      <c r="J642" s="23">
        <f ca="1">IFERROR(__xludf.DUMMYFUNCTION("""COMPUTED_VALUE"""),3.28900182665743)</f>
        <v>3.2890018266574299</v>
      </c>
      <c r="K642" s="23">
        <f ca="1">IFERROR(__xludf.DUMMYFUNCTION("""COMPUTED_VALUE"""),-0.391478070324158)</f>
        <v>-0.39147807032415799</v>
      </c>
      <c r="L642" s="23">
        <f ca="1">IFERROR(__xludf.DUMMYFUNCTION("""COMPUTED_VALUE"""),1.92691369675907)</f>
        <v>1.9269136967590701</v>
      </c>
      <c r="M642" s="23">
        <f ca="1">IFERROR(__xludf.DUMMYFUNCTION("""COMPUTED_VALUE"""),-0.890885809973393)</f>
        <v>-0.89088580997339295</v>
      </c>
      <c r="N642" s="23">
        <f ca="1">IFERROR(__xludf.DUMMYFUNCTION("""COMPUTED_VALUE"""),1.45545666488016)</f>
        <v>1.4554566648801599</v>
      </c>
      <c r="O642" s="23">
        <f ca="1">IFERROR(__xludf.DUMMYFUNCTION("""COMPUTED_VALUE"""),-1.36153311359355)</f>
        <v>-1.36153311359355</v>
      </c>
      <c r="P642" s="23">
        <f ca="1">IFERROR(__xludf.DUMMYFUNCTION("""COMPUTED_VALUE"""),-11.1915)</f>
        <v>-11.1915</v>
      </c>
      <c r="Q642" s="24">
        <f ca="1">IFERROR(__xludf.DUMMYFUNCTION("""COMPUTED_VALUE"""),2.18130112585309)</f>
        <v>2.1813011258530901</v>
      </c>
      <c r="R642" s="20"/>
    </row>
    <row r="643" spans="1:18" ht="13.2" hidden="1" outlineLevel="1" x14ac:dyDescent="0.25">
      <c r="A643" s="1"/>
      <c r="B643" s="21" t="str">
        <f ca="1">IFERROR(__xludf.DUMMYFUNCTION("""COMPUTED_VALUE"""),"Gas licuado de petróleo")</f>
        <v>Gas licuado de petróleo</v>
      </c>
      <c r="C643" s="22">
        <f ca="1">IFERROR(__xludf.DUMMYFUNCTION("""COMPUTED_VALUE"""),6.8008)</f>
        <v>6.8007999999999997</v>
      </c>
      <c r="D643" s="23">
        <f ca="1">IFERROR(__xludf.DUMMYFUNCTION("""COMPUTED_VALUE"""),1.0741)</f>
        <v>1.0741000000000001</v>
      </c>
      <c r="E643" s="23">
        <f ca="1">IFERROR(__xludf.DUMMYFUNCTION("""COMPUTED_VALUE"""),-3.6505)</f>
        <v>-3.6505000000000001</v>
      </c>
      <c r="F643" s="23">
        <f ca="1">IFERROR(__xludf.DUMMYFUNCTION("""COMPUTED_VALUE"""),4.5602)</f>
        <v>4.5602</v>
      </c>
      <c r="G643" s="23">
        <f ca="1">IFERROR(__xludf.DUMMYFUNCTION("""COMPUTED_VALUE"""),1.56440893444812)</f>
        <v>1.56440893444812</v>
      </c>
      <c r="H643" s="23">
        <f ca="1">IFERROR(__xludf.DUMMYFUNCTION("""COMPUTED_VALUE"""),-2.44793817604147)</f>
        <v>-2.44793817604147</v>
      </c>
      <c r="I643" s="23">
        <f ca="1">IFERROR(__xludf.DUMMYFUNCTION("""COMPUTED_VALUE"""),0.059)</f>
        <v>5.8999999999999997E-2</v>
      </c>
      <c r="J643" s="23">
        <f ca="1">IFERROR(__xludf.DUMMYFUNCTION("""COMPUTED_VALUE"""),-1.53022433053627)</f>
        <v>-1.5302243305362699</v>
      </c>
      <c r="K643" s="23">
        <f ca="1">IFERROR(__xludf.DUMMYFUNCTION("""COMPUTED_VALUE"""),24.8938934811616)</f>
        <v>24.893893481161601</v>
      </c>
      <c r="L643" s="23">
        <f ca="1">IFERROR(__xludf.DUMMYFUNCTION("""COMPUTED_VALUE"""),6.63241179061594)</f>
        <v>6.6324117906159401</v>
      </c>
      <c r="M643" s="23">
        <f ca="1">IFERROR(__xludf.DUMMYFUNCTION("""COMPUTED_VALUE"""),0.90723407625647)</f>
        <v>0.90723407625647001</v>
      </c>
      <c r="N643" s="23">
        <f ca="1">IFERROR(__xludf.DUMMYFUNCTION("""COMPUTED_VALUE"""),2.15654677852018)</f>
        <v>2.15654677852018</v>
      </c>
      <c r="O643" s="23">
        <f ca="1">IFERROR(__xludf.DUMMYFUNCTION("""COMPUTED_VALUE"""),11.4273324078523)</f>
        <v>11.427332407852299</v>
      </c>
      <c r="P643" s="23">
        <f ca="1">IFERROR(__xludf.DUMMYFUNCTION("""COMPUTED_VALUE"""),13.87)</f>
        <v>13.87</v>
      </c>
      <c r="Q643" s="24">
        <f ca="1">IFERROR(__xludf.DUMMYFUNCTION("""COMPUTED_VALUE"""),15.8328490608528)</f>
        <v>15.8328490608528</v>
      </c>
      <c r="R643" s="20"/>
    </row>
    <row r="644" spans="1:18" ht="13.2" hidden="1" outlineLevel="1" x14ac:dyDescent="0.25">
      <c r="A644" s="1"/>
      <c r="B644" s="21" t="str">
        <f ca="1">IFERROR(__xludf.DUMMYFUNCTION("""COMPUTED_VALUE"""),"Gasolinas y naftas")</f>
        <v>Gasolinas y naftas</v>
      </c>
      <c r="C644" s="22">
        <f ca="1">IFERROR(__xludf.DUMMYFUNCTION("""COMPUTED_VALUE"""),7.266)</f>
        <v>7.266</v>
      </c>
      <c r="D644" s="23">
        <f ca="1">IFERROR(__xludf.DUMMYFUNCTION("""COMPUTED_VALUE"""),14.0449)</f>
        <v>14.0449</v>
      </c>
      <c r="E644" s="23">
        <f ca="1">IFERROR(__xludf.DUMMYFUNCTION("""COMPUTED_VALUE"""),-0.7452)</f>
        <v>-0.74519999999999997</v>
      </c>
      <c r="F644" s="23">
        <f ca="1">IFERROR(__xludf.DUMMYFUNCTION("""COMPUTED_VALUE"""),-8.1332)</f>
        <v>-8.1332000000000004</v>
      </c>
      <c r="G644" s="23">
        <f ca="1">IFERROR(__xludf.DUMMYFUNCTION("""COMPUTED_VALUE"""),3.6970986270046)</f>
        <v>3.6970986270045998</v>
      </c>
      <c r="H644" s="23">
        <f ca="1">IFERROR(__xludf.DUMMYFUNCTION("""COMPUTED_VALUE"""),12.3047387142344)</f>
        <v>12.3047387142344</v>
      </c>
      <c r="I644" s="23">
        <f ca="1">IFERROR(__xludf.DUMMYFUNCTION("""COMPUTED_VALUE"""),3.856)</f>
        <v>3.8559999999999999</v>
      </c>
      <c r="J644" s="23">
        <f ca="1">IFERROR(__xludf.DUMMYFUNCTION("""COMPUTED_VALUE"""),37.2583700557875)</f>
        <v>37.258370055787502</v>
      </c>
      <c r="K644" s="23">
        <f ca="1">IFERROR(__xludf.DUMMYFUNCTION("""COMPUTED_VALUE"""),51.4910368427833)</f>
        <v>51.491036842783302</v>
      </c>
      <c r="L644" s="23">
        <f ca="1">IFERROR(__xludf.DUMMYFUNCTION("""COMPUTED_VALUE"""),50.156260842398)</f>
        <v>50.156260842397998</v>
      </c>
      <c r="M644" s="23">
        <f ca="1">IFERROR(__xludf.DUMMYFUNCTION("""COMPUTED_VALUE"""),-12.5195939944778)</f>
        <v>-12.5195939944778</v>
      </c>
      <c r="N644" s="23">
        <f ca="1">IFERROR(__xludf.DUMMYFUNCTION("""COMPUTED_VALUE"""),3.24275759958595)</f>
        <v>3.2427575995859499</v>
      </c>
      <c r="O644" s="23">
        <f ca="1">IFERROR(__xludf.DUMMYFUNCTION("""COMPUTED_VALUE"""),35.8238456666765)</f>
        <v>35.823845666676498</v>
      </c>
      <c r="P644" s="23">
        <f ca="1">IFERROR(__xludf.DUMMYFUNCTION("""COMPUTED_VALUE"""),36.963)</f>
        <v>36.963000000000001</v>
      </c>
      <c r="Q644" s="24">
        <f ca="1">IFERROR(__xludf.DUMMYFUNCTION("""COMPUTED_VALUE"""),19.0855877951698)</f>
        <v>19.085587795169801</v>
      </c>
      <c r="R644" s="20"/>
    </row>
    <row r="645" spans="1:18" ht="13.2" hidden="1" outlineLevel="1" x14ac:dyDescent="0.25">
      <c r="A645" s="1"/>
      <c r="B645" s="21" t="str">
        <f ca="1">IFERROR(__xludf.DUMMYFUNCTION("""COMPUTED_VALUE"""),"Querosenos")</f>
        <v>Querosenos</v>
      </c>
      <c r="C645" s="22">
        <f ca="1">IFERROR(__xludf.DUMMYFUNCTION("""COMPUTED_VALUE"""),-0.2753)</f>
        <v>-0.27529999999999999</v>
      </c>
      <c r="D645" s="23">
        <f ca="1">IFERROR(__xludf.DUMMYFUNCTION("""COMPUTED_VALUE"""),-4.9122)</f>
        <v>-4.9122000000000003</v>
      </c>
      <c r="E645" s="23">
        <f ca="1">IFERROR(__xludf.DUMMYFUNCTION("""COMPUTED_VALUE"""),2.8807)</f>
        <v>2.8807</v>
      </c>
      <c r="F645" s="23">
        <f ca="1">IFERROR(__xludf.DUMMYFUNCTION("""COMPUTED_VALUE"""),-0.4815)</f>
        <v>-0.48149999999999998</v>
      </c>
      <c r="G645" s="23">
        <f ca="1">IFERROR(__xludf.DUMMYFUNCTION("""COMPUTED_VALUE"""),-2.62799884281886)</f>
        <v>-2.6279988428188599</v>
      </c>
      <c r="H645" s="23">
        <f ca="1">IFERROR(__xludf.DUMMYFUNCTION("""COMPUTED_VALUE"""),-3.35797750578305)</f>
        <v>-3.3579775057830501</v>
      </c>
      <c r="I645" s="23">
        <f ca="1">IFERROR(__xludf.DUMMYFUNCTION("""COMPUTED_VALUE"""),-0.034)</f>
        <v>-3.4000000000000002E-2</v>
      </c>
      <c r="J645" s="23">
        <f ca="1">IFERROR(__xludf.DUMMYFUNCTION("""COMPUTED_VALUE"""),4.746658522772)</f>
        <v>4.746658522772</v>
      </c>
      <c r="K645" s="23">
        <f ca="1">IFERROR(__xludf.DUMMYFUNCTION("""COMPUTED_VALUE"""),13.7127010450633)</f>
        <v>13.7127010450633</v>
      </c>
      <c r="L645" s="23">
        <f ca="1">IFERROR(__xludf.DUMMYFUNCTION("""COMPUTED_VALUE"""),16.791590466899)</f>
        <v>16.791590466898999</v>
      </c>
      <c r="M645" s="23">
        <f ca="1">IFERROR(__xludf.DUMMYFUNCTION("""COMPUTED_VALUE"""),2.06764247707883)</f>
        <v>2.06764247707883</v>
      </c>
      <c r="N645" s="23">
        <f ca="1">IFERROR(__xludf.DUMMYFUNCTION("""COMPUTED_VALUE"""),0.253378845280735)</f>
        <v>0.25337884528073501</v>
      </c>
      <c r="O645" s="23">
        <f ca="1">IFERROR(__xludf.DUMMYFUNCTION("""COMPUTED_VALUE"""),0.814048274131661)</f>
        <v>0.81404827413166103</v>
      </c>
      <c r="P645" s="23">
        <f ca="1">IFERROR(__xludf.DUMMYFUNCTION("""COMPUTED_VALUE"""),2.92)</f>
        <v>2.92</v>
      </c>
      <c r="Q645" s="24">
        <f ca="1">IFERROR(__xludf.DUMMYFUNCTION("""COMPUTED_VALUE"""),-0.0394578681705866)</f>
        <v>-3.9457868170586601E-2</v>
      </c>
      <c r="R645" s="20"/>
    </row>
    <row r="646" spans="1:18" ht="13.2" hidden="1" outlineLevel="1" x14ac:dyDescent="0.25">
      <c r="A646" s="1"/>
      <c r="B646" s="21" t="str">
        <f ca="1">IFERROR(__xludf.DUMMYFUNCTION("""COMPUTED_VALUE"""),"Diesel")</f>
        <v>Diesel</v>
      </c>
      <c r="C646" s="22">
        <f ca="1">IFERROR(__xludf.DUMMYFUNCTION("""COMPUTED_VALUE"""),-9.8429)</f>
        <v>-9.8429000000000002</v>
      </c>
      <c r="D646" s="23">
        <f ca="1">IFERROR(__xludf.DUMMYFUNCTION("""COMPUTED_VALUE"""),4.5953)</f>
        <v>4.5952999999999999</v>
      </c>
      <c r="E646" s="23">
        <f ca="1">IFERROR(__xludf.DUMMYFUNCTION("""COMPUTED_VALUE"""),7.0738)</f>
        <v>7.0738000000000003</v>
      </c>
      <c r="F646" s="23">
        <f ca="1">IFERROR(__xludf.DUMMYFUNCTION("""COMPUTED_VALUE"""),-13.2707)</f>
        <v>-13.2707</v>
      </c>
      <c r="G646" s="23">
        <f ca="1">IFERROR(__xludf.DUMMYFUNCTION("""COMPUTED_VALUE"""),2.93897023351382)</f>
        <v>2.9389702335138201</v>
      </c>
      <c r="H646" s="23">
        <f ca="1">IFERROR(__xludf.DUMMYFUNCTION("""COMPUTED_VALUE"""),2.05816261890981)</f>
        <v>2.0581626189098099</v>
      </c>
      <c r="I646" s="23">
        <f ca="1">IFERROR(__xludf.DUMMYFUNCTION("""COMPUTED_VALUE"""),-6.317)</f>
        <v>-6.3170000000000002</v>
      </c>
      <c r="J646" s="23">
        <f ca="1">IFERROR(__xludf.DUMMYFUNCTION("""COMPUTED_VALUE"""),-1.12052209004355)</f>
        <v>-1.12052209004355</v>
      </c>
      <c r="K646" s="23">
        <f ca="1">IFERROR(__xludf.DUMMYFUNCTION("""COMPUTED_VALUE"""),37.5022588594256)</f>
        <v>37.502258859425602</v>
      </c>
      <c r="L646" s="23">
        <f ca="1">IFERROR(__xludf.DUMMYFUNCTION("""COMPUTED_VALUE"""),33.761073537891)</f>
        <v>33.761073537891001</v>
      </c>
      <c r="M646" s="23">
        <f ca="1">IFERROR(__xludf.DUMMYFUNCTION("""COMPUTED_VALUE"""),-40.7051898371542)</f>
        <v>-40.705189837154201</v>
      </c>
      <c r="N646" s="23">
        <f ca="1">IFERROR(__xludf.DUMMYFUNCTION("""COMPUTED_VALUE"""),-13.9866819297524)</f>
        <v>-13.9866819297524</v>
      </c>
      <c r="O646" s="23">
        <f ca="1">IFERROR(__xludf.DUMMYFUNCTION("""COMPUTED_VALUE"""),8.21487390236021)</f>
        <v>8.2148739023602104</v>
      </c>
      <c r="P646" s="23">
        <f ca="1">IFERROR(__xludf.DUMMYFUNCTION("""COMPUTED_VALUE"""),27.655)</f>
        <v>27.655000000000001</v>
      </c>
      <c r="Q646" s="24">
        <f ca="1">IFERROR(__xludf.DUMMYFUNCTION("""COMPUTED_VALUE"""),-22.5644753533609)</f>
        <v>-22.564475353360901</v>
      </c>
      <c r="R646" s="20"/>
    </row>
    <row r="647" spans="1:18" ht="13.2" hidden="1" outlineLevel="1" x14ac:dyDescent="0.25">
      <c r="A647" s="1"/>
      <c r="B647" s="21" t="str">
        <f ca="1">IFERROR(__xludf.DUMMYFUNCTION("""COMPUTED_VALUE"""),"Combustóleo")</f>
        <v>Combustóleo</v>
      </c>
      <c r="C647" s="22">
        <f ca="1">IFERROR(__xludf.DUMMYFUNCTION("""COMPUTED_VALUE"""),3.6608)</f>
        <v>3.6608000000000001</v>
      </c>
      <c r="D647" s="23">
        <f ca="1">IFERROR(__xludf.DUMMYFUNCTION("""COMPUTED_VALUE"""),-9.1514)</f>
        <v>-9.1514000000000006</v>
      </c>
      <c r="E647" s="23">
        <f ca="1">IFERROR(__xludf.DUMMYFUNCTION("""COMPUTED_VALUE"""),7.0011)</f>
        <v>7.0011000000000001</v>
      </c>
      <c r="F647" s="23">
        <f ca="1">IFERROR(__xludf.DUMMYFUNCTION("""COMPUTED_VALUE"""),5.1566)</f>
        <v>5.1566000000000001</v>
      </c>
      <c r="G647" s="23">
        <f ca="1">IFERROR(__xludf.DUMMYFUNCTION("""COMPUTED_VALUE"""),-4.23237643273878)</f>
        <v>-4.2323764327387803</v>
      </c>
      <c r="H647" s="23">
        <f ca="1">IFERROR(__xludf.DUMMYFUNCTION("""COMPUTED_VALUE"""),-6.60569034241929)</f>
        <v>-6.6056903424192903</v>
      </c>
      <c r="I647" s="23">
        <f ca="1">IFERROR(__xludf.DUMMYFUNCTION("""COMPUTED_VALUE"""),0.107)</f>
        <v>0.107</v>
      </c>
      <c r="J647" s="23">
        <f ca="1">IFERROR(__xludf.DUMMYFUNCTION("""COMPUTED_VALUE"""),3.08063651657993)</f>
        <v>3.0806365165799301</v>
      </c>
      <c r="K647" s="23">
        <f ca="1">IFERROR(__xludf.DUMMYFUNCTION("""COMPUTED_VALUE"""),-12.9218135827344)</f>
        <v>-12.9218135827344</v>
      </c>
      <c r="L647" s="23">
        <f ca="1">IFERROR(__xludf.DUMMYFUNCTION("""COMPUTED_VALUE"""),18.1371337891434)</f>
        <v>18.137133789143402</v>
      </c>
      <c r="M647" s="23">
        <f ca="1">IFERROR(__xludf.DUMMYFUNCTION("""COMPUTED_VALUE"""),22.9645234656867)</f>
        <v>22.9645234656867</v>
      </c>
      <c r="N647" s="23">
        <f ca="1">IFERROR(__xludf.DUMMYFUNCTION("""COMPUTED_VALUE"""),-0.532107101872657)</f>
        <v>-0.53210710187265697</v>
      </c>
      <c r="O647" s="23">
        <f ca="1">IFERROR(__xludf.DUMMYFUNCTION("""COMPUTED_VALUE"""),5.14033300704978)</f>
        <v>5.1403330070497804</v>
      </c>
      <c r="P647" s="23">
        <f ca="1">IFERROR(__xludf.DUMMYFUNCTION("""COMPUTED_VALUE"""),-0.97)</f>
        <v>-0.97</v>
      </c>
      <c r="Q647" s="24">
        <f ca="1">IFERROR(__xludf.DUMMYFUNCTION("""COMPUTED_VALUE"""),-9.79952713577767)</f>
        <v>-9.7995271357776694</v>
      </c>
      <c r="R647" s="20"/>
    </row>
    <row r="648" spans="1:18" ht="13.2" hidden="1" outlineLevel="1" x14ac:dyDescent="0.25">
      <c r="A648" s="1"/>
      <c r="B648" s="21" t="str">
        <f ca="1">IFERROR(__xludf.DUMMYFUNCTION("""COMPUTED_VALUE"""),"Otros energéticos")</f>
        <v>Otros energéticos</v>
      </c>
      <c r="C648" s="22">
        <f ca="1">IFERROR(__xludf.DUMMYFUNCTION("""COMPUTED_VALUE"""),2.0495)</f>
        <v>2.0495000000000001</v>
      </c>
      <c r="D648" s="23">
        <f ca="1">IFERROR(__xludf.DUMMYFUNCTION("""COMPUTED_VALUE"""),0.1879)</f>
        <v>0.18790000000000001</v>
      </c>
      <c r="E648" s="23">
        <f ca="1">IFERROR(__xludf.DUMMYFUNCTION("""COMPUTED_VALUE"""),-2.1191)</f>
        <v>-2.1191</v>
      </c>
      <c r="F648" s="23">
        <f ca="1">IFERROR(__xludf.DUMMYFUNCTION("""COMPUTED_VALUE"""),2.4033)</f>
        <v>2.4033000000000002</v>
      </c>
      <c r="G648" s="23">
        <f ca="1">IFERROR(__xludf.DUMMYFUNCTION("""COMPUTED_VALUE"""),0.39304434405534)</f>
        <v>0.39304434405534</v>
      </c>
      <c r="H648" s="23">
        <f ca="1">IFERROR(__xludf.DUMMYFUNCTION("""COMPUTED_VALUE"""),0.566099784987969)</f>
        <v>0.56609978498796898</v>
      </c>
      <c r="I648" s="23">
        <f ca="1">IFERROR(__xludf.DUMMYFUNCTION("""COMPUTED_VALUE"""),27.701)</f>
        <v>27.701000000000001</v>
      </c>
      <c r="J648" s="23">
        <f ca="1">IFERROR(__xludf.DUMMYFUNCTION("""COMPUTED_VALUE"""),-0.429194676088443)</f>
        <v>-0.42919467608844297</v>
      </c>
      <c r="K648" s="23">
        <f ca="1">IFERROR(__xludf.DUMMYFUNCTION("""COMPUTED_VALUE"""),-1.83658337332418)</f>
        <v>-1.8365833733241801</v>
      </c>
      <c r="L648" s="23">
        <f ca="1">IFERROR(__xludf.DUMMYFUNCTION("""COMPUTED_VALUE"""),-2.63280193711371)</f>
        <v>-2.6328019371137099</v>
      </c>
      <c r="M648" s="23">
        <f ca="1">IFERROR(__xludf.DUMMYFUNCTION("""COMPUTED_VALUE"""),-0.868058841744496)</f>
        <v>-0.86805884174449599</v>
      </c>
      <c r="N648" s="23">
        <f ca="1">IFERROR(__xludf.DUMMYFUNCTION("""COMPUTED_VALUE"""),-0.424820702633291)</f>
        <v>-0.42482070263329103</v>
      </c>
      <c r="O648" s="23">
        <f ca="1">IFERROR(__xludf.DUMMYFUNCTION("""COMPUTED_VALUE"""),0.0268471254545495)</f>
        <v>2.6847125454549502E-2</v>
      </c>
      <c r="P648" s="23">
        <f ca="1">IFERROR(__xludf.DUMMYFUNCTION("""COMPUTED_VALUE"""),29.712)</f>
        <v>29.712</v>
      </c>
      <c r="Q648" s="24">
        <f ca="1">IFERROR(__xludf.DUMMYFUNCTION("""COMPUTED_VALUE"""),30.1405711218323)</f>
        <v>30.140571121832298</v>
      </c>
      <c r="R648" s="20"/>
    </row>
    <row r="649" spans="1:18" ht="13.2" hidden="1" outlineLevel="1" x14ac:dyDescent="0.25">
      <c r="A649" s="1"/>
      <c r="B649" s="21" t="str">
        <f ca="1">IFERROR(__xludf.DUMMYFUNCTION("""COMPUTED_VALUE"""),"Gas natural seco")</f>
        <v>Gas natural seco</v>
      </c>
      <c r="C649" s="22">
        <f ca="1">IFERROR(__xludf.DUMMYFUNCTION("""COMPUTED_VALUE"""),2.1002)</f>
        <v>2.1002000000000001</v>
      </c>
      <c r="D649" s="23">
        <f ca="1">IFERROR(__xludf.DUMMYFUNCTION("""COMPUTED_VALUE"""),-8.2152)</f>
        <v>-8.2151999999999994</v>
      </c>
      <c r="E649" s="23">
        <f ca="1">IFERROR(__xludf.DUMMYFUNCTION("""COMPUTED_VALUE"""),1.0831)</f>
        <v>1.0831</v>
      </c>
      <c r="F649" s="23">
        <f ca="1">IFERROR(__xludf.DUMMYFUNCTION("""COMPUTED_VALUE"""),-1.4584)</f>
        <v>-1.4583999999999999</v>
      </c>
      <c r="G649" s="23">
        <f ca="1">IFERROR(__xludf.DUMMYFUNCTION("""COMPUTED_VALUE"""),6.90372774595897)</f>
        <v>6.9037277459589701</v>
      </c>
      <c r="H649" s="23">
        <f ca="1">IFERROR(__xludf.DUMMYFUNCTION("""COMPUTED_VALUE"""),-1.5798413149638)</f>
        <v>-1.5798413149638</v>
      </c>
      <c r="I649" s="23">
        <f ca="1">IFERROR(__xludf.DUMMYFUNCTION("""COMPUTED_VALUE"""),-47.602)</f>
        <v>-47.601999999999997</v>
      </c>
      <c r="J649" s="23">
        <f ca="1">IFERROR(__xludf.DUMMYFUNCTION("""COMPUTED_VALUE"""),19.9313507238729)</f>
        <v>19.9313507238729</v>
      </c>
      <c r="K649" s="23">
        <f ca="1">IFERROR(__xludf.DUMMYFUNCTION("""COMPUTED_VALUE"""),77.0369030789129)</f>
        <v>77.0369030789129</v>
      </c>
      <c r="L649" s="23">
        <f ca="1">IFERROR(__xludf.DUMMYFUNCTION("""COMPUTED_VALUE"""),49.9803550334185)</f>
        <v>49.980355033418498</v>
      </c>
      <c r="M649" s="23">
        <f ca="1">IFERROR(__xludf.DUMMYFUNCTION("""COMPUTED_VALUE"""),77.7534616641211)</f>
        <v>77.753461664121104</v>
      </c>
      <c r="N649" s="23">
        <f ca="1">IFERROR(__xludf.DUMMYFUNCTION("""COMPUTED_VALUE"""),81.7779843595502)</f>
        <v>81.777984359550203</v>
      </c>
      <c r="O649" s="23">
        <f ca="1">IFERROR(__xludf.DUMMYFUNCTION("""COMPUTED_VALUE"""),53.360997469883)</f>
        <v>53.360997469883003</v>
      </c>
      <c r="P649" s="23">
        <f ca="1">IFERROR(__xludf.DUMMYFUNCTION("""COMPUTED_VALUE"""),56.521)</f>
        <v>56.521000000000001</v>
      </c>
      <c r="Q649" s="24">
        <f ca="1">IFERROR(__xludf.DUMMYFUNCTION("""COMPUTED_VALUE"""),78.5982722821713)</f>
        <v>78.598272282171294</v>
      </c>
      <c r="R649" s="20"/>
    </row>
    <row r="650" spans="1:18" ht="13.2" hidden="1" outlineLevel="1" x14ac:dyDescent="0.25">
      <c r="A650" s="1"/>
      <c r="B650" s="25" t="str">
        <f ca="1">IFERROR(__xludf.DUMMYFUNCTION("""COMPUTED_VALUE"""),"Energía eléctrica")</f>
        <v>Energía eléctrica</v>
      </c>
      <c r="C650" s="26">
        <f ca="1">IFERROR(__xludf.DUMMYFUNCTION("""COMPUTED_VALUE"""),0)</f>
        <v>0</v>
      </c>
      <c r="D650" s="27">
        <f ca="1">IFERROR(__xludf.DUMMYFUNCTION("""COMPUTED_VALUE"""),0)</f>
        <v>0</v>
      </c>
      <c r="E650" s="27">
        <f ca="1">IFERROR(__xludf.DUMMYFUNCTION("""COMPUTED_VALUE"""),0)</f>
        <v>0</v>
      </c>
      <c r="F650" s="27">
        <f ca="1">IFERROR(__xludf.DUMMYFUNCTION("""COMPUTED_VALUE"""),0)</f>
        <v>0</v>
      </c>
      <c r="G650" s="27">
        <f ca="1">IFERROR(__xludf.DUMMYFUNCTION("""COMPUTED_VALUE"""),0)</f>
        <v>0</v>
      </c>
      <c r="H650" s="27">
        <f ca="1">IFERROR(__xludf.DUMMYFUNCTION("""COMPUTED_VALUE"""),0)</f>
        <v>0</v>
      </c>
      <c r="I650" s="27">
        <f ca="1">IFERROR(__xludf.DUMMYFUNCTION("""COMPUTED_VALUE"""),0)</f>
        <v>0</v>
      </c>
      <c r="J650" s="27">
        <f ca="1">IFERROR(__xludf.DUMMYFUNCTION("""COMPUTED_VALUE"""),0)</f>
        <v>0</v>
      </c>
      <c r="K650" s="27">
        <f ca="1">IFERROR(__xludf.DUMMYFUNCTION("""COMPUTED_VALUE"""),0)</f>
        <v>0</v>
      </c>
      <c r="L650" s="27">
        <f ca="1">IFERROR(__xludf.DUMMYFUNCTION("""COMPUTED_VALUE"""),0)</f>
        <v>0</v>
      </c>
      <c r="M650" s="27">
        <f ca="1">IFERROR(__xludf.DUMMYFUNCTION("""COMPUTED_VALUE"""),0)</f>
        <v>0</v>
      </c>
      <c r="N650" s="27">
        <f ca="1">IFERROR(__xludf.DUMMYFUNCTION("""COMPUTED_VALUE"""),0)</f>
        <v>0</v>
      </c>
      <c r="O650" s="27">
        <f ca="1">IFERROR(__xludf.DUMMYFUNCTION("""COMPUTED_VALUE"""),0)</f>
        <v>0</v>
      </c>
      <c r="P650" s="27">
        <f ca="1">IFERROR(__xludf.DUMMYFUNCTION("""COMPUTED_VALUE"""),0)</f>
        <v>0</v>
      </c>
      <c r="Q650" s="28">
        <f ca="1">IFERROR(__xludf.DUMMYFUNCTION("""COMPUTED_VALUE"""),0)</f>
        <v>0</v>
      </c>
      <c r="R650" s="20"/>
    </row>
    <row r="651" spans="1:18" ht="13.2" hidden="1" outlineLevel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0"/>
    </row>
    <row r="652" spans="1:18" ht="13.2" collapsed="1" x14ac:dyDescent="0.25">
      <c r="A652" s="29"/>
      <c r="B652" s="5" t="str">
        <f ca="1">IFERROR(__xludf.DUMMYFUNCTION("""COMPUTED_VALUE"""),"PerTec(e,a)")</f>
        <v>PerTec(e,a)</v>
      </c>
      <c r="C652" s="6" t="str">
        <f ca="1">IFERROR(__xludf.DUMMYFUNCTION("""COMPUTED_VALUE"""),"-/")</f>
        <v>-/</v>
      </c>
      <c r="D652" s="7" t="str">
        <f ca="1">IFERROR(__xludf.DUMMYFUNCTION("""COMPUTED_VALUE"""),"Pérdidas técnicas por transporte,transmisión y distribución por energético e y año a.")</f>
        <v>Pérdidas técnicas por transporte,transmisión y distribución por energético e y año a.</v>
      </c>
      <c r="E652" s="6" t="str">
        <f ca="1">IFERROR(__xludf.DUMMYFUNCTION("""COMPUTED_VALUE"""),"cbne")</f>
        <v>cbne</v>
      </c>
      <c r="F652" s="6" t="str">
        <f ca="1">IFERROR(__xludf.DUMMYFUNCTION("""COMPUTED_VALUE"""),"a")</f>
        <v>a</v>
      </c>
      <c r="G652" s="8" t="str">
        <f ca="1">IFERROR(__xludf.DUMMYFUNCTION("""COMPUTED_VALUE"""),"PJ")</f>
        <v>PJ</v>
      </c>
      <c r="H652" s="9"/>
      <c r="I652" s="1"/>
      <c r="J652" s="1"/>
      <c r="K652" s="1"/>
      <c r="L652" s="1"/>
      <c r="M652" s="1"/>
      <c r="N652" s="1"/>
      <c r="O652" s="1"/>
      <c r="P652" s="1"/>
      <c r="Q652" s="1"/>
      <c r="R652" s="10"/>
    </row>
    <row r="653" spans="1:18" ht="13.2" hidden="1" outlineLevel="1" x14ac:dyDescent="0.25">
      <c r="A653" s="1"/>
      <c r="B653" s="11"/>
      <c r="C653" s="12">
        <f ca="1">IFERROR(__xludf.DUMMYFUNCTION("""COMPUTED_VALUE"""),2010)</f>
        <v>2010</v>
      </c>
      <c r="D653" s="13">
        <f ca="1">IFERROR(__xludf.DUMMYFUNCTION("""COMPUTED_VALUE"""),2011)</f>
        <v>2011</v>
      </c>
      <c r="E653" s="13">
        <f ca="1">IFERROR(__xludf.DUMMYFUNCTION("""COMPUTED_VALUE"""),2012)</f>
        <v>2012</v>
      </c>
      <c r="F653" s="13">
        <f ca="1">IFERROR(__xludf.DUMMYFUNCTION("""COMPUTED_VALUE"""),2013)</f>
        <v>2013</v>
      </c>
      <c r="G653" s="13">
        <f ca="1">IFERROR(__xludf.DUMMYFUNCTION("""COMPUTED_VALUE"""),2014)</f>
        <v>2014</v>
      </c>
      <c r="H653" s="13">
        <f ca="1">IFERROR(__xludf.DUMMYFUNCTION("""COMPUTED_VALUE"""),2015)</f>
        <v>2015</v>
      </c>
      <c r="I653" s="13">
        <f ca="1">IFERROR(__xludf.DUMMYFUNCTION("""COMPUTED_VALUE"""),2016)</f>
        <v>2016</v>
      </c>
      <c r="J653" s="13">
        <f ca="1">IFERROR(__xludf.DUMMYFUNCTION("""COMPUTED_VALUE"""),2017)</f>
        <v>2017</v>
      </c>
      <c r="K653" s="13">
        <f ca="1">IFERROR(__xludf.DUMMYFUNCTION("""COMPUTED_VALUE"""),2018)</f>
        <v>2018</v>
      </c>
      <c r="L653" s="13">
        <f ca="1">IFERROR(__xludf.DUMMYFUNCTION("""COMPUTED_VALUE"""),2019)</f>
        <v>2019</v>
      </c>
      <c r="M653" s="13">
        <f ca="1">IFERROR(__xludf.DUMMYFUNCTION("""COMPUTED_VALUE"""),2020)</f>
        <v>2020</v>
      </c>
      <c r="N653" s="13">
        <f ca="1">IFERROR(__xludf.DUMMYFUNCTION("""COMPUTED_VALUE"""),2021)</f>
        <v>2021</v>
      </c>
      <c r="O653" s="13">
        <f ca="1">IFERROR(__xludf.DUMMYFUNCTION("""COMPUTED_VALUE"""),2022)</f>
        <v>2022</v>
      </c>
      <c r="P653" s="13">
        <f ca="1">IFERROR(__xludf.DUMMYFUNCTION("""COMPUTED_VALUE"""),2023)</f>
        <v>2023</v>
      </c>
      <c r="Q653" s="14">
        <f ca="1">IFERROR(__xludf.DUMMYFUNCTION("""COMPUTED_VALUE"""),2024)</f>
        <v>2024</v>
      </c>
      <c r="R653" s="15"/>
    </row>
    <row r="654" spans="1:18" ht="13.2" hidden="1" outlineLevel="1" x14ac:dyDescent="0.25">
      <c r="A654" s="1"/>
      <c r="B654" s="16" t="str">
        <f ca="1">IFERROR(__xludf.DUMMYFUNCTION("""COMPUTED_VALUE"""),"Carbón mineral")</f>
        <v>Carbón mineral</v>
      </c>
      <c r="C654" s="17">
        <f ca="1">IFERROR(__xludf.DUMMYFUNCTION("""COMPUTED_VALUE"""),0)</f>
        <v>0</v>
      </c>
      <c r="D654" s="18">
        <f ca="1">IFERROR(__xludf.DUMMYFUNCTION("""COMPUTED_VALUE"""),0)</f>
        <v>0</v>
      </c>
      <c r="E654" s="18">
        <f ca="1">IFERROR(__xludf.DUMMYFUNCTION("""COMPUTED_VALUE"""),0)</f>
        <v>0</v>
      </c>
      <c r="F654" s="18">
        <f ca="1">IFERROR(__xludf.DUMMYFUNCTION("""COMPUTED_VALUE"""),0)</f>
        <v>0</v>
      </c>
      <c r="G654" s="18">
        <f ca="1">IFERROR(__xludf.DUMMYFUNCTION("""COMPUTED_VALUE"""),0)</f>
        <v>0</v>
      </c>
      <c r="H654" s="18">
        <f ca="1">IFERROR(__xludf.DUMMYFUNCTION("""COMPUTED_VALUE"""),0)</f>
        <v>0</v>
      </c>
      <c r="I654" s="18">
        <f ca="1">IFERROR(__xludf.DUMMYFUNCTION("""COMPUTED_VALUE"""),0)</f>
        <v>0</v>
      </c>
      <c r="J654" s="18">
        <f ca="1">IFERROR(__xludf.DUMMYFUNCTION("""COMPUTED_VALUE"""),0)</f>
        <v>0</v>
      </c>
      <c r="K654" s="18">
        <f ca="1">IFERROR(__xludf.DUMMYFUNCTION("""COMPUTED_VALUE"""),0)</f>
        <v>0</v>
      </c>
      <c r="L654" s="18">
        <f ca="1">IFERROR(__xludf.DUMMYFUNCTION("""COMPUTED_VALUE"""),0)</f>
        <v>0</v>
      </c>
      <c r="M654" s="18">
        <f ca="1">IFERROR(__xludf.DUMMYFUNCTION("""COMPUTED_VALUE"""),0)</f>
        <v>0</v>
      </c>
      <c r="N654" s="18">
        <f ca="1">IFERROR(__xludf.DUMMYFUNCTION("""COMPUTED_VALUE"""),0)</f>
        <v>0</v>
      </c>
      <c r="O654" s="18">
        <f ca="1">IFERROR(__xludf.DUMMYFUNCTION("""COMPUTED_VALUE"""),0)</f>
        <v>0</v>
      </c>
      <c r="P654" s="18">
        <f ca="1">IFERROR(__xludf.DUMMYFUNCTION("""COMPUTED_VALUE"""),0)</f>
        <v>0</v>
      </c>
      <c r="Q654" s="19">
        <f ca="1">IFERROR(__xludf.DUMMYFUNCTION("""COMPUTED_VALUE"""),0)</f>
        <v>0</v>
      </c>
      <c r="R654" s="20"/>
    </row>
    <row r="655" spans="1:18" ht="13.2" hidden="1" outlineLevel="1" x14ac:dyDescent="0.25">
      <c r="A655" s="1"/>
      <c r="B655" s="21" t="str">
        <f ca="1">IFERROR(__xludf.DUMMYFUNCTION("""COMPUTED_VALUE"""),"Petróleo crudo")</f>
        <v>Petróleo crudo</v>
      </c>
      <c r="C655" s="22">
        <f ca="1">IFERROR(__xludf.DUMMYFUNCTION("""COMPUTED_VALUE"""),-31.31)</f>
        <v>-31.31</v>
      </c>
      <c r="D655" s="23">
        <f ca="1">IFERROR(__xludf.DUMMYFUNCTION("""COMPUTED_VALUE"""),-24.57)</f>
        <v>-24.57</v>
      </c>
      <c r="E655" s="23">
        <f ca="1">IFERROR(__xludf.DUMMYFUNCTION("""COMPUTED_VALUE"""),-28.6)</f>
        <v>-28.6</v>
      </c>
      <c r="F655" s="23">
        <f ca="1">IFERROR(__xludf.DUMMYFUNCTION("""COMPUTED_VALUE"""),-31.98)</f>
        <v>-31.98</v>
      </c>
      <c r="G655" s="23">
        <f ca="1">IFERROR(__xludf.DUMMYFUNCTION("""COMPUTED_VALUE"""),-29.976988457556)</f>
        <v>-29.976988457556001</v>
      </c>
      <c r="H655" s="23">
        <f ca="1">IFERROR(__xludf.DUMMYFUNCTION("""COMPUTED_VALUE"""),-14.8859708874388)</f>
        <v>-14.8859708874388</v>
      </c>
      <c r="I655" s="23">
        <f ca="1">IFERROR(__xludf.DUMMYFUNCTION("""COMPUTED_VALUE"""),-9.251)</f>
        <v>-9.2509999999999994</v>
      </c>
      <c r="J655" s="23">
        <f ca="1">IFERROR(__xludf.DUMMYFUNCTION("""COMPUTED_VALUE"""),-6.60247075919484)</f>
        <v>-6.6024707591948397</v>
      </c>
      <c r="K655" s="23">
        <f ca="1">IFERROR(__xludf.DUMMYFUNCTION("""COMPUTED_VALUE"""),-7.6529025986523)</f>
        <v>-7.6529025986523003</v>
      </c>
      <c r="L655" s="23">
        <f ca="1">IFERROR(__xludf.DUMMYFUNCTION("""COMPUTED_VALUE"""),-3.21562351883241)</f>
        <v>-3.2156235188324098</v>
      </c>
      <c r="M655" s="23">
        <f ca="1">IFERROR(__xludf.DUMMYFUNCTION("""COMPUTED_VALUE"""),-6.79373625083629)</f>
        <v>-6.7937362508362904</v>
      </c>
      <c r="N655" s="23">
        <f ca="1">IFERROR(__xludf.DUMMYFUNCTION("""COMPUTED_VALUE"""),-6.9162448232338)</f>
        <v>-6.9162448232338001</v>
      </c>
      <c r="O655" s="23">
        <f ca="1">IFERROR(__xludf.DUMMYFUNCTION("""COMPUTED_VALUE"""),-7.07786019252214)</f>
        <v>-7.0778601925221398</v>
      </c>
      <c r="P655" s="23">
        <f ca="1">IFERROR(__xludf.DUMMYFUNCTION("""COMPUTED_VALUE"""),-7.43796795258751)</f>
        <v>-7.4379679525875098</v>
      </c>
      <c r="Q655" s="24">
        <f ca="1">IFERROR(__xludf.DUMMYFUNCTION("""COMPUTED_VALUE"""),-11.8187059520165)</f>
        <v>-11.818705952016501</v>
      </c>
      <c r="R655" s="20"/>
    </row>
    <row r="656" spans="1:18" ht="13.2" hidden="1" outlineLevel="1" x14ac:dyDescent="0.25">
      <c r="A656" s="1"/>
      <c r="B656" s="21" t="str">
        <f ca="1">IFERROR(__xludf.DUMMYFUNCTION("""COMPUTED_VALUE"""),"Condensados")</f>
        <v>Condensados</v>
      </c>
      <c r="C656" s="22">
        <f ca="1">IFERROR(__xludf.DUMMYFUNCTION("""COMPUTED_VALUE"""),0)</f>
        <v>0</v>
      </c>
      <c r="D656" s="23">
        <f ca="1">IFERROR(__xludf.DUMMYFUNCTION("""COMPUTED_VALUE"""),0)</f>
        <v>0</v>
      </c>
      <c r="E656" s="23">
        <f ca="1">IFERROR(__xludf.DUMMYFUNCTION("""COMPUTED_VALUE"""),0)</f>
        <v>0</v>
      </c>
      <c r="F656" s="23">
        <f ca="1">IFERROR(__xludf.DUMMYFUNCTION("""COMPUTED_VALUE"""),0)</f>
        <v>0</v>
      </c>
      <c r="G656" s="23">
        <f ca="1">IFERROR(__xludf.DUMMYFUNCTION("""COMPUTED_VALUE"""),0)</f>
        <v>0</v>
      </c>
      <c r="H656" s="23">
        <f ca="1">IFERROR(__xludf.DUMMYFUNCTION("""COMPUTED_VALUE"""),0)</f>
        <v>0</v>
      </c>
      <c r="I656" s="23">
        <f ca="1">IFERROR(__xludf.DUMMYFUNCTION("""COMPUTED_VALUE"""),0)</f>
        <v>0</v>
      </c>
      <c r="J656" s="23">
        <f ca="1">IFERROR(__xludf.DUMMYFUNCTION("""COMPUTED_VALUE"""),0)</f>
        <v>0</v>
      </c>
      <c r="K656" s="23">
        <f ca="1">IFERROR(__xludf.DUMMYFUNCTION("""COMPUTED_VALUE"""),0)</f>
        <v>0</v>
      </c>
      <c r="L656" s="23">
        <f ca="1">IFERROR(__xludf.DUMMYFUNCTION("""COMPUTED_VALUE"""),0)</f>
        <v>0</v>
      </c>
      <c r="M656" s="23">
        <f ca="1">IFERROR(__xludf.DUMMYFUNCTION("""COMPUTED_VALUE"""),0)</f>
        <v>0</v>
      </c>
      <c r="N656" s="23">
        <f ca="1">IFERROR(__xludf.DUMMYFUNCTION("""COMPUTED_VALUE"""),0)</f>
        <v>0</v>
      </c>
      <c r="O656" s="23">
        <f ca="1">IFERROR(__xludf.DUMMYFUNCTION("""COMPUTED_VALUE"""),0)</f>
        <v>0</v>
      </c>
      <c r="P656" s="23">
        <f ca="1">IFERROR(__xludf.DUMMYFUNCTION("""COMPUTED_VALUE"""),0)</f>
        <v>0</v>
      </c>
      <c r="Q656" s="24">
        <f ca="1">IFERROR(__xludf.DUMMYFUNCTION("""COMPUTED_VALUE"""),0)</f>
        <v>0</v>
      </c>
      <c r="R656" s="20"/>
    </row>
    <row r="657" spans="1:18" ht="13.2" hidden="1" outlineLevel="1" x14ac:dyDescent="0.25">
      <c r="A657" s="1"/>
      <c r="B657" s="21" t="str">
        <f ca="1">IFERROR(__xludf.DUMMYFUNCTION("""COMPUTED_VALUE"""),"Gas natural")</f>
        <v>Gas natural</v>
      </c>
      <c r="C657" s="22">
        <f ca="1">IFERROR(__xludf.DUMMYFUNCTION("""COMPUTED_VALUE"""),0)</f>
        <v>0</v>
      </c>
      <c r="D657" s="23">
        <f ca="1">IFERROR(__xludf.DUMMYFUNCTION("""COMPUTED_VALUE"""),0)</f>
        <v>0</v>
      </c>
      <c r="E657" s="23">
        <f ca="1">IFERROR(__xludf.DUMMYFUNCTION("""COMPUTED_VALUE"""),0)</f>
        <v>0</v>
      </c>
      <c r="F657" s="23">
        <f ca="1">IFERROR(__xludf.DUMMYFUNCTION("""COMPUTED_VALUE"""),0)</f>
        <v>0</v>
      </c>
      <c r="G657" s="23">
        <f ca="1">IFERROR(__xludf.DUMMYFUNCTION("""COMPUTED_VALUE"""),0)</f>
        <v>0</v>
      </c>
      <c r="H657" s="23">
        <f ca="1">IFERROR(__xludf.DUMMYFUNCTION("""COMPUTED_VALUE"""),0)</f>
        <v>0</v>
      </c>
      <c r="I657" s="23">
        <f ca="1">IFERROR(__xludf.DUMMYFUNCTION("""COMPUTED_VALUE"""),0)</f>
        <v>0</v>
      </c>
      <c r="J657" s="23">
        <f ca="1">IFERROR(__xludf.DUMMYFUNCTION("""COMPUTED_VALUE"""),0)</f>
        <v>0</v>
      </c>
      <c r="K657" s="23">
        <f ca="1">IFERROR(__xludf.DUMMYFUNCTION("""COMPUTED_VALUE"""),0)</f>
        <v>0</v>
      </c>
      <c r="L657" s="23">
        <f ca="1">IFERROR(__xludf.DUMMYFUNCTION("""COMPUTED_VALUE"""),0)</f>
        <v>0</v>
      </c>
      <c r="M657" s="23">
        <f ca="1">IFERROR(__xludf.DUMMYFUNCTION("""COMPUTED_VALUE"""),0)</f>
        <v>0</v>
      </c>
      <c r="N657" s="23">
        <f ca="1">IFERROR(__xludf.DUMMYFUNCTION("""COMPUTED_VALUE"""),0)</f>
        <v>0</v>
      </c>
      <c r="O657" s="23">
        <f ca="1">IFERROR(__xludf.DUMMYFUNCTION("""COMPUTED_VALUE"""),0)</f>
        <v>0</v>
      </c>
      <c r="P657" s="23">
        <f ca="1">IFERROR(__xludf.DUMMYFUNCTION("""COMPUTED_VALUE"""),0)</f>
        <v>0</v>
      </c>
      <c r="Q657" s="24">
        <f ca="1">IFERROR(__xludf.DUMMYFUNCTION("""COMPUTED_VALUE"""),0)</f>
        <v>0</v>
      </c>
      <c r="R657" s="20"/>
    </row>
    <row r="658" spans="1:18" ht="13.2" hidden="1" outlineLevel="1" x14ac:dyDescent="0.25">
      <c r="A658" s="1"/>
      <c r="B658" s="21" t="str">
        <f ca="1">IFERROR(__xludf.DUMMYFUNCTION("""COMPUTED_VALUE"""),"Energía Nuclear")</f>
        <v>Energía Nuclear</v>
      </c>
      <c r="C658" s="22">
        <f ca="1">IFERROR(__xludf.DUMMYFUNCTION("""COMPUTED_VALUE"""),0)</f>
        <v>0</v>
      </c>
      <c r="D658" s="23">
        <f ca="1">IFERROR(__xludf.DUMMYFUNCTION("""COMPUTED_VALUE"""),0)</f>
        <v>0</v>
      </c>
      <c r="E658" s="23">
        <f ca="1">IFERROR(__xludf.DUMMYFUNCTION("""COMPUTED_VALUE"""),0)</f>
        <v>0</v>
      </c>
      <c r="F658" s="23">
        <f ca="1">IFERROR(__xludf.DUMMYFUNCTION("""COMPUTED_VALUE"""),0)</f>
        <v>0</v>
      </c>
      <c r="G658" s="23">
        <f ca="1">IFERROR(__xludf.DUMMYFUNCTION("""COMPUTED_VALUE"""),0)</f>
        <v>0</v>
      </c>
      <c r="H658" s="23">
        <f ca="1">IFERROR(__xludf.DUMMYFUNCTION("""COMPUTED_VALUE"""),0)</f>
        <v>0</v>
      </c>
      <c r="I658" s="23">
        <f ca="1">IFERROR(__xludf.DUMMYFUNCTION("""COMPUTED_VALUE"""),0)</f>
        <v>0</v>
      </c>
      <c r="J658" s="23">
        <f ca="1">IFERROR(__xludf.DUMMYFUNCTION("""COMPUTED_VALUE"""),0)</f>
        <v>0</v>
      </c>
      <c r="K658" s="23">
        <f ca="1">IFERROR(__xludf.DUMMYFUNCTION("""COMPUTED_VALUE"""),0)</f>
        <v>0</v>
      </c>
      <c r="L658" s="23">
        <f ca="1">IFERROR(__xludf.DUMMYFUNCTION("""COMPUTED_VALUE"""),0)</f>
        <v>0</v>
      </c>
      <c r="M658" s="23">
        <f ca="1">IFERROR(__xludf.DUMMYFUNCTION("""COMPUTED_VALUE"""),0)</f>
        <v>0</v>
      </c>
      <c r="N658" s="23">
        <f ca="1">IFERROR(__xludf.DUMMYFUNCTION("""COMPUTED_VALUE"""),0)</f>
        <v>0</v>
      </c>
      <c r="O658" s="23">
        <f ca="1">IFERROR(__xludf.DUMMYFUNCTION("""COMPUTED_VALUE"""),0)</f>
        <v>0</v>
      </c>
      <c r="P658" s="23">
        <f ca="1">IFERROR(__xludf.DUMMYFUNCTION("""COMPUTED_VALUE"""),0)</f>
        <v>0</v>
      </c>
      <c r="Q658" s="24">
        <f ca="1">IFERROR(__xludf.DUMMYFUNCTION("""COMPUTED_VALUE"""),0)</f>
        <v>0</v>
      </c>
      <c r="R658" s="20"/>
    </row>
    <row r="659" spans="1:18" ht="13.2" hidden="1" outlineLevel="1" x14ac:dyDescent="0.25">
      <c r="A659" s="1"/>
      <c r="B659" s="21" t="str">
        <f ca="1">IFERROR(__xludf.DUMMYFUNCTION("""COMPUTED_VALUE"""),"Energia Hidraúlica")</f>
        <v>Energia Hidraúlica</v>
      </c>
      <c r="C659" s="22">
        <f ca="1">IFERROR(__xludf.DUMMYFUNCTION("""COMPUTED_VALUE"""),0)</f>
        <v>0</v>
      </c>
      <c r="D659" s="23">
        <f ca="1">IFERROR(__xludf.DUMMYFUNCTION("""COMPUTED_VALUE"""),0)</f>
        <v>0</v>
      </c>
      <c r="E659" s="23">
        <f ca="1">IFERROR(__xludf.DUMMYFUNCTION("""COMPUTED_VALUE"""),0)</f>
        <v>0</v>
      </c>
      <c r="F659" s="23">
        <f ca="1">IFERROR(__xludf.DUMMYFUNCTION("""COMPUTED_VALUE"""),0)</f>
        <v>0</v>
      </c>
      <c r="G659" s="23">
        <f ca="1">IFERROR(__xludf.DUMMYFUNCTION("""COMPUTED_VALUE"""),0)</f>
        <v>0</v>
      </c>
      <c r="H659" s="23">
        <f ca="1">IFERROR(__xludf.DUMMYFUNCTION("""COMPUTED_VALUE"""),0)</f>
        <v>0</v>
      </c>
      <c r="I659" s="23">
        <f ca="1">IFERROR(__xludf.DUMMYFUNCTION("""COMPUTED_VALUE"""),0)</f>
        <v>0</v>
      </c>
      <c r="J659" s="23">
        <f ca="1">IFERROR(__xludf.DUMMYFUNCTION("""COMPUTED_VALUE"""),0)</f>
        <v>0</v>
      </c>
      <c r="K659" s="23">
        <f ca="1">IFERROR(__xludf.DUMMYFUNCTION("""COMPUTED_VALUE"""),0)</f>
        <v>0</v>
      </c>
      <c r="L659" s="23">
        <f ca="1">IFERROR(__xludf.DUMMYFUNCTION("""COMPUTED_VALUE"""),0)</f>
        <v>0</v>
      </c>
      <c r="M659" s="23">
        <f ca="1">IFERROR(__xludf.DUMMYFUNCTION("""COMPUTED_VALUE"""),0)</f>
        <v>0</v>
      </c>
      <c r="N659" s="23">
        <f ca="1">IFERROR(__xludf.DUMMYFUNCTION("""COMPUTED_VALUE"""),0)</f>
        <v>0</v>
      </c>
      <c r="O659" s="23">
        <f ca="1">IFERROR(__xludf.DUMMYFUNCTION("""COMPUTED_VALUE"""),0)</f>
        <v>0</v>
      </c>
      <c r="P659" s="23">
        <f ca="1">IFERROR(__xludf.DUMMYFUNCTION("""COMPUTED_VALUE"""),0)</f>
        <v>0</v>
      </c>
      <c r="Q659" s="24">
        <f ca="1">IFERROR(__xludf.DUMMYFUNCTION("""COMPUTED_VALUE"""),0)</f>
        <v>0</v>
      </c>
      <c r="R659" s="20"/>
    </row>
    <row r="660" spans="1:18" ht="13.2" hidden="1" outlineLevel="1" x14ac:dyDescent="0.25">
      <c r="A660" s="1"/>
      <c r="B660" s="21" t="str">
        <f ca="1">IFERROR(__xludf.DUMMYFUNCTION("""COMPUTED_VALUE"""),"Geoenergía")</f>
        <v>Geoenergía</v>
      </c>
      <c r="C660" s="22">
        <f ca="1">IFERROR(__xludf.DUMMYFUNCTION("""COMPUTED_VALUE"""),0)</f>
        <v>0</v>
      </c>
      <c r="D660" s="23">
        <f ca="1">IFERROR(__xludf.DUMMYFUNCTION("""COMPUTED_VALUE"""),0)</f>
        <v>0</v>
      </c>
      <c r="E660" s="23">
        <f ca="1">IFERROR(__xludf.DUMMYFUNCTION("""COMPUTED_VALUE"""),0)</f>
        <v>0</v>
      </c>
      <c r="F660" s="23">
        <f ca="1">IFERROR(__xludf.DUMMYFUNCTION("""COMPUTED_VALUE"""),0)</f>
        <v>0</v>
      </c>
      <c r="G660" s="23">
        <f ca="1">IFERROR(__xludf.DUMMYFUNCTION("""COMPUTED_VALUE"""),0)</f>
        <v>0</v>
      </c>
      <c r="H660" s="23">
        <f ca="1">IFERROR(__xludf.DUMMYFUNCTION("""COMPUTED_VALUE"""),0)</f>
        <v>0</v>
      </c>
      <c r="I660" s="23">
        <f ca="1">IFERROR(__xludf.DUMMYFUNCTION("""COMPUTED_VALUE"""),0)</f>
        <v>0</v>
      </c>
      <c r="J660" s="23">
        <f ca="1">IFERROR(__xludf.DUMMYFUNCTION("""COMPUTED_VALUE"""),0)</f>
        <v>0</v>
      </c>
      <c r="K660" s="23">
        <f ca="1">IFERROR(__xludf.DUMMYFUNCTION("""COMPUTED_VALUE"""),0)</f>
        <v>0</v>
      </c>
      <c r="L660" s="23">
        <f ca="1">IFERROR(__xludf.DUMMYFUNCTION("""COMPUTED_VALUE"""),0)</f>
        <v>0</v>
      </c>
      <c r="M660" s="23">
        <f ca="1">IFERROR(__xludf.DUMMYFUNCTION("""COMPUTED_VALUE"""),0)</f>
        <v>0</v>
      </c>
      <c r="N660" s="23">
        <f ca="1">IFERROR(__xludf.DUMMYFUNCTION("""COMPUTED_VALUE"""),0)</f>
        <v>0</v>
      </c>
      <c r="O660" s="23">
        <f ca="1">IFERROR(__xludf.DUMMYFUNCTION("""COMPUTED_VALUE"""),0)</f>
        <v>0</v>
      </c>
      <c r="P660" s="23">
        <f ca="1">IFERROR(__xludf.DUMMYFUNCTION("""COMPUTED_VALUE"""),0)</f>
        <v>0</v>
      </c>
      <c r="Q660" s="24">
        <f ca="1">IFERROR(__xludf.DUMMYFUNCTION("""COMPUTED_VALUE"""),0)</f>
        <v>0</v>
      </c>
      <c r="R660" s="20"/>
    </row>
    <row r="661" spans="1:18" ht="13.2" hidden="1" outlineLevel="1" x14ac:dyDescent="0.25">
      <c r="A661" s="1"/>
      <c r="B661" s="21" t="str">
        <f ca="1">IFERROR(__xludf.DUMMYFUNCTION("""COMPUTED_VALUE"""),"Energía solar")</f>
        <v>Energía solar</v>
      </c>
      <c r="C661" s="22">
        <f ca="1">IFERROR(__xludf.DUMMYFUNCTION("""COMPUTED_VALUE"""),0)</f>
        <v>0</v>
      </c>
      <c r="D661" s="23">
        <f ca="1">IFERROR(__xludf.DUMMYFUNCTION("""COMPUTED_VALUE"""),0)</f>
        <v>0</v>
      </c>
      <c r="E661" s="23">
        <f ca="1">IFERROR(__xludf.DUMMYFUNCTION("""COMPUTED_VALUE"""),0)</f>
        <v>0</v>
      </c>
      <c r="F661" s="23">
        <f ca="1">IFERROR(__xludf.DUMMYFUNCTION("""COMPUTED_VALUE"""),0)</f>
        <v>0</v>
      </c>
      <c r="G661" s="23">
        <f ca="1">IFERROR(__xludf.DUMMYFUNCTION("""COMPUTED_VALUE"""),0)</f>
        <v>0</v>
      </c>
      <c r="H661" s="23">
        <f ca="1">IFERROR(__xludf.DUMMYFUNCTION("""COMPUTED_VALUE"""),0)</f>
        <v>0</v>
      </c>
      <c r="I661" s="23">
        <f ca="1">IFERROR(__xludf.DUMMYFUNCTION("""COMPUTED_VALUE"""),0)</f>
        <v>0</v>
      </c>
      <c r="J661" s="23">
        <f ca="1">IFERROR(__xludf.DUMMYFUNCTION("""COMPUTED_VALUE"""),0)</f>
        <v>0</v>
      </c>
      <c r="K661" s="23">
        <f ca="1">IFERROR(__xludf.DUMMYFUNCTION("""COMPUTED_VALUE"""),0)</f>
        <v>0</v>
      </c>
      <c r="L661" s="23">
        <f ca="1">IFERROR(__xludf.DUMMYFUNCTION("""COMPUTED_VALUE"""),0)</f>
        <v>0</v>
      </c>
      <c r="M661" s="23">
        <f ca="1">IFERROR(__xludf.DUMMYFUNCTION("""COMPUTED_VALUE"""),0)</f>
        <v>0</v>
      </c>
      <c r="N661" s="23">
        <f ca="1">IFERROR(__xludf.DUMMYFUNCTION("""COMPUTED_VALUE"""),0)</f>
        <v>0</v>
      </c>
      <c r="O661" s="23">
        <f ca="1">IFERROR(__xludf.DUMMYFUNCTION("""COMPUTED_VALUE"""),0)</f>
        <v>0</v>
      </c>
      <c r="P661" s="23">
        <f ca="1">IFERROR(__xludf.DUMMYFUNCTION("""COMPUTED_VALUE"""),0)</f>
        <v>0</v>
      </c>
      <c r="Q661" s="24">
        <f ca="1">IFERROR(__xludf.DUMMYFUNCTION("""COMPUTED_VALUE"""),0)</f>
        <v>0</v>
      </c>
      <c r="R661" s="20"/>
    </row>
    <row r="662" spans="1:18" ht="13.2" hidden="1" outlineLevel="1" x14ac:dyDescent="0.25">
      <c r="A662" s="1"/>
      <c r="B662" s="21" t="str">
        <f ca="1">IFERROR(__xludf.DUMMYFUNCTION("""COMPUTED_VALUE"""),"Energía eólica")</f>
        <v>Energía eólica</v>
      </c>
      <c r="C662" s="22">
        <f ca="1">IFERROR(__xludf.DUMMYFUNCTION("""COMPUTED_VALUE"""),0)</f>
        <v>0</v>
      </c>
      <c r="D662" s="23">
        <f ca="1">IFERROR(__xludf.DUMMYFUNCTION("""COMPUTED_VALUE"""),0)</f>
        <v>0</v>
      </c>
      <c r="E662" s="23">
        <f ca="1">IFERROR(__xludf.DUMMYFUNCTION("""COMPUTED_VALUE"""),0)</f>
        <v>0</v>
      </c>
      <c r="F662" s="23">
        <f ca="1">IFERROR(__xludf.DUMMYFUNCTION("""COMPUTED_VALUE"""),0)</f>
        <v>0</v>
      </c>
      <c r="G662" s="23">
        <f ca="1">IFERROR(__xludf.DUMMYFUNCTION("""COMPUTED_VALUE"""),0)</f>
        <v>0</v>
      </c>
      <c r="H662" s="23">
        <f ca="1">IFERROR(__xludf.DUMMYFUNCTION("""COMPUTED_VALUE"""),0)</f>
        <v>0</v>
      </c>
      <c r="I662" s="23">
        <f ca="1">IFERROR(__xludf.DUMMYFUNCTION("""COMPUTED_VALUE"""),0)</f>
        <v>0</v>
      </c>
      <c r="J662" s="23">
        <f ca="1">IFERROR(__xludf.DUMMYFUNCTION("""COMPUTED_VALUE"""),0)</f>
        <v>0</v>
      </c>
      <c r="K662" s="23">
        <f ca="1">IFERROR(__xludf.DUMMYFUNCTION("""COMPUTED_VALUE"""),0)</f>
        <v>0</v>
      </c>
      <c r="L662" s="23">
        <f ca="1">IFERROR(__xludf.DUMMYFUNCTION("""COMPUTED_VALUE"""),0)</f>
        <v>0</v>
      </c>
      <c r="M662" s="23">
        <f ca="1">IFERROR(__xludf.DUMMYFUNCTION("""COMPUTED_VALUE"""),0)</f>
        <v>0</v>
      </c>
      <c r="N662" s="23">
        <f ca="1">IFERROR(__xludf.DUMMYFUNCTION("""COMPUTED_VALUE"""),0)</f>
        <v>0</v>
      </c>
      <c r="O662" s="23">
        <f ca="1">IFERROR(__xludf.DUMMYFUNCTION("""COMPUTED_VALUE"""),0)</f>
        <v>0</v>
      </c>
      <c r="P662" s="23">
        <f ca="1">IFERROR(__xludf.DUMMYFUNCTION("""COMPUTED_VALUE"""),0)</f>
        <v>0</v>
      </c>
      <c r="Q662" s="24">
        <f ca="1">IFERROR(__xludf.DUMMYFUNCTION("""COMPUTED_VALUE"""),0)</f>
        <v>0</v>
      </c>
      <c r="R662" s="20"/>
    </row>
    <row r="663" spans="1:18" ht="13.2" hidden="1" outlineLevel="1" x14ac:dyDescent="0.25">
      <c r="A663" s="1"/>
      <c r="B663" s="21" t="str">
        <f ca="1">IFERROR(__xludf.DUMMYFUNCTION("""COMPUTED_VALUE"""),"Bagazo de caña")</f>
        <v>Bagazo de caña</v>
      </c>
      <c r="C663" s="22">
        <f ca="1">IFERROR(__xludf.DUMMYFUNCTION("""COMPUTED_VALUE"""),0)</f>
        <v>0</v>
      </c>
      <c r="D663" s="23">
        <f ca="1">IFERROR(__xludf.DUMMYFUNCTION("""COMPUTED_VALUE"""),0)</f>
        <v>0</v>
      </c>
      <c r="E663" s="23">
        <f ca="1">IFERROR(__xludf.DUMMYFUNCTION("""COMPUTED_VALUE"""),0)</f>
        <v>0</v>
      </c>
      <c r="F663" s="23">
        <f ca="1">IFERROR(__xludf.DUMMYFUNCTION("""COMPUTED_VALUE"""),0)</f>
        <v>0</v>
      </c>
      <c r="G663" s="23">
        <f ca="1">IFERROR(__xludf.DUMMYFUNCTION("""COMPUTED_VALUE"""),0)</f>
        <v>0</v>
      </c>
      <c r="H663" s="23">
        <f ca="1">IFERROR(__xludf.DUMMYFUNCTION("""COMPUTED_VALUE"""),0)</f>
        <v>0</v>
      </c>
      <c r="I663" s="23">
        <f ca="1">IFERROR(__xludf.DUMMYFUNCTION("""COMPUTED_VALUE"""),0)</f>
        <v>0</v>
      </c>
      <c r="J663" s="23">
        <f ca="1">IFERROR(__xludf.DUMMYFUNCTION("""COMPUTED_VALUE"""),0)</f>
        <v>0</v>
      </c>
      <c r="K663" s="23">
        <f ca="1">IFERROR(__xludf.DUMMYFUNCTION("""COMPUTED_VALUE"""),0)</f>
        <v>0</v>
      </c>
      <c r="L663" s="23">
        <f ca="1">IFERROR(__xludf.DUMMYFUNCTION("""COMPUTED_VALUE"""),0)</f>
        <v>0</v>
      </c>
      <c r="M663" s="23">
        <f ca="1">IFERROR(__xludf.DUMMYFUNCTION("""COMPUTED_VALUE"""),0)</f>
        <v>0</v>
      </c>
      <c r="N663" s="23">
        <f ca="1">IFERROR(__xludf.DUMMYFUNCTION("""COMPUTED_VALUE"""),0)</f>
        <v>0</v>
      </c>
      <c r="O663" s="23">
        <f ca="1">IFERROR(__xludf.DUMMYFUNCTION("""COMPUTED_VALUE"""),0)</f>
        <v>0</v>
      </c>
      <c r="P663" s="23">
        <f ca="1">IFERROR(__xludf.DUMMYFUNCTION("""COMPUTED_VALUE"""),0)</f>
        <v>0</v>
      </c>
      <c r="Q663" s="24">
        <f ca="1">IFERROR(__xludf.DUMMYFUNCTION("""COMPUTED_VALUE"""),0)</f>
        <v>0</v>
      </c>
      <c r="R663" s="20"/>
    </row>
    <row r="664" spans="1:18" ht="13.2" hidden="1" outlineLevel="1" x14ac:dyDescent="0.25">
      <c r="A664" s="1"/>
      <c r="B664" s="21" t="str">
        <f ca="1">IFERROR(__xludf.DUMMYFUNCTION("""COMPUTED_VALUE"""),"Leña")</f>
        <v>Leña</v>
      </c>
      <c r="C664" s="22">
        <f ca="1">IFERROR(__xludf.DUMMYFUNCTION("""COMPUTED_VALUE"""),0)</f>
        <v>0</v>
      </c>
      <c r="D664" s="23">
        <f ca="1">IFERROR(__xludf.DUMMYFUNCTION("""COMPUTED_VALUE"""),0)</f>
        <v>0</v>
      </c>
      <c r="E664" s="23">
        <f ca="1">IFERROR(__xludf.DUMMYFUNCTION("""COMPUTED_VALUE"""),0)</f>
        <v>0</v>
      </c>
      <c r="F664" s="23">
        <f ca="1">IFERROR(__xludf.DUMMYFUNCTION("""COMPUTED_VALUE"""),0)</f>
        <v>0</v>
      </c>
      <c r="G664" s="23">
        <f ca="1">IFERROR(__xludf.DUMMYFUNCTION("""COMPUTED_VALUE"""),0)</f>
        <v>0</v>
      </c>
      <c r="H664" s="23">
        <f ca="1">IFERROR(__xludf.DUMMYFUNCTION("""COMPUTED_VALUE"""),0)</f>
        <v>0</v>
      </c>
      <c r="I664" s="23">
        <f ca="1">IFERROR(__xludf.DUMMYFUNCTION("""COMPUTED_VALUE"""),0)</f>
        <v>0</v>
      </c>
      <c r="J664" s="23">
        <f ca="1">IFERROR(__xludf.DUMMYFUNCTION("""COMPUTED_VALUE"""),0)</f>
        <v>0</v>
      </c>
      <c r="K664" s="23">
        <f ca="1">IFERROR(__xludf.DUMMYFUNCTION("""COMPUTED_VALUE"""),0)</f>
        <v>0</v>
      </c>
      <c r="L664" s="23">
        <f ca="1">IFERROR(__xludf.DUMMYFUNCTION("""COMPUTED_VALUE"""),0)</f>
        <v>0</v>
      </c>
      <c r="M664" s="23">
        <f ca="1">IFERROR(__xludf.DUMMYFUNCTION("""COMPUTED_VALUE"""),0)</f>
        <v>0</v>
      </c>
      <c r="N664" s="23">
        <f ca="1">IFERROR(__xludf.DUMMYFUNCTION("""COMPUTED_VALUE"""),0)</f>
        <v>0</v>
      </c>
      <c r="O664" s="23">
        <f ca="1">IFERROR(__xludf.DUMMYFUNCTION("""COMPUTED_VALUE"""),0)</f>
        <v>0</v>
      </c>
      <c r="P664" s="23">
        <f ca="1">IFERROR(__xludf.DUMMYFUNCTION("""COMPUTED_VALUE"""),0)</f>
        <v>0</v>
      </c>
      <c r="Q664" s="24">
        <f ca="1">IFERROR(__xludf.DUMMYFUNCTION("""COMPUTED_VALUE"""),0)</f>
        <v>0</v>
      </c>
      <c r="R664" s="20"/>
    </row>
    <row r="665" spans="1:18" ht="13.2" hidden="1" outlineLevel="1" x14ac:dyDescent="0.25">
      <c r="A665" s="1"/>
      <c r="B665" s="21" t="str">
        <f ca="1">IFERROR(__xludf.DUMMYFUNCTION("""COMPUTED_VALUE"""),"Biogás")</f>
        <v>Biogás</v>
      </c>
      <c r="C665" s="22">
        <f ca="1">IFERROR(__xludf.DUMMYFUNCTION("""COMPUTED_VALUE"""),0)</f>
        <v>0</v>
      </c>
      <c r="D665" s="23">
        <f ca="1">IFERROR(__xludf.DUMMYFUNCTION("""COMPUTED_VALUE"""),0)</f>
        <v>0</v>
      </c>
      <c r="E665" s="23">
        <f ca="1">IFERROR(__xludf.DUMMYFUNCTION("""COMPUTED_VALUE"""),0)</f>
        <v>0</v>
      </c>
      <c r="F665" s="23">
        <f ca="1">IFERROR(__xludf.DUMMYFUNCTION("""COMPUTED_VALUE"""),0)</f>
        <v>0</v>
      </c>
      <c r="G665" s="23">
        <f ca="1">IFERROR(__xludf.DUMMYFUNCTION("""COMPUTED_VALUE"""),0)</f>
        <v>0</v>
      </c>
      <c r="H665" s="23">
        <f ca="1">IFERROR(__xludf.DUMMYFUNCTION("""COMPUTED_VALUE"""),0)</f>
        <v>0</v>
      </c>
      <c r="I665" s="23">
        <f ca="1">IFERROR(__xludf.DUMMYFUNCTION("""COMPUTED_VALUE"""),0)</f>
        <v>0</v>
      </c>
      <c r="J665" s="23">
        <f ca="1">IFERROR(__xludf.DUMMYFUNCTION("""COMPUTED_VALUE"""),0)</f>
        <v>0</v>
      </c>
      <c r="K665" s="23">
        <f ca="1">IFERROR(__xludf.DUMMYFUNCTION("""COMPUTED_VALUE"""),0)</f>
        <v>0</v>
      </c>
      <c r="L665" s="23">
        <f ca="1">IFERROR(__xludf.DUMMYFUNCTION("""COMPUTED_VALUE"""),0)</f>
        <v>0</v>
      </c>
      <c r="M665" s="23">
        <f ca="1">IFERROR(__xludf.DUMMYFUNCTION("""COMPUTED_VALUE"""),0)</f>
        <v>0</v>
      </c>
      <c r="N665" s="23">
        <f ca="1">IFERROR(__xludf.DUMMYFUNCTION("""COMPUTED_VALUE"""),0)</f>
        <v>0</v>
      </c>
      <c r="O665" s="23">
        <f ca="1">IFERROR(__xludf.DUMMYFUNCTION("""COMPUTED_VALUE"""),0)</f>
        <v>0</v>
      </c>
      <c r="P665" s="23">
        <f ca="1">IFERROR(__xludf.DUMMYFUNCTION("""COMPUTED_VALUE"""),0)</f>
        <v>0</v>
      </c>
      <c r="Q665" s="24">
        <f ca="1">IFERROR(__xludf.DUMMYFUNCTION("""COMPUTED_VALUE"""),0)</f>
        <v>0</v>
      </c>
      <c r="R665" s="20"/>
    </row>
    <row r="666" spans="1:18" ht="13.2" hidden="1" outlineLevel="1" x14ac:dyDescent="0.25">
      <c r="A666" s="1"/>
      <c r="B666" s="21" t="str">
        <f ca="1">IFERROR(__xludf.DUMMYFUNCTION("""COMPUTED_VALUE"""),"Coque de carbón")</f>
        <v>Coque de carbón</v>
      </c>
      <c r="C666" s="22">
        <f ca="1">IFERROR(__xludf.DUMMYFUNCTION("""COMPUTED_VALUE"""),0)</f>
        <v>0</v>
      </c>
      <c r="D666" s="23">
        <f ca="1">IFERROR(__xludf.DUMMYFUNCTION("""COMPUTED_VALUE"""),0)</f>
        <v>0</v>
      </c>
      <c r="E666" s="23">
        <f ca="1">IFERROR(__xludf.DUMMYFUNCTION("""COMPUTED_VALUE"""),0)</f>
        <v>0</v>
      </c>
      <c r="F666" s="23">
        <f ca="1">IFERROR(__xludf.DUMMYFUNCTION("""COMPUTED_VALUE"""),0)</f>
        <v>0</v>
      </c>
      <c r="G666" s="23">
        <f ca="1">IFERROR(__xludf.DUMMYFUNCTION("""COMPUTED_VALUE"""),0)</f>
        <v>0</v>
      </c>
      <c r="H666" s="23">
        <f ca="1">IFERROR(__xludf.DUMMYFUNCTION("""COMPUTED_VALUE"""),0)</f>
        <v>0</v>
      </c>
      <c r="I666" s="23">
        <f ca="1">IFERROR(__xludf.DUMMYFUNCTION("""COMPUTED_VALUE"""),0)</f>
        <v>0</v>
      </c>
      <c r="J666" s="23">
        <f ca="1">IFERROR(__xludf.DUMMYFUNCTION("""COMPUTED_VALUE"""),0)</f>
        <v>0</v>
      </c>
      <c r="K666" s="23">
        <f ca="1">IFERROR(__xludf.DUMMYFUNCTION("""COMPUTED_VALUE"""),0)</f>
        <v>0</v>
      </c>
      <c r="L666" s="23">
        <f ca="1">IFERROR(__xludf.DUMMYFUNCTION("""COMPUTED_VALUE"""),0)</f>
        <v>0</v>
      </c>
      <c r="M666" s="23">
        <f ca="1">IFERROR(__xludf.DUMMYFUNCTION("""COMPUTED_VALUE"""),0)</f>
        <v>0</v>
      </c>
      <c r="N666" s="23">
        <f ca="1">IFERROR(__xludf.DUMMYFUNCTION("""COMPUTED_VALUE"""),0)</f>
        <v>0</v>
      </c>
      <c r="O666" s="23">
        <f ca="1">IFERROR(__xludf.DUMMYFUNCTION("""COMPUTED_VALUE"""),0)</f>
        <v>0</v>
      </c>
      <c r="P666" s="23">
        <f ca="1">IFERROR(__xludf.DUMMYFUNCTION("""COMPUTED_VALUE"""),0)</f>
        <v>0</v>
      </c>
      <c r="Q666" s="24">
        <f ca="1">IFERROR(__xludf.DUMMYFUNCTION("""COMPUTED_VALUE"""),0)</f>
        <v>0</v>
      </c>
      <c r="R666" s="20"/>
    </row>
    <row r="667" spans="1:18" ht="13.2" hidden="1" outlineLevel="1" x14ac:dyDescent="0.25">
      <c r="A667" s="1"/>
      <c r="B667" s="21" t="str">
        <f ca="1">IFERROR(__xludf.DUMMYFUNCTION("""COMPUTED_VALUE"""),"Coque de petróleo")</f>
        <v>Coque de petróleo</v>
      </c>
      <c r="C667" s="22">
        <f ca="1">IFERROR(__xludf.DUMMYFUNCTION("""COMPUTED_VALUE"""),0)</f>
        <v>0</v>
      </c>
      <c r="D667" s="23">
        <f ca="1">IFERROR(__xludf.DUMMYFUNCTION("""COMPUTED_VALUE"""),0)</f>
        <v>0</v>
      </c>
      <c r="E667" s="23">
        <f ca="1">IFERROR(__xludf.DUMMYFUNCTION("""COMPUTED_VALUE"""),0)</f>
        <v>0</v>
      </c>
      <c r="F667" s="23">
        <f ca="1">IFERROR(__xludf.DUMMYFUNCTION("""COMPUTED_VALUE"""),0)</f>
        <v>0</v>
      </c>
      <c r="G667" s="23">
        <f ca="1">IFERROR(__xludf.DUMMYFUNCTION("""COMPUTED_VALUE"""),0)</f>
        <v>0</v>
      </c>
      <c r="H667" s="23">
        <f ca="1">IFERROR(__xludf.DUMMYFUNCTION("""COMPUTED_VALUE"""),0)</f>
        <v>0</v>
      </c>
      <c r="I667" s="23">
        <f ca="1">IFERROR(__xludf.DUMMYFUNCTION("""COMPUTED_VALUE"""),0)</f>
        <v>0</v>
      </c>
      <c r="J667" s="23">
        <f ca="1">IFERROR(__xludf.DUMMYFUNCTION("""COMPUTED_VALUE"""),0)</f>
        <v>0</v>
      </c>
      <c r="K667" s="23">
        <f ca="1">IFERROR(__xludf.DUMMYFUNCTION("""COMPUTED_VALUE"""),0)</f>
        <v>0</v>
      </c>
      <c r="L667" s="23">
        <f ca="1">IFERROR(__xludf.DUMMYFUNCTION("""COMPUTED_VALUE"""),0)</f>
        <v>0</v>
      </c>
      <c r="M667" s="23">
        <f ca="1">IFERROR(__xludf.DUMMYFUNCTION("""COMPUTED_VALUE"""),0)</f>
        <v>0</v>
      </c>
      <c r="N667" s="23">
        <f ca="1">IFERROR(__xludf.DUMMYFUNCTION("""COMPUTED_VALUE"""),0)</f>
        <v>0</v>
      </c>
      <c r="O667" s="23">
        <f ca="1">IFERROR(__xludf.DUMMYFUNCTION("""COMPUTED_VALUE"""),0)</f>
        <v>0</v>
      </c>
      <c r="P667" s="23">
        <f ca="1">IFERROR(__xludf.DUMMYFUNCTION("""COMPUTED_VALUE"""),0)</f>
        <v>0</v>
      </c>
      <c r="Q667" s="24">
        <f ca="1">IFERROR(__xludf.DUMMYFUNCTION("""COMPUTED_VALUE"""),0)</f>
        <v>0</v>
      </c>
      <c r="R667" s="20"/>
    </row>
    <row r="668" spans="1:18" ht="13.2" hidden="1" outlineLevel="1" x14ac:dyDescent="0.25">
      <c r="A668" s="1"/>
      <c r="B668" s="21" t="str">
        <f ca="1">IFERROR(__xludf.DUMMYFUNCTION("""COMPUTED_VALUE"""),"Gas licuado de petróleo")</f>
        <v>Gas licuado de petróleo</v>
      </c>
      <c r="C668" s="22">
        <f ca="1">IFERROR(__xludf.DUMMYFUNCTION("""COMPUTED_VALUE"""),0)</f>
        <v>0</v>
      </c>
      <c r="D668" s="23">
        <f ca="1">IFERROR(__xludf.DUMMYFUNCTION("""COMPUTED_VALUE"""),0)</f>
        <v>0</v>
      </c>
      <c r="E668" s="23">
        <f ca="1">IFERROR(__xludf.DUMMYFUNCTION("""COMPUTED_VALUE"""),0)</f>
        <v>0</v>
      </c>
      <c r="F668" s="23">
        <f ca="1">IFERROR(__xludf.DUMMYFUNCTION("""COMPUTED_VALUE"""),0)</f>
        <v>0</v>
      </c>
      <c r="G668" s="23">
        <f ca="1">IFERROR(__xludf.DUMMYFUNCTION("""COMPUTED_VALUE"""),0)</f>
        <v>0</v>
      </c>
      <c r="H668" s="23">
        <f ca="1">IFERROR(__xludf.DUMMYFUNCTION("""COMPUTED_VALUE"""),0)</f>
        <v>0</v>
      </c>
      <c r="I668" s="23">
        <f ca="1">IFERROR(__xludf.DUMMYFUNCTION("""COMPUTED_VALUE"""),0)</f>
        <v>0</v>
      </c>
      <c r="J668" s="23">
        <f ca="1">IFERROR(__xludf.DUMMYFUNCTION("""COMPUTED_VALUE"""),0)</f>
        <v>0</v>
      </c>
      <c r="K668" s="23">
        <f ca="1">IFERROR(__xludf.DUMMYFUNCTION("""COMPUTED_VALUE"""),0)</f>
        <v>0</v>
      </c>
      <c r="L668" s="23">
        <f ca="1">IFERROR(__xludf.DUMMYFUNCTION("""COMPUTED_VALUE"""),0)</f>
        <v>0</v>
      </c>
      <c r="M668" s="23">
        <f ca="1">IFERROR(__xludf.DUMMYFUNCTION("""COMPUTED_VALUE"""),0)</f>
        <v>0</v>
      </c>
      <c r="N668" s="23">
        <f ca="1">IFERROR(__xludf.DUMMYFUNCTION("""COMPUTED_VALUE"""),0)</f>
        <v>0</v>
      </c>
      <c r="O668" s="23">
        <f ca="1">IFERROR(__xludf.DUMMYFUNCTION("""COMPUTED_VALUE"""),0)</f>
        <v>0</v>
      </c>
      <c r="P668" s="23">
        <f ca="1">IFERROR(__xludf.DUMMYFUNCTION("""COMPUTED_VALUE"""),0)</f>
        <v>0</v>
      </c>
      <c r="Q668" s="24">
        <f ca="1">IFERROR(__xludf.DUMMYFUNCTION("""COMPUTED_VALUE"""),0)</f>
        <v>0</v>
      </c>
      <c r="R668" s="20"/>
    </row>
    <row r="669" spans="1:18" ht="13.2" hidden="1" outlineLevel="1" x14ac:dyDescent="0.25">
      <c r="A669" s="1"/>
      <c r="B669" s="21" t="str">
        <f ca="1">IFERROR(__xludf.DUMMYFUNCTION("""COMPUTED_VALUE"""),"Gasolinas y naftas")</f>
        <v>Gasolinas y naftas</v>
      </c>
      <c r="C669" s="22">
        <f ca="1">IFERROR(__xludf.DUMMYFUNCTION("""COMPUTED_VALUE"""),0)</f>
        <v>0</v>
      </c>
      <c r="D669" s="23">
        <f ca="1">IFERROR(__xludf.DUMMYFUNCTION("""COMPUTED_VALUE"""),0)</f>
        <v>0</v>
      </c>
      <c r="E669" s="23">
        <f ca="1">IFERROR(__xludf.DUMMYFUNCTION("""COMPUTED_VALUE"""),0)</f>
        <v>0</v>
      </c>
      <c r="F669" s="23">
        <f ca="1">IFERROR(__xludf.DUMMYFUNCTION("""COMPUTED_VALUE"""),0)</f>
        <v>0</v>
      </c>
      <c r="G669" s="23">
        <f ca="1">IFERROR(__xludf.DUMMYFUNCTION("""COMPUTED_VALUE"""),0)</f>
        <v>0</v>
      </c>
      <c r="H669" s="23">
        <f ca="1">IFERROR(__xludf.DUMMYFUNCTION("""COMPUTED_VALUE"""),0)</f>
        <v>0</v>
      </c>
      <c r="I669" s="23">
        <f ca="1">IFERROR(__xludf.DUMMYFUNCTION("""COMPUTED_VALUE"""),0)</f>
        <v>0</v>
      </c>
      <c r="J669" s="23">
        <f ca="1">IFERROR(__xludf.DUMMYFUNCTION("""COMPUTED_VALUE"""),0)</f>
        <v>0</v>
      </c>
      <c r="K669" s="23">
        <f ca="1">IFERROR(__xludf.DUMMYFUNCTION("""COMPUTED_VALUE"""),0)</f>
        <v>0</v>
      </c>
      <c r="L669" s="23">
        <f ca="1">IFERROR(__xludf.DUMMYFUNCTION("""COMPUTED_VALUE"""),0)</f>
        <v>0</v>
      </c>
      <c r="M669" s="23">
        <f ca="1">IFERROR(__xludf.DUMMYFUNCTION("""COMPUTED_VALUE"""),0)</f>
        <v>0</v>
      </c>
      <c r="N669" s="23">
        <f ca="1">IFERROR(__xludf.DUMMYFUNCTION("""COMPUTED_VALUE"""),0)</f>
        <v>0</v>
      </c>
      <c r="O669" s="23">
        <f ca="1">IFERROR(__xludf.DUMMYFUNCTION("""COMPUTED_VALUE"""),0)</f>
        <v>0</v>
      </c>
      <c r="P669" s="23">
        <f ca="1">IFERROR(__xludf.DUMMYFUNCTION("""COMPUTED_VALUE"""),0)</f>
        <v>0</v>
      </c>
      <c r="Q669" s="24">
        <f ca="1">IFERROR(__xludf.DUMMYFUNCTION("""COMPUTED_VALUE"""),0)</f>
        <v>0</v>
      </c>
      <c r="R669" s="20"/>
    </row>
    <row r="670" spans="1:18" ht="13.2" hidden="1" outlineLevel="1" x14ac:dyDescent="0.25">
      <c r="A670" s="1"/>
      <c r="B670" s="21" t="str">
        <f ca="1">IFERROR(__xludf.DUMMYFUNCTION("""COMPUTED_VALUE"""),"Querosenos")</f>
        <v>Querosenos</v>
      </c>
      <c r="C670" s="22">
        <f ca="1">IFERROR(__xludf.DUMMYFUNCTION("""COMPUTED_VALUE"""),0)</f>
        <v>0</v>
      </c>
      <c r="D670" s="23">
        <f ca="1">IFERROR(__xludf.DUMMYFUNCTION("""COMPUTED_VALUE"""),0)</f>
        <v>0</v>
      </c>
      <c r="E670" s="23">
        <f ca="1">IFERROR(__xludf.DUMMYFUNCTION("""COMPUTED_VALUE"""),0)</f>
        <v>0</v>
      </c>
      <c r="F670" s="23">
        <f ca="1">IFERROR(__xludf.DUMMYFUNCTION("""COMPUTED_VALUE"""),0)</f>
        <v>0</v>
      </c>
      <c r="G670" s="23">
        <f ca="1">IFERROR(__xludf.DUMMYFUNCTION("""COMPUTED_VALUE"""),0)</f>
        <v>0</v>
      </c>
      <c r="H670" s="23">
        <f ca="1">IFERROR(__xludf.DUMMYFUNCTION("""COMPUTED_VALUE"""),0)</f>
        <v>0</v>
      </c>
      <c r="I670" s="23">
        <f ca="1">IFERROR(__xludf.DUMMYFUNCTION("""COMPUTED_VALUE"""),0)</f>
        <v>0</v>
      </c>
      <c r="J670" s="23">
        <f ca="1">IFERROR(__xludf.DUMMYFUNCTION("""COMPUTED_VALUE"""),0)</f>
        <v>0</v>
      </c>
      <c r="K670" s="23">
        <f ca="1">IFERROR(__xludf.DUMMYFUNCTION("""COMPUTED_VALUE"""),0)</f>
        <v>0</v>
      </c>
      <c r="L670" s="23">
        <f ca="1">IFERROR(__xludf.DUMMYFUNCTION("""COMPUTED_VALUE"""),0)</f>
        <v>0</v>
      </c>
      <c r="M670" s="23">
        <f ca="1">IFERROR(__xludf.DUMMYFUNCTION("""COMPUTED_VALUE"""),0)</f>
        <v>0</v>
      </c>
      <c r="N670" s="23">
        <f ca="1">IFERROR(__xludf.DUMMYFUNCTION("""COMPUTED_VALUE"""),0)</f>
        <v>0</v>
      </c>
      <c r="O670" s="23">
        <f ca="1">IFERROR(__xludf.DUMMYFUNCTION("""COMPUTED_VALUE"""),0)</f>
        <v>0</v>
      </c>
      <c r="P670" s="23">
        <f ca="1">IFERROR(__xludf.DUMMYFUNCTION("""COMPUTED_VALUE"""),0)</f>
        <v>0</v>
      </c>
      <c r="Q670" s="24">
        <f ca="1">IFERROR(__xludf.DUMMYFUNCTION("""COMPUTED_VALUE"""),0)</f>
        <v>0</v>
      </c>
      <c r="R670" s="20"/>
    </row>
    <row r="671" spans="1:18" ht="13.2" hidden="1" outlineLevel="1" x14ac:dyDescent="0.25">
      <c r="A671" s="1"/>
      <c r="B671" s="21" t="str">
        <f ca="1">IFERROR(__xludf.DUMMYFUNCTION("""COMPUTED_VALUE"""),"Diesel")</f>
        <v>Diesel</v>
      </c>
      <c r="C671" s="22">
        <f ca="1">IFERROR(__xludf.DUMMYFUNCTION("""COMPUTED_VALUE"""),0)</f>
        <v>0</v>
      </c>
      <c r="D671" s="23">
        <f ca="1">IFERROR(__xludf.DUMMYFUNCTION("""COMPUTED_VALUE"""),0)</f>
        <v>0</v>
      </c>
      <c r="E671" s="23">
        <f ca="1">IFERROR(__xludf.DUMMYFUNCTION("""COMPUTED_VALUE"""),0)</f>
        <v>0</v>
      </c>
      <c r="F671" s="23">
        <f ca="1">IFERROR(__xludf.DUMMYFUNCTION("""COMPUTED_VALUE"""),0)</f>
        <v>0</v>
      </c>
      <c r="G671" s="23">
        <f ca="1">IFERROR(__xludf.DUMMYFUNCTION("""COMPUTED_VALUE"""),0)</f>
        <v>0</v>
      </c>
      <c r="H671" s="23">
        <f ca="1">IFERROR(__xludf.DUMMYFUNCTION("""COMPUTED_VALUE"""),0)</f>
        <v>0</v>
      </c>
      <c r="I671" s="23">
        <f ca="1">IFERROR(__xludf.DUMMYFUNCTION("""COMPUTED_VALUE"""),0)</f>
        <v>0</v>
      </c>
      <c r="J671" s="23">
        <f ca="1">IFERROR(__xludf.DUMMYFUNCTION("""COMPUTED_VALUE"""),0)</f>
        <v>0</v>
      </c>
      <c r="K671" s="23">
        <f ca="1">IFERROR(__xludf.DUMMYFUNCTION("""COMPUTED_VALUE"""),0)</f>
        <v>0</v>
      </c>
      <c r="L671" s="23">
        <f ca="1">IFERROR(__xludf.DUMMYFUNCTION("""COMPUTED_VALUE"""),0)</f>
        <v>0</v>
      </c>
      <c r="M671" s="23">
        <f ca="1">IFERROR(__xludf.DUMMYFUNCTION("""COMPUTED_VALUE"""),0)</f>
        <v>0</v>
      </c>
      <c r="N671" s="23">
        <f ca="1">IFERROR(__xludf.DUMMYFUNCTION("""COMPUTED_VALUE"""),0)</f>
        <v>0</v>
      </c>
      <c r="O671" s="23">
        <f ca="1">IFERROR(__xludf.DUMMYFUNCTION("""COMPUTED_VALUE"""),0)</f>
        <v>0</v>
      </c>
      <c r="P671" s="23">
        <f ca="1">IFERROR(__xludf.DUMMYFUNCTION("""COMPUTED_VALUE"""),0)</f>
        <v>0</v>
      </c>
      <c r="Q671" s="24">
        <f ca="1">IFERROR(__xludf.DUMMYFUNCTION("""COMPUTED_VALUE"""),0)</f>
        <v>0</v>
      </c>
      <c r="R671" s="20"/>
    </row>
    <row r="672" spans="1:18" ht="13.2" hidden="1" outlineLevel="1" x14ac:dyDescent="0.25">
      <c r="A672" s="1"/>
      <c r="B672" s="21" t="str">
        <f ca="1">IFERROR(__xludf.DUMMYFUNCTION("""COMPUTED_VALUE"""),"Combustóleo")</f>
        <v>Combustóleo</v>
      </c>
      <c r="C672" s="22">
        <f ca="1">IFERROR(__xludf.DUMMYFUNCTION("""COMPUTED_VALUE"""),0)</f>
        <v>0</v>
      </c>
      <c r="D672" s="23">
        <f ca="1">IFERROR(__xludf.DUMMYFUNCTION("""COMPUTED_VALUE"""),0)</f>
        <v>0</v>
      </c>
      <c r="E672" s="23">
        <f ca="1">IFERROR(__xludf.DUMMYFUNCTION("""COMPUTED_VALUE"""),0)</f>
        <v>0</v>
      </c>
      <c r="F672" s="23">
        <f ca="1">IFERROR(__xludf.DUMMYFUNCTION("""COMPUTED_VALUE"""),0)</f>
        <v>0</v>
      </c>
      <c r="G672" s="23">
        <f ca="1">IFERROR(__xludf.DUMMYFUNCTION("""COMPUTED_VALUE"""),0)</f>
        <v>0</v>
      </c>
      <c r="H672" s="23">
        <f ca="1">IFERROR(__xludf.DUMMYFUNCTION("""COMPUTED_VALUE"""),0)</f>
        <v>0</v>
      </c>
      <c r="I672" s="23">
        <f ca="1">IFERROR(__xludf.DUMMYFUNCTION("""COMPUTED_VALUE"""),0)</f>
        <v>0</v>
      </c>
      <c r="J672" s="23">
        <f ca="1">IFERROR(__xludf.DUMMYFUNCTION("""COMPUTED_VALUE"""),0)</f>
        <v>0</v>
      </c>
      <c r="K672" s="23">
        <f ca="1">IFERROR(__xludf.DUMMYFUNCTION("""COMPUTED_VALUE"""),0)</f>
        <v>0</v>
      </c>
      <c r="L672" s="23">
        <f ca="1">IFERROR(__xludf.DUMMYFUNCTION("""COMPUTED_VALUE"""),0)</f>
        <v>0</v>
      </c>
      <c r="M672" s="23">
        <f ca="1">IFERROR(__xludf.DUMMYFUNCTION("""COMPUTED_VALUE"""),0)</f>
        <v>0</v>
      </c>
      <c r="N672" s="23">
        <f ca="1">IFERROR(__xludf.DUMMYFUNCTION("""COMPUTED_VALUE"""),0)</f>
        <v>0</v>
      </c>
      <c r="O672" s="23">
        <f ca="1">IFERROR(__xludf.DUMMYFUNCTION("""COMPUTED_VALUE"""),0)</f>
        <v>0</v>
      </c>
      <c r="P672" s="23">
        <f ca="1">IFERROR(__xludf.DUMMYFUNCTION("""COMPUTED_VALUE"""),0)</f>
        <v>0</v>
      </c>
      <c r="Q672" s="24">
        <f ca="1">IFERROR(__xludf.DUMMYFUNCTION("""COMPUTED_VALUE"""),0)</f>
        <v>0</v>
      </c>
      <c r="R672" s="20"/>
    </row>
    <row r="673" spans="1:18" ht="13.2" hidden="1" outlineLevel="1" x14ac:dyDescent="0.25">
      <c r="A673" s="1"/>
      <c r="B673" s="21" t="str">
        <f ca="1">IFERROR(__xludf.DUMMYFUNCTION("""COMPUTED_VALUE"""),"Otros energéticos")</f>
        <v>Otros energéticos</v>
      </c>
      <c r="C673" s="22">
        <f ca="1">IFERROR(__xludf.DUMMYFUNCTION("""COMPUTED_VALUE"""),0)</f>
        <v>0</v>
      </c>
      <c r="D673" s="23">
        <f ca="1">IFERROR(__xludf.DUMMYFUNCTION("""COMPUTED_VALUE"""),0)</f>
        <v>0</v>
      </c>
      <c r="E673" s="23">
        <f ca="1">IFERROR(__xludf.DUMMYFUNCTION("""COMPUTED_VALUE"""),0)</f>
        <v>0</v>
      </c>
      <c r="F673" s="23">
        <f ca="1">IFERROR(__xludf.DUMMYFUNCTION("""COMPUTED_VALUE"""),0)</f>
        <v>0</v>
      </c>
      <c r="G673" s="23">
        <f ca="1">IFERROR(__xludf.DUMMYFUNCTION("""COMPUTED_VALUE"""),0)</f>
        <v>0</v>
      </c>
      <c r="H673" s="23">
        <f ca="1">IFERROR(__xludf.DUMMYFUNCTION("""COMPUTED_VALUE"""),0)</f>
        <v>0</v>
      </c>
      <c r="I673" s="23">
        <f ca="1">IFERROR(__xludf.DUMMYFUNCTION("""COMPUTED_VALUE"""),0)</f>
        <v>0</v>
      </c>
      <c r="J673" s="23">
        <f ca="1">IFERROR(__xludf.DUMMYFUNCTION("""COMPUTED_VALUE"""),0)</f>
        <v>0</v>
      </c>
      <c r="K673" s="23">
        <f ca="1">IFERROR(__xludf.DUMMYFUNCTION("""COMPUTED_VALUE"""),0)</f>
        <v>0</v>
      </c>
      <c r="L673" s="23">
        <f ca="1">IFERROR(__xludf.DUMMYFUNCTION("""COMPUTED_VALUE"""),0)</f>
        <v>0</v>
      </c>
      <c r="M673" s="23">
        <f ca="1">IFERROR(__xludf.DUMMYFUNCTION("""COMPUTED_VALUE"""),0)</f>
        <v>0</v>
      </c>
      <c r="N673" s="23">
        <f ca="1">IFERROR(__xludf.DUMMYFUNCTION("""COMPUTED_VALUE"""),0)</f>
        <v>0</v>
      </c>
      <c r="O673" s="23">
        <f ca="1">IFERROR(__xludf.DUMMYFUNCTION("""COMPUTED_VALUE"""),0)</f>
        <v>0</v>
      </c>
      <c r="P673" s="23">
        <f ca="1">IFERROR(__xludf.DUMMYFUNCTION("""COMPUTED_VALUE"""),0)</f>
        <v>0</v>
      </c>
      <c r="Q673" s="24">
        <f ca="1">IFERROR(__xludf.DUMMYFUNCTION("""COMPUTED_VALUE"""),0)</f>
        <v>0</v>
      </c>
      <c r="R673" s="20"/>
    </row>
    <row r="674" spans="1:18" ht="13.2" hidden="1" outlineLevel="1" x14ac:dyDescent="0.25">
      <c r="A674" s="1"/>
      <c r="B674" s="21" t="str">
        <f ca="1">IFERROR(__xludf.DUMMYFUNCTION("""COMPUTED_VALUE"""),"Gas natural seco")</f>
        <v>Gas natural seco</v>
      </c>
      <c r="C674" s="22">
        <f ca="1">IFERROR(__xludf.DUMMYFUNCTION("""COMPUTED_VALUE"""),0)</f>
        <v>0</v>
      </c>
      <c r="D674" s="23">
        <f ca="1">IFERROR(__xludf.DUMMYFUNCTION("""COMPUTED_VALUE"""),0)</f>
        <v>0</v>
      </c>
      <c r="E674" s="23">
        <f ca="1">IFERROR(__xludf.DUMMYFUNCTION("""COMPUTED_VALUE"""),0)</f>
        <v>0</v>
      </c>
      <c r="F674" s="23">
        <f ca="1">IFERROR(__xludf.DUMMYFUNCTION("""COMPUTED_VALUE"""),0)</f>
        <v>0</v>
      </c>
      <c r="G674" s="23">
        <f ca="1">IFERROR(__xludf.DUMMYFUNCTION("""COMPUTED_VALUE"""),0)</f>
        <v>0</v>
      </c>
      <c r="H674" s="23">
        <f ca="1">IFERROR(__xludf.DUMMYFUNCTION("""COMPUTED_VALUE"""),0)</f>
        <v>0</v>
      </c>
      <c r="I674" s="23">
        <f ca="1">IFERROR(__xludf.DUMMYFUNCTION("""COMPUTED_VALUE"""),0)</f>
        <v>0</v>
      </c>
      <c r="J674" s="23">
        <f ca="1">IFERROR(__xludf.DUMMYFUNCTION("""COMPUTED_VALUE"""),0)</f>
        <v>0</v>
      </c>
      <c r="K674" s="23">
        <f ca="1">IFERROR(__xludf.DUMMYFUNCTION("""COMPUTED_VALUE"""),0)</f>
        <v>0</v>
      </c>
      <c r="L674" s="23">
        <f ca="1">IFERROR(__xludf.DUMMYFUNCTION("""COMPUTED_VALUE"""),0)</f>
        <v>0</v>
      </c>
      <c r="M674" s="23">
        <f ca="1">IFERROR(__xludf.DUMMYFUNCTION("""COMPUTED_VALUE"""),0)</f>
        <v>0</v>
      </c>
      <c r="N674" s="23">
        <f ca="1">IFERROR(__xludf.DUMMYFUNCTION("""COMPUTED_VALUE"""),0)</f>
        <v>0</v>
      </c>
      <c r="O674" s="23">
        <f ca="1">IFERROR(__xludf.DUMMYFUNCTION("""COMPUTED_VALUE"""),0)</f>
        <v>0</v>
      </c>
      <c r="P674" s="23">
        <f ca="1">IFERROR(__xludf.DUMMYFUNCTION("""COMPUTED_VALUE"""),0)</f>
        <v>0</v>
      </c>
      <c r="Q674" s="24">
        <f ca="1">IFERROR(__xludf.DUMMYFUNCTION("""COMPUTED_VALUE"""),0)</f>
        <v>0</v>
      </c>
      <c r="R674" s="20"/>
    </row>
    <row r="675" spans="1:18" ht="13.2" hidden="1" outlineLevel="1" x14ac:dyDescent="0.25">
      <c r="A675" s="1"/>
      <c r="B675" s="25" t="str">
        <f ca="1">IFERROR(__xludf.DUMMYFUNCTION("""COMPUTED_VALUE"""),"Energía eléctrica")</f>
        <v>Energía eléctrica</v>
      </c>
      <c r="C675" s="26">
        <f ca="1">IFERROR(__xludf.DUMMYFUNCTION("""COMPUTED_VALUE"""),-116.16)</f>
        <v>-116.16</v>
      </c>
      <c r="D675" s="27">
        <f ca="1">IFERROR(__xludf.DUMMYFUNCTION("""COMPUTED_VALUE"""),-118.07)</f>
        <v>-118.07</v>
      </c>
      <c r="E675" s="27">
        <f ca="1">IFERROR(__xludf.DUMMYFUNCTION("""COMPUTED_VALUE"""),-112.47)</f>
        <v>-112.47</v>
      </c>
      <c r="F675" s="27">
        <f ca="1">IFERROR(__xludf.DUMMYFUNCTION("""COMPUTED_VALUE"""),-107.05)</f>
        <v>-107.05</v>
      </c>
      <c r="G675" s="27">
        <f ca="1">IFERROR(__xludf.DUMMYFUNCTION("""COMPUTED_VALUE"""),-102.55)</f>
        <v>-102.55</v>
      </c>
      <c r="H675" s="27">
        <f ca="1">IFERROR(__xludf.DUMMYFUNCTION("""COMPUTED_VALUE"""),-124.58)</f>
        <v>-124.58</v>
      </c>
      <c r="I675" s="27">
        <f ca="1">IFERROR(__xludf.DUMMYFUNCTION("""COMPUTED_VALUE"""),-119.0034)</f>
        <v>-119.0034</v>
      </c>
      <c r="J675" s="27">
        <f ca="1">IFERROR(__xludf.DUMMYFUNCTION("""COMPUTED_VALUE"""),-104.91)</f>
        <v>-104.91</v>
      </c>
      <c r="K675" s="27">
        <f ca="1">IFERROR(__xludf.DUMMYFUNCTION("""COMPUTED_VALUE"""),-94.12)</f>
        <v>-94.12</v>
      </c>
      <c r="L675" s="27">
        <f ca="1">IFERROR(__xludf.DUMMYFUNCTION("""COMPUTED_VALUE"""),-84.7043999322364)</f>
        <v>-84.704399932236399</v>
      </c>
      <c r="M675" s="27">
        <f ca="1">IFERROR(__xludf.DUMMYFUNCTION("""COMPUTED_VALUE"""),-83.1167999335065)</f>
        <v>-83.116799933506499</v>
      </c>
      <c r="N675" s="27">
        <f ca="1">IFERROR(__xludf.DUMMYFUNCTION("""COMPUTED_VALUE"""),-82.1231999343014)</f>
        <v>-82.123199934301397</v>
      </c>
      <c r="O675" s="27">
        <f ca="1">IFERROR(__xludf.DUMMYFUNCTION("""COMPUTED_VALUE"""),-84.50350172075)</f>
        <v>-84.503501720749995</v>
      </c>
      <c r="P675" s="27">
        <f ca="1">IFERROR(__xludf.DUMMYFUNCTION("""COMPUTED_VALUE"""),-89.1954749638387)</f>
        <v>-89.195474963838706</v>
      </c>
      <c r="Q675" s="28">
        <f ca="1">IFERROR(__xludf.DUMMYFUNCTION("""COMPUTED_VALUE"""),-91.064370929032)</f>
        <v>-91.064370929031995</v>
      </c>
      <c r="R675" s="20"/>
    </row>
    <row r="676" spans="1:18" ht="13.2" hidden="1" outlineLevel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0"/>
    </row>
    <row r="677" spans="1:18" ht="13.2" collapsed="1" x14ac:dyDescent="0.25">
      <c r="A677" s="4"/>
      <c r="B677" s="5" t="str">
        <f ca="1">IFERROR(__xludf.DUMMYFUNCTION("""COMPUTED_VALUE"""),"PerTra(e,a)")</f>
        <v>PerTra(e,a)</v>
      </c>
      <c r="C677" s="6" t="str">
        <f ca="1">IFERROR(__xludf.DUMMYFUNCTION("""COMPUTED_VALUE"""),"-/")</f>
        <v>-/</v>
      </c>
      <c r="D677" s="7" t="str">
        <f ca="1">IFERROR(__xludf.DUMMYFUNCTION("""COMPUTED_VALUE"""),"Pérdidas en transporte y transmisión por energético e y año a.")</f>
        <v>Pérdidas en transporte y transmisión por energético e y año a.</v>
      </c>
      <c r="E677" s="6" t="str">
        <f ca="1">IFERROR(__xludf.DUMMYFUNCTION("""COMPUTED_VALUE"""),"cbne")</f>
        <v>cbne</v>
      </c>
      <c r="F677" s="6" t="str">
        <f ca="1">IFERROR(__xludf.DUMMYFUNCTION("""COMPUTED_VALUE"""),"a")</f>
        <v>a</v>
      </c>
      <c r="G677" s="8" t="str">
        <f ca="1">IFERROR(__xludf.DUMMYFUNCTION("""COMPUTED_VALUE"""),"PJ")</f>
        <v>PJ</v>
      </c>
      <c r="H677" s="9"/>
      <c r="I677" s="1"/>
      <c r="J677" s="1"/>
      <c r="K677" s="1"/>
      <c r="L677" s="1"/>
      <c r="M677" s="1"/>
      <c r="N677" s="1"/>
      <c r="O677" s="1"/>
      <c r="P677" s="1"/>
      <c r="Q677" s="1"/>
      <c r="R677" s="10"/>
    </row>
    <row r="678" spans="1:18" ht="13.2" hidden="1" outlineLevel="1" x14ac:dyDescent="0.25">
      <c r="A678" s="1"/>
      <c r="B678" s="11"/>
      <c r="C678" s="12">
        <f ca="1">IFERROR(__xludf.DUMMYFUNCTION("""COMPUTED_VALUE"""),2010)</f>
        <v>2010</v>
      </c>
      <c r="D678" s="13">
        <f ca="1">IFERROR(__xludf.DUMMYFUNCTION("""COMPUTED_VALUE"""),2011)</f>
        <v>2011</v>
      </c>
      <c r="E678" s="13">
        <f ca="1">IFERROR(__xludf.DUMMYFUNCTION("""COMPUTED_VALUE"""),2012)</f>
        <v>2012</v>
      </c>
      <c r="F678" s="13">
        <f ca="1">IFERROR(__xludf.DUMMYFUNCTION("""COMPUTED_VALUE"""),2013)</f>
        <v>2013</v>
      </c>
      <c r="G678" s="13">
        <f ca="1">IFERROR(__xludf.DUMMYFUNCTION("""COMPUTED_VALUE"""),2014)</f>
        <v>2014</v>
      </c>
      <c r="H678" s="13">
        <f ca="1">IFERROR(__xludf.DUMMYFUNCTION("""COMPUTED_VALUE"""),2015)</f>
        <v>2015</v>
      </c>
      <c r="I678" s="13">
        <f ca="1">IFERROR(__xludf.DUMMYFUNCTION("""COMPUTED_VALUE"""),2016)</f>
        <v>2016</v>
      </c>
      <c r="J678" s="13">
        <f ca="1">IFERROR(__xludf.DUMMYFUNCTION("""COMPUTED_VALUE"""),2017)</f>
        <v>2017</v>
      </c>
      <c r="K678" s="13">
        <f ca="1">IFERROR(__xludf.DUMMYFUNCTION("""COMPUTED_VALUE"""),2018)</f>
        <v>2018</v>
      </c>
      <c r="L678" s="13">
        <f ca="1">IFERROR(__xludf.DUMMYFUNCTION("""COMPUTED_VALUE"""),2019)</f>
        <v>2019</v>
      </c>
      <c r="M678" s="13">
        <f ca="1">IFERROR(__xludf.DUMMYFUNCTION("""COMPUTED_VALUE"""),2020)</f>
        <v>2020</v>
      </c>
      <c r="N678" s="13">
        <f ca="1">IFERROR(__xludf.DUMMYFUNCTION("""COMPUTED_VALUE"""),2021)</f>
        <v>2021</v>
      </c>
      <c r="O678" s="13">
        <f ca="1">IFERROR(__xludf.DUMMYFUNCTION("""COMPUTED_VALUE"""),2022)</f>
        <v>2022</v>
      </c>
      <c r="P678" s="13">
        <f ca="1">IFERROR(__xludf.DUMMYFUNCTION("""COMPUTED_VALUE"""),2023)</f>
        <v>2023</v>
      </c>
      <c r="Q678" s="14">
        <f ca="1">IFERROR(__xludf.DUMMYFUNCTION("""COMPUTED_VALUE"""),2024)</f>
        <v>2024</v>
      </c>
      <c r="R678" s="15"/>
    </row>
    <row r="679" spans="1:18" ht="13.2" hidden="1" outlineLevel="1" x14ac:dyDescent="0.25">
      <c r="A679" s="1"/>
      <c r="B679" s="16" t="str">
        <f ca="1">IFERROR(__xludf.DUMMYFUNCTION("""COMPUTED_VALUE"""),"Carbón mineral")</f>
        <v>Carbón mineral</v>
      </c>
      <c r="C679" s="17">
        <f ca="1">IFERROR(__xludf.DUMMYFUNCTION("""COMPUTED_VALUE"""),0)</f>
        <v>0</v>
      </c>
      <c r="D679" s="18">
        <f ca="1">IFERROR(__xludf.DUMMYFUNCTION("""COMPUTED_VALUE"""),0)</f>
        <v>0</v>
      </c>
      <c r="E679" s="18">
        <f ca="1">IFERROR(__xludf.DUMMYFUNCTION("""COMPUTED_VALUE"""),0)</f>
        <v>0</v>
      </c>
      <c r="F679" s="18">
        <f ca="1">IFERROR(__xludf.DUMMYFUNCTION("""COMPUTED_VALUE"""),0)</f>
        <v>0</v>
      </c>
      <c r="G679" s="18">
        <f ca="1">IFERROR(__xludf.DUMMYFUNCTION("""COMPUTED_VALUE"""),0)</f>
        <v>0</v>
      </c>
      <c r="H679" s="18">
        <f ca="1">IFERROR(__xludf.DUMMYFUNCTION("""COMPUTED_VALUE"""),0)</f>
        <v>0</v>
      </c>
      <c r="I679" s="18">
        <f ca="1">IFERROR(__xludf.DUMMYFUNCTION("""COMPUTED_VALUE"""),0)</f>
        <v>0</v>
      </c>
      <c r="J679" s="18">
        <f ca="1">IFERROR(__xludf.DUMMYFUNCTION("""COMPUTED_VALUE"""),0)</f>
        <v>0</v>
      </c>
      <c r="K679" s="18">
        <f ca="1">IFERROR(__xludf.DUMMYFUNCTION("""COMPUTED_VALUE"""),0)</f>
        <v>0</v>
      </c>
      <c r="L679" s="18">
        <f ca="1">IFERROR(__xludf.DUMMYFUNCTION("""COMPUTED_VALUE"""),0)</f>
        <v>0</v>
      </c>
      <c r="M679" s="18">
        <f ca="1">IFERROR(__xludf.DUMMYFUNCTION("""COMPUTED_VALUE"""),0)</f>
        <v>0</v>
      </c>
      <c r="N679" s="18">
        <f ca="1">IFERROR(__xludf.DUMMYFUNCTION("""COMPUTED_VALUE"""),0)</f>
        <v>0</v>
      </c>
      <c r="O679" s="18">
        <f ca="1">IFERROR(__xludf.DUMMYFUNCTION("""COMPUTED_VALUE"""),0)</f>
        <v>0</v>
      </c>
      <c r="P679" s="18">
        <f ca="1">IFERROR(__xludf.DUMMYFUNCTION("""COMPUTED_VALUE"""),0)</f>
        <v>0</v>
      </c>
      <c r="Q679" s="19">
        <f ca="1">IFERROR(__xludf.DUMMYFUNCTION("""COMPUTED_VALUE"""),0)</f>
        <v>0</v>
      </c>
      <c r="R679" s="20"/>
    </row>
    <row r="680" spans="1:18" ht="13.2" hidden="1" outlineLevel="1" x14ac:dyDescent="0.25">
      <c r="A680" s="1"/>
      <c r="B680" s="21" t="str">
        <f ca="1">IFERROR(__xludf.DUMMYFUNCTION("""COMPUTED_VALUE"""),"Petróleo crudo")</f>
        <v>Petróleo crudo</v>
      </c>
      <c r="C680" s="22">
        <f ca="1">IFERROR(__xludf.DUMMYFUNCTION("""COMPUTED_VALUE"""),-31.31)</f>
        <v>-31.31</v>
      </c>
      <c r="D680" s="23">
        <f ca="1">IFERROR(__xludf.DUMMYFUNCTION("""COMPUTED_VALUE"""),-24.57)</f>
        <v>-24.57</v>
      </c>
      <c r="E680" s="23">
        <f ca="1">IFERROR(__xludf.DUMMYFUNCTION("""COMPUTED_VALUE"""),-28.6)</f>
        <v>-28.6</v>
      </c>
      <c r="F680" s="23">
        <f ca="1">IFERROR(__xludf.DUMMYFUNCTION("""COMPUTED_VALUE"""),-31.98)</f>
        <v>-31.98</v>
      </c>
      <c r="G680" s="23">
        <f ca="1">IFERROR(__xludf.DUMMYFUNCTION("""COMPUTED_VALUE"""),-29.976988457556)</f>
        <v>-29.976988457556001</v>
      </c>
      <c r="H680" s="23">
        <f ca="1">IFERROR(__xludf.DUMMYFUNCTION("""COMPUTED_VALUE"""),-14.8859708874388)</f>
        <v>-14.8859708874388</v>
      </c>
      <c r="I680" s="23">
        <f ca="1">IFERROR(__xludf.DUMMYFUNCTION("""COMPUTED_VALUE"""),-9.251)</f>
        <v>-9.2509999999999994</v>
      </c>
      <c r="J680" s="23">
        <f ca="1">IFERROR(__xludf.DUMMYFUNCTION("""COMPUTED_VALUE"""),-6.60247075919484)</f>
        <v>-6.6024707591948397</v>
      </c>
      <c r="K680" s="23">
        <f ca="1">IFERROR(__xludf.DUMMYFUNCTION("""COMPUTED_VALUE"""),-7.6529025986523)</f>
        <v>-7.6529025986523003</v>
      </c>
      <c r="L680" s="23">
        <f ca="1">IFERROR(__xludf.DUMMYFUNCTION("""COMPUTED_VALUE"""),-3.21562351883241)</f>
        <v>-3.2156235188324098</v>
      </c>
      <c r="M680" s="23">
        <f ca="1">IFERROR(__xludf.DUMMYFUNCTION("""COMPUTED_VALUE"""),-6.79373625083629)</f>
        <v>-6.7937362508362904</v>
      </c>
      <c r="N680" s="23">
        <f ca="1">IFERROR(__xludf.DUMMYFUNCTION("""COMPUTED_VALUE"""),-6.9162448232338)</f>
        <v>-6.9162448232338001</v>
      </c>
      <c r="O680" s="23">
        <f ca="1">IFERROR(__xludf.DUMMYFUNCTION("""COMPUTED_VALUE"""),-7.07786019252214)</f>
        <v>-7.0778601925221398</v>
      </c>
      <c r="P680" s="23">
        <f ca="1">IFERROR(__xludf.DUMMYFUNCTION("""COMPUTED_VALUE"""),-7.43796795258751)</f>
        <v>-7.4379679525875098</v>
      </c>
      <c r="Q680" s="24">
        <f ca="1">IFERROR(__xludf.DUMMYFUNCTION("""COMPUTED_VALUE"""),-11.8187059520165)</f>
        <v>-11.818705952016501</v>
      </c>
      <c r="R680" s="20"/>
    </row>
    <row r="681" spans="1:18" ht="13.2" hidden="1" outlineLevel="1" x14ac:dyDescent="0.25">
      <c r="A681" s="1"/>
      <c r="B681" s="21" t="str">
        <f ca="1">IFERROR(__xludf.DUMMYFUNCTION("""COMPUTED_VALUE"""),"Condensados")</f>
        <v>Condensados</v>
      </c>
      <c r="C681" s="22">
        <f ca="1">IFERROR(__xludf.DUMMYFUNCTION("""COMPUTED_VALUE"""),0)</f>
        <v>0</v>
      </c>
      <c r="D681" s="23">
        <f ca="1">IFERROR(__xludf.DUMMYFUNCTION("""COMPUTED_VALUE"""),0)</f>
        <v>0</v>
      </c>
      <c r="E681" s="23">
        <f ca="1">IFERROR(__xludf.DUMMYFUNCTION("""COMPUTED_VALUE"""),0)</f>
        <v>0</v>
      </c>
      <c r="F681" s="23">
        <f ca="1">IFERROR(__xludf.DUMMYFUNCTION("""COMPUTED_VALUE"""),0)</f>
        <v>0</v>
      </c>
      <c r="G681" s="23">
        <f ca="1">IFERROR(__xludf.DUMMYFUNCTION("""COMPUTED_VALUE"""),0)</f>
        <v>0</v>
      </c>
      <c r="H681" s="23">
        <f ca="1">IFERROR(__xludf.DUMMYFUNCTION("""COMPUTED_VALUE"""),0)</f>
        <v>0</v>
      </c>
      <c r="I681" s="23">
        <f ca="1">IFERROR(__xludf.DUMMYFUNCTION("""COMPUTED_VALUE"""),0)</f>
        <v>0</v>
      </c>
      <c r="J681" s="23">
        <f ca="1">IFERROR(__xludf.DUMMYFUNCTION("""COMPUTED_VALUE"""),0)</f>
        <v>0</v>
      </c>
      <c r="K681" s="23">
        <f ca="1">IFERROR(__xludf.DUMMYFUNCTION("""COMPUTED_VALUE"""),0)</f>
        <v>0</v>
      </c>
      <c r="L681" s="23">
        <f ca="1">IFERROR(__xludf.DUMMYFUNCTION("""COMPUTED_VALUE"""),0)</f>
        <v>0</v>
      </c>
      <c r="M681" s="23">
        <f ca="1">IFERROR(__xludf.DUMMYFUNCTION("""COMPUTED_VALUE"""),0)</f>
        <v>0</v>
      </c>
      <c r="N681" s="23">
        <f ca="1">IFERROR(__xludf.DUMMYFUNCTION("""COMPUTED_VALUE"""),0)</f>
        <v>0</v>
      </c>
      <c r="O681" s="23">
        <f ca="1">IFERROR(__xludf.DUMMYFUNCTION("""COMPUTED_VALUE"""),0)</f>
        <v>0</v>
      </c>
      <c r="P681" s="23">
        <f ca="1">IFERROR(__xludf.DUMMYFUNCTION("""COMPUTED_VALUE"""),0)</f>
        <v>0</v>
      </c>
      <c r="Q681" s="24">
        <f ca="1">IFERROR(__xludf.DUMMYFUNCTION("""COMPUTED_VALUE"""),0)</f>
        <v>0</v>
      </c>
      <c r="R681" s="20"/>
    </row>
    <row r="682" spans="1:18" ht="13.2" hidden="1" outlineLevel="1" x14ac:dyDescent="0.25">
      <c r="A682" s="1"/>
      <c r="B682" s="21" t="str">
        <f ca="1">IFERROR(__xludf.DUMMYFUNCTION("""COMPUTED_VALUE"""),"Gas natural")</f>
        <v>Gas natural</v>
      </c>
      <c r="C682" s="22">
        <f ca="1">IFERROR(__xludf.DUMMYFUNCTION("""COMPUTED_VALUE"""),0)</f>
        <v>0</v>
      </c>
      <c r="D682" s="23">
        <f ca="1">IFERROR(__xludf.DUMMYFUNCTION("""COMPUTED_VALUE"""),0)</f>
        <v>0</v>
      </c>
      <c r="E682" s="23">
        <f ca="1">IFERROR(__xludf.DUMMYFUNCTION("""COMPUTED_VALUE"""),0)</f>
        <v>0</v>
      </c>
      <c r="F682" s="23">
        <f ca="1">IFERROR(__xludf.DUMMYFUNCTION("""COMPUTED_VALUE"""),0)</f>
        <v>0</v>
      </c>
      <c r="G682" s="23">
        <f ca="1">IFERROR(__xludf.DUMMYFUNCTION("""COMPUTED_VALUE"""),0)</f>
        <v>0</v>
      </c>
      <c r="H682" s="23">
        <f ca="1">IFERROR(__xludf.DUMMYFUNCTION("""COMPUTED_VALUE"""),0)</f>
        <v>0</v>
      </c>
      <c r="I682" s="23">
        <f ca="1">IFERROR(__xludf.DUMMYFUNCTION("""COMPUTED_VALUE"""),0)</f>
        <v>0</v>
      </c>
      <c r="J682" s="23">
        <f ca="1">IFERROR(__xludf.DUMMYFUNCTION("""COMPUTED_VALUE"""),0)</f>
        <v>0</v>
      </c>
      <c r="K682" s="23">
        <f ca="1">IFERROR(__xludf.DUMMYFUNCTION("""COMPUTED_VALUE"""),0)</f>
        <v>0</v>
      </c>
      <c r="L682" s="23">
        <f ca="1">IFERROR(__xludf.DUMMYFUNCTION("""COMPUTED_VALUE"""),0)</f>
        <v>0</v>
      </c>
      <c r="M682" s="23">
        <f ca="1">IFERROR(__xludf.DUMMYFUNCTION("""COMPUTED_VALUE"""),0)</f>
        <v>0</v>
      </c>
      <c r="N682" s="23">
        <f ca="1">IFERROR(__xludf.DUMMYFUNCTION("""COMPUTED_VALUE"""),0)</f>
        <v>0</v>
      </c>
      <c r="O682" s="23">
        <f ca="1">IFERROR(__xludf.DUMMYFUNCTION("""COMPUTED_VALUE"""),0)</f>
        <v>0</v>
      </c>
      <c r="P682" s="23">
        <f ca="1">IFERROR(__xludf.DUMMYFUNCTION("""COMPUTED_VALUE"""),0)</f>
        <v>0</v>
      </c>
      <c r="Q682" s="24">
        <f ca="1">IFERROR(__xludf.DUMMYFUNCTION("""COMPUTED_VALUE"""),0)</f>
        <v>0</v>
      </c>
      <c r="R682" s="20"/>
    </row>
    <row r="683" spans="1:18" ht="13.2" hidden="1" outlineLevel="1" x14ac:dyDescent="0.25">
      <c r="A683" s="1"/>
      <c r="B683" s="21" t="str">
        <f ca="1">IFERROR(__xludf.DUMMYFUNCTION("""COMPUTED_VALUE"""),"Energía Nuclear")</f>
        <v>Energía Nuclear</v>
      </c>
      <c r="C683" s="22">
        <f ca="1">IFERROR(__xludf.DUMMYFUNCTION("""COMPUTED_VALUE"""),0)</f>
        <v>0</v>
      </c>
      <c r="D683" s="23">
        <f ca="1">IFERROR(__xludf.DUMMYFUNCTION("""COMPUTED_VALUE"""),0)</f>
        <v>0</v>
      </c>
      <c r="E683" s="23">
        <f ca="1">IFERROR(__xludf.DUMMYFUNCTION("""COMPUTED_VALUE"""),0)</f>
        <v>0</v>
      </c>
      <c r="F683" s="23">
        <f ca="1">IFERROR(__xludf.DUMMYFUNCTION("""COMPUTED_VALUE"""),0)</f>
        <v>0</v>
      </c>
      <c r="G683" s="23">
        <f ca="1">IFERROR(__xludf.DUMMYFUNCTION("""COMPUTED_VALUE"""),0)</f>
        <v>0</v>
      </c>
      <c r="H683" s="23">
        <f ca="1">IFERROR(__xludf.DUMMYFUNCTION("""COMPUTED_VALUE"""),0)</f>
        <v>0</v>
      </c>
      <c r="I683" s="23">
        <f ca="1">IFERROR(__xludf.DUMMYFUNCTION("""COMPUTED_VALUE"""),0)</f>
        <v>0</v>
      </c>
      <c r="J683" s="23">
        <f ca="1">IFERROR(__xludf.DUMMYFUNCTION("""COMPUTED_VALUE"""),0)</f>
        <v>0</v>
      </c>
      <c r="K683" s="23">
        <f ca="1">IFERROR(__xludf.DUMMYFUNCTION("""COMPUTED_VALUE"""),0)</f>
        <v>0</v>
      </c>
      <c r="L683" s="23">
        <f ca="1">IFERROR(__xludf.DUMMYFUNCTION("""COMPUTED_VALUE"""),0)</f>
        <v>0</v>
      </c>
      <c r="M683" s="23">
        <f ca="1">IFERROR(__xludf.DUMMYFUNCTION("""COMPUTED_VALUE"""),0)</f>
        <v>0</v>
      </c>
      <c r="N683" s="23">
        <f ca="1">IFERROR(__xludf.DUMMYFUNCTION("""COMPUTED_VALUE"""),0)</f>
        <v>0</v>
      </c>
      <c r="O683" s="23">
        <f ca="1">IFERROR(__xludf.DUMMYFUNCTION("""COMPUTED_VALUE"""),0)</f>
        <v>0</v>
      </c>
      <c r="P683" s="23">
        <f ca="1">IFERROR(__xludf.DUMMYFUNCTION("""COMPUTED_VALUE"""),0)</f>
        <v>0</v>
      </c>
      <c r="Q683" s="24">
        <f ca="1">IFERROR(__xludf.DUMMYFUNCTION("""COMPUTED_VALUE"""),0)</f>
        <v>0</v>
      </c>
      <c r="R683" s="20"/>
    </row>
    <row r="684" spans="1:18" ht="13.2" hidden="1" outlineLevel="1" x14ac:dyDescent="0.25">
      <c r="A684" s="1"/>
      <c r="B684" s="21" t="str">
        <f ca="1">IFERROR(__xludf.DUMMYFUNCTION("""COMPUTED_VALUE"""),"Energia Hidraúlica")</f>
        <v>Energia Hidraúlica</v>
      </c>
      <c r="C684" s="22">
        <f ca="1">IFERROR(__xludf.DUMMYFUNCTION("""COMPUTED_VALUE"""),0)</f>
        <v>0</v>
      </c>
      <c r="D684" s="23">
        <f ca="1">IFERROR(__xludf.DUMMYFUNCTION("""COMPUTED_VALUE"""),0)</f>
        <v>0</v>
      </c>
      <c r="E684" s="23">
        <f ca="1">IFERROR(__xludf.DUMMYFUNCTION("""COMPUTED_VALUE"""),0)</f>
        <v>0</v>
      </c>
      <c r="F684" s="23">
        <f ca="1">IFERROR(__xludf.DUMMYFUNCTION("""COMPUTED_VALUE"""),0)</f>
        <v>0</v>
      </c>
      <c r="G684" s="23">
        <f ca="1">IFERROR(__xludf.DUMMYFUNCTION("""COMPUTED_VALUE"""),0)</f>
        <v>0</v>
      </c>
      <c r="H684" s="23">
        <f ca="1">IFERROR(__xludf.DUMMYFUNCTION("""COMPUTED_VALUE"""),0)</f>
        <v>0</v>
      </c>
      <c r="I684" s="23">
        <f ca="1">IFERROR(__xludf.DUMMYFUNCTION("""COMPUTED_VALUE"""),0)</f>
        <v>0</v>
      </c>
      <c r="J684" s="23">
        <f ca="1">IFERROR(__xludf.DUMMYFUNCTION("""COMPUTED_VALUE"""),0)</f>
        <v>0</v>
      </c>
      <c r="K684" s="23">
        <f ca="1">IFERROR(__xludf.DUMMYFUNCTION("""COMPUTED_VALUE"""),0)</f>
        <v>0</v>
      </c>
      <c r="L684" s="23">
        <f ca="1">IFERROR(__xludf.DUMMYFUNCTION("""COMPUTED_VALUE"""),0)</f>
        <v>0</v>
      </c>
      <c r="M684" s="23">
        <f ca="1">IFERROR(__xludf.DUMMYFUNCTION("""COMPUTED_VALUE"""),0)</f>
        <v>0</v>
      </c>
      <c r="N684" s="23">
        <f ca="1">IFERROR(__xludf.DUMMYFUNCTION("""COMPUTED_VALUE"""),0)</f>
        <v>0</v>
      </c>
      <c r="O684" s="23">
        <f ca="1">IFERROR(__xludf.DUMMYFUNCTION("""COMPUTED_VALUE"""),0)</f>
        <v>0</v>
      </c>
      <c r="P684" s="23">
        <f ca="1">IFERROR(__xludf.DUMMYFUNCTION("""COMPUTED_VALUE"""),0)</f>
        <v>0</v>
      </c>
      <c r="Q684" s="24">
        <f ca="1">IFERROR(__xludf.DUMMYFUNCTION("""COMPUTED_VALUE"""),0)</f>
        <v>0</v>
      </c>
      <c r="R684" s="20"/>
    </row>
    <row r="685" spans="1:18" ht="13.2" hidden="1" outlineLevel="1" x14ac:dyDescent="0.25">
      <c r="A685" s="1"/>
      <c r="B685" s="21" t="str">
        <f ca="1">IFERROR(__xludf.DUMMYFUNCTION("""COMPUTED_VALUE"""),"Geoenergía")</f>
        <v>Geoenergía</v>
      </c>
      <c r="C685" s="22">
        <f ca="1">IFERROR(__xludf.DUMMYFUNCTION("""COMPUTED_VALUE"""),0)</f>
        <v>0</v>
      </c>
      <c r="D685" s="23">
        <f ca="1">IFERROR(__xludf.DUMMYFUNCTION("""COMPUTED_VALUE"""),0)</f>
        <v>0</v>
      </c>
      <c r="E685" s="23">
        <f ca="1">IFERROR(__xludf.DUMMYFUNCTION("""COMPUTED_VALUE"""),0)</f>
        <v>0</v>
      </c>
      <c r="F685" s="23">
        <f ca="1">IFERROR(__xludf.DUMMYFUNCTION("""COMPUTED_VALUE"""),0)</f>
        <v>0</v>
      </c>
      <c r="G685" s="23">
        <f ca="1">IFERROR(__xludf.DUMMYFUNCTION("""COMPUTED_VALUE"""),0)</f>
        <v>0</v>
      </c>
      <c r="H685" s="23">
        <f ca="1">IFERROR(__xludf.DUMMYFUNCTION("""COMPUTED_VALUE"""),0)</f>
        <v>0</v>
      </c>
      <c r="I685" s="23">
        <f ca="1">IFERROR(__xludf.DUMMYFUNCTION("""COMPUTED_VALUE"""),0)</f>
        <v>0</v>
      </c>
      <c r="J685" s="23">
        <f ca="1">IFERROR(__xludf.DUMMYFUNCTION("""COMPUTED_VALUE"""),0)</f>
        <v>0</v>
      </c>
      <c r="K685" s="23">
        <f ca="1">IFERROR(__xludf.DUMMYFUNCTION("""COMPUTED_VALUE"""),0)</f>
        <v>0</v>
      </c>
      <c r="L685" s="23">
        <f ca="1">IFERROR(__xludf.DUMMYFUNCTION("""COMPUTED_VALUE"""),0)</f>
        <v>0</v>
      </c>
      <c r="M685" s="23">
        <f ca="1">IFERROR(__xludf.DUMMYFUNCTION("""COMPUTED_VALUE"""),0)</f>
        <v>0</v>
      </c>
      <c r="N685" s="23">
        <f ca="1">IFERROR(__xludf.DUMMYFUNCTION("""COMPUTED_VALUE"""),0)</f>
        <v>0</v>
      </c>
      <c r="O685" s="23">
        <f ca="1">IFERROR(__xludf.DUMMYFUNCTION("""COMPUTED_VALUE"""),0)</f>
        <v>0</v>
      </c>
      <c r="P685" s="23">
        <f ca="1">IFERROR(__xludf.DUMMYFUNCTION("""COMPUTED_VALUE"""),0)</f>
        <v>0</v>
      </c>
      <c r="Q685" s="24">
        <f ca="1">IFERROR(__xludf.DUMMYFUNCTION("""COMPUTED_VALUE"""),0)</f>
        <v>0</v>
      </c>
      <c r="R685" s="20"/>
    </row>
    <row r="686" spans="1:18" ht="13.2" hidden="1" outlineLevel="1" x14ac:dyDescent="0.25">
      <c r="A686" s="1"/>
      <c r="B686" s="21" t="str">
        <f ca="1">IFERROR(__xludf.DUMMYFUNCTION("""COMPUTED_VALUE"""),"Energía solar")</f>
        <v>Energía solar</v>
      </c>
      <c r="C686" s="22">
        <f ca="1">IFERROR(__xludf.DUMMYFUNCTION("""COMPUTED_VALUE"""),0)</f>
        <v>0</v>
      </c>
      <c r="D686" s="23">
        <f ca="1">IFERROR(__xludf.DUMMYFUNCTION("""COMPUTED_VALUE"""),0)</f>
        <v>0</v>
      </c>
      <c r="E686" s="23">
        <f ca="1">IFERROR(__xludf.DUMMYFUNCTION("""COMPUTED_VALUE"""),0)</f>
        <v>0</v>
      </c>
      <c r="F686" s="23">
        <f ca="1">IFERROR(__xludf.DUMMYFUNCTION("""COMPUTED_VALUE"""),0)</f>
        <v>0</v>
      </c>
      <c r="G686" s="23">
        <f ca="1">IFERROR(__xludf.DUMMYFUNCTION("""COMPUTED_VALUE"""),0)</f>
        <v>0</v>
      </c>
      <c r="H686" s="23">
        <f ca="1">IFERROR(__xludf.DUMMYFUNCTION("""COMPUTED_VALUE"""),0)</f>
        <v>0</v>
      </c>
      <c r="I686" s="23">
        <f ca="1">IFERROR(__xludf.DUMMYFUNCTION("""COMPUTED_VALUE"""),0)</f>
        <v>0</v>
      </c>
      <c r="J686" s="23">
        <f ca="1">IFERROR(__xludf.DUMMYFUNCTION("""COMPUTED_VALUE"""),0)</f>
        <v>0</v>
      </c>
      <c r="K686" s="23">
        <f ca="1">IFERROR(__xludf.DUMMYFUNCTION("""COMPUTED_VALUE"""),0)</f>
        <v>0</v>
      </c>
      <c r="L686" s="23">
        <f ca="1">IFERROR(__xludf.DUMMYFUNCTION("""COMPUTED_VALUE"""),0)</f>
        <v>0</v>
      </c>
      <c r="M686" s="23">
        <f ca="1">IFERROR(__xludf.DUMMYFUNCTION("""COMPUTED_VALUE"""),0)</f>
        <v>0</v>
      </c>
      <c r="N686" s="23">
        <f ca="1">IFERROR(__xludf.DUMMYFUNCTION("""COMPUTED_VALUE"""),0)</f>
        <v>0</v>
      </c>
      <c r="O686" s="23">
        <f ca="1">IFERROR(__xludf.DUMMYFUNCTION("""COMPUTED_VALUE"""),0)</f>
        <v>0</v>
      </c>
      <c r="P686" s="23">
        <f ca="1">IFERROR(__xludf.DUMMYFUNCTION("""COMPUTED_VALUE"""),0)</f>
        <v>0</v>
      </c>
      <c r="Q686" s="24">
        <f ca="1">IFERROR(__xludf.DUMMYFUNCTION("""COMPUTED_VALUE"""),0)</f>
        <v>0</v>
      </c>
      <c r="R686" s="20"/>
    </row>
    <row r="687" spans="1:18" ht="13.2" hidden="1" outlineLevel="1" x14ac:dyDescent="0.25">
      <c r="A687" s="1"/>
      <c r="B687" s="21" t="str">
        <f ca="1">IFERROR(__xludf.DUMMYFUNCTION("""COMPUTED_VALUE"""),"Energía eólica")</f>
        <v>Energía eólica</v>
      </c>
      <c r="C687" s="22">
        <f ca="1">IFERROR(__xludf.DUMMYFUNCTION("""COMPUTED_VALUE"""),0)</f>
        <v>0</v>
      </c>
      <c r="D687" s="23">
        <f ca="1">IFERROR(__xludf.DUMMYFUNCTION("""COMPUTED_VALUE"""),0)</f>
        <v>0</v>
      </c>
      <c r="E687" s="23">
        <f ca="1">IFERROR(__xludf.DUMMYFUNCTION("""COMPUTED_VALUE"""),0)</f>
        <v>0</v>
      </c>
      <c r="F687" s="23">
        <f ca="1">IFERROR(__xludf.DUMMYFUNCTION("""COMPUTED_VALUE"""),0)</f>
        <v>0</v>
      </c>
      <c r="G687" s="23">
        <f ca="1">IFERROR(__xludf.DUMMYFUNCTION("""COMPUTED_VALUE"""),0)</f>
        <v>0</v>
      </c>
      <c r="H687" s="23">
        <f ca="1">IFERROR(__xludf.DUMMYFUNCTION("""COMPUTED_VALUE"""),0)</f>
        <v>0</v>
      </c>
      <c r="I687" s="23">
        <f ca="1">IFERROR(__xludf.DUMMYFUNCTION("""COMPUTED_VALUE"""),0)</f>
        <v>0</v>
      </c>
      <c r="J687" s="23">
        <f ca="1">IFERROR(__xludf.DUMMYFUNCTION("""COMPUTED_VALUE"""),0)</f>
        <v>0</v>
      </c>
      <c r="K687" s="23">
        <f ca="1">IFERROR(__xludf.DUMMYFUNCTION("""COMPUTED_VALUE"""),0)</f>
        <v>0</v>
      </c>
      <c r="L687" s="23">
        <f ca="1">IFERROR(__xludf.DUMMYFUNCTION("""COMPUTED_VALUE"""),0)</f>
        <v>0</v>
      </c>
      <c r="M687" s="23">
        <f ca="1">IFERROR(__xludf.DUMMYFUNCTION("""COMPUTED_VALUE"""),0)</f>
        <v>0</v>
      </c>
      <c r="N687" s="23">
        <f ca="1">IFERROR(__xludf.DUMMYFUNCTION("""COMPUTED_VALUE"""),0)</f>
        <v>0</v>
      </c>
      <c r="O687" s="23">
        <f ca="1">IFERROR(__xludf.DUMMYFUNCTION("""COMPUTED_VALUE"""),0)</f>
        <v>0</v>
      </c>
      <c r="P687" s="23">
        <f ca="1">IFERROR(__xludf.DUMMYFUNCTION("""COMPUTED_VALUE"""),0)</f>
        <v>0</v>
      </c>
      <c r="Q687" s="24">
        <f ca="1">IFERROR(__xludf.DUMMYFUNCTION("""COMPUTED_VALUE"""),0)</f>
        <v>0</v>
      </c>
      <c r="R687" s="20"/>
    </row>
    <row r="688" spans="1:18" ht="13.2" hidden="1" outlineLevel="1" x14ac:dyDescent="0.25">
      <c r="A688" s="1"/>
      <c r="B688" s="21" t="str">
        <f ca="1">IFERROR(__xludf.DUMMYFUNCTION("""COMPUTED_VALUE"""),"Bagazo de caña")</f>
        <v>Bagazo de caña</v>
      </c>
      <c r="C688" s="22">
        <f ca="1">IFERROR(__xludf.DUMMYFUNCTION("""COMPUTED_VALUE"""),0)</f>
        <v>0</v>
      </c>
      <c r="D688" s="23">
        <f ca="1">IFERROR(__xludf.DUMMYFUNCTION("""COMPUTED_VALUE"""),0)</f>
        <v>0</v>
      </c>
      <c r="E688" s="23">
        <f ca="1">IFERROR(__xludf.DUMMYFUNCTION("""COMPUTED_VALUE"""),0)</f>
        <v>0</v>
      </c>
      <c r="F688" s="23">
        <f ca="1">IFERROR(__xludf.DUMMYFUNCTION("""COMPUTED_VALUE"""),0)</f>
        <v>0</v>
      </c>
      <c r="G688" s="23">
        <f ca="1">IFERROR(__xludf.DUMMYFUNCTION("""COMPUTED_VALUE"""),0)</f>
        <v>0</v>
      </c>
      <c r="H688" s="23">
        <f ca="1">IFERROR(__xludf.DUMMYFUNCTION("""COMPUTED_VALUE"""),0)</f>
        <v>0</v>
      </c>
      <c r="I688" s="23">
        <f ca="1">IFERROR(__xludf.DUMMYFUNCTION("""COMPUTED_VALUE"""),0)</f>
        <v>0</v>
      </c>
      <c r="J688" s="23">
        <f ca="1">IFERROR(__xludf.DUMMYFUNCTION("""COMPUTED_VALUE"""),0)</f>
        <v>0</v>
      </c>
      <c r="K688" s="23">
        <f ca="1">IFERROR(__xludf.DUMMYFUNCTION("""COMPUTED_VALUE"""),0)</f>
        <v>0</v>
      </c>
      <c r="L688" s="23">
        <f ca="1">IFERROR(__xludf.DUMMYFUNCTION("""COMPUTED_VALUE"""),0)</f>
        <v>0</v>
      </c>
      <c r="M688" s="23">
        <f ca="1">IFERROR(__xludf.DUMMYFUNCTION("""COMPUTED_VALUE"""),0)</f>
        <v>0</v>
      </c>
      <c r="N688" s="23">
        <f ca="1">IFERROR(__xludf.DUMMYFUNCTION("""COMPUTED_VALUE"""),0)</f>
        <v>0</v>
      </c>
      <c r="O688" s="23">
        <f ca="1">IFERROR(__xludf.DUMMYFUNCTION("""COMPUTED_VALUE"""),0)</f>
        <v>0</v>
      </c>
      <c r="P688" s="23">
        <f ca="1">IFERROR(__xludf.DUMMYFUNCTION("""COMPUTED_VALUE"""),0)</f>
        <v>0</v>
      </c>
      <c r="Q688" s="24">
        <f ca="1">IFERROR(__xludf.DUMMYFUNCTION("""COMPUTED_VALUE"""),0)</f>
        <v>0</v>
      </c>
      <c r="R688" s="20"/>
    </row>
    <row r="689" spans="1:18" ht="13.2" hidden="1" outlineLevel="1" x14ac:dyDescent="0.25">
      <c r="A689" s="1"/>
      <c r="B689" s="21" t="str">
        <f ca="1">IFERROR(__xludf.DUMMYFUNCTION("""COMPUTED_VALUE"""),"Leña")</f>
        <v>Leña</v>
      </c>
      <c r="C689" s="22">
        <f ca="1">IFERROR(__xludf.DUMMYFUNCTION("""COMPUTED_VALUE"""),0)</f>
        <v>0</v>
      </c>
      <c r="D689" s="23">
        <f ca="1">IFERROR(__xludf.DUMMYFUNCTION("""COMPUTED_VALUE"""),0)</f>
        <v>0</v>
      </c>
      <c r="E689" s="23">
        <f ca="1">IFERROR(__xludf.DUMMYFUNCTION("""COMPUTED_VALUE"""),0)</f>
        <v>0</v>
      </c>
      <c r="F689" s="23">
        <f ca="1">IFERROR(__xludf.DUMMYFUNCTION("""COMPUTED_VALUE"""),0)</f>
        <v>0</v>
      </c>
      <c r="G689" s="23">
        <f ca="1">IFERROR(__xludf.DUMMYFUNCTION("""COMPUTED_VALUE"""),0)</f>
        <v>0</v>
      </c>
      <c r="H689" s="23">
        <f ca="1">IFERROR(__xludf.DUMMYFUNCTION("""COMPUTED_VALUE"""),0)</f>
        <v>0</v>
      </c>
      <c r="I689" s="23">
        <f ca="1">IFERROR(__xludf.DUMMYFUNCTION("""COMPUTED_VALUE"""),0)</f>
        <v>0</v>
      </c>
      <c r="J689" s="23">
        <f ca="1">IFERROR(__xludf.DUMMYFUNCTION("""COMPUTED_VALUE"""),0)</f>
        <v>0</v>
      </c>
      <c r="K689" s="23">
        <f ca="1">IFERROR(__xludf.DUMMYFUNCTION("""COMPUTED_VALUE"""),0)</f>
        <v>0</v>
      </c>
      <c r="L689" s="23">
        <f ca="1">IFERROR(__xludf.DUMMYFUNCTION("""COMPUTED_VALUE"""),0)</f>
        <v>0</v>
      </c>
      <c r="M689" s="23">
        <f ca="1">IFERROR(__xludf.DUMMYFUNCTION("""COMPUTED_VALUE"""),0)</f>
        <v>0</v>
      </c>
      <c r="N689" s="23">
        <f ca="1">IFERROR(__xludf.DUMMYFUNCTION("""COMPUTED_VALUE"""),0)</f>
        <v>0</v>
      </c>
      <c r="O689" s="23">
        <f ca="1">IFERROR(__xludf.DUMMYFUNCTION("""COMPUTED_VALUE"""),0)</f>
        <v>0</v>
      </c>
      <c r="P689" s="23">
        <f ca="1">IFERROR(__xludf.DUMMYFUNCTION("""COMPUTED_VALUE"""),0)</f>
        <v>0</v>
      </c>
      <c r="Q689" s="24">
        <f ca="1">IFERROR(__xludf.DUMMYFUNCTION("""COMPUTED_VALUE"""),0)</f>
        <v>0</v>
      </c>
      <c r="R689" s="20"/>
    </row>
    <row r="690" spans="1:18" ht="13.2" hidden="1" outlineLevel="1" x14ac:dyDescent="0.25">
      <c r="A690" s="1"/>
      <c r="B690" s="21" t="str">
        <f ca="1">IFERROR(__xludf.DUMMYFUNCTION("""COMPUTED_VALUE"""),"Biogás")</f>
        <v>Biogás</v>
      </c>
      <c r="C690" s="22">
        <f ca="1">IFERROR(__xludf.DUMMYFUNCTION("""COMPUTED_VALUE"""),0)</f>
        <v>0</v>
      </c>
      <c r="D690" s="23">
        <f ca="1">IFERROR(__xludf.DUMMYFUNCTION("""COMPUTED_VALUE"""),0)</f>
        <v>0</v>
      </c>
      <c r="E690" s="23">
        <f ca="1">IFERROR(__xludf.DUMMYFUNCTION("""COMPUTED_VALUE"""),0)</f>
        <v>0</v>
      </c>
      <c r="F690" s="23">
        <f ca="1">IFERROR(__xludf.DUMMYFUNCTION("""COMPUTED_VALUE"""),0)</f>
        <v>0</v>
      </c>
      <c r="G690" s="23">
        <f ca="1">IFERROR(__xludf.DUMMYFUNCTION("""COMPUTED_VALUE"""),0)</f>
        <v>0</v>
      </c>
      <c r="H690" s="23">
        <f ca="1">IFERROR(__xludf.DUMMYFUNCTION("""COMPUTED_VALUE"""),0)</f>
        <v>0</v>
      </c>
      <c r="I690" s="23">
        <f ca="1">IFERROR(__xludf.DUMMYFUNCTION("""COMPUTED_VALUE"""),0)</f>
        <v>0</v>
      </c>
      <c r="J690" s="23">
        <f ca="1">IFERROR(__xludf.DUMMYFUNCTION("""COMPUTED_VALUE"""),0)</f>
        <v>0</v>
      </c>
      <c r="K690" s="23">
        <f ca="1">IFERROR(__xludf.DUMMYFUNCTION("""COMPUTED_VALUE"""),0)</f>
        <v>0</v>
      </c>
      <c r="L690" s="23">
        <f ca="1">IFERROR(__xludf.DUMMYFUNCTION("""COMPUTED_VALUE"""),0)</f>
        <v>0</v>
      </c>
      <c r="M690" s="23">
        <f ca="1">IFERROR(__xludf.DUMMYFUNCTION("""COMPUTED_VALUE"""),0)</f>
        <v>0</v>
      </c>
      <c r="N690" s="23">
        <f ca="1">IFERROR(__xludf.DUMMYFUNCTION("""COMPUTED_VALUE"""),0)</f>
        <v>0</v>
      </c>
      <c r="O690" s="23">
        <f ca="1">IFERROR(__xludf.DUMMYFUNCTION("""COMPUTED_VALUE"""),0)</f>
        <v>0</v>
      </c>
      <c r="P690" s="23">
        <f ca="1">IFERROR(__xludf.DUMMYFUNCTION("""COMPUTED_VALUE"""),0)</f>
        <v>0</v>
      </c>
      <c r="Q690" s="24">
        <f ca="1">IFERROR(__xludf.DUMMYFUNCTION("""COMPUTED_VALUE"""),0)</f>
        <v>0</v>
      </c>
      <c r="R690" s="20"/>
    </row>
    <row r="691" spans="1:18" ht="13.2" hidden="1" outlineLevel="1" x14ac:dyDescent="0.25">
      <c r="A691" s="1"/>
      <c r="B691" s="21" t="str">
        <f ca="1">IFERROR(__xludf.DUMMYFUNCTION("""COMPUTED_VALUE"""),"Coque de carbón")</f>
        <v>Coque de carbón</v>
      </c>
      <c r="C691" s="22">
        <f ca="1">IFERROR(__xludf.DUMMYFUNCTION("""COMPUTED_VALUE"""),0)</f>
        <v>0</v>
      </c>
      <c r="D691" s="23">
        <f ca="1">IFERROR(__xludf.DUMMYFUNCTION("""COMPUTED_VALUE"""),0)</f>
        <v>0</v>
      </c>
      <c r="E691" s="23">
        <f ca="1">IFERROR(__xludf.DUMMYFUNCTION("""COMPUTED_VALUE"""),0)</f>
        <v>0</v>
      </c>
      <c r="F691" s="23">
        <f ca="1">IFERROR(__xludf.DUMMYFUNCTION("""COMPUTED_VALUE"""),0)</f>
        <v>0</v>
      </c>
      <c r="G691" s="23">
        <f ca="1">IFERROR(__xludf.DUMMYFUNCTION("""COMPUTED_VALUE"""),0)</f>
        <v>0</v>
      </c>
      <c r="H691" s="23">
        <f ca="1">IFERROR(__xludf.DUMMYFUNCTION("""COMPUTED_VALUE"""),0)</f>
        <v>0</v>
      </c>
      <c r="I691" s="23">
        <f ca="1">IFERROR(__xludf.DUMMYFUNCTION("""COMPUTED_VALUE"""),0)</f>
        <v>0</v>
      </c>
      <c r="J691" s="23">
        <f ca="1">IFERROR(__xludf.DUMMYFUNCTION("""COMPUTED_VALUE"""),0)</f>
        <v>0</v>
      </c>
      <c r="K691" s="23">
        <f ca="1">IFERROR(__xludf.DUMMYFUNCTION("""COMPUTED_VALUE"""),0)</f>
        <v>0</v>
      </c>
      <c r="L691" s="23">
        <f ca="1">IFERROR(__xludf.DUMMYFUNCTION("""COMPUTED_VALUE"""),0)</f>
        <v>0</v>
      </c>
      <c r="M691" s="23">
        <f ca="1">IFERROR(__xludf.DUMMYFUNCTION("""COMPUTED_VALUE"""),0)</f>
        <v>0</v>
      </c>
      <c r="N691" s="23">
        <f ca="1">IFERROR(__xludf.DUMMYFUNCTION("""COMPUTED_VALUE"""),0)</f>
        <v>0</v>
      </c>
      <c r="O691" s="23">
        <f ca="1">IFERROR(__xludf.DUMMYFUNCTION("""COMPUTED_VALUE"""),0)</f>
        <v>0</v>
      </c>
      <c r="P691" s="23">
        <f ca="1">IFERROR(__xludf.DUMMYFUNCTION("""COMPUTED_VALUE"""),0)</f>
        <v>0</v>
      </c>
      <c r="Q691" s="24">
        <f ca="1">IFERROR(__xludf.DUMMYFUNCTION("""COMPUTED_VALUE"""),0)</f>
        <v>0</v>
      </c>
      <c r="R691" s="20"/>
    </row>
    <row r="692" spans="1:18" ht="13.2" hidden="1" outlineLevel="1" x14ac:dyDescent="0.25">
      <c r="A692" s="1"/>
      <c r="B692" s="21" t="str">
        <f ca="1">IFERROR(__xludf.DUMMYFUNCTION("""COMPUTED_VALUE"""),"Coque de petróleo")</f>
        <v>Coque de petróleo</v>
      </c>
      <c r="C692" s="22">
        <f ca="1">IFERROR(__xludf.DUMMYFUNCTION("""COMPUTED_VALUE"""),0)</f>
        <v>0</v>
      </c>
      <c r="D692" s="23">
        <f ca="1">IFERROR(__xludf.DUMMYFUNCTION("""COMPUTED_VALUE"""),0)</f>
        <v>0</v>
      </c>
      <c r="E692" s="23">
        <f ca="1">IFERROR(__xludf.DUMMYFUNCTION("""COMPUTED_VALUE"""),0)</f>
        <v>0</v>
      </c>
      <c r="F692" s="23">
        <f ca="1">IFERROR(__xludf.DUMMYFUNCTION("""COMPUTED_VALUE"""),0)</f>
        <v>0</v>
      </c>
      <c r="G692" s="23">
        <f ca="1">IFERROR(__xludf.DUMMYFUNCTION("""COMPUTED_VALUE"""),0)</f>
        <v>0</v>
      </c>
      <c r="H692" s="23">
        <f ca="1">IFERROR(__xludf.DUMMYFUNCTION("""COMPUTED_VALUE"""),0)</f>
        <v>0</v>
      </c>
      <c r="I692" s="23">
        <f ca="1">IFERROR(__xludf.DUMMYFUNCTION("""COMPUTED_VALUE"""),0)</f>
        <v>0</v>
      </c>
      <c r="J692" s="23">
        <f ca="1">IFERROR(__xludf.DUMMYFUNCTION("""COMPUTED_VALUE"""),0)</f>
        <v>0</v>
      </c>
      <c r="K692" s="23">
        <f ca="1">IFERROR(__xludf.DUMMYFUNCTION("""COMPUTED_VALUE"""),0)</f>
        <v>0</v>
      </c>
      <c r="L692" s="23">
        <f ca="1">IFERROR(__xludf.DUMMYFUNCTION("""COMPUTED_VALUE"""),0)</f>
        <v>0</v>
      </c>
      <c r="M692" s="23">
        <f ca="1">IFERROR(__xludf.DUMMYFUNCTION("""COMPUTED_VALUE"""),0)</f>
        <v>0</v>
      </c>
      <c r="N692" s="23">
        <f ca="1">IFERROR(__xludf.DUMMYFUNCTION("""COMPUTED_VALUE"""),0)</f>
        <v>0</v>
      </c>
      <c r="O692" s="23">
        <f ca="1">IFERROR(__xludf.DUMMYFUNCTION("""COMPUTED_VALUE"""),0)</f>
        <v>0</v>
      </c>
      <c r="P692" s="23">
        <f ca="1">IFERROR(__xludf.DUMMYFUNCTION("""COMPUTED_VALUE"""),0)</f>
        <v>0</v>
      </c>
      <c r="Q692" s="24">
        <f ca="1">IFERROR(__xludf.DUMMYFUNCTION("""COMPUTED_VALUE"""),0)</f>
        <v>0</v>
      </c>
      <c r="R692" s="20"/>
    </row>
    <row r="693" spans="1:18" ht="13.2" hidden="1" outlineLevel="1" x14ac:dyDescent="0.25">
      <c r="A693" s="1"/>
      <c r="B693" s="21" t="str">
        <f ca="1">IFERROR(__xludf.DUMMYFUNCTION("""COMPUTED_VALUE"""),"Gas licuado de petróleo")</f>
        <v>Gas licuado de petróleo</v>
      </c>
      <c r="C693" s="22">
        <f ca="1">IFERROR(__xludf.DUMMYFUNCTION("""COMPUTED_VALUE"""),0)</f>
        <v>0</v>
      </c>
      <c r="D693" s="23">
        <f ca="1">IFERROR(__xludf.DUMMYFUNCTION("""COMPUTED_VALUE"""),0)</f>
        <v>0</v>
      </c>
      <c r="E693" s="23">
        <f ca="1">IFERROR(__xludf.DUMMYFUNCTION("""COMPUTED_VALUE"""),0)</f>
        <v>0</v>
      </c>
      <c r="F693" s="23">
        <f ca="1">IFERROR(__xludf.DUMMYFUNCTION("""COMPUTED_VALUE"""),0)</f>
        <v>0</v>
      </c>
      <c r="G693" s="23">
        <f ca="1">IFERROR(__xludf.DUMMYFUNCTION("""COMPUTED_VALUE"""),0)</f>
        <v>0</v>
      </c>
      <c r="H693" s="23">
        <f ca="1">IFERROR(__xludf.DUMMYFUNCTION("""COMPUTED_VALUE"""),0)</f>
        <v>0</v>
      </c>
      <c r="I693" s="23">
        <f ca="1">IFERROR(__xludf.DUMMYFUNCTION("""COMPUTED_VALUE"""),0)</f>
        <v>0</v>
      </c>
      <c r="J693" s="23">
        <f ca="1">IFERROR(__xludf.DUMMYFUNCTION("""COMPUTED_VALUE"""),0)</f>
        <v>0</v>
      </c>
      <c r="K693" s="23">
        <f ca="1">IFERROR(__xludf.DUMMYFUNCTION("""COMPUTED_VALUE"""),0)</f>
        <v>0</v>
      </c>
      <c r="L693" s="23">
        <f ca="1">IFERROR(__xludf.DUMMYFUNCTION("""COMPUTED_VALUE"""),0)</f>
        <v>0</v>
      </c>
      <c r="M693" s="23">
        <f ca="1">IFERROR(__xludf.DUMMYFUNCTION("""COMPUTED_VALUE"""),0)</f>
        <v>0</v>
      </c>
      <c r="N693" s="23">
        <f ca="1">IFERROR(__xludf.DUMMYFUNCTION("""COMPUTED_VALUE"""),0)</f>
        <v>0</v>
      </c>
      <c r="O693" s="23">
        <f ca="1">IFERROR(__xludf.DUMMYFUNCTION("""COMPUTED_VALUE"""),0)</f>
        <v>0</v>
      </c>
      <c r="P693" s="23">
        <f ca="1">IFERROR(__xludf.DUMMYFUNCTION("""COMPUTED_VALUE"""),0)</f>
        <v>0</v>
      </c>
      <c r="Q693" s="24">
        <f ca="1">IFERROR(__xludf.DUMMYFUNCTION("""COMPUTED_VALUE"""),0)</f>
        <v>0</v>
      </c>
      <c r="R693" s="20"/>
    </row>
    <row r="694" spans="1:18" ht="13.2" hidden="1" outlineLevel="1" x14ac:dyDescent="0.25">
      <c r="A694" s="1"/>
      <c r="B694" s="21" t="str">
        <f ca="1">IFERROR(__xludf.DUMMYFUNCTION("""COMPUTED_VALUE"""),"Gasolinas y naftas")</f>
        <v>Gasolinas y naftas</v>
      </c>
      <c r="C694" s="22">
        <f ca="1">IFERROR(__xludf.DUMMYFUNCTION("""COMPUTED_VALUE"""),0)</f>
        <v>0</v>
      </c>
      <c r="D694" s="23">
        <f ca="1">IFERROR(__xludf.DUMMYFUNCTION("""COMPUTED_VALUE"""),0)</f>
        <v>0</v>
      </c>
      <c r="E694" s="23">
        <f ca="1">IFERROR(__xludf.DUMMYFUNCTION("""COMPUTED_VALUE"""),0)</f>
        <v>0</v>
      </c>
      <c r="F694" s="23">
        <f ca="1">IFERROR(__xludf.DUMMYFUNCTION("""COMPUTED_VALUE"""),0)</f>
        <v>0</v>
      </c>
      <c r="G694" s="23">
        <f ca="1">IFERROR(__xludf.DUMMYFUNCTION("""COMPUTED_VALUE"""),0)</f>
        <v>0</v>
      </c>
      <c r="H694" s="23">
        <f ca="1">IFERROR(__xludf.DUMMYFUNCTION("""COMPUTED_VALUE"""),0)</f>
        <v>0</v>
      </c>
      <c r="I694" s="23">
        <f ca="1">IFERROR(__xludf.DUMMYFUNCTION("""COMPUTED_VALUE"""),0)</f>
        <v>0</v>
      </c>
      <c r="J694" s="23">
        <f ca="1">IFERROR(__xludf.DUMMYFUNCTION("""COMPUTED_VALUE"""),0)</f>
        <v>0</v>
      </c>
      <c r="K694" s="23">
        <f ca="1">IFERROR(__xludf.DUMMYFUNCTION("""COMPUTED_VALUE"""),0)</f>
        <v>0</v>
      </c>
      <c r="L694" s="23">
        <f ca="1">IFERROR(__xludf.DUMMYFUNCTION("""COMPUTED_VALUE"""),0)</f>
        <v>0</v>
      </c>
      <c r="M694" s="23">
        <f ca="1">IFERROR(__xludf.DUMMYFUNCTION("""COMPUTED_VALUE"""),0)</f>
        <v>0</v>
      </c>
      <c r="N694" s="23">
        <f ca="1">IFERROR(__xludf.DUMMYFUNCTION("""COMPUTED_VALUE"""),0)</f>
        <v>0</v>
      </c>
      <c r="O694" s="23">
        <f ca="1">IFERROR(__xludf.DUMMYFUNCTION("""COMPUTED_VALUE"""),0)</f>
        <v>0</v>
      </c>
      <c r="P694" s="23">
        <f ca="1">IFERROR(__xludf.DUMMYFUNCTION("""COMPUTED_VALUE"""),0)</f>
        <v>0</v>
      </c>
      <c r="Q694" s="24">
        <f ca="1">IFERROR(__xludf.DUMMYFUNCTION("""COMPUTED_VALUE"""),0)</f>
        <v>0</v>
      </c>
      <c r="R694" s="20"/>
    </row>
    <row r="695" spans="1:18" ht="13.2" hidden="1" outlineLevel="1" x14ac:dyDescent="0.25">
      <c r="A695" s="1"/>
      <c r="B695" s="21" t="str">
        <f ca="1">IFERROR(__xludf.DUMMYFUNCTION("""COMPUTED_VALUE"""),"Querosenos")</f>
        <v>Querosenos</v>
      </c>
      <c r="C695" s="22">
        <f ca="1">IFERROR(__xludf.DUMMYFUNCTION("""COMPUTED_VALUE"""),0)</f>
        <v>0</v>
      </c>
      <c r="D695" s="23">
        <f ca="1">IFERROR(__xludf.DUMMYFUNCTION("""COMPUTED_VALUE"""),0)</f>
        <v>0</v>
      </c>
      <c r="E695" s="23">
        <f ca="1">IFERROR(__xludf.DUMMYFUNCTION("""COMPUTED_VALUE"""),0)</f>
        <v>0</v>
      </c>
      <c r="F695" s="23">
        <f ca="1">IFERROR(__xludf.DUMMYFUNCTION("""COMPUTED_VALUE"""),0)</f>
        <v>0</v>
      </c>
      <c r="G695" s="23">
        <f ca="1">IFERROR(__xludf.DUMMYFUNCTION("""COMPUTED_VALUE"""),0)</f>
        <v>0</v>
      </c>
      <c r="H695" s="23">
        <f ca="1">IFERROR(__xludf.DUMMYFUNCTION("""COMPUTED_VALUE"""),0)</f>
        <v>0</v>
      </c>
      <c r="I695" s="23">
        <f ca="1">IFERROR(__xludf.DUMMYFUNCTION("""COMPUTED_VALUE"""),0)</f>
        <v>0</v>
      </c>
      <c r="J695" s="23">
        <f ca="1">IFERROR(__xludf.DUMMYFUNCTION("""COMPUTED_VALUE"""),0)</f>
        <v>0</v>
      </c>
      <c r="K695" s="23">
        <f ca="1">IFERROR(__xludf.DUMMYFUNCTION("""COMPUTED_VALUE"""),0)</f>
        <v>0</v>
      </c>
      <c r="L695" s="23">
        <f ca="1">IFERROR(__xludf.DUMMYFUNCTION("""COMPUTED_VALUE"""),0)</f>
        <v>0</v>
      </c>
      <c r="M695" s="23">
        <f ca="1">IFERROR(__xludf.DUMMYFUNCTION("""COMPUTED_VALUE"""),0)</f>
        <v>0</v>
      </c>
      <c r="N695" s="23">
        <f ca="1">IFERROR(__xludf.DUMMYFUNCTION("""COMPUTED_VALUE"""),0)</f>
        <v>0</v>
      </c>
      <c r="O695" s="23">
        <f ca="1">IFERROR(__xludf.DUMMYFUNCTION("""COMPUTED_VALUE"""),0)</f>
        <v>0</v>
      </c>
      <c r="P695" s="23">
        <f ca="1">IFERROR(__xludf.DUMMYFUNCTION("""COMPUTED_VALUE"""),0)</f>
        <v>0</v>
      </c>
      <c r="Q695" s="24">
        <f ca="1">IFERROR(__xludf.DUMMYFUNCTION("""COMPUTED_VALUE"""),0)</f>
        <v>0</v>
      </c>
      <c r="R695" s="20"/>
    </row>
    <row r="696" spans="1:18" ht="13.2" hidden="1" outlineLevel="1" x14ac:dyDescent="0.25">
      <c r="A696" s="1"/>
      <c r="B696" s="21" t="str">
        <f ca="1">IFERROR(__xludf.DUMMYFUNCTION("""COMPUTED_VALUE"""),"Diesel")</f>
        <v>Diesel</v>
      </c>
      <c r="C696" s="22">
        <f ca="1">IFERROR(__xludf.DUMMYFUNCTION("""COMPUTED_VALUE"""),0)</f>
        <v>0</v>
      </c>
      <c r="D696" s="23">
        <f ca="1">IFERROR(__xludf.DUMMYFUNCTION("""COMPUTED_VALUE"""),0)</f>
        <v>0</v>
      </c>
      <c r="E696" s="23">
        <f ca="1">IFERROR(__xludf.DUMMYFUNCTION("""COMPUTED_VALUE"""),0)</f>
        <v>0</v>
      </c>
      <c r="F696" s="23">
        <f ca="1">IFERROR(__xludf.DUMMYFUNCTION("""COMPUTED_VALUE"""),0)</f>
        <v>0</v>
      </c>
      <c r="G696" s="23">
        <f ca="1">IFERROR(__xludf.DUMMYFUNCTION("""COMPUTED_VALUE"""),0)</f>
        <v>0</v>
      </c>
      <c r="H696" s="23">
        <f ca="1">IFERROR(__xludf.DUMMYFUNCTION("""COMPUTED_VALUE"""),0)</f>
        <v>0</v>
      </c>
      <c r="I696" s="23">
        <f ca="1">IFERROR(__xludf.DUMMYFUNCTION("""COMPUTED_VALUE"""),0)</f>
        <v>0</v>
      </c>
      <c r="J696" s="23">
        <f ca="1">IFERROR(__xludf.DUMMYFUNCTION("""COMPUTED_VALUE"""),0)</f>
        <v>0</v>
      </c>
      <c r="K696" s="23">
        <f ca="1">IFERROR(__xludf.DUMMYFUNCTION("""COMPUTED_VALUE"""),0)</f>
        <v>0</v>
      </c>
      <c r="L696" s="23">
        <f ca="1">IFERROR(__xludf.DUMMYFUNCTION("""COMPUTED_VALUE"""),0)</f>
        <v>0</v>
      </c>
      <c r="M696" s="23">
        <f ca="1">IFERROR(__xludf.DUMMYFUNCTION("""COMPUTED_VALUE"""),0)</f>
        <v>0</v>
      </c>
      <c r="N696" s="23">
        <f ca="1">IFERROR(__xludf.DUMMYFUNCTION("""COMPUTED_VALUE"""),0)</f>
        <v>0</v>
      </c>
      <c r="O696" s="23">
        <f ca="1">IFERROR(__xludf.DUMMYFUNCTION("""COMPUTED_VALUE"""),0)</f>
        <v>0</v>
      </c>
      <c r="P696" s="23">
        <f ca="1">IFERROR(__xludf.DUMMYFUNCTION("""COMPUTED_VALUE"""),0)</f>
        <v>0</v>
      </c>
      <c r="Q696" s="24">
        <f ca="1">IFERROR(__xludf.DUMMYFUNCTION("""COMPUTED_VALUE"""),0)</f>
        <v>0</v>
      </c>
      <c r="R696" s="20"/>
    </row>
    <row r="697" spans="1:18" ht="13.2" hidden="1" outlineLevel="1" x14ac:dyDescent="0.25">
      <c r="A697" s="1"/>
      <c r="B697" s="21" t="str">
        <f ca="1">IFERROR(__xludf.DUMMYFUNCTION("""COMPUTED_VALUE"""),"Combustóleo")</f>
        <v>Combustóleo</v>
      </c>
      <c r="C697" s="22">
        <f ca="1">IFERROR(__xludf.DUMMYFUNCTION("""COMPUTED_VALUE"""),0)</f>
        <v>0</v>
      </c>
      <c r="D697" s="23">
        <f ca="1">IFERROR(__xludf.DUMMYFUNCTION("""COMPUTED_VALUE"""),0)</f>
        <v>0</v>
      </c>
      <c r="E697" s="23">
        <f ca="1">IFERROR(__xludf.DUMMYFUNCTION("""COMPUTED_VALUE"""),0)</f>
        <v>0</v>
      </c>
      <c r="F697" s="23">
        <f ca="1">IFERROR(__xludf.DUMMYFUNCTION("""COMPUTED_VALUE"""),0)</f>
        <v>0</v>
      </c>
      <c r="G697" s="23">
        <f ca="1">IFERROR(__xludf.DUMMYFUNCTION("""COMPUTED_VALUE"""),0)</f>
        <v>0</v>
      </c>
      <c r="H697" s="23">
        <f ca="1">IFERROR(__xludf.DUMMYFUNCTION("""COMPUTED_VALUE"""),0)</f>
        <v>0</v>
      </c>
      <c r="I697" s="23">
        <f ca="1">IFERROR(__xludf.DUMMYFUNCTION("""COMPUTED_VALUE"""),0)</f>
        <v>0</v>
      </c>
      <c r="J697" s="23">
        <f ca="1">IFERROR(__xludf.DUMMYFUNCTION("""COMPUTED_VALUE"""),0)</f>
        <v>0</v>
      </c>
      <c r="K697" s="23">
        <f ca="1">IFERROR(__xludf.DUMMYFUNCTION("""COMPUTED_VALUE"""),0)</f>
        <v>0</v>
      </c>
      <c r="L697" s="23">
        <f ca="1">IFERROR(__xludf.DUMMYFUNCTION("""COMPUTED_VALUE"""),0)</f>
        <v>0</v>
      </c>
      <c r="M697" s="23">
        <f ca="1">IFERROR(__xludf.DUMMYFUNCTION("""COMPUTED_VALUE"""),0)</f>
        <v>0</v>
      </c>
      <c r="N697" s="23">
        <f ca="1">IFERROR(__xludf.DUMMYFUNCTION("""COMPUTED_VALUE"""),0)</f>
        <v>0</v>
      </c>
      <c r="O697" s="23">
        <f ca="1">IFERROR(__xludf.DUMMYFUNCTION("""COMPUTED_VALUE"""),0)</f>
        <v>0</v>
      </c>
      <c r="P697" s="23">
        <f ca="1">IFERROR(__xludf.DUMMYFUNCTION("""COMPUTED_VALUE"""),0)</f>
        <v>0</v>
      </c>
      <c r="Q697" s="24">
        <f ca="1">IFERROR(__xludf.DUMMYFUNCTION("""COMPUTED_VALUE"""),0)</f>
        <v>0</v>
      </c>
      <c r="R697" s="20"/>
    </row>
    <row r="698" spans="1:18" ht="13.2" hidden="1" outlineLevel="1" x14ac:dyDescent="0.25">
      <c r="A698" s="1"/>
      <c r="B698" s="21" t="str">
        <f ca="1">IFERROR(__xludf.DUMMYFUNCTION("""COMPUTED_VALUE"""),"Otros energéticos")</f>
        <v>Otros energéticos</v>
      </c>
      <c r="C698" s="22">
        <f ca="1">IFERROR(__xludf.DUMMYFUNCTION("""COMPUTED_VALUE"""),0)</f>
        <v>0</v>
      </c>
      <c r="D698" s="23">
        <f ca="1">IFERROR(__xludf.DUMMYFUNCTION("""COMPUTED_VALUE"""),0)</f>
        <v>0</v>
      </c>
      <c r="E698" s="23">
        <f ca="1">IFERROR(__xludf.DUMMYFUNCTION("""COMPUTED_VALUE"""),0)</f>
        <v>0</v>
      </c>
      <c r="F698" s="23">
        <f ca="1">IFERROR(__xludf.DUMMYFUNCTION("""COMPUTED_VALUE"""),0)</f>
        <v>0</v>
      </c>
      <c r="G698" s="23">
        <f ca="1">IFERROR(__xludf.DUMMYFUNCTION("""COMPUTED_VALUE"""),0)</f>
        <v>0</v>
      </c>
      <c r="H698" s="23">
        <f ca="1">IFERROR(__xludf.DUMMYFUNCTION("""COMPUTED_VALUE"""),0)</f>
        <v>0</v>
      </c>
      <c r="I698" s="23">
        <f ca="1">IFERROR(__xludf.DUMMYFUNCTION("""COMPUTED_VALUE"""),0)</f>
        <v>0</v>
      </c>
      <c r="J698" s="23">
        <f ca="1">IFERROR(__xludf.DUMMYFUNCTION("""COMPUTED_VALUE"""),0)</f>
        <v>0</v>
      </c>
      <c r="K698" s="23">
        <f ca="1">IFERROR(__xludf.DUMMYFUNCTION("""COMPUTED_VALUE"""),0)</f>
        <v>0</v>
      </c>
      <c r="L698" s="23">
        <f ca="1">IFERROR(__xludf.DUMMYFUNCTION("""COMPUTED_VALUE"""),0)</f>
        <v>0</v>
      </c>
      <c r="M698" s="23">
        <f ca="1">IFERROR(__xludf.DUMMYFUNCTION("""COMPUTED_VALUE"""),0)</f>
        <v>0</v>
      </c>
      <c r="N698" s="23">
        <f ca="1">IFERROR(__xludf.DUMMYFUNCTION("""COMPUTED_VALUE"""),0)</f>
        <v>0</v>
      </c>
      <c r="O698" s="23">
        <f ca="1">IFERROR(__xludf.DUMMYFUNCTION("""COMPUTED_VALUE"""),0)</f>
        <v>0</v>
      </c>
      <c r="P698" s="23">
        <f ca="1">IFERROR(__xludf.DUMMYFUNCTION("""COMPUTED_VALUE"""),0)</f>
        <v>0</v>
      </c>
      <c r="Q698" s="24">
        <f ca="1">IFERROR(__xludf.DUMMYFUNCTION("""COMPUTED_VALUE"""),0)</f>
        <v>0</v>
      </c>
      <c r="R698" s="20"/>
    </row>
    <row r="699" spans="1:18" ht="13.2" hidden="1" outlineLevel="1" x14ac:dyDescent="0.25">
      <c r="A699" s="1"/>
      <c r="B699" s="21" t="str">
        <f ca="1">IFERROR(__xludf.DUMMYFUNCTION("""COMPUTED_VALUE"""),"Gas natural seco")</f>
        <v>Gas natural seco</v>
      </c>
      <c r="C699" s="22">
        <f ca="1">IFERROR(__xludf.DUMMYFUNCTION("""COMPUTED_VALUE"""),0)</f>
        <v>0</v>
      </c>
      <c r="D699" s="23">
        <f ca="1">IFERROR(__xludf.DUMMYFUNCTION("""COMPUTED_VALUE"""),0)</f>
        <v>0</v>
      </c>
      <c r="E699" s="23">
        <f ca="1">IFERROR(__xludf.DUMMYFUNCTION("""COMPUTED_VALUE"""),0)</f>
        <v>0</v>
      </c>
      <c r="F699" s="23">
        <f ca="1">IFERROR(__xludf.DUMMYFUNCTION("""COMPUTED_VALUE"""),0)</f>
        <v>0</v>
      </c>
      <c r="G699" s="23">
        <f ca="1">IFERROR(__xludf.DUMMYFUNCTION("""COMPUTED_VALUE"""),0)</f>
        <v>0</v>
      </c>
      <c r="H699" s="23">
        <f ca="1">IFERROR(__xludf.DUMMYFUNCTION("""COMPUTED_VALUE"""),0)</f>
        <v>0</v>
      </c>
      <c r="I699" s="23">
        <f ca="1">IFERROR(__xludf.DUMMYFUNCTION("""COMPUTED_VALUE"""),0)</f>
        <v>0</v>
      </c>
      <c r="J699" s="23">
        <f ca="1">IFERROR(__xludf.DUMMYFUNCTION("""COMPUTED_VALUE"""),0)</f>
        <v>0</v>
      </c>
      <c r="K699" s="23">
        <f ca="1">IFERROR(__xludf.DUMMYFUNCTION("""COMPUTED_VALUE"""),0)</f>
        <v>0</v>
      </c>
      <c r="L699" s="23">
        <f ca="1">IFERROR(__xludf.DUMMYFUNCTION("""COMPUTED_VALUE"""),0)</f>
        <v>0</v>
      </c>
      <c r="M699" s="23">
        <f ca="1">IFERROR(__xludf.DUMMYFUNCTION("""COMPUTED_VALUE"""),0)</f>
        <v>0</v>
      </c>
      <c r="N699" s="23">
        <f ca="1">IFERROR(__xludf.DUMMYFUNCTION("""COMPUTED_VALUE"""),0)</f>
        <v>0</v>
      </c>
      <c r="O699" s="23">
        <f ca="1">IFERROR(__xludf.DUMMYFUNCTION("""COMPUTED_VALUE"""),0)</f>
        <v>0</v>
      </c>
      <c r="P699" s="23">
        <f ca="1">IFERROR(__xludf.DUMMYFUNCTION("""COMPUTED_VALUE"""),0)</f>
        <v>0</v>
      </c>
      <c r="Q699" s="24">
        <f ca="1">IFERROR(__xludf.DUMMYFUNCTION("""COMPUTED_VALUE"""),0)</f>
        <v>0</v>
      </c>
      <c r="R699" s="20"/>
    </row>
    <row r="700" spans="1:18" ht="13.2" hidden="1" outlineLevel="1" x14ac:dyDescent="0.25">
      <c r="A700" s="1"/>
      <c r="B700" s="25" t="str">
        <f ca="1">IFERROR(__xludf.DUMMYFUNCTION("""COMPUTED_VALUE"""),"Energía eléctrica")</f>
        <v>Energía eléctrica</v>
      </c>
      <c r="C700" s="26">
        <f ca="1">IFERROR(__xludf.DUMMYFUNCTION("""COMPUTED_VALUE"""),-43.85)</f>
        <v>-43.85</v>
      </c>
      <c r="D700" s="27">
        <f ca="1">IFERROR(__xludf.DUMMYFUNCTION("""COMPUTED_VALUE"""),-44.45)</f>
        <v>-44.45</v>
      </c>
      <c r="E700" s="27">
        <f ca="1">IFERROR(__xludf.DUMMYFUNCTION("""COMPUTED_VALUE"""),-42.22)</f>
        <v>-42.22</v>
      </c>
      <c r="F700" s="27">
        <f ca="1">IFERROR(__xludf.DUMMYFUNCTION("""COMPUTED_VALUE"""),-40.07)</f>
        <v>-40.07</v>
      </c>
      <c r="G700" s="27">
        <f ca="1">IFERROR(__xludf.DUMMYFUNCTION("""COMPUTED_VALUE"""),-38.27)</f>
        <v>-38.270000000000003</v>
      </c>
      <c r="H700" s="27">
        <f ca="1">IFERROR(__xludf.DUMMYFUNCTION("""COMPUTED_VALUE"""),-48.39)</f>
        <v>-48.39</v>
      </c>
      <c r="I700" s="27">
        <f ca="1">IFERROR(__xludf.DUMMYFUNCTION("""COMPUTED_VALUE"""),-43.2866999999999)</f>
        <v>-43.286699999999897</v>
      </c>
      <c r="J700" s="27">
        <f ca="1">IFERROR(__xludf.DUMMYFUNCTION("""COMPUTED_VALUE"""),-39.53)</f>
        <v>-39.53</v>
      </c>
      <c r="K700" s="27">
        <f ca="1">IFERROR(__xludf.DUMMYFUNCTION("""COMPUTED_VALUE"""),-33.95)</f>
        <v>-33.950000000000003</v>
      </c>
      <c r="L700" s="27">
        <f ca="1">IFERROR(__xludf.DUMMYFUNCTION("""COMPUTED_VALUE"""),-30.992399975206)</f>
        <v>-30.992399975205998</v>
      </c>
      <c r="M700" s="27">
        <f ca="1">IFERROR(__xludf.DUMMYFUNCTION("""COMPUTED_VALUE"""),-30.4055999756755)</f>
        <v>-30.4055999756755</v>
      </c>
      <c r="N700" s="27">
        <f ca="1">IFERROR(__xludf.DUMMYFUNCTION("""COMPUTED_VALUE"""),-28.0871999775302)</f>
        <v>-28.087199977530201</v>
      </c>
      <c r="O700" s="27">
        <f ca="1">IFERROR(__xludf.DUMMYFUNCTION("""COMPUTED_VALUE"""),-28.5021098275511)</f>
        <v>-28.502109827551099</v>
      </c>
      <c r="P700" s="27">
        <f ca="1">IFERROR(__xludf.DUMMYFUNCTION("""COMPUTED_VALUE"""),-30.3066750109497)</f>
        <v>-30.3066750109497</v>
      </c>
      <c r="Q700" s="28">
        <f ca="1">IFERROR(__xludf.DUMMYFUNCTION("""COMPUTED_VALUE"""),-30.6847706645357)</f>
        <v>-30.684770664535701</v>
      </c>
      <c r="R700" s="20"/>
    </row>
    <row r="701" spans="1:18" ht="13.2" hidden="1" outlineLevel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0"/>
    </row>
    <row r="702" spans="1:18" ht="13.2" collapsed="1" x14ac:dyDescent="0.25">
      <c r="A702" s="4"/>
      <c r="B702" s="5" t="str">
        <f ca="1">IFERROR(__xludf.DUMMYFUNCTION("""COMPUTED_VALUE"""),"PerDis(e,a)")</f>
        <v>PerDis(e,a)</v>
      </c>
      <c r="C702" s="6" t="str">
        <f ca="1">IFERROR(__xludf.DUMMYFUNCTION("""COMPUTED_VALUE"""),"-/")</f>
        <v>-/</v>
      </c>
      <c r="D702" s="7" t="str">
        <f ca="1">IFERROR(__xludf.DUMMYFUNCTION("""COMPUTED_VALUE"""),"Pérdidas en distribución por energético e y año a.")</f>
        <v>Pérdidas en distribución por energético e y año a.</v>
      </c>
      <c r="E702" s="6" t="str">
        <f ca="1">IFERROR(__xludf.DUMMYFUNCTION("""COMPUTED_VALUE"""),"cbne")</f>
        <v>cbne</v>
      </c>
      <c r="F702" s="6" t="str">
        <f ca="1">IFERROR(__xludf.DUMMYFUNCTION("""COMPUTED_VALUE"""),"a")</f>
        <v>a</v>
      </c>
      <c r="G702" s="8" t="str">
        <f ca="1">IFERROR(__xludf.DUMMYFUNCTION("""COMPUTED_VALUE"""),"PJ")</f>
        <v>PJ</v>
      </c>
      <c r="H702" s="9"/>
      <c r="I702" s="1"/>
      <c r="J702" s="1"/>
      <c r="K702" s="1"/>
      <c r="L702" s="1"/>
      <c r="M702" s="1"/>
      <c r="N702" s="1"/>
      <c r="O702" s="1"/>
      <c r="P702" s="1"/>
      <c r="Q702" s="1"/>
      <c r="R702" s="10"/>
    </row>
    <row r="703" spans="1:18" ht="13.2" hidden="1" outlineLevel="1" x14ac:dyDescent="0.25">
      <c r="A703" s="1"/>
      <c r="B703" s="11"/>
      <c r="C703" s="12">
        <f ca="1">IFERROR(__xludf.DUMMYFUNCTION("""COMPUTED_VALUE"""),2010)</f>
        <v>2010</v>
      </c>
      <c r="D703" s="13">
        <f ca="1">IFERROR(__xludf.DUMMYFUNCTION("""COMPUTED_VALUE"""),2011)</f>
        <v>2011</v>
      </c>
      <c r="E703" s="13">
        <f ca="1">IFERROR(__xludf.DUMMYFUNCTION("""COMPUTED_VALUE"""),2012)</f>
        <v>2012</v>
      </c>
      <c r="F703" s="13">
        <f ca="1">IFERROR(__xludf.DUMMYFUNCTION("""COMPUTED_VALUE"""),2013)</f>
        <v>2013</v>
      </c>
      <c r="G703" s="13">
        <f ca="1">IFERROR(__xludf.DUMMYFUNCTION("""COMPUTED_VALUE"""),2014)</f>
        <v>2014</v>
      </c>
      <c r="H703" s="13">
        <f ca="1">IFERROR(__xludf.DUMMYFUNCTION("""COMPUTED_VALUE"""),2015)</f>
        <v>2015</v>
      </c>
      <c r="I703" s="13">
        <f ca="1">IFERROR(__xludf.DUMMYFUNCTION("""COMPUTED_VALUE"""),2016)</f>
        <v>2016</v>
      </c>
      <c r="J703" s="13">
        <f ca="1">IFERROR(__xludf.DUMMYFUNCTION("""COMPUTED_VALUE"""),2017)</f>
        <v>2017</v>
      </c>
      <c r="K703" s="13">
        <f ca="1">IFERROR(__xludf.DUMMYFUNCTION("""COMPUTED_VALUE"""),2018)</f>
        <v>2018</v>
      </c>
      <c r="L703" s="13">
        <f ca="1">IFERROR(__xludf.DUMMYFUNCTION("""COMPUTED_VALUE"""),2019)</f>
        <v>2019</v>
      </c>
      <c r="M703" s="13">
        <f ca="1">IFERROR(__xludf.DUMMYFUNCTION("""COMPUTED_VALUE"""),2020)</f>
        <v>2020</v>
      </c>
      <c r="N703" s="13">
        <f ca="1">IFERROR(__xludf.DUMMYFUNCTION("""COMPUTED_VALUE"""),2021)</f>
        <v>2021</v>
      </c>
      <c r="O703" s="13">
        <f ca="1">IFERROR(__xludf.DUMMYFUNCTION("""COMPUTED_VALUE"""),2022)</f>
        <v>2022</v>
      </c>
      <c r="P703" s="13">
        <f ca="1">IFERROR(__xludf.DUMMYFUNCTION("""COMPUTED_VALUE"""),2023)</f>
        <v>2023</v>
      </c>
      <c r="Q703" s="14">
        <f ca="1">IFERROR(__xludf.DUMMYFUNCTION("""COMPUTED_VALUE"""),2024)</f>
        <v>2024</v>
      </c>
      <c r="R703" s="15"/>
    </row>
    <row r="704" spans="1:18" ht="13.2" hidden="1" outlineLevel="1" x14ac:dyDescent="0.25">
      <c r="A704" s="1"/>
      <c r="B704" s="16" t="str">
        <f ca="1">IFERROR(__xludf.DUMMYFUNCTION("""COMPUTED_VALUE"""),"Carbón mineral")</f>
        <v>Carbón mineral</v>
      </c>
      <c r="C704" s="17">
        <f ca="1">IFERROR(__xludf.DUMMYFUNCTION("""COMPUTED_VALUE"""),0)</f>
        <v>0</v>
      </c>
      <c r="D704" s="18">
        <f ca="1">IFERROR(__xludf.DUMMYFUNCTION("""COMPUTED_VALUE"""),0)</f>
        <v>0</v>
      </c>
      <c r="E704" s="18">
        <f ca="1">IFERROR(__xludf.DUMMYFUNCTION("""COMPUTED_VALUE"""),0)</f>
        <v>0</v>
      </c>
      <c r="F704" s="18">
        <f ca="1">IFERROR(__xludf.DUMMYFUNCTION("""COMPUTED_VALUE"""),0)</f>
        <v>0</v>
      </c>
      <c r="G704" s="18">
        <f ca="1">IFERROR(__xludf.DUMMYFUNCTION("""COMPUTED_VALUE"""),0)</f>
        <v>0</v>
      </c>
      <c r="H704" s="18">
        <f ca="1">IFERROR(__xludf.DUMMYFUNCTION("""COMPUTED_VALUE"""),0)</f>
        <v>0</v>
      </c>
      <c r="I704" s="18">
        <f ca="1">IFERROR(__xludf.DUMMYFUNCTION("""COMPUTED_VALUE"""),0)</f>
        <v>0</v>
      </c>
      <c r="J704" s="18">
        <f ca="1">IFERROR(__xludf.DUMMYFUNCTION("""COMPUTED_VALUE"""),0)</f>
        <v>0</v>
      </c>
      <c r="K704" s="18">
        <f ca="1">IFERROR(__xludf.DUMMYFUNCTION("""COMPUTED_VALUE"""),0)</f>
        <v>0</v>
      </c>
      <c r="L704" s="18">
        <f ca="1">IFERROR(__xludf.DUMMYFUNCTION("""COMPUTED_VALUE"""),0)</f>
        <v>0</v>
      </c>
      <c r="M704" s="18">
        <f ca="1">IFERROR(__xludf.DUMMYFUNCTION("""COMPUTED_VALUE"""),0)</f>
        <v>0</v>
      </c>
      <c r="N704" s="18">
        <f ca="1">IFERROR(__xludf.DUMMYFUNCTION("""COMPUTED_VALUE"""),0)</f>
        <v>0</v>
      </c>
      <c r="O704" s="18">
        <f ca="1">IFERROR(__xludf.DUMMYFUNCTION("""COMPUTED_VALUE"""),0)</f>
        <v>0</v>
      </c>
      <c r="P704" s="18">
        <f ca="1">IFERROR(__xludf.DUMMYFUNCTION("""COMPUTED_VALUE"""),0)</f>
        <v>0</v>
      </c>
      <c r="Q704" s="19">
        <f ca="1">IFERROR(__xludf.DUMMYFUNCTION("""COMPUTED_VALUE"""),0)</f>
        <v>0</v>
      </c>
      <c r="R704" s="20"/>
    </row>
    <row r="705" spans="1:18" ht="13.2" hidden="1" outlineLevel="1" x14ac:dyDescent="0.25">
      <c r="A705" s="1"/>
      <c r="B705" s="21" t="str">
        <f ca="1">IFERROR(__xludf.DUMMYFUNCTION("""COMPUTED_VALUE"""),"Petróleo crudo")</f>
        <v>Petróleo crudo</v>
      </c>
      <c r="C705" s="22">
        <f ca="1">IFERROR(__xludf.DUMMYFUNCTION("""COMPUTED_VALUE"""),0)</f>
        <v>0</v>
      </c>
      <c r="D705" s="23">
        <f ca="1">IFERROR(__xludf.DUMMYFUNCTION("""COMPUTED_VALUE"""),0)</f>
        <v>0</v>
      </c>
      <c r="E705" s="23">
        <f ca="1">IFERROR(__xludf.DUMMYFUNCTION("""COMPUTED_VALUE"""),0)</f>
        <v>0</v>
      </c>
      <c r="F705" s="23">
        <f ca="1">IFERROR(__xludf.DUMMYFUNCTION("""COMPUTED_VALUE"""),0)</f>
        <v>0</v>
      </c>
      <c r="G705" s="23">
        <f ca="1">IFERROR(__xludf.DUMMYFUNCTION("""COMPUTED_VALUE"""),0)</f>
        <v>0</v>
      </c>
      <c r="H705" s="23">
        <f ca="1">IFERROR(__xludf.DUMMYFUNCTION("""COMPUTED_VALUE"""),0)</f>
        <v>0</v>
      </c>
      <c r="I705" s="23">
        <f ca="1">IFERROR(__xludf.DUMMYFUNCTION("""COMPUTED_VALUE"""),0)</f>
        <v>0</v>
      </c>
      <c r="J705" s="23">
        <f ca="1">IFERROR(__xludf.DUMMYFUNCTION("""COMPUTED_VALUE"""),0)</f>
        <v>0</v>
      </c>
      <c r="K705" s="23">
        <f ca="1">IFERROR(__xludf.DUMMYFUNCTION("""COMPUTED_VALUE"""),0)</f>
        <v>0</v>
      </c>
      <c r="L705" s="23">
        <f ca="1">IFERROR(__xludf.DUMMYFUNCTION("""COMPUTED_VALUE"""),0)</f>
        <v>0</v>
      </c>
      <c r="M705" s="23">
        <f ca="1">IFERROR(__xludf.DUMMYFUNCTION("""COMPUTED_VALUE"""),0)</f>
        <v>0</v>
      </c>
      <c r="N705" s="23">
        <f ca="1">IFERROR(__xludf.DUMMYFUNCTION("""COMPUTED_VALUE"""),0)</f>
        <v>0</v>
      </c>
      <c r="O705" s="23">
        <f ca="1">IFERROR(__xludf.DUMMYFUNCTION("""COMPUTED_VALUE"""),0)</f>
        <v>0</v>
      </c>
      <c r="P705" s="23">
        <f ca="1">IFERROR(__xludf.DUMMYFUNCTION("""COMPUTED_VALUE"""),0)</f>
        <v>0</v>
      </c>
      <c r="Q705" s="24">
        <f ca="1">IFERROR(__xludf.DUMMYFUNCTION("""COMPUTED_VALUE"""),0)</f>
        <v>0</v>
      </c>
      <c r="R705" s="20"/>
    </row>
    <row r="706" spans="1:18" ht="13.2" hidden="1" outlineLevel="1" x14ac:dyDescent="0.25">
      <c r="A706" s="1"/>
      <c r="B706" s="21" t="str">
        <f ca="1">IFERROR(__xludf.DUMMYFUNCTION("""COMPUTED_VALUE"""),"Condensados")</f>
        <v>Condensados</v>
      </c>
      <c r="C706" s="22">
        <f ca="1">IFERROR(__xludf.DUMMYFUNCTION("""COMPUTED_VALUE"""),0)</f>
        <v>0</v>
      </c>
      <c r="D706" s="23">
        <f ca="1">IFERROR(__xludf.DUMMYFUNCTION("""COMPUTED_VALUE"""),0)</f>
        <v>0</v>
      </c>
      <c r="E706" s="23">
        <f ca="1">IFERROR(__xludf.DUMMYFUNCTION("""COMPUTED_VALUE"""),0)</f>
        <v>0</v>
      </c>
      <c r="F706" s="23">
        <f ca="1">IFERROR(__xludf.DUMMYFUNCTION("""COMPUTED_VALUE"""),0)</f>
        <v>0</v>
      </c>
      <c r="G706" s="23">
        <f ca="1">IFERROR(__xludf.DUMMYFUNCTION("""COMPUTED_VALUE"""),0)</f>
        <v>0</v>
      </c>
      <c r="H706" s="23">
        <f ca="1">IFERROR(__xludf.DUMMYFUNCTION("""COMPUTED_VALUE"""),0)</f>
        <v>0</v>
      </c>
      <c r="I706" s="23">
        <f ca="1">IFERROR(__xludf.DUMMYFUNCTION("""COMPUTED_VALUE"""),0)</f>
        <v>0</v>
      </c>
      <c r="J706" s="23">
        <f ca="1">IFERROR(__xludf.DUMMYFUNCTION("""COMPUTED_VALUE"""),0)</f>
        <v>0</v>
      </c>
      <c r="K706" s="23">
        <f ca="1">IFERROR(__xludf.DUMMYFUNCTION("""COMPUTED_VALUE"""),0)</f>
        <v>0</v>
      </c>
      <c r="L706" s="23">
        <f ca="1">IFERROR(__xludf.DUMMYFUNCTION("""COMPUTED_VALUE"""),0)</f>
        <v>0</v>
      </c>
      <c r="M706" s="23">
        <f ca="1">IFERROR(__xludf.DUMMYFUNCTION("""COMPUTED_VALUE"""),0)</f>
        <v>0</v>
      </c>
      <c r="N706" s="23">
        <f ca="1">IFERROR(__xludf.DUMMYFUNCTION("""COMPUTED_VALUE"""),0)</f>
        <v>0</v>
      </c>
      <c r="O706" s="23">
        <f ca="1">IFERROR(__xludf.DUMMYFUNCTION("""COMPUTED_VALUE"""),0)</f>
        <v>0</v>
      </c>
      <c r="P706" s="23">
        <f ca="1">IFERROR(__xludf.DUMMYFUNCTION("""COMPUTED_VALUE"""),0)</f>
        <v>0</v>
      </c>
      <c r="Q706" s="24">
        <f ca="1">IFERROR(__xludf.DUMMYFUNCTION("""COMPUTED_VALUE"""),0)</f>
        <v>0</v>
      </c>
      <c r="R706" s="20"/>
    </row>
    <row r="707" spans="1:18" ht="13.2" hidden="1" outlineLevel="1" x14ac:dyDescent="0.25">
      <c r="A707" s="1"/>
      <c r="B707" s="21" t="str">
        <f ca="1">IFERROR(__xludf.DUMMYFUNCTION("""COMPUTED_VALUE"""),"Gas natural")</f>
        <v>Gas natural</v>
      </c>
      <c r="C707" s="22">
        <f ca="1">IFERROR(__xludf.DUMMYFUNCTION("""COMPUTED_VALUE"""),0)</f>
        <v>0</v>
      </c>
      <c r="D707" s="23">
        <f ca="1">IFERROR(__xludf.DUMMYFUNCTION("""COMPUTED_VALUE"""),0)</f>
        <v>0</v>
      </c>
      <c r="E707" s="23">
        <f ca="1">IFERROR(__xludf.DUMMYFUNCTION("""COMPUTED_VALUE"""),0)</f>
        <v>0</v>
      </c>
      <c r="F707" s="23">
        <f ca="1">IFERROR(__xludf.DUMMYFUNCTION("""COMPUTED_VALUE"""),0)</f>
        <v>0</v>
      </c>
      <c r="G707" s="23">
        <f ca="1">IFERROR(__xludf.DUMMYFUNCTION("""COMPUTED_VALUE"""),0)</f>
        <v>0</v>
      </c>
      <c r="H707" s="23">
        <f ca="1">IFERROR(__xludf.DUMMYFUNCTION("""COMPUTED_VALUE"""),0)</f>
        <v>0</v>
      </c>
      <c r="I707" s="23">
        <f ca="1">IFERROR(__xludf.DUMMYFUNCTION("""COMPUTED_VALUE"""),0)</f>
        <v>0</v>
      </c>
      <c r="J707" s="23">
        <f ca="1">IFERROR(__xludf.DUMMYFUNCTION("""COMPUTED_VALUE"""),0)</f>
        <v>0</v>
      </c>
      <c r="K707" s="23">
        <f ca="1">IFERROR(__xludf.DUMMYFUNCTION("""COMPUTED_VALUE"""),0)</f>
        <v>0</v>
      </c>
      <c r="L707" s="23">
        <f ca="1">IFERROR(__xludf.DUMMYFUNCTION("""COMPUTED_VALUE"""),0)</f>
        <v>0</v>
      </c>
      <c r="M707" s="23">
        <f ca="1">IFERROR(__xludf.DUMMYFUNCTION("""COMPUTED_VALUE"""),0)</f>
        <v>0</v>
      </c>
      <c r="N707" s="23">
        <f ca="1">IFERROR(__xludf.DUMMYFUNCTION("""COMPUTED_VALUE"""),0)</f>
        <v>0</v>
      </c>
      <c r="O707" s="23">
        <f ca="1">IFERROR(__xludf.DUMMYFUNCTION("""COMPUTED_VALUE"""),0)</f>
        <v>0</v>
      </c>
      <c r="P707" s="23">
        <f ca="1">IFERROR(__xludf.DUMMYFUNCTION("""COMPUTED_VALUE"""),0)</f>
        <v>0</v>
      </c>
      <c r="Q707" s="24">
        <f ca="1">IFERROR(__xludf.DUMMYFUNCTION("""COMPUTED_VALUE"""),0)</f>
        <v>0</v>
      </c>
      <c r="R707" s="20"/>
    </row>
    <row r="708" spans="1:18" ht="13.2" hidden="1" outlineLevel="1" x14ac:dyDescent="0.25">
      <c r="A708" s="1"/>
      <c r="B708" s="21" t="str">
        <f ca="1">IFERROR(__xludf.DUMMYFUNCTION("""COMPUTED_VALUE"""),"Energía Nuclear")</f>
        <v>Energía Nuclear</v>
      </c>
      <c r="C708" s="22">
        <f ca="1">IFERROR(__xludf.DUMMYFUNCTION("""COMPUTED_VALUE"""),0)</f>
        <v>0</v>
      </c>
      <c r="D708" s="23">
        <f ca="1">IFERROR(__xludf.DUMMYFUNCTION("""COMPUTED_VALUE"""),0)</f>
        <v>0</v>
      </c>
      <c r="E708" s="23">
        <f ca="1">IFERROR(__xludf.DUMMYFUNCTION("""COMPUTED_VALUE"""),0)</f>
        <v>0</v>
      </c>
      <c r="F708" s="23">
        <f ca="1">IFERROR(__xludf.DUMMYFUNCTION("""COMPUTED_VALUE"""),0)</f>
        <v>0</v>
      </c>
      <c r="G708" s="23">
        <f ca="1">IFERROR(__xludf.DUMMYFUNCTION("""COMPUTED_VALUE"""),0)</f>
        <v>0</v>
      </c>
      <c r="H708" s="23">
        <f ca="1">IFERROR(__xludf.DUMMYFUNCTION("""COMPUTED_VALUE"""),0)</f>
        <v>0</v>
      </c>
      <c r="I708" s="23">
        <f ca="1">IFERROR(__xludf.DUMMYFUNCTION("""COMPUTED_VALUE"""),0)</f>
        <v>0</v>
      </c>
      <c r="J708" s="23">
        <f ca="1">IFERROR(__xludf.DUMMYFUNCTION("""COMPUTED_VALUE"""),0)</f>
        <v>0</v>
      </c>
      <c r="K708" s="23">
        <f ca="1">IFERROR(__xludf.DUMMYFUNCTION("""COMPUTED_VALUE"""),0)</f>
        <v>0</v>
      </c>
      <c r="L708" s="23">
        <f ca="1">IFERROR(__xludf.DUMMYFUNCTION("""COMPUTED_VALUE"""),0)</f>
        <v>0</v>
      </c>
      <c r="M708" s="23">
        <f ca="1">IFERROR(__xludf.DUMMYFUNCTION("""COMPUTED_VALUE"""),0)</f>
        <v>0</v>
      </c>
      <c r="N708" s="23">
        <f ca="1">IFERROR(__xludf.DUMMYFUNCTION("""COMPUTED_VALUE"""),0)</f>
        <v>0</v>
      </c>
      <c r="O708" s="23">
        <f ca="1">IFERROR(__xludf.DUMMYFUNCTION("""COMPUTED_VALUE"""),0)</f>
        <v>0</v>
      </c>
      <c r="P708" s="23">
        <f ca="1">IFERROR(__xludf.DUMMYFUNCTION("""COMPUTED_VALUE"""),0)</f>
        <v>0</v>
      </c>
      <c r="Q708" s="24">
        <f ca="1">IFERROR(__xludf.DUMMYFUNCTION("""COMPUTED_VALUE"""),0)</f>
        <v>0</v>
      </c>
      <c r="R708" s="20"/>
    </row>
    <row r="709" spans="1:18" ht="13.2" hidden="1" outlineLevel="1" x14ac:dyDescent="0.25">
      <c r="A709" s="1"/>
      <c r="B709" s="21" t="str">
        <f ca="1">IFERROR(__xludf.DUMMYFUNCTION("""COMPUTED_VALUE"""),"Energia Hidraúlica")</f>
        <v>Energia Hidraúlica</v>
      </c>
      <c r="C709" s="22">
        <f ca="1">IFERROR(__xludf.DUMMYFUNCTION("""COMPUTED_VALUE"""),0)</f>
        <v>0</v>
      </c>
      <c r="D709" s="23">
        <f ca="1">IFERROR(__xludf.DUMMYFUNCTION("""COMPUTED_VALUE"""),0)</f>
        <v>0</v>
      </c>
      <c r="E709" s="23">
        <f ca="1">IFERROR(__xludf.DUMMYFUNCTION("""COMPUTED_VALUE"""),0)</f>
        <v>0</v>
      </c>
      <c r="F709" s="23">
        <f ca="1">IFERROR(__xludf.DUMMYFUNCTION("""COMPUTED_VALUE"""),0)</f>
        <v>0</v>
      </c>
      <c r="G709" s="23">
        <f ca="1">IFERROR(__xludf.DUMMYFUNCTION("""COMPUTED_VALUE"""),0)</f>
        <v>0</v>
      </c>
      <c r="H709" s="23">
        <f ca="1">IFERROR(__xludf.DUMMYFUNCTION("""COMPUTED_VALUE"""),0)</f>
        <v>0</v>
      </c>
      <c r="I709" s="23">
        <f ca="1">IFERROR(__xludf.DUMMYFUNCTION("""COMPUTED_VALUE"""),0)</f>
        <v>0</v>
      </c>
      <c r="J709" s="23">
        <f ca="1">IFERROR(__xludf.DUMMYFUNCTION("""COMPUTED_VALUE"""),0)</f>
        <v>0</v>
      </c>
      <c r="K709" s="23">
        <f ca="1">IFERROR(__xludf.DUMMYFUNCTION("""COMPUTED_VALUE"""),0)</f>
        <v>0</v>
      </c>
      <c r="L709" s="23">
        <f ca="1">IFERROR(__xludf.DUMMYFUNCTION("""COMPUTED_VALUE"""),0)</f>
        <v>0</v>
      </c>
      <c r="M709" s="23">
        <f ca="1">IFERROR(__xludf.DUMMYFUNCTION("""COMPUTED_VALUE"""),0)</f>
        <v>0</v>
      </c>
      <c r="N709" s="23">
        <f ca="1">IFERROR(__xludf.DUMMYFUNCTION("""COMPUTED_VALUE"""),0)</f>
        <v>0</v>
      </c>
      <c r="O709" s="23">
        <f ca="1">IFERROR(__xludf.DUMMYFUNCTION("""COMPUTED_VALUE"""),0)</f>
        <v>0</v>
      </c>
      <c r="P709" s="23">
        <f ca="1">IFERROR(__xludf.DUMMYFUNCTION("""COMPUTED_VALUE"""),0)</f>
        <v>0</v>
      </c>
      <c r="Q709" s="24">
        <f ca="1">IFERROR(__xludf.DUMMYFUNCTION("""COMPUTED_VALUE"""),0)</f>
        <v>0</v>
      </c>
      <c r="R709" s="20"/>
    </row>
    <row r="710" spans="1:18" ht="13.2" hidden="1" outlineLevel="1" x14ac:dyDescent="0.25">
      <c r="A710" s="1"/>
      <c r="B710" s="21" t="str">
        <f ca="1">IFERROR(__xludf.DUMMYFUNCTION("""COMPUTED_VALUE"""),"Geoenergía")</f>
        <v>Geoenergía</v>
      </c>
      <c r="C710" s="22">
        <f ca="1">IFERROR(__xludf.DUMMYFUNCTION("""COMPUTED_VALUE"""),0)</f>
        <v>0</v>
      </c>
      <c r="D710" s="23">
        <f ca="1">IFERROR(__xludf.DUMMYFUNCTION("""COMPUTED_VALUE"""),0)</f>
        <v>0</v>
      </c>
      <c r="E710" s="23">
        <f ca="1">IFERROR(__xludf.DUMMYFUNCTION("""COMPUTED_VALUE"""),0)</f>
        <v>0</v>
      </c>
      <c r="F710" s="23">
        <f ca="1">IFERROR(__xludf.DUMMYFUNCTION("""COMPUTED_VALUE"""),0)</f>
        <v>0</v>
      </c>
      <c r="G710" s="23">
        <f ca="1">IFERROR(__xludf.DUMMYFUNCTION("""COMPUTED_VALUE"""),0)</f>
        <v>0</v>
      </c>
      <c r="H710" s="23">
        <f ca="1">IFERROR(__xludf.DUMMYFUNCTION("""COMPUTED_VALUE"""),0)</f>
        <v>0</v>
      </c>
      <c r="I710" s="23">
        <f ca="1">IFERROR(__xludf.DUMMYFUNCTION("""COMPUTED_VALUE"""),0)</f>
        <v>0</v>
      </c>
      <c r="J710" s="23">
        <f ca="1">IFERROR(__xludf.DUMMYFUNCTION("""COMPUTED_VALUE"""),0)</f>
        <v>0</v>
      </c>
      <c r="K710" s="23">
        <f ca="1">IFERROR(__xludf.DUMMYFUNCTION("""COMPUTED_VALUE"""),0)</f>
        <v>0</v>
      </c>
      <c r="L710" s="23">
        <f ca="1">IFERROR(__xludf.DUMMYFUNCTION("""COMPUTED_VALUE"""),0)</f>
        <v>0</v>
      </c>
      <c r="M710" s="23">
        <f ca="1">IFERROR(__xludf.DUMMYFUNCTION("""COMPUTED_VALUE"""),0)</f>
        <v>0</v>
      </c>
      <c r="N710" s="23">
        <f ca="1">IFERROR(__xludf.DUMMYFUNCTION("""COMPUTED_VALUE"""),0)</f>
        <v>0</v>
      </c>
      <c r="O710" s="23">
        <f ca="1">IFERROR(__xludf.DUMMYFUNCTION("""COMPUTED_VALUE"""),0)</f>
        <v>0</v>
      </c>
      <c r="P710" s="23">
        <f ca="1">IFERROR(__xludf.DUMMYFUNCTION("""COMPUTED_VALUE"""),0)</f>
        <v>0</v>
      </c>
      <c r="Q710" s="24">
        <f ca="1">IFERROR(__xludf.DUMMYFUNCTION("""COMPUTED_VALUE"""),0)</f>
        <v>0</v>
      </c>
      <c r="R710" s="20"/>
    </row>
    <row r="711" spans="1:18" ht="13.2" hidden="1" outlineLevel="1" x14ac:dyDescent="0.25">
      <c r="A711" s="1"/>
      <c r="B711" s="21" t="str">
        <f ca="1">IFERROR(__xludf.DUMMYFUNCTION("""COMPUTED_VALUE"""),"Energía solar")</f>
        <v>Energía solar</v>
      </c>
      <c r="C711" s="22">
        <f ca="1">IFERROR(__xludf.DUMMYFUNCTION("""COMPUTED_VALUE"""),0)</f>
        <v>0</v>
      </c>
      <c r="D711" s="23">
        <f ca="1">IFERROR(__xludf.DUMMYFUNCTION("""COMPUTED_VALUE"""),0)</f>
        <v>0</v>
      </c>
      <c r="E711" s="23">
        <f ca="1">IFERROR(__xludf.DUMMYFUNCTION("""COMPUTED_VALUE"""),0)</f>
        <v>0</v>
      </c>
      <c r="F711" s="23">
        <f ca="1">IFERROR(__xludf.DUMMYFUNCTION("""COMPUTED_VALUE"""),0)</f>
        <v>0</v>
      </c>
      <c r="G711" s="23">
        <f ca="1">IFERROR(__xludf.DUMMYFUNCTION("""COMPUTED_VALUE"""),0)</f>
        <v>0</v>
      </c>
      <c r="H711" s="23">
        <f ca="1">IFERROR(__xludf.DUMMYFUNCTION("""COMPUTED_VALUE"""),0)</f>
        <v>0</v>
      </c>
      <c r="I711" s="23">
        <f ca="1">IFERROR(__xludf.DUMMYFUNCTION("""COMPUTED_VALUE"""),0)</f>
        <v>0</v>
      </c>
      <c r="J711" s="23">
        <f ca="1">IFERROR(__xludf.DUMMYFUNCTION("""COMPUTED_VALUE"""),0)</f>
        <v>0</v>
      </c>
      <c r="K711" s="23">
        <f ca="1">IFERROR(__xludf.DUMMYFUNCTION("""COMPUTED_VALUE"""),0)</f>
        <v>0</v>
      </c>
      <c r="L711" s="23">
        <f ca="1">IFERROR(__xludf.DUMMYFUNCTION("""COMPUTED_VALUE"""),0)</f>
        <v>0</v>
      </c>
      <c r="M711" s="23">
        <f ca="1">IFERROR(__xludf.DUMMYFUNCTION("""COMPUTED_VALUE"""),0)</f>
        <v>0</v>
      </c>
      <c r="N711" s="23">
        <f ca="1">IFERROR(__xludf.DUMMYFUNCTION("""COMPUTED_VALUE"""),0)</f>
        <v>0</v>
      </c>
      <c r="O711" s="23">
        <f ca="1">IFERROR(__xludf.DUMMYFUNCTION("""COMPUTED_VALUE"""),0)</f>
        <v>0</v>
      </c>
      <c r="P711" s="23">
        <f ca="1">IFERROR(__xludf.DUMMYFUNCTION("""COMPUTED_VALUE"""),0)</f>
        <v>0</v>
      </c>
      <c r="Q711" s="24">
        <f ca="1">IFERROR(__xludf.DUMMYFUNCTION("""COMPUTED_VALUE"""),0)</f>
        <v>0</v>
      </c>
      <c r="R711" s="20"/>
    </row>
    <row r="712" spans="1:18" ht="13.2" hidden="1" outlineLevel="1" x14ac:dyDescent="0.25">
      <c r="A712" s="1"/>
      <c r="B712" s="21" t="str">
        <f ca="1">IFERROR(__xludf.DUMMYFUNCTION("""COMPUTED_VALUE"""),"Energía eólica")</f>
        <v>Energía eólica</v>
      </c>
      <c r="C712" s="22">
        <f ca="1">IFERROR(__xludf.DUMMYFUNCTION("""COMPUTED_VALUE"""),0)</f>
        <v>0</v>
      </c>
      <c r="D712" s="23">
        <f ca="1">IFERROR(__xludf.DUMMYFUNCTION("""COMPUTED_VALUE"""),0)</f>
        <v>0</v>
      </c>
      <c r="E712" s="23">
        <f ca="1">IFERROR(__xludf.DUMMYFUNCTION("""COMPUTED_VALUE"""),0)</f>
        <v>0</v>
      </c>
      <c r="F712" s="23">
        <f ca="1">IFERROR(__xludf.DUMMYFUNCTION("""COMPUTED_VALUE"""),0)</f>
        <v>0</v>
      </c>
      <c r="G712" s="23">
        <f ca="1">IFERROR(__xludf.DUMMYFUNCTION("""COMPUTED_VALUE"""),0)</f>
        <v>0</v>
      </c>
      <c r="H712" s="23">
        <f ca="1">IFERROR(__xludf.DUMMYFUNCTION("""COMPUTED_VALUE"""),0)</f>
        <v>0</v>
      </c>
      <c r="I712" s="23">
        <f ca="1">IFERROR(__xludf.DUMMYFUNCTION("""COMPUTED_VALUE"""),0)</f>
        <v>0</v>
      </c>
      <c r="J712" s="23">
        <f ca="1">IFERROR(__xludf.DUMMYFUNCTION("""COMPUTED_VALUE"""),0)</f>
        <v>0</v>
      </c>
      <c r="K712" s="23">
        <f ca="1">IFERROR(__xludf.DUMMYFUNCTION("""COMPUTED_VALUE"""),0)</f>
        <v>0</v>
      </c>
      <c r="L712" s="23">
        <f ca="1">IFERROR(__xludf.DUMMYFUNCTION("""COMPUTED_VALUE"""),0)</f>
        <v>0</v>
      </c>
      <c r="M712" s="23">
        <f ca="1">IFERROR(__xludf.DUMMYFUNCTION("""COMPUTED_VALUE"""),0)</f>
        <v>0</v>
      </c>
      <c r="N712" s="23">
        <f ca="1">IFERROR(__xludf.DUMMYFUNCTION("""COMPUTED_VALUE"""),0)</f>
        <v>0</v>
      </c>
      <c r="O712" s="23">
        <f ca="1">IFERROR(__xludf.DUMMYFUNCTION("""COMPUTED_VALUE"""),0)</f>
        <v>0</v>
      </c>
      <c r="P712" s="23">
        <f ca="1">IFERROR(__xludf.DUMMYFUNCTION("""COMPUTED_VALUE"""),0)</f>
        <v>0</v>
      </c>
      <c r="Q712" s="24">
        <f ca="1">IFERROR(__xludf.DUMMYFUNCTION("""COMPUTED_VALUE"""),0)</f>
        <v>0</v>
      </c>
      <c r="R712" s="20"/>
    </row>
    <row r="713" spans="1:18" ht="13.2" hidden="1" outlineLevel="1" x14ac:dyDescent="0.25">
      <c r="A713" s="1"/>
      <c r="B713" s="21" t="str">
        <f ca="1">IFERROR(__xludf.DUMMYFUNCTION("""COMPUTED_VALUE"""),"Bagazo de caña")</f>
        <v>Bagazo de caña</v>
      </c>
      <c r="C713" s="22">
        <f ca="1">IFERROR(__xludf.DUMMYFUNCTION("""COMPUTED_VALUE"""),0)</f>
        <v>0</v>
      </c>
      <c r="D713" s="23">
        <f ca="1">IFERROR(__xludf.DUMMYFUNCTION("""COMPUTED_VALUE"""),0)</f>
        <v>0</v>
      </c>
      <c r="E713" s="23">
        <f ca="1">IFERROR(__xludf.DUMMYFUNCTION("""COMPUTED_VALUE"""),0)</f>
        <v>0</v>
      </c>
      <c r="F713" s="23">
        <f ca="1">IFERROR(__xludf.DUMMYFUNCTION("""COMPUTED_VALUE"""),0)</f>
        <v>0</v>
      </c>
      <c r="G713" s="23">
        <f ca="1">IFERROR(__xludf.DUMMYFUNCTION("""COMPUTED_VALUE"""),0)</f>
        <v>0</v>
      </c>
      <c r="H713" s="23">
        <f ca="1">IFERROR(__xludf.DUMMYFUNCTION("""COMPUTED_VALUE"""),0)</f>
        <v>0</v>
      </c>
      <c r="I713" s="23">
        <f ca="1">IFERROR(__xludf.DUMMYFUNCTION("""COMPUTED_VALUE"""),0)</f>
        <v>0</v>
      </c>
      <c r="J713" s="23">
        <f ca="1">IFERROR(__xludf.DUMMYFUNCTION("""COMPUTED_VALUE"""),0)</f>
        <v>0</v>
      </c>
      <c r="K713" s="23">
        <f ca="1">IFERROR(__xludf.DUMMYFUNCTION("""COMPUTED_VALUE"""),0)</f>
        <v>0</v>
      </c>
      <c r="L713" s="23">
        <f ca="1">IFERROR(__xludf.DUMMYFUNCTION("""COMPUTED_VALUE"""),0)</f>
        <v>0</v>
      </c>
      <c r="M713" s="23">
        <f ca="1">IFERROR(__xludf.DUMMYFUNCTION("""COMPUTED_VALUE"""),0)</f>
        <v>0</v>
      </c>
      <c r="N713" s="23">
        <f ca="1">IFERROR(__xludf.DUMMYFUNCTION("""COMPUTED_VALUE"""),0)</f>
        <v>0</v>
      </c>
      <c r="O713" s="23">
        <f ca="1">IFERROR(__xludf.DUMMYFUNCTION("""COMPUTED_VALUE"""),0)</f>
        <v>0</v>
      </c>
      <c r="P713" s="23">
        <f ca="1">IFERROR(__xludf.DUMMYFUNCTION("""COMPUTED_VALUE"""),0)</f>
        <v>0</v>
      </c>
      <c r="Q713" s="24">
        <f ca="1">IFERROR(__xludf.DUMMYFUNCTION("""COMPUTED_VALUE"""),0)</f>
        <v>0</v>
      </c>
      <c r="R713" s="20"/>
    </row>
    <row r="714" spans="1:18" ht="13.2" hidden="1" outlineLevel="1" x14ac:dyDescent="0.25">
      <c r="A714" s="1"/>
      <c r="B714" s="21" t="str">
        <f ca="1">IFERROR(__xludf.DUMMYFUNCTION("""COMPUTED_VALUE"""),"Leña")</f>
        <v>Leña</v>
      </c>
      <c r="C714" s="22">
        <f ca="1">IFERROR(__xludf.DUMMYFUNCTION("""COMPUTED_VALUE"""),0)</f>
        <v>0</v>
      </c>
      <c r="D714" s="23">
        <f ca="1">IFERROR(__xludf.DUMMYFUNCTION("""COMPUTED_VALUE"""),0)</f>
        <v>0</v>
      </c>
      <c r="E714" s="23">
        <f ca="1">IFERROR(__xludf.DUMMYFUNCTION("""COMPUTED_VALUE"""),0)</f>
        <v>0</v>
      </c>
      <c r="F714" s="23">
        <f ca="1">IFERROR(__xludf.DUMMYFUNCTION("""COMPUTED_VALUE"""),0)</f>
        <v>0</v>
      </c>
      <c r="G714" s="23">
        <f ca="1">IFERROR(__xludf.DUMMYFUNCTION("""COMPUTED_VALUE"""),0)</f>
        <v>0</v>
      </c>
      <c r="H714" s="23">
        <f ca="1">IFERROR(__xludf.DUMMYFUNCTION("""COMPUTED_VALUE"""),0)</f>
        <v>0</v>
      </c>
      <c r="I714" s="23">
        <f ca="1">IFERROR(__xludf.DUMMYFUNCTION("""COMPUTED_VALUE"""),0)</f>
        <v>0</v>
      </c>
      <c r="J714" s="23">
        <f ca="1">IFERROR(__xludf.DUMMYFUNCTION("""COMPUTED_VALUE"""),0)</f>
        <v>0</v>
      </c>
      <c r="K714" s="23">
        <f ca="1">IFERROR(__xludf.DUMMYFUNCTION("""COMPUTED_VALUE"""),0)</f>
        <v>0</v>
      </c>
      <c r="L714" s="23">
        <f ca="1">IFERROR(__xludf.DUMMYFUNCTION("""COMPUTED_VALUE"""),0)</f>
        <v>0</v>
      </c>
      <c r="M714" s="23">
        <f ca="1">IFERROR(__xludf.DUMMYFUNCTION("""COMPUTED_VALUE"""),0)</f>
        <v>0</v>
      </c>
      <c r="N714" s="23">
        <f ca="1">IFERROR(__xludf.DUMMYFUNCTION("""COMPUTED_VALUE"""),0)</f>
        <v>0</v>
      </c>
      <c r="O714" s="23">
        <f ca="1">IFERROR(__xludf.DUMMYFUNCTION("""COMPUTED_VALUE"""),0)</f>
        <v>0</v>
      </c>
      <c r="P714" s="23">
        <f ca="1">IFERROR(__xludf.DUMMYFUNCTION("""COMPUTED_VALUE"""),0)</f>
        <v>0</v>
      </c>
      <c r="Q714" s="24">
        <f ca="1">IFERROR(__xludf.DUMMYFUNCTION("""COMPUTED_VALUE"""),0)</f>
        <v>0</v>
      </c>
      <c r="R714" s="20"/>
    </row>
    <row r="715" spans="1:18" ht="13.2" hidden="1" outlineLevel="1" x14ac:dyDescent="0.25">
      <c r="A715" s="1"/>
      <c r="B715" s="21" t="str">
        <f ca="1">IFERROR(__xludf.DUMMYFUNCTION("""COMPUTED_VALUE"""),"Biogás")</f>
        <v>Biogás</v>
      </c>
      <c r="C715" s="22">
        <f ca="1">IFERROR(__xludf.DUMMYFUNCTION("""COMPUTED_VALUE"""),0)</f>
        <v>0</v>
      </c>
      <c r="D715" s="23">
        <f ca="1">IFERROR(__xludf.DUMMYFUNCTION("""COMPUTED_VALUE"""),0)</f>
        <v>0</v>
      </c>
      <c r="E715" s="23">
        <f ca="1">IFERROR(__xludf.DUMMYFUNCTION("""COMPUTED_VALUE"""),0)</f>
        <v>0</v>
      </c>
      <c r="F715" s="23">
        <f ca="1">IFERROR(__xludf.DUMMYFUNCTION("""COMPUTED_VALUE"""),0)</f>
        <v>0</v>
      </c>
      <c r="G715" s="23">
        <f ca="1">IFERROR(__xludf.DUMMYFUNCTION("""COMPUTED_VALUE"""),0)</f>
        <v>0</v>
      </c>
      <c r="H715" s="23">
        <f ca="1">IFERROR(__xludf.DUMMYFUNCTION("""COMPUTED_VALUE"""),0)</f>
        <v>0</v>
      </c>
      <c r="I715" s="23">
        <f ca="1">IFERROR(__xludf.DUMMYFUNCTION("""COMPUTED_VALUE"""),0)</f>
        <v>0</v>
      </c>
      <c r="J715" s="23">
        <f ca="1">IFERROR(__xludf.DUMMYFUNCTION("""COMPUTED_VALUE"""),0)</f>
        <v>0</v>
      </c>
      <c r="K715" s="23">
        <f ca="1">IFERROR(__xludf.DUMMYFUNCTION("""COMPUTED_VALUE"""),0)</f>
        <v>0</v>
      </c>
      <c r="L715" s="23">
        <f ca="1">IFERROR(__xludf.DUMMYFUNCTION("""COMPUTED_VALUE"""),0)</f>
        <v>0</v>
      </c>
      <c r="M715" s="23">
        <f ca="1">IFERROR(__xludf.DUMMYFUNCTION("""COMPUTED_VALUE"""),0)</f>
        <v>0</v>
      </c>
      <c r="N715" s="23">
        <f ca="1">IFERROR(__xludf.DUMMYFUNCTION("""COMPUTED_VALUE"""),0)</f>
        <v>0</v>
      </c>
      <c r="O715" s="23">
        <f ca="1">IFERROR(__xludf.DUMMYFUNCTION("""COMPUTED_VALUE"""),0)</f>
        <v>0</v>
      </c>
      <c r="P715" s="23">
        <f ca="1">IFERROR(__xludf.DUMMYFUNCTION("""COMPUTED_VALUE"""),0)</f>
        <v>0</v>
      </c>
      <c r="Q715" s="24">
        <f ca="1">IFERROR(__xludf.DUMMYFUNCTION("""COMPUTED_VALUE"""),0)</f>
        <v>0</v>
      </c>
      <c r="R715" s="20"/>
    </row>
    <row r="716" spans="1:18" ht="13.2" hidden="1" outlineLevel="1" x14ac:dyDescent="0.25">
      <c r="A716" s="1"/>
      <c r="B716" s="21" t="str">
        <f ca="1">IFERROR(__xludf.DUMMYFUNCTION("""COMPUTED_VALUE"""),"Coque de carbón")</f>
        <v>Coque de carbón</v>
      </c>
      <c r="C716" s="22">
        <f ca="1">IFERROR(__xludf.DUMMYFUNCTION("""COMPUTED_VALUE"""),0)</f>
        <v>0</v>
      </c>
      <c r="D716" s="23">
        <f ca="1">IFERROR(__xludf.DUMMYFUNCTION("""COMPUTED_VALUE"""),0)</f>
        <v>0</v>
      </c>
      <c r="E716" s="23">
        <f ca="1">IFERROR(__xludf.DUMMYFUNCTION("""COMPUTED_VALUE"""),0)</f>
        <v>0</v>
      </c>
      <c r="F716" s="23">
        <f ca="1">IFERROR(__xludf.DUMMYFUNCTION("""COMPUTED_VALUE"""),0)</f>
        <v>0</v>
      </c>
      <c r="G716" s="23">
        <f ca="1">IFERROR(__xludf.DUMMYFUNCTION("""COMPUTED_VALUE"""),0)</f>
        <v>0</v>
      </c>
      <c r="H716" s="23">
        <f ca="1">IFERROR(__xludf.DUMMYFUNCTION("""COMPUTED_VALUE"""),0)</f>
        <v>0</v>
      </c>
      <c r="I716" s="23">
        <f ca="1">IFERROR(__xludf.DUMMYFUNCTION("""COMPUTED_VALUE"""),0)</f>
        <v>0</v>
      </c>
      <c r="J716" s="23">
        <f ca="1">IFERROR(__xludf.DUMMYFUNCTION("""COMPUTED_VALUE"""),0)</f>
        <v>0</v>
      </c>
      <c r="K716" s="23">
        <f ca="1">IFERROR(__xludf.DUMMYFUNCTION("""COMPUTED_VALUE"""),0)</f>
        <v>0</v>
      </c>
      <c r="L716" s="23">
        <f ca="1">IFERROR(__xludf.DUMMYFUNCTION("""COMPUTED_VALUE"""),0)</f>
        <v>0</v>
      </c>
      <c r="M716" s="23">
        <f ca="1">IFERROR(__xludf.DUMMYFUNCTION("""COMPUTED_VALUE"""),0)</f>
        <v>0</v>
      </c>
      <c r="N716" s="23">
        <f ca="1">IFERROR(__xludf.DUMMYFUNCTION("""COMPUTED_VALUE"""),0)</f>
        <v>0</v>
      </c>
      <c r="O716" s="23">
        <f ca="1">IFERROR(__xludf.DUMMYFUNCTION("""COMPUTED_VALUE"""),0)</f>
        <v>0</v>
      </c>
      <c r="P716" s="23">
        <f ca="1">IFERROR(__xludf.DUMMYFUNCTION("""COMPUTED_VALUE"""),0)</f>
        <v>0</v>
      </c>
      <c r="Q716" s="24">
        <f ca="1">IFERROR(__xludf.DUMMYFUNCTION("""COMPUTED_VALUE"""),0)</f>
        <v>0</v>
      </c>
      <c r="R716" s="20"/>
    </row>
    <row r="717" spans="1:18" ht="13.2" hidden="1" outlineLevel="1" x14ac:dyDescent="0.25">
      <c r="A717" s="1"/>
      <c r="B717" s="21" t="str">
        <f ca="1">IFERROR(__xludf.DUMMYFUNCTION("""COMPUTED_VALUE"""),"Coque de petróleo")</f>
        <v>Coque de petróleo</v>
      </c>
      <c r="C717" s="22">
        <f ca="1">IFERROR(__xludf.DUMMYFUNCTION("""COMPUTED_VALUE"""),0)</f>
        <v>0</v>
      </c>
      <c r="D717" s="23">
        <f ca="1">IFERROR(__xludf.DUMMYFUNCTION("""COMPUTED_VALUE"""),0)</f>
        <v>0</v>
      </c>
      <c r="E717" s="23">
        <f ca="1">IFERROR(__xludf.DUMMYFUNCTION("""COMPUTED_VALUE"""),0)</f>
        <v>0</v>
      </c>
      <c r="F717" s="23">
        <f ca="1">IFERROR(__xludf.DUMMYFUNCTION("""COMPUTED_VALUE"""),0)</f>
        <v>0</v>
      </c>
      <c r="G717" s="23">
        <f ca="1">IFERROR(__xludf.DUMMYFUNCTION("""COMPUTED_VALUE"""),0)</f>
        <v>0</v>
      </c>
      <c r="H717" s="23">
        <f ca="1">IFERROR(__xludf.DUMMYFUNCTION("""COMPUTED_VALUE"""),0)</f>
        <v>0</v>
      </c>
      <c r="I717" s="23">
        <f ca="1">IFERROR(__xludf.DUMMYFUNCTION("""COMPUTED_VALUE"""),0)</f>
        <v>0</v>
      </c>
      <c r="J717" s="23">
        <f ca="1">IFERROR(__xludf.DUMMYFUNCTION("""COMPUTED_VALUE"""),0)</f>
        <v>0</v>
      </c>
      <c r="K717" s="23">
        <f ca="1">IFERROR(__xludf.DUMMYFUNCTION("""COMPUTED_VALUE"""),0)</f>
        <v>0</v>
      </c>
      <c r="L717" s="23">
        <f ca="1">IFERROR(__xludf.DUMMYFUNCTION("""COMPUTED_VALUE"""),0)</f>
        <v>0</v>
      </c>
      <c r="M717" s="23">
        <f ca="1">IFERROR(__xludf.DUMMYFUNCTION("""COMPUTED_VALUE"""),0)</f>
        <v>0</v>
      </c>
      <c r="N717" s="23">
        <f ca="1">IFERROR(__xludf.DUMMYFUNCTION("""COMPUTED_VALUE"""),0)</f>
        <v>0</v>
      </c>
      <c r="O717" s="23">
        <f ca="1">IFERROR(__xludf.DUMMYFUNCTION("""COMPUTED_VALUE"""),0)</f>
        <v>0</v>
      </c>
      <c r="P717" s="23">
        <f ca="1">IFERROR(__xludf.DUMMYFUNCTION("""COMPUTED_VALUE"""),0)</f>
        <v>0</v>
      </c>
      <c r="Q717" s="24">
        <f ca="1">IFERROR(__xludf.DUMMYFUNCTION("""COMPUTED_VALUE"""),0)</f>
        <v>0</v>
      </c>
      <c r="R717" s="20"/>
    </row>
    <row r="718" spans="1:18" ht="13.2" hidden="1" outlineLevel="1" x14ac:dyDescent="0.25">
      <c r="A718" s="1"/>
      <c r="B718" s="21" t="str">
        <f ca="1">IFERROR(__xludf.DUMMYFUNCTION("""COMPUTED_VALUE"""),"Gas licuado de petróleo")</f>
        <v>Gas licuado de petróleo</v>
      </c>
      <c r="C718" s="22">
        <f ca="1">IFERROR(__xludf.DUMMYFUNCTION("""COMPUTED_VALUE"""),0)</f>
        <v>0</v>
      </c>
      <c r="D718" s="23">
        <f ca="1">IFERROR(__xludf.DUMMYFUNCTION("""COMPUTED_VALUE"""),0)</f>
        <v>0</v>
      </c>
      <c r="E718" s="23">
        <f ca="1">IFERROR(__xludf.DUMMYFUNCTION("""COMPUTED_VALUE"""),0)</f>
        <v>0</v>
      </c>
      <c r="F718" s="23">
        <f ca="1">IFERROR(__xludf.DUMMYFUNCTION("""COMPUTED_VALUE"""),0)</f>
        <v>0</v>
      </c>
      <c r="G718" s="23">
        <f ca="1">IFERROR(__xludf.DUMMYFUNCTION("""COMPUTED_VALUE"""),0)</f>
        <v>0</v>
      </c>
      <c r="H718" s="23">
        <f ca="1">IFERROR(__xludf.DUMMYFUNCTION("""COMPUTED_VALUE"""),0)</f>
        <v>0</v>
      </c>
      <c r="I718" s="23">
        <f ca="1">IFERROR(__xludf.DUMMYFUNCTION("""COMPUTED_VALUE"""),0)</f>
        <v>0</v>
      </c>
      <c r="J718" s="23">
        <f ca="1">IFERROR(__xludf.DUMMYFUNCTION("""COMPUTED_VALUE"""),0)</f>
        <v>0</v>
      </c>
      <c r="K718" s="23">
        <f ca="1">IFERROR(__xludf.DUMMYFUNCTION("""COMPUTED_VALUE"""),0)</f>
        <v>0</v>
      </c>
      <c r="L718" s="23">
        <f ca="1">IFERROR(__xludf.DUMMYFUNCTION("""COMPUTED_VALUE"""),0)</f>
        <v>0</v>
      </c>
      <c r="M718" s="23">
        <f ca="1">IFERROR(__xludf.DUMMYFUNCTION("""COMPUTED_VALUE"""),0)</f>
        <v>0</v>
      </c>
      <c r="N718" s="23">
        <f ca="1">IFERROR(__xludf.DUMMYFUNCTION("""COMPUTED_VALUE"""),0)</f>
        <v>0</v>
      </c>
      <c r="O718" s="23">
        <f ca="1">IFERROR(__xludf.DUMMYFUNCTION("""COMPUTED_VALUE"""),0)</f>
        <v>0</v>
      </c>
      <c r="P718" s="23">
        <f ca="1">IFERROR(__xludf.DUMMYFUNCTION("""COMPUTED_VALUE"""),0)</f>
        <v>0</v>
      </c>
      <c r="Q718" s="24">
        <f ca="1">IFERROR(__xludf.DUMMYFUNCTION("""COMPUTED_VALUE"""),0)</f>
        <v>0</v>
      </c>
      <c r="R718" s="20"/>
    </row>
    <row r="719" spans="1:18" ht="13.2" hidden="1" outlineLevel="1" x14ac:dyDescent="0.25">
      <c r="A719" s="1"/>
      <c r="B719" s="21" t="str">
        <f ca="1">IFERROR(__xludf.DUMMYFUNCTION("""COMPUTED_VALUE"""),"Gasolinas y naftas")</f>
        <v>Gasolinas y naftas</v>
      </c>
      <c r="C719" s="22">
        <f ca="1">IFERROR(__xludf.DUMMYFUNCTION("""COMPUTED_VALUE"""),0)</f>
        <v>0</v>
      </c>
      <c r="D719" s="23">
        <f ca="1">IFERROR(__xludf.DUMMYFUNCTION("""COMPUTED_VALUE"""),0)</f>
        <v>0</v>
      </c>
      <c r="E719" s="23">
        <f ca="1">IFERROR(__xludf.DUMMYFUNCTION("""COMPUTED_VALUE"""),0)</f>
        <v>0</v>
      </c>
      <c r="F719" s="23">
        <f ca="1">IFERROR(__xludf.DUMMYFUNCTION("""COMPUTED_VALUE"""),0)</f>
        <v>0</v>
      </c>
      <c r="G719" s="23">
        <f ca="1">IFERROR(__xludf.DUMMYFUNCTION("""COMPUTED_VALUE"""),0)</f>
        <v>0</v>
      </c>
      <c r="H719" s="23">
        <f ca="1">IFERROR(__xludf.DUMMYFUNCTION("""COMPUTED_VALUE"""),0)</f>
        <v>0</v>
      </c>
      <c r="I719" s="23">
        <f ca="1">IFERROR(__xludf.DUMMYFUNCTION("""COMPUTED_VALUE"""),0)</f>
        <v>0</v>
      </c>
      <c r="J719" s="23">
        <f ca="1">IFERROR(__xludf.DUMMYFUNCTION("""COMPUTED_VALUE"""),0)</f>
        <v>0</v>
      </c>
      <c r="K719" s="23">
        <f ca="1">IFERROR(__xludf.DUMMYFUNCTION("""COMPUTED_VALUE"""),0)</f>
        <v>0</v>
      </c>
      <c r="L719" s="23">
        <f ca="1">IFERROR(__xludf.DUMMYFUNCTION("""COMPUTED_VALUE"""),0)</f>
        <v>0</v>
      </c>
      <c r="M719" s="23">
        <f ca="1">IFERROR(__xludf.DUMMYFUNCTION("""COMPUTED_VALUE"""),0)</f>
        <v>0</v>
      </c>
      <c r="N719" s="23">
        <f ca="1">IFERROR(__xludf.DUMMYFUNCTION("""COMPUTED_VALUE"""),0)</f>
        <v>0</v>
      </c>
      <c r="O719" s="23">
        <f ca="1">IFERROR(__xludf.DUMMYFUNCTION("""COMPUTED_VALUE"""),0)</f>
        <v>0</v>
      </c>
      <c r="P719" s="23">
        <f ca="1">IFERROR(__xludf.DUMMYFUNCTION("""COMPUTED_VALUE"""),0)</f>
        <v>0</v>
      </c>
      <c r="Q719" s="24">
        <f ca="1">IFERROR(__xludf.DUMMYFUNCTION("""COMPUTED_VALUE"""),0)</f>
        <v>0</v>
      </c>
      <c r="R719" s="20"/>
    </row>
    <row r="720" spans="1:18" ht="13.2" hidden="1" outlineLevel="1" x14ac:dyDescent="0.25">
      <c r="A720" s="1"/>
      <c r="B720" s="21" t="str">
        <f ca="1">IFERROR(__xludf.DUMMYFUNCTION("""COMPUTED_VALUE"""),"Querosenos")</f>
        <v>Querosenos</v>
      </c>
      <c r="C720" s="22">
        <f ca="1">IFERROR(__xludf.DUMMYFUNCTION("""COMPUTED_VALUE"""),0)</f>
        <v>0</v>
      </c>
      <c r="D720" s="23">
        <f ca="1">IFERROR(__xludf.DUMMYFUNCTION("""COMPUTED_VALUE"""),0)</f>
        <v>0</v>
      </c>
      <c r="E720" s="23">
        <f ca="1">IFERROR(__xludf.DUMMYFUNCTION("""COMPUTED_VALUE"""),0)</f>
        <v>0</v>
      </c>
      <c r="F720" s="23">
        <f ca="1">IFERROR(__xludf.DUMMYFUNCTION("""COMPUTED_VALUE"""),0)</f>
        <v>0</v>
      </c>
      <c r="G720" s="23">
        <f ca="1">IFERROR(__xludf.DUMMYFUNCTION("""COMPUTED_VALUE"""),0)</f>
        <v>0</v>
      </c>
      <c r="H720" s="23">
        <f ca="1">IFERROR(__xludf.DUMMYFUNCTION("""COMPUTED_VALUE"""),0)</f>
        <v>0</v>
      </c>
      <c r="I720" s="23">
        <f ca="1">IFERROR(__xludf.DUMMYFUNCTION("""COMPUTED_VALUE"""),0)</f>
        <v>0</v>
      </c>
      <c r="J720" s="23">
        <f ca="1">IFERROR(__xludf.DUMMYFUNCTION("""COMPUTED_VALUE"""),0)</f>
        <v>0</v>
      </c>
      <c r="K720" s="23">
        <f ca="1">IFERROR(__xludf.DUMMYFUNCTION("""COMPUTED_VALUE"""),0)</f>
        <v>0</v>
      </c>
      <c r="L720" s="23">
        <f ca="1">IFERROR(__xludf.DUMMYFUNCTION("""COMPUTED_VALUE"""),0)</f>
        <v>0</v>
      </c>
      <c r="M720" s="23">
        <f ca="1">IFERROR(__xludf.DUMMYFUNCTION("""COMPUTED_VALUE"""),0)</f>
        <v>0</v>
      </c>
      <c r="N720" s="23">
        <f ca="1">IFERROR(__xludf.DUMMYFUNCTION("""COMPUTED_VALUE"""),0)</f>
        <v>0</v>
      </c>
      <c r="O720" s="23">
        <f ca="1">IFERROR(__xludf.DUMMYFUNCTION("""COMPUTED_VALUE"""),0)</f>
        <v>0</v>
      </c>
      <c r="P720" s="23">
        <f ca="1">IFERROR(__xludf.DUMMYFUNCTION("""COMPUTED_VALUE"""),0)</f>
        <v>0</v>
      </c>
      <c r="Q720" s="24">
        <f ca="1">IFERROR(__xludf.DUMMYFUNCTION("""COMPUTED_VALUE"""),0)</f>
        <v>0</v>
      </c>
      <c r="R720" s="20"/>
    </row>
    <row r="721" spans="1:18" ht="13.2" hidden="1" outlineLevel="1" x14ac:dyDescent="0.25">
      <c r="A721" s="1"/>
      <c r="B721" s="21" t="str">
        <f ca="1">IFERROR(__xludf.DUMMYFUNCTION("""COMPUTED_VALUE"""),"Diesel")</f>
        <v>Diesel</v>
      </c>
      <c r="C721" s="22">
        <f ca="1">IFERROR(__xludf.DUMMYFUNCTION("""COMPUTED_VALUE"""),0)</f>
        <v>0</v>
      </c>
      <c r="D721" s="23">
        <f ca="1">IFERROR(__xludf.DUMMYFUNCTION("""COMPUTED_VALUE"""),0)</f>
        <v>0</v>
      </c>
      <c r="E721" s="23">
        <f ca="1">IFERROR(__xludf.DUMMYFUNCTION("""COMPUTED_VALUE"""),0)</f>
        <v>0</v>
      </c>
      <c r="F721" s="23">
        <f ca="1">IFERROR(__xludf.DUMMYFUNCTION("""COMPUTED_VALUE"""),0)</f>
        <v>0</v>
      </c>
      <c r="G721" s="23">
        <f ca="1">IFERROR(__xludf.DUMMYFUNCTION("""COMPUTED_VALUE"""),0)</f>
        <v>0</v>
      </c>
      <c r="H721" s="23">
        <f ca="1">IFERROR(__xludf.DUMMYFUNCTION("""COMPUTED_VALUE"""),0)</f>
        <v>0</v>
      </c>
      <c r="I721" s="23">
        <f ca="1">IFERROR(__xludf.DUMMYFUNCTION("""COMPUTED_VALUE"""),0)</f>
        <v>0</v>
      </c>
      <c r="J721" s="23">
        <f ca="1">IFERROR(__xludf.DUMMYFUNCTION("""COMPUTED_VALUE"""),0)</f>
        <v>0</v>
      </c>
      <c r="K721" s="23">
        <f ca="1">IFERROR(__xludf.DUMMYFUNCTION("""COMPUTED_VALUE"""),0)</f>
        <v>0</v>
      </c>
      <c r="L721" s="23">
        <f ca="1">IFERROR(__xludf.DUMMYFUNCTION("""COMPUTED_VALUE"""),0)</f>
        <v>0</v>
      </c>
      <c r="M721" s="23">
        <f ca="1">IFERROR(__xludf.DUMMYFUNCTION("""COMPUTED_VALUE"""),0)</f>
        <v>0</v>
      </c>
      <c r="N721" s="23">
        <f ca="1">IFERROR(__xludf.DUMMYFUNCTION("""COMPUTED_VALUE"""),0)</f>
        <v>0</v>
      </c>
      <c r="O721" s="23">
        <f ca="1">IFERROR(__xludf.DUMMYFUNCTION("""COMPUTED_VALUE"""),0)</f>
        <v>0</v>
      </c>
      <c r="P721" s="23">
        <f ca="1">IFERROR(__xludf.DUMMYFUNCTION("""COMPUTED_VALUE"""),0)</f>
        <v>0</v>
      </c>
      <c r="Q721" s="24">
        <f ca="1">IFERROR(__xludf.DUMMYFUNCTION("""COMPUTED_VALUE"""),0)</f>
        <v>0</v>
      </c>
      <c r="R721" s="20"/>
    </row>
    <row r="722" spans="1:18" ht="13.2" hidden="1" outlineLevel="1" x14ac:dyDescent="0.25">
      <c r="A722" s="1"/>
      <c r="B722" s="21" t="str">
        <f ca="1">IFERROR(__xludf.DUMMYFUNCTION("""COMPUTED_VALUE"""),"Combustóleo")</f>
        <v>Combustóleo</v>
      </c>
      <c r="C722" s="22">
        <f ca="1">IFERROR(__xludf.DUMMYFUNCTION("""COMPUTED_VALUE"""),0)</f>
        <v>0</v>
      </c>
      <c r="D722" s="23">
        <f ca="1">IFERROR(__xludf.DUMMYFUNCTION("""COMPUTED_VALUE"""),0)</f>
        <v>0</v>
      </c>
      <c r="E722" s="23">
        <f ca="1">IFERROR(__xludf.DUMMYFUNCTION("""COMPUTED_VALUE"""),0)</f>
        <v>0</v>
      </c>
      <c r="F722" s="23">
        <f ca="1">IFERROR(__xludf.DUMMYFUNCTION("""COMPUTED_VALUE"""),0)</f>
        <v>0</v>
      </c>
      <c r="G722" s="23">
        <f ca="1">IFERROR(__xludf.DUMMYFUNCTION("""COMPUTED_VALUE"""),0)</f>
        <v>0</v>
      </c>
      <c r="H722" s="23">
        <f ca="1">IFERROR(__xludf.DUMMYFUNCTION("""COMPUTED_VALUE"""),0)</f>
        <v>0</v>
      </c>
      <c r="I722" s="23">
        <f ca="1">IFERROR(__xludf.DUMMYFUNCTION("""COMPUTED_VALUE"""),0)</f>
        <v>0</v>
      </c>
      <c r="J722" s="23">
        <f ca="1">IFERROR(__xludf.DUMMYFUNCTION("""COMPUTED_VALUE"""),0)</f>
        <v>0</v>
      </c>
      <c r="K722" s="23">
        <f ca="1">IFERROR(__xludf.DUMMYFUNCTION("""COMPUTED_VALUE"""),0)</f>
        <v>0</v>
      </c>
      <c r="L722" s="23">
        <f ca="1">IFERROR(__xludf.DUMMYFUNCTION("""COMPUTED_VALUE"""),0)</f>
        <v>0</v>
      </c>
      <c r="M722" s="23">
        <f ca="1">IFERROR(__xludf.DUMMYFUNCTION("""COMPUTED_VALUE"""),0)</f>
        <v>0</v>
      </c>
      <c r="N722" s="23">
        <f ca="1">IFERROR(__xludf.DUMMYFUNCTION("""COMPUTED_VALUE"""),0)</f>
        <v>0</v>
      </c>
      <c r="O722" s="23">
        <f ca="1">IFERROR(__xludf.DUMMYFUNCTION("""COMPUTED_VALUE"""),0)</f>
        <v>0</v>
      </c>
      <c r="P722" s="23">
        <f ca="1">IFERROR(__xludf.DUMMYFUNCTION("""COMPUTED_VALUE"""),0)</f>
        <v>0</v>
      </c>
      <c r="Q722" s="24">
        <f ca="1">IFERROR(__xludf.DUMMYFUNCTION("""COMPUTED_VALUE"""),0)</f>
        <v>0</v>
      </c>
      <c r="R722" s="20"/>
    </row>
    <row r="723" spans="1:18" ht="13.2" hidden="1" outlineLevel="1" x14ac:dyDescent="0.25">
      <c r="A723" s="1"/>
      <c r="B723" s="21" t="str">
        <f ca="1">IFERROR(__xludf.DUMMYFUNCTION("""COMPUTED_VALUE"""),"Otros energéticos")</f>
        <v>Otros energéticos</v>
      </c>
      <c r="C723" s="22">
        <f ca="1">IFERROR(__xludf.DUMMYFUNCTION("""COMPUTED_VALUE"""),0)</f>
        <v>0</v>
      </c>
      <c r="D723" s="23">
        <f ca="1">IFERROR(__xludf.DUMMYFUNCTION("""COMPUTED_VALUE"""),0)</f>
        <v>0</v>
      </c>
      <c r="E723" s="23">
        <f ca="1">IFERROR(__xludf.DUMMYFUNCTION("""COMPUTED_VALUE"""),0)</f>
        <v>0</v>
      </c>
      <c r="F723" s="23">
        <f ca="1">IFERROR(__xludf.DUMMYFUNCTION("""COMPUTED_VALUE"""),0)</f>
        <v>0</v>
      </c>
      <c r="G723" s="23">
        <f ca="1">IFERROR(__xludf.DUMMYFUNCTION("""COMPUTED_VALUE"""),0)</f>
        <v>0</v>
      </c>
      <c r="H723" s="23">
        <f ca="1">IFERROR(__xludf.DUMMYFUNCTION("""COMPUTED_VALUE"""),0)</f>
        <v>0</v>
      </c>
      <c r="I723" s="23">
        <f ca="1">IFERROR(__xludf.DUMMYFUNCTION("""COMPUTED_VALUE"""),0)</f>
        <v>0</v>
      </c>
      <c r="J723" s="23">
        <f ca="1">IFERROR(__xludf.DUMMYFUNCTION("""COMPUTED_VALUE"""),0)</f>
        <v>0</v>
      </c>
      <c r="K723" s="23">
        <f ca="1">IFERROR(__xludf.DUMMYFUNCTION("""COMPUTED_VALUE"""),0)</f>
        <v>0</v>
      </c>
      <c r="L723" s="23">
        <f ca="1">IFERROR(__xludf.DUMMYFUNCTION("""COMPUTED_VALUE"""),0)</f>
        <v>0</v>
      </c>
      <c r="M723" s="23">
        <f ca="1">IFERROR(__xludf.DUMMYFUNCTION("""COMPUTED_VALUE"""),0)</f>
        <v>0</v>
      </c>
      <c r="N723" s="23">
        <f ca="1">IFERROR(__xludf.DUMMYFUNCTION("""COMPUTED_VALUE"""),0)</f>
        <v>0</v>
      </c>
      <c r="O723" s="23">
        <f ca="1">IFERROR(__xludf.DUMMYFUNCTION("""COMPUTED_VALUE"""),0)</f>
        <v>0</v>
      </c>
      <c r="P723" s="23">
        <f ca="1">IFERROR(__xludf.DUMMYFUNCTION("""COMPUTED_VALUE"""),0)</f>
        <v>0</v>
      </c>
      <c r="Q723" s="24">
        <f ca="1">IFERROR(__xludf.DUMMYFUNCTION("""COMPUTED_VALUE"""),0)</f>
        <v>0</v>
      </c>
      <c r="R723" s="20"/>
    </row>
    <row r="724" spans="1:18" ht="13.2" hidden="1" outlineLevel="1" x14ac:dyDescent="0.25">
      <c r="A724" s="1"/>
      <c r="B724" s="21" t="str">
        <f ca="1">IFERROR(__xludf.DUMMYFUNCTION("""COMPUTED_VALUE"""),"Gas natural seco")</f>
        <v>Gas natural seco</v>
      </c>
      <c r="C724" s="22">
        <f ca="1">IFERROR(__xludf.DUMMYFUNCTION("""COMPUTED_VALUE"""),0)</f>
        <v>0</v>
      </c>
      <c r="D724" s="23">
        <f ca="1">IFERROR(__xludf.DUMMYFUNCTION("""COMPUTED_VALUE"""),0)</f>
        <v>0</v>
      </c>
      <c r="E724" s="23">
        <f ca="1">IFERROR(__xludf.DUMMYFUNCTION("""COMPUTED_VALUE"""),0)</f>
        <v>0</v>
      </c>
      <c r="F724" s="23">
        <f ca="1">IFERROR(__xludf.DUMMYFUNCTION("""COMPUTED_VALUE"""),0)</f>
        <v>0</v>
      </c>
      <c r="G724" s="23">
        <f ca="1">IFERROR(__xludf.DUMMYFUNCTION("""COMPUTED_VALUE"""),0)</f>
        <v>0</v>
      </c>
      <c r="H724" s="23">
        <f ca="1">IFERROR(__xludf.DUMMYFUNCTION("""COMPUTED_VALUE"""),0)</f>
        <v>0</v>
      </c>
      <c r="I724" s="23">
        <f ca="1">IFERROR(__xludf.DUMMYFUNCTION("""COMPUTED_VALUE"""),0)</f>
        <v>0</v>
      </c>
      <c r="J724" s="23">
        <f ca="1">IFERROR(__xludf.DUMMYFUNCTION("""COMPUTED_VALUE"""),0)</f>
        <v>0</v>
      </c>
      <c r="K724" s="23">
        <f ca="1">IFERROR(__xludf.DUMMYFUNCTION("""COMPUTED_VALUE"""),0)</f>
        <v>0</v>
      </c>
      <c r="L724" s="23">
        <f ca="1">IFERROR(__xludf.DUMMYFUNCTION("""COMPUTED_VALUE"""),0)</f>
        <v>0</v>
      </c>
      <c r="M724" s="23">
        <f ca="1">IFERROR(__xludf.DUMMYFUNCTION("""COMPUTED_VALUE"""),0)</f>
        <v>0</v>
      </c>
      <c r="N724" s="23">
        <f ca="1">IFERROR(__xludf.DUMMYFUNCTION("""COMPUTED_VALUE"""),0)</f>
        <v>0</v>
      </c>
      <c r="O724" s="23">
        <f ca="1">IFERROR(__xludf.DUMMYFUNCTION("""COMPUTED_VALUE"""),0)</f>
        <v>0</v>
      </c>
      <c r="P724" s="23">
        <f ca="1">IFERROR(__xludf.DUMMYFUNCTION("""COMPUTED_VALUE"""),0)</f>
        <v>0</v>
      </c>
      <c r="Q724" s="24">
        <f ca="1">IFERROR(__xludf.DUMMYFUNCTION("""COMPUTED_VALUE"""),0)</f>
        <v>0</v>
      </c>
      <c r="R724" s="20"/>
    </row>
    <row r="725" spans="1:18" ht="13.2" hidden="1" outlineLevel="1" x14ac:dyDescent="0.25">
      <c r="A725" s="1"/>
      <c r="B725" s="25" t="str">
        <f ca="1">IFERROR(__xludf.DUMMYFUNCTION("""COMPUTED_VALUE"""),"Energía eléctrica")</f>
        <v>Energía eléctrica</v>
      </c>
      <c r="C725" s="26">
        <f ca="1">IFERROR(__xludf.DUMMYFUNCTION("""COMPUTED_VALUE"""),-72.31)</f>
        <v>-72.31</v>
      </c>
      <c r="D725" s="27">
        <f ca="1">IFERROR(__xludf.DUMMYFUNCTION("""COMPUTED_VALUE"""),-73.62)</f>
        <v>-73.62</v>
      </c>
      <c r="E725" s="27">
        <f ca="1">IFERROR(__xludf.DUMMYFUNCTION("""COMPUTED_VALUE"""),-70.25)</f>
        <v>-70.25</v>
      </c>
      <c r="F725" s="27">
        <f ca="1">IFERROR(__xludf.DUMMYFUNCTION("""COMPUTED_VALUE"""),-66.98)</f>
        <v>-66.98</v>
      </c>
      <c r="G725" s="27">
        <f ca="1">IFERROR(__xludf.DUMMYFUNCTION("""COMPUTED_VALUE"""),-64.28)</f>
        <v>-64.28</v>
      </c>
      <c r="H725" s="27">
        <f ca="1">IFERROR(__xludf.DUMMYFUNCTION("""COMPUTED_VALUE"""),-76.19)</f>
        <v>-76.19</v>
      </c>
      <c r="I725" s="27">
        <f ca="1">IFERROR(__xludf.DUMMYFUNCTION("""COMPUTED_VALUE"""),-75.7167)</f>
        <v>-75.716700000000003</v>
      </c>
      <c r="J725" s="27">
        <f ca="1">IFERROR(__xludf.DUMMYFUNCTION("""COMPUTED_VALUE"""),-65.38)</f>
        <v>-65.38</v>
      </c>
      <c r="K725" s="27">
        <f ca="1">IFERROR(__xludf.DUMMYFUNCTION("""COMPUTED_VALUE"""),-60.17)</f>
        <v>-60.17</v>
      </c>
      <c r="L725" s="27">
        <f ca="1">IFERROR(__xludf.DUMMYFUNCTION("""COMPUTED_VALUE"""),-53.7119999570304)</f>
        <v>-53.7119999570304</v>
      </c>
      <c r="M725" s="27">
        <f ca="1">IFERROR(__xludf.DUMMYFUNCTION("""COMPUTED_VALUE"""),-52.711199957831)</f>
        <v>-52.711199957830999</v>
      </c>
      <c r="N725" s="27">
        <f ca="1">IFERROR(__xludf.DUMMYFUNCTION("""COMPUTED_VALUE"""),-54.0359999567712)</f>
        <v>-54.035999956771199</v>
      </c>
      <c r="O725" s="27">
        <f ca="1">IFERROR(__xludf.DUMMYFUNCTION("""COMPUTED_VALUE"""),-56.0013918931988)</f>
        <v>-56.0013918931988</v>
      </c>
      <c r="P725" s="27">
        <f ca="1">IFERROR(__xludf.DUMMYFUNCTION("""COMPUTED_VALUE"""),-58.8887999528889)</f>
        <v>-58.888799952888903</v>
      </c>
      <c r="Q725" s="28">
        <f ca="1">IFERROR(__xludf.DUMMYFUNCTION("""COMPUTED_VALUE"""),-60.3796002644963)</f>
        <v>-60.379600264496297</v>
      </c>
      <c r="R725" s="20"/>
    </row>
    <row r="726" spans="1:18" ht="13.2" hidden="1" outlineLevel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0"/>
    </row>
    <row r="727" spans="1:18" ht="13.2" collapsed="1" x14ac:dyDescent="0.25">
      <c r="A727" s="29"/>
      <c r="B727" s="5" t="str">
        <f ca="1">IFERROR(__xludf.DUMMYFUNCTION("""COMPUTED_VALUE"""),"Per.NTec(e,a)")</f>
        <v>Per.NTec(e,a)</v>
      </c>
      <c r="C727" s="6" t="str">
        <f ca="1">IFERROR(__xludf.DUMMYFUNCTION("""COMPUTED_VALUE"""),"-/")</f>
        <v>-/</v>
      </c>
      <c r="D727" s="7" t="str">
        <f ca="1">IFERROR(__xludf.DUMMYFUNCTION("""COMPUTED_VALUE"""),"Pérdidas no técnicas por energético e y año a.")</f>
        <v>Pérdidas no técnicas por energético e y año a.</v>
      </c>
      <c r="E727" s="6" t="str">
        <f ca="1">IFERROR(__xludf.DUMMYFUNCTION("""COMPUTED_VALUE"""),"cbne")</f>
        <v>cbne</v>
      </c>
      <c r="F727" s="6" t="str">
        <f ca="1">IFERROR(__xludf.DUMMYFUNCTION("""COMPUTED_VALUE"""),"a")</f>
        <v>a</v>
      </c>
      <c r="G727" s="8" t="str">
        <f ca="1">IFERROR(__xludf.DUMMYFUNCTION("""COMPUTED_VALUE"""),"PJ")</f>
        <v>PJ</v>
      </c>
      <c r="H727" s="9"/>
      <c r="I727" s="1"/>
      <c r="J727" s="1"/>
      <c r="K727" s="1"/>
      <c r="L727" s="1"/>
      <c r="M727" s="1"/>
      <c r="N727" s="1"/>
      <c r="O727" s="1"/>
      <c r="P727" s="1"/>
      <c r="Q727" s="1"/>
      <c r="R727" s="10"/>
    </row>
    <row r="728" spans="1:18" ht="13.2" hidden="1" outlineLevel="1" x14ac:dyDescent="0.25">
      <c r="A728" s="1"/>
      <c r="B728" s="11"/>
      <c r="C728" s="12">
        <f ca="1">IFERROR(__xludf.DUMMYFUNCTION("""COMPUTED_VALUE"""),2010)</f>
        <v>2010</v>
      </c>
      <c r="D728" s="13">
        <f ca="1">IFERROR(__xludf.DUMMYFUNCTION("""COMPUTED_VALUE"""),2011)</f>
        <v>2011</v>
      </c>
      <c r="E728" s="13">
        <f ca="1">IFERROR(__xludf.DUMMYFUNCTION("""COMPUTED_VALUE"""),2012)</f>
        <v>2012</v>
      </c>
      <c r="F728" s="13">
        <f ca="1">IFERROR(__xludf.DUMMYFUNCTION("""COMPUTED_VALUE"""),2013)</f>
        <v>2013</v>
      </c>
      <c r="G728" s="13">
        <f ca="1">IFERROR(__xludf.DUMMYFUNCTION("""COMPUTED_VALUE"""),2014)</f>
        <v>2014</v>
      </c>
      <c r="H728" s="13">
        <f ca="1">IFERROR(__xludf.DUMMYFUNCTION("""COMPUTED_VALUE"""),2015)</f>
        <v>2015</v>
      </c>
      <c r="I728" s="13">
        <f ca="1">IFERROR(__xludf.DUMMYFUNCTION("""COMPUTED_VALUE"""),2016)</f>
        <v>2016</v>
      </c>
      <c r="J728" s="13">
        <f ca="1">IFERROR(__xludf.DUMMYFUNCTION("""COMPUTED_VALUE"""),2017)</f>
        <v>2017</v>
      </c>
      <c r="K728" s="13">
        <f ca="1">IFERROR(__xludf.DUMMYFUNCTION("""COMPUTED_VALUE"""),2018)</f>
        <v>2018</v>
      </c>
      <c r="L728" s="13">
        <f ca="1">IFERROR(__xludf.DUMMYFUNCTION("""COMPUTED_VALUE"""),2019)</f>
        <v>2019</v>
      </c>
      <c r="M728" s="13">
        <f ca="1">IFERROR(__xludf.DUMMYFUNCTION("""COMPUTED_VALUE"""),2020)</f>
        <v>2020</v>
      </c>
      <c r="N728" s="13">
        <f ca="1">IFERROR(__xludf.DUMMYFUNCTION("""COMPUTED_VALUE"""),2021)</f>
        <v>2021</v>
      </c>
      <c r="O728" s="13">
        <f ca="1">IFERROR(__xludf.DUMMYFUNCTION("""COMPUTED_VALUE"""),2022)</f>
        <v>2022</v>
      </c>
      <c r="P728" s="13">
        <f ca="1">IFERROR(__xludf.DUMMYFUNCTION("""COMPUTED_VALUE"""),2023)</f>
        <v>2023</v>
      </c>
      <c r="Q728" s="14">
        <f ca="1">IFERROR(__xludf.DUMMYFUNCTION("""COMPUTED_VALUE"""),2024)</f>
        <v>2024</v>
      </c>
      <c r="R728" s="15"/>
    </row>
    <row r="729" spans="1:18" ht="13.2" hidden="1" outlineLevel="1" x14ac:dyDescent="0.25">
      <c r="A729" s="1"/>
      <c r="B729" s="16" t="str">
        <f ca="1">IFERROR(__xludf.DUMMYFUNCTION("""COMPUTED_VALUE"""),"Carbón mineral")</f>
        <v>Carbón mineral</v>
      </c>
      <c r="C729" s="17">
        <f ca="1">IFERROR(__xludf.DUMMYFUNCTION("""COMPUTED_VALUE"""),0)</f>
        <v>0</v>
      </c>
      <c r="D729" s="18">
        <f ca="1">IFERROR(__xludf.DUMMYFUNCTION("""COMPUTED_VALUE"""),0)</f>
        <v>0</v>
      </c>
      <c r="E729" s="18">
        <f ca="1">IFERROR(__xludf.DUMMYFUNCTION("""COMPUTED_VALUE"""),0)</f>
        <v>0</v>
      </c>
      <c r="F729" s="18">
        <f ca="1">IFERROR(__xludf.DUMMYFUNCTION("""COMPUTED_VALUE"""),0)</f>
        <v>0</v>
      </c>
      <c r="G729" s="18">
        <f ca="1">IFERROR(__xludf.DUMMYFUNCTION("""COMPUTED_VALUE"""),0)</f>
        <v>0</v>
      </c>
      <c r="H729" s="18">
        <f ca="1">IFERROR(__xludf.DUMMYFUNCTION("""COMPUTED_VALUE"""),0)</f>
        <v>0</v>
      </c>
      <c r="I729" s="18">
        <f ca="1">IFERROR(__xludf.DUMMYFUNCTION("""COMPUTED_VALUE"""),0)</f>
        <v>0</v>
      </c>
      <c r="J729" s="18">
        <f ca="1">IFERROR(__xludf.DUMMYFUNCTION("""COMPUTED_VALUE"""),0)</f>
        <v>0</v>
      </c>
      <c r="K729" s="18">
        <f ca="1">IFERROR(__xludf.DUMMYFUNCTION("""COMPUTED_VALUE"""),0)</f>
        <v>0</v>
      </c>
      <c r="L729" s="18">
        <f ca="1">IFERROR(__xludf.DUMMYFUNCTION("""COMPUTED_VALUE"""),0)</f>
        <v>0</v>
      </c>
      <c r="M729" s="18">
        <f ca="1">IFERROR(__xludf.DUMMYFUNCTION("""COMPUTED_VALUE"""),0)</f>
        <v>0</v>
      </c>
      <c r="N729" s="18">
        <f ca="1">IFERROR(__xludf.DUMMYFUNCTION("""COMPUTED_VALUE"""),0)</f>
        <v>0</v>
      </c>
      <c r="O729" s="18">
        <f ca="1">IFERROR(__xludf.DUMMYFUNCTION("""COMPUTED_VALUE"""),0)</f>
        <v>0</v>
      </c>
      <c r="P729" s="18">
        <f ca="1">IFERROR(__xludf.DUMMYFUNCTION("""COMPUTED_VALUE"""),0)</f>
        <v>0</v>
      </c>
      <c r="Q729" s="19">
        <f ca="1">IFERROR(__xludf.DUMMYFUNCTION("""COMPUTED_VALUE"""),0)</f>
        <v>0</v>
      </c>
      <c r="R729" s="20"/>
    </row>
    <row r="730" spans="1:18" ht="13.2" hidden="1" outlineLevel="1" x14ac:dyDescent="0.25">
      <c r="A730" s="1"/>
      <c r="B730" s="21" t="str">
        <f ca="1">IFERROR(__xludf.DUMMYFUNCTION("""COMPUTED_VALUE"""),"Petróleo crudo")</f>
        <v>Petróleo crudo</v>
      </c>
      <c r="C730" s="22">
        <f ca="1">IFERROR(__xludf.DUMMYFUNCTION("""COMPUTED_VALUE"""),0)</f>
        <v>0</v>
      </c>
      <c r="D730" s="23">
        <f ca="1">IFERROR(__xludf.DUMMYFUNCTION("""COMPUTED_VALUE"""),0)</f>
        <v>0</v>
      </c>
      <c r="E730" s="23">
        <f ca="1">IFERROR(__xludf.DUMMYFUNCTION("""COMPUTED_VALUE"""),0)</f>
        <v>0</v>
      </c>
      <c r="F730" s="23">
        <f ca="1">IFERROR(__xludf.DUMMYFUNCTION("""COMPUTED_VALUE"""),0)</f>
        <v>0</v>
      </c>
      <c r="G730" s="23">
        <f ca="1">IFERROR(__xludf.DUMMYFUNCTION("""COMPUTED_VALUE"""),0)</f>
        <v>0</v>
      </c>
      <c r="H730" s="23">
        <f ca="1">IFERROR(__xludf.DUMMYFUNCTION("""COMPUTED_VALUE"""),0)</f>
        <v>0</v>
      </c>
      <c r="I730" s="23">
        <f ca="1">IFERROR(__xludf.DUMMYFUNCTION("""COMPUTED_VALUE"""),0)</f>
        <v>0</v>
      </c>
      <c r="J730" s="23">
        <f ca="1">IFERROR(__xludf.DUMMYFUNCTION("""COMPUTED_VALUE"""),0)</f>
        <v>0</v>
      </c>
      <c r="K730" s="23">
        <f ca="1">IFERROR(__xludf.DUMMYFUNCTION("""COMPUTED_VALUE"""),0)</f>
        <v>0</v>
      </c>
      <c r="L730" s="23">
        <f ca="1">IFERROR(__xludf.DUMMYFUNCTION("""COMPUTED_VALUE"""),0)</f>
        <v>0</v>
      </c>
      <c r="M730" s="23">
        <f ca="1">IFERROR(__xludf.DUMMYFUNCTION("""COMPUTED_VALUE"""),0)</f>
        <v>0</v>
      </c>
      <c r="N730" s="23">
        <f ca="1">IFERROR(__xludf.DUMMYFUNCTION("""COMPUTED_VALUE"""),0)</f>
        <v>0</v>
      </c>
      <c r="O730" s="23">
        <f ca="1">IFERROR(__xludf.DUMMYFUNCTION("""COMPUTED_VALUE"""),0)</f>
        <v>0</v>
      </c>
      <c r="P730" s="23">
        <f ca="1">IFERROR(__xludf.DUMMYFUNCTION("""COMPUTED_VALUE"""),0)</f>
        <v>0</v>
      </c>
      <c r="Q730" s="24">
        <f ca="1">IFERROR(__xludf.DUMMYFUNCTION("""COMPUTED_VALUE"""),0)</f>
        <v>0</v>
      </c>
      <c r="R730" s="20"/>
    </row>
    <row r="731" spans="1:18" ht="13.2" hidden="1" outlineLevel="1" x14ac:dyDescent="0.25">
      <c r="A731" s="1"/>
      <c r="B731" s="21" t="str">
        <f ca="1">IFERROR(__xludf.DUMMYFUNCTION("""COMPUTED_VALUE"""),"Condensados")</f>
        <v>Condensados</v>
      </c>
      <c r="C731" s="22">
        <f ca="1">IFERROR(__xludf.DUMMYFUNCTION("""COMPUTED_VALUE"""),0)</f>
        <v>0</v>
      </c>
      <c r="D731" s="23">
        <f ca="1">IFERROR(__xludf.DUMMYFUNCTION("""COMPUTED_VALUE"""),0)</f>
        <v>0</v>
      </c>
      <c r="E731" s="23">
        <f ca="1">IFERROR(__xludf.DUMMYFUNCTION("""COMPUTED_VALUE"""),0)</f>
        <v>0</v>
      </c>
      <c r="F731" s="23">
        <f ca="1">IFERROR(__xludf.DUMMYFUNCTION("""COMPUTED_VALUE"""),0)</f>
        <v>0</v>
      </c>
      <c r="G731" s="23">
        <f ca="1">IFERROR(__xludf.DUMMYFUNCTION("""COMPUTED_VALUE"""),0)</f>
        <v>0</v>
      </c>
      <c r="H731" s="23">
        <f ca="1">IFERROR(__xludf.DUMMYFUNCTION("""COMPUTED_VALUE"""),0)</f>
        <v>0</v>
      </c>
      <c r="I731" s="23">
        <f ca="1">IFERROR(__xludf.DUMMYFUNCTION("""COMPUTED_VALUE"""),0)</f>
        <v>0</v>
      </c>
      <c r="J731" s="23">
        <f ca="1">IFERROR(__xludf.DUMMYFUNCTION("""COMPUTED_VALUE"""),0)</f>
        <v>0</v>
      </c>
      <c r="K731" s="23">
        <f ca="1">IFERROR(__xludf.DUMMYFUNCTION("""COMPUTED_VALUE"""),0)</f>
        <v>0</v>
      </c>
      <c r="L731" s="23">
        <f ca="1">IFERROR(__xludf.DUMMYFUNCTION("""COMPUTED_VALUE"""),0)</f>
        <v>0</v>
      </c>
      <c r="M731" s="23">
        <f ca="1">IFERROR(__xludf.DUMMYFUNCTION("""COMPUTED_VALUE"""),0)</f>
        <v>0</v>
      </c>
      <c r="N731" s="23">
        <f ca="1">IFERROR(__xludf.DUMMYFUNCTION("""COMPUTED_VALUE"""),0)</f>
        <v>0</v>
      </c>
      <c r="O731" s="23">
        <f ca="1">IFERROR(__xludf.DUMMYFUNCTION("""COMPUTED_VALUE"""),0)</f>
        <v>0</v>
      </c>
      <c r="P731" s="23">
        <f ca="1">IFERROR(__xludf.DUMMYFUNCTION("""COMPUTED_VALUE"""),0)</f>
        <v>0</v>
      </c>
      <c r="Q731" s="24">
        <f ca="1">IFERROR(__xludf.DUMMYFUNCTION("""COMPUTED_VALUE"""),0)</f>
        <v>0</v>
      </c>
      <c r="R731" s="20"/>
    </row>
    <row r="732" spans="1:18" ht="13.2" hidden="1" outlineLevel="1" x14ac:dyDescent="0.25">
      <c r="A732" s="1"/>
      <c r="B732" s="21" t="str">
        <f ca="1">IFERROR(__xludf.DUMMYFUNCTION("""COMPUTED_VALUE"""),"Gas natural")</f>
        <v>Gas natural</v>
      </c>
      <c r="C732" s="22">
        <f ca="1">IFERROR(__xludf.DUMMYFUNCTION("""COMPUTED_VALUE"""),0)</f>
        <v>0</v>
      </c>
      <c r="D732" s="23">
        <f ca="1">IFERROR(__xludf.DUMMYFUNCTION("""COMPUTED_VALUE"""),0)</f>
        <v>0</v>
      </c>
      <c r="E732" s="23">
        <f ca="1">IFERROR(__xludf.DUMMYFUNCTION("""COMPUTED_VALUE"""),0)</f>
        <v>0</v>
      </c>
      <c r="F732" s="23">
        <f ca="1">IFERROR(__xludf.DUMMYFUNCTION("""COMPUTED_VALUE"""),0)</f>
        <v>0</v>
      </c>
      <c r="G732" s="23">
        <f ca="1">IFERROR(__xludf.DUMMYFUNCTION("""COMPUTED_VALUE"""),0)</f>
        <v>0</v>
      </c>
      <c r="H732" s="23">
        <f ca="1">IFERROR(__xludf.DUMMYFUNCTION("""COMPUTED_VALUE"""),0)</f>
        <v>0</v>
      </c>
      <c r="I732" s="23">
        <f ca="1">IFERROR(__xludf.DUMMYFUNCTION("""COMPUTED_VALUE"""),0)</f>
        <v>0</v>
      </c>
      <c r="J732" s="23">
        <f ca="1">IFERROR(__xludf.DUMMYFUNCTION("""COMPUTED_VALUE"""),0)</f>
        <v>0</v>
      </c>
      <c r="K732" s="23">
        <f ca="1">IFERROR(__xludf.DUMMYFUNCTION("""COMPUTED_VALUE"""),0)</f>
        <v>0</v>
      </c>
      <c r="L732" s="23">
        <f ca="1">IFERROR(__xludf.DUMMYFUNCTION("""COMPUTED_VALUE"""),0)</f>
        <v>0</v>
      </c>
      <c r="M732" s="23">
        <f ca="1">IFERROR(__xludf.DUMMYFUNCTION("""COMPUTED_VALUE"""),0)</f>
        <v>0</v>
      </c>
      <c r="N732" s="23">
        <f ca="1">IFERROR(__xludf.DUMMYFUNCTION("""COMPUTED_VALUE"""),0)</f>
        <v>0</v>
      </c>
      <c r="O732" s="23">
        <f ca="1">IFERROR(__xludf.DUMMYFUNCTION("""COMPUTED_VALUE"""),0)</f>
        <v>0</v>
      </c>
      <c r="P732" s="23">
        <f ca="1">IFERROR(__xludf.DUMMYFUNCTION("""COMPUTED_VALUE"""),0)</f>
        <v>0</v>
      </c>
      <c r="Q732" s="24">
        <f ca="1">IFERROR(__xludf.DUMMYFUNCTION("""COMPUTED_VALUE"""),0)</f>
        <v>0</v>
      </c>
      <c r="R732" s="20"/>
    </row>
    <row r="733" spans="1:18" ht="13.2" hidden="1" outlineLevel="1" x14ac:dyDescent="0.25">
      <c r="A733" s="1"/>
      <c r="B733" s="21" t="str">
        <f ca="1">IFERROR(__xludf.DUMMYFUNCTION("""COMPUTED_VALUE"""),"Energía Nuclear")</f>
        <v>Energía Nuclear</v>
      </c>
      <c r="C733" s="22">
        <f ca="1">IFERROR(__xludf.DUMMYFUNCTION("""COMPUTED_VALUE"""),0)</f>
        <v>0</v>
      </c>
      <c r="D733" s="23">
        <f ca="1">IFERROR(__xludf.DUMMYFUNCTION("""COMPUTED_VALUE"""),0)</f>
        <v>0</v>
      </c>
      <c r="E733" s="23">
        <f ca="1">IFERROR(__xludf.DUMMYFUNCTION("""COMPUTED_VALUE"""),0)</f>
        <v>0</v>
      </c>
      <c r="F733" s="23">
        <f ca="1">IFERROR(__xludf.DUMMYFUNCTION("""COMPUTED_VALUE"""),0)</f>
        <v>0</v>
      </c>
      <c r="G733" s="23">
        <f ca="1">IFERROR(__xludf.DUMMYFUNCTION("""COMPUTED_VALUE"""),0)</f>
        <v>0</v>
      </c>
      <c r="H733" s="23">
        <f ca="1">IFERROR(__xludf.DUMMYFUNCTION("""COMPUTED_VALUE"""),0)</f>
        <v>0</v>
      </c>
      <c r="I733" s="23">
        <f ca="1">IFERROR(__xludf.DUMMYFUNCTION("""COMPUTED_VALUE"""),0)</f>
        <v>0</v>
      </c>
      <c r="J733" s="23">
        <f ca="1">IFERROR(__xludf.DUMMYFUNCTION("""COMPUTED_VALUE"""),0)</f>
        <v>0</v>
      </c>
      <c r="K733" s="23">
        <f ca="1">IFERROR(__xludf.DUMMYFUNCTION("""COMPUTED_VALUE"""),0)</f>
        <v>0</v>
      </c>
      <c r="L733" s="23">
        <f ca="1">IFERROR(__xludf.DUMMYFUNCTION("""COMPUTED_VALUE"""),0)</f>
        <v>0</v>
      </c>
      <c r="M733" s="23">
        <f ca="1">IFERROR(__xludf.DUMMYFUNCTION("""COMPUTED_VALUE"""),0)</f>
        <v>0</v>
      </c>
      <c r="N733" s="23">
        <f ca="1">IFERROR(__xludf.DUMMYFUNCTION("""COMPUTED_VALUE"""),0)</f>
        <v>0</v>
      </c>
      <c r="O733" s="23">
        <f ca="1">IFERROR(__xludf.DUMMYFUNCTION("""COMPUTED_VALUE"""),0)</f>
        <v>0</v>
      </c>
      <c r="P733" s="23">
        <f ca="1">IFERROR(__xludf.DUMMYFUNCTION("""COMPUTED_VALUE"""),0)</f>
        <v>0</v>
      </c>
      <c r="Q733" s="24">
        <f ca="1">IFERROR(__xludf.DUMMYFUNCTION("""COMPUTED_VALUE"""),0)</f>
        <v>0</v>
      </c>
      <c r="R733" s="20"/>
    </row>
    <row r="734" spans="1:18" ht="13.2" hidden="1" outlineLevel="1" x14ac:dyDescent="0.25">
      <c r="A734" s="1"/>
      <c r="B734" s="21" t="str">
        <f ca="1">IFERROR(__xludf.DUMMYFUNCTION("""COMPUTED_VALUE"""),"Energia Hidraúlica")</f>
        <v>Energia Hidraúlica</v>
      </c>
      <c r="C734" s="22">
        <f ca="1">IFERROR(__xludf.DUMMYFUNCTION("""COMPUTED_VALUE"""),0)</f>
        <v>0</v>
      </c>
      <c r="D734" s="23">
        <f ca="1">IFERROR(__xludf.DUMMYFUNCTION("""COMPUTED_VALUE"""),0)</f>
        <v>0</v>
      </c>
      <c r="E734" s="23">
        <f ca="1">IFERROR(__xludf.DUMMYFUNCTION("""COMPUTED_VALUE"""),0)</f>
        <v>0</v>
      </c>
      <c r="F734" s="23">
        <f ca="1">IFERROR(__xludf.DUMMYFUNCTION("""COMPUTED_VALUE"""),0)</f>
        <v>0</v>
      </c>
      <c r="G734" s="23">
        <f ca="1">IFERROR(__xludf.DUMMYFUNCTION("""COMPUTED_VALUE"""),0)</f>
        <v>0</v>
      </c>
      <c r="H734" s="23">
        <f ca="1">IFERROR(__xludf.DUMMYFUNCTION("""COMPUTED_VALUE"""),0)</f>
        <v>0</v>
      </c>
      <c r="I734" s="23">
        <f ca="1">IFERROR(__xludf.DUMMYFUNCTION("""COMPUTED_VALUE"""),0)</f>
        <v>0</v>
      </c>
      <c r="J734" s="23">
        <f ca="1">IFERROR(__xludf.DUMMYFUNCTION("""COMPUTED_VALUE"""),0)</f>
        <v>0</v>
      </c>
      <c r="K734" s="23">
        <f ca="1">IFERROR(__xludf.DUMMYFUNCTION("""COMPUTED_VALUE"""),0)</f>
        <v>0</v>
      </c>
      <c r="L734" s="23">
        <f ca="1">IFERROR(__xludf.DUMMYFUNCTION("""COMPUTED_VALUE"""),0)</f>
        <v>0</v>
      </c>
      <c r="M734" s="23">
        <f ca="1">IFERROR(__xludf.DUMMYFUNCTION("""COMPUTED_VALUE"""),0)</f>
        <v>0</v>
      </c>
      <c r="N734" s="23">
        <f ca="1">IFERROR(__xludf.DUMMYFUNCTION("""COMPUTED_VALUE"""),0)</f>
        <v>0</v>
      </c>
      <c r="O734" s="23">
        <f ca="1">IFERROR(__xludf.DUMMYFUNCTION("""COMPUTED_VALUE"""),0)</f>
        <v>0</v>
      </c>
      <c r="P734" s="23">
        <f ca="1">IFERROR(__xludf.DUMMYFUNCTION("""COMPUTED_VALUE"""),0)</f>
        <v>0</v>
      </c>
      <c r="Q734" s="24">
        <f ca="1">IFERROR(__xludf.DUMMYFUNCTION("""COMPUTED_VALUE"""),0)</f>
        <v>0</v>
      </c>
      <c r="R734" s="20"/>
    </row>
    <row r="735" spans="1:18" ht="13.2" hidden="1" outlineLevel="1" x14ac:dyDescent="0.25">
      <c r="A735" s="1"/>
      <c r="B735" s="21" t="str">
        <f ca="1">IFERROR(__xludf.DUMMYFUNCTION("""COMPUTED_VALUE"""),"Geoenergía")</f>
        <v>Geoenergía</v>
      </c>
      <c r="C735" s="22">
        <f ca="1">IFERROR(__xludf.DUMMYFUNCTION("""COMPUTED_VALUE"""),0)</f>
        <v>0</v>
      </c>
      <c r="D735" s="23">
        <f ca="1">IFERROR(__xludf.DUMMYFUNCTION("""COMPUTED_VALUE"""),0)</f>
        <v>0</v>
      </c>
      <c r="E735" s="23">
        <f ca="1">IFERROR(__xludf.DUMMYFUNCTION("""COMPUTED_VALUE"""),0)</f>
        <v>0</v>
      </c>
      <c r="F735" s="23">
        <f ca="1">IFERROR(__xludf.DUMMYFUNCTION("""COMPUTED_VALUE"""),0)</f>
        <v>0</v>
      </c>
      <c r="G735" s="23">
        <f ca="1">IFERROR(__xludf.DUMMYFUNCTION("""COMPUTED_VALUE"""),0)</f>
        <v>0</v>
      </c>
      <c r="H735" s="23">
        <f ca="1">IFERROR(__xludf.DUMMYFUNCTION("""COMPUTED_VALUE"""),0)</f>
        <v>0</v>
      </c>
      <c r="I735" s="23">
        <f ca="1">IFERROR(__xludf.DUMMYFUNCTION("""COMPUTED_VALUE"""),0)</f>
        <v>0</v>
      </c>
      <c r="J735" s="23">
        <f ca="1">IFERROR(__xludf.DUMMYFUNCTION("""COMPUTED_VALUE"""),0)</f>
        <v>0</v>
      </c>
      <c r="K735" s="23">
        <f ca="1">IFERROR(__xludf.DUMMYFUNCTION("""COMPUTED_VALUE"""),0)</f>
        <v>0</v>
      </c>
      <c r="L735" s="23">
        <f ca="1">IFERROR(__xludf.DUMMYFUNCTION("""COMPUTED_VALUE"""),0)</f>
        <v>0</v>
      </c>
      <c r="M735" s="23">
        <f ca="1">IFERROR(__xludf.DUMMYFUNCTION("""COMPUTED_VALUE"""),0)</f>
        <v>0</v>
      </c>
      <c r="N735" s="23">
        <f ca="1">IFERROR(__xludf.DUMMYFUNCTION("""COMPUTED_VALUE"""),0)</f>
        <v>0</v>
      </c>
      <c r="O735" s="23">
        <f ca="1">IFERROR(__xludf.DUMMYFUNCTION("""COMPUTED_VALUE"""),0)</f>
        <v>0</v>
      </c>
      <c r="P735" s="23">
        <f ca="1">IFERROR(__xludf.DUMMYFUNCTION("""COMPUTED_VALUE"""),0)</f>
        <v>0</v>
      </c>
      <c r="Q735" s="24">
        <f ca="1">IFERROR(__xludf.DUMMYFUNCTION("""COMPUTED_VALUE"""),0)</f>
        <v>0</v>
      </c>
      <c r="R735" s="20"/>
    </row>
    <row r="736" spans="1:18" ht="13.2" hidden="1" outlineLevel="1" x14ac:dyDescent="0.25">
      <c r="A736" s="1"/>
      <c r="B736" s="21" t="str">
        <f ca="1">IFERROR(__xludf.DUMMYFUNCTION("""COMPUTED_VALUE"""),"Energía solar")</f>
        <v>Energía solar</v>
      </c>
      <c r="C736" s="22">
        <f ca="1">IFERROR(__xludf.DUMMYFUNCTION("""COMPUTED_VALUE"""),0)</f>
        <v>0</v>
      </c>
      <c r="D736" s="23">
        <f ca="1">IFERROR(__xludf.DUMMYFUNCTION("""COMPUTED_VALUE"""),0)</f>
        <v>0</v>
      </c>
      <c r="E736" s="23">
        <f ca="1">IFERROR(__xludf.DUMMYFUNCTION("""COMPUTED_VALUE"""),0)</f>
        <v>0</v>
      </c>
      <c r="F736" s="23">
        <f ca="1">IFERROR(__xludf.DUMMYFUNCTION("""COMPUTED_VALUE"""),0)</f>
        <v>0</v>
      </c>
      <c r="G736" s="23">
        <f ca="1">IFERROR(__xludf.DUMMYFUNCTION("""COMPUTED_VALUE"""),0)</f>
        <v>0</v>
      </c>
      <c r="H736" s="23">
        <f ca="1">IFERROR(__xludf.DUMMYFUNCTION("""COMPUTED_VALUE"""),0)</f>
        <v>0</v>
      </c>
      <c r="I736" s="23">
        <f ca="1">IFERROR(__xludf.DUMMYFUNCTION("""COMPUTED_VALUE"""),0)</f>
        <v>0</v>
      </c>
      <c r="J736" s="23">
        <f ca="1">IFERROR(__xludf.DUMMYFUNCTION("""COMPUTED_VALUE"""),0)</f>
        <v>0</v>
      </c>
      <c r="K736" s="23">
        <f ca="1">IFERROR(__xludf.DUMMYFUNCTION("""COMPUTED_VALUE"""),0)</f>
        <v>0</v>
      </c>
      <c r="L736" s="23">
        <f ca="1">IFERROR(__xludf.DUMMYFUNCTION("""COMPUTED_VALUE"""),0)</f>
        <v>0</v>
      </c>
      <c r="M736" s="23">
        <f ca="1">IFERROR(__xludf.DUMMYFUNCTION("""COMPUTED_VALUE"""),0)</f>
        <v>0</v>
      </c>
      <c r="N736" s="23">
        <f ca="1">IFERROR(__xludf.DUMMYFUNCTION("""COMPUTED_VALUE"""),0)</f>
        <v>0</v>
      </c>
      <c r="O736" s="23">
        <f ca="1">IFERROR(__xludf.DUMMYFUNCTION("""COMPUTED_VALUE"""),0)</f>
        <v>0</v>
      </c>
      <c r="P736" s="23">
        <f ca="1">IFERROR(__xludf.DUMMYFUNCTION("""COMPUTED_VALUE"""),0)</f>
        <v>0</v>
      </c>
      <c r="Q736" s="24">
        <f ca="1">IFERROR(__xludf.DUMMYFUNCTION("""COMPUTED_VALUE"""),0)</f>
        <v>0</v>
      </c>
      <c r="R736" s="20"/>
    </row>
    <row r="737" spans="1:18" ht="13.2" hidden="1" outlineLevel="1" x14ac:dyDescent="0.25">
      <c r="A737" s="1"/>
      <c r="B737" s="21" t="str">
        <f ca="1">IFERROR(__xludf.DUMMYFUNCTION("""COMPUTED_VALUE"""),"Energía eólica")</f>
        <v>Energía eólica</v>
      </c>
      <c r="C737" s="22">
        <f ca="1">IFERROR(__xludf.DUMMYFUNCTION("""COMPUTED_VALUE"""),0)</f>
        <v>0</v>
      </c>
      <c r="D737" s="23">
        <f ca="1">IFERROR(__xludf.DUMMYFUNCTION("""COMPUTED_VALUE"""),0)</f>
        <v>0</v>
      </c>
      <c r="E737" s="23">
        <f ca="1">IFERROR(__xludf.DUMMYFUNCTION("""COMPUTED_VALUE"""),0)</f>
        <v>0</v>
      </c>
      <c r="F737" s="23">
        <f ca="1">IFERROR(__xludf.DUMMYFUNCTION("""COMPUTED_VALUE"""),0)</f>
        <v>0</v>
      </c>
      <c r="G737" s="23">
        <f ca="1">IFERROR(__xludf.DUMMYFUNCTION("""COMPUTED_VALUE"""),0)</f>
        <v>0</v>
      </c>
      <c r="H737" s="23">
        <f ca="1">IFERROR(__xludf.DUMMYFUNCTION("""COMPUTED_VALUE"""),0)</f>
        <v>0</v>
      </c>
      <c r="I737" s="23">
        <f ca="1">IFERROR(__xludf.DUMMYFUNCTION("""COMPUTED_VALUE"""),0)</f>
        <v>0</v>
      </c>
      <c r="J737" s="23">
        <f ca="1">IFERROR(__xludf.DUMMYFUNCTION("""COMPUTED_VALUE"""),0)</f>
        <v>0</v>
      </c>
      <c r="K737" s="23">
        <f ca="1">IFERROR(__xludf.DUMMYFUNCTION("""COMPUTED_VALUE"""),0)</f>
        <v>0</v>
      </c>
      <c r="L737" s="23">
        <f ca="1">IFERROR(__xludf.DUMMYFUNCTION("""COMPUTED_VALUE"""),0)</f>
        <v>0</v>
      </c>
      <c r="M737" s="23">
        <f ca="1">IFERROR(__xludf.DUMMYFUNCTION("""COMPUTED_VALUE"""),0)</f>
        <v>0</v>
      </c>
      <c r="N737" s="23">
        <f ca="1">IFERROR(__xludf.DUMMYFUNCTION("""COMPUTED_VALUE"""),0)</f>
        <v>0</v>
      </c>
      <c r="O737" s="23">
        <f ca="1">IFERROR(__xludf.DUMMYFUNCTION("""COMPUTED_VALUE"""),0)</f>
        <v>0</v>
      </c>
      <c r="P737" s="23">
        <f ca="1">IFERROR(__xludf.DUMMYFUNCTION("""COMPUTED_VALUE"""),0)</f>
        <v>0</v>
      </c>
      <c r="Q737" s="24">
        <f ca="1">IFERROR(__xludf.DUMMYFUNCTION("""COMPUTED_VALUE"""),0)</f>
        <v>0</v>
      </c>
      <c r="R737" s="20"/>
    </row>
    <row r="738" spans="1:18" ht="13.2" hidden="1" outlineLevel="1" x14ac:dyDescent="0.25">
      <c r="A738" s="1"/>
      <c r="B738" s="21" t="str">
        <f ca="1">IFERROR(__xludf.DUMMYFUNCTION("""COMPUTED_VALUE"""),"Bagazo de caña")</f>
        <v>Bagazo de caña</v>
      </c>
      <c r="C738" s="22">
        <f ca="1">IFERROR(__xludf.DUMMYFUNCTION("""COMPUTED_VALUE"""),0)</f>
        <v>0</v>
      </c>
      <c r="D738" s="23">
        <f ca="1">IFERROR(__xludf.DUMMYFUNCTION("""COMPUTED_VALUE"""),0)</f>
        <v>0</v>
      </c>
      <c r="E738" s="23">
        <f ca="1">IFERROR(__xludf.DUMMYFUNCTION("""COMPUTED_VALUE"""),0)</f>
        <v>0</v>
      </c>
      <c r="F738" s="23">
        <f ca="1">IFERROR(__xludf.DUMMYFUNCTION("""COMPUTED_VALUE"""),0)</f>
        <v>0</v>
      </c>
      <c r="G738" s="23">
        <f ca="1">IFERROR(__xludf.DUMMYFUNCTION("""COMPUTED_VALUE"""),0)</f>
        <v>0</v>
      </c>
      <c r="H738" s="23">
        <f ca="1">IFERROR(__xludf.DUMMYFUNCTION("""COMPUTED_VALUE"""),0)</f>
        <v>0</v>
      </c>
      <c r="I738" s="23">
        <f ca="1">IFERROR(__xludf.DUMMYFUNCTION("""COMPUTED_VALUE"""),0)</f>
        <v>0</v>
      </c>
      <c r="J738" s="23">
        <f ca="1">IFERROR(__xludf.DUMMYFUNCTION("""COMPUTED_VALUE"""),0)</f>
        <v>0</v>
      </c>
      <c r="K738" s="23">
        <f ca="1">IFERROR(__xludf.DUMMYFUNCTION("""COMPUTED_VALUE"""),0)</f>
        <v>0</v>
      </c>
      <c r="L738" s="23">
        <f ca="1">IFERROR(__xludf.DUMMYFUNCTION("""COMPUTED_VALUE"""),0)</f>
        <v>0</v>
      </c>
      <c r="M738" s="23">
        <f ca="1">IFERROR(__xludf.DUMMYFUNCTION("""COMPUTED_VALUE"""),0)</f>
        <v>0</v>
      </c>
      <c r="N738" s="23">
        <f ca="1">IFERROR(__xludf.DUMMYFUNCTION("""COMPUTED_VALUE"""),0)</f>
        <v>0</v>
      </c>
      <c r="O738" s="23">
        <f ca="1">IFERROR(__xludf.DUMMYFUNCTION("""COMPUTED_VALUE"""),0)</f>
        <v>0</v>
      </c>
      <c r="P738" s="23">
        <f ca="1">IFERROR(__xludf.DUMMYFUNCTION("""COMPUTED_VALUE"""),0)</f>
        <v>0</v>
      </c>
      <c r="Q738" s="24">
        <f ca="1">IFERROR(__xludf.DUMMYFUNCTION("""COMPUTED_VALUE"""),0)</f>
        <v>0</v>
      </c>
      <c r="R738" s="20"/>
    </row>
    <row r="739" spans="1:18" ht="13.2" hidden="1" outlineLevel="1" x14ac:dyDescent="0.25">
      <c r="A739" s="1"/>
      <c r="B739" s="21" t="str">
        <f ca="1">IFERROR(__xludf.DUMMYFUNCTION("""COMPUTED_VALUE"""),"Leña")</f>
        <v>Leña</v>
      </c>
      <c r="C739" s="22">
        <f ca="1">IFERROR(__xludf.DUMMYFUNCTION("""COMPUTED_VALUE"""),0)</f>
        <v>0</v>
      </c>
      <c r="D739" s="23">
        <f ca="1">IFERROR(__xludf.DUMMYFUNCTION("""COMPUTED_VALUE"""),0)</f>
        <v>0</v>
      </c>
      <c r="E739" s="23">
        <f ca="1">IFERROR(__xludf.DUMMYFUNCTION("""COMPUTED_VALUE"""),0)</f>
        <v>0</v>
      </c>
      <c r="F739" s="23">
        <f ca="1">IFERROR(__xludf.DUMMYFUNCTION("""COMPUTED_VALUE"""),0)</f>
        <v>0</v>
      </c>
      <c r="G739" s="23">
        <f ca="1">IFERROR(__xludf.DUMMYFUNCTION("""COMPUTED_VALUE"""),0)</f>
        <v>0</v>
      </c>
      <c r="H739" s="23">
        <f ca="1">IFERROR(__xludf.DUMMYFUNCTION("""COMPUTED_VALUE"""),0)</f>
        <v>0</v>
      </c>
      <c r="I739" s="23">
        <f ca="1">IFERROR(__xludf.DUMMYFUNCTION("""COMPUTED_VALUE"""),0)</f>
        <v>0</v>
      </c>
      <c r="J739" s="23">
        <f ca="1">IFERROR(__xludf.DUMMYFUNCTION("""COMPUTED_VALUE"""),0)</f>
        <v>0</v>
      </c>
      <c r="K739" s="23">
        <f ca="1">IFERROR(__xludf.DUMMYFUNCTION("""COMPUTED_VALUE"""),0)</f>
        <v>0</v>
      </c>
      <c r="L739" s="23">
        <f ca="1">IFERROR(__xludf.DUMMYFUNCTION("""COMPUTED_VALUE"""),0)</f>
        <v>0</v>
      </c>
      <c r="M739" s="23">
        <f ca="1">IFERROR(__xludf.DUMMYFUNCTION("""COMPUTED_VALUE"""),0)</f>
        <v>0</v>
      </c>
      <c r="N739" s="23">
        <f ca="1">IFERROR(__xludf.DUMMYFUNCTION("""COMPUTED_VALUE"""),0)</f>
        <v>0</v>
      </c>
      <c r="O739" s="23">
        <f ca="1">IFERROR(__xludf.DUMMYFUNCTION("""COMPUTED_VALUE"""),0)</f>
        <v>0</v>
      </c>
      <c r="P739" s="23">
        <f ca="1">IFERROR(__xludf.DUMMYFUNCTION("""COMPUTED_VALUE"""),0)</f>
        <v>0</v>
      </c>
      <c r="Q739" s="24">
        <f ca="1">IFERROR(__xludf.DUMMYFUNCTION("""COMPUTED_VALUE"""),0)</f>
        <v>0</v>
      </c>
      <c r="R739" s="20"/>
    </row>
    <row r="740" spans="1:18" ht="13.2" hidden="1" outlineLevel="1" x14ac:dyDescent="0.25">
      <c r="A740" s="1"/>
      <c r="B740" s="21" t="str">
        <f ca="1">IFERROR(__xludf.DUMMYFUNCTION("""COMPUTED_VALUE"""),"Biogás")</f>
        <v>Biogás</v>
      </c>
      <c r="C740" s="22">
        <f ca="1">IFERROR(__xludf.DUMMYFUNCTION("""COMPUTED_VALUE"""),0)</f>
        <v>0</v>
      </c>
      <c r="D740" s="23">
        <f ca="1">IFERROR(__xludf.DUMMYFUNCTION("""COMPUTED_VALUE"""),0)</f>
        <v>0</v>
      </c>
      <c r="E740" s="23">
        <f ca="1">IFERROR(__xludf.DUMMYFUNCTION("""COMPUTED_VALUE"""),0)</f>
        <v>0</v>
      </c>
      <c r="F740" s="23">
        <f ca="1">IFERROR(__xludf.DUMMYFUNCTION("""COMPUTED_VALUE"""),0)</f>
        <v>0</v>
      </c>
      <c r="G740" s="23">
        <f ca="1">IFERROR(__xludf.DUMMYFUNCTION("""COMPUTED_VALUE"""),0)</f>
        <v>0</v>
      </c>
      <c r="H740" s="23">
        <f ca="1">IFERROR(__xludf.DUMMYFUNCTION("""COMPUTED_VALUE"""),0)</f>
        <v>0</v>
      </c>
      <c r="I740" s="23">
        <f ca="1">IFERROR(__xludf.DUMMYFUNCTION("""COMPUTED_VALUE"""),0)</f>
        <v>0</v>
      </c>
      <c r="J740" s="23">
        <f ca="1">IFERROR(__xludf.DUMMYFUNCTION("""COMPUTED_VALUE"""),0)</f>
        <v>0</v>
      </c>
      <c r="K740" s="23">
        <f ca="1">IFERROR(__xludf.DUMMYFUNCTION("""COMPUTED_VALUE"""),0)</f>
        <v>0</v>
      </c>
      <c r="L740" s="23">
        <f ca="1">IFERROR(__xludf.DUMMYFUNCTION("""COMPUTED_VALUE"""),0)</f>
        <v>0</v>
      </c>
      <c r="M740" s="23">
        <f ca="1">IFERROR(__xludf.DUMMYFUNCTION("""COMPUTED_VALUE"""),0)</f>
        <v>0</v>
      </c>
      <c r="N740" s="23">
        <f ca="1">IFERROR(__xludf.DUMMYFUNCTION("""COMPUTED_VALUE"""),0)</f>
        <v>0</v>
      </c>
      <c r="O740" s="23">
        <f ca="1">IFERROR(__xludf.DUMMYFUNCTION("""COMPUTED_VALUE"""),0)</f>
        <v>0</v>
      </c>
      <c r="P740" s="23">
        <f ca="1">IFERROR(__xludf.DUMMYFUNCTION("""COMPUTED_VALUE"""),0)</f>
        <v>0</v>
      </c>
      <c r="Q740" s="24">
        <f ca="1">IFERROR(__xludf.DUMMYFUNCTION("""COMPUTED_VALUE"""),0)</f>
        <v>0</v>
      </c>
      <c r="R740" s="20"/>
    </row>
    <row r="741" spans="1:18" ht="13.2" hidden="1" outlineLevel="1" x14ac:dyDescent="0.25">
      <c r="A741" s="1"/>
      <c r="B741" s="21" t="str">
        <f ca="1">IFERROR(__xludf.DUMMYFUNCTION("""COMPUTED_VALUE"""),"Coque de carbón")</f>
        <v>Coque de carbón</v>
      </c>
      <c r="C741" s="22">
        <f ca="1">IFERROR(__xludf.DUMMYFUNCTION("""COMPUTED_VALUE"""),0)</f>
        <v>0</v>
      </c>
      <c r="D741" s="23">
        <f ca="1">IFERROR(__xludf.DUMMYFUNCTION("""COMPUTED_VALUE"""),0)</f>
        <v>0</v>
      </c>
      <c r="E741" s="23">
        <f ca="1">IFERROR(__xludf.DUMMYFUNCTION("""COMPUTED_VALUE"""),0)</f>
        <v>0</v>
      </c>
      <c r="F741" s="23">
        <f ca="1">IFERROR(__xludf.DUMMYFUNCTION("""COMPUTED_VALUE"""),0)</f>
        <v>0</v>
      </c>
      <c r="G741" s="23">
        <f ca="1">IFERROR(__xludf.DUMMYFUNCTION("""COMPUTED_VALUE"""),0)</f>
        <v>0</v>
      </c>
      <c r="H741" s="23">
        <f ca="1">IFERROR(__xludf.DUMMYFUNCTION("""COMPUTED_VALUE"""),0)</f>
        <v>0</v>
      </c>
      <c r="I741" s="23">
        <f ca="1">IFERROR(__xludf.DUMMYFUNCTION("""COMPUTED_VALUE"""),0)</f>
        <v>0</v>
      </c>
      <c r="J741" s="23">
        <f ca="1">IFERROR(__xludf.DUMMYFUNCTION("""COMPUTED_VALUE"""),0)</f>
        <v>0</v>
      </c>
      <c r="K741" s="23">
        <f ca="1">IFERROR(__xludf.DUMMYFUNCTION("""COMPUTED_VALUE"""),0)</f>
        <v>0</v>
      </c>
      <c r="L741" s="23">
        <f ca="1">IFERROR(__xludf.DUMMYFUNCTION("""COMPUTED_VALUE"""),0)</f>
        <v>0</v>
      </c>
      <c r="M741" s="23">
        <f ca="1">IFERROR(__xludf.DUMMYFUNCTION("""COMPUTED_VALUE"""),0)</f>
        <v>0</v>
      </c>
      <c r="N741" s="23">
        <f ca="1">IFERROR(__xludf.DUMMYFUNCTION("""COMPUTED_VALUE"""),0)</f>
        <v>0</v>
      </c>
      <c r="O741" s="23">
        <f ca="1">IFERROR(__xludf.DUMMYFUNCTION("""COMPUTED_VALUE"""),0)</f>
        <v>0</v>
      </c>
      <c r="P741" s="23">
        <f ca="1">IFERROR(__xludf.DUMMYFUNCTION("""COMPUTED_VALUE"""),0)</f>
        <v>0</v>
      </c>
      <c r="Q741" s="24">
        <f ca="1">IFERROR(__xludf.DUMMYFUNCTION("""COMPUTED_VALUE"""),0)</f>
        <v>0</v>
      </c>
      <c r="R741" s="20"/>
    </row>
    <row r="742" spans="1:18" ht="13.2" hidden="1" outlineLevel="1" x14ac:dyDescent="0.25">
      <c r="A742" s="1"/>
      <c r="B742" s="21" t="str">
        <f ca="1">IFERROR(__xludf.DUMMYFUNCTION("""COMPUTED_VALUE"""),"Coque de petróleo")</f>
        <v>Coque de petróleo</v>
      </c>
      <c r="C742" s="22">
        <f ca="1">IFERROR(__xludf.DUMMYFUNCTION("""COMPUTED_VALUE"""),0)</f>
        <v>0</v>
      </c>
      <c r="D742" s="23">
        <f ca="1">IFERROR(__xludf.DUMMYFUNCTION("""COMPUTED_VALUE"""),0)</f>
        <v>0</v>
      </c>
      <c r="E742" s="23">
        <f ca="1">IFERROR(__xludf.DUMMYFUNCTION("""COMPUTED_VALUE"""),0)</f>
        <v>0</v>
      </c>
      <c r="F742" s="23">
        <f ca="1">IFERROR(__xludf.DUMMYFUNCTION("""COMPUTED_VALUE"""),0)</f>
        <v>0</v>
      </c>
      <c r="G742" s="23">
        <f ca="1">IFERROR(__xludf.DUMMYFUNCTION("""COMPUTED_VALUE"""),0)</f>
        <v>0</v>
      </c>
      <c r="H742" s="23">
        <f ca="1">IFERROR(__xludf.DUMMYFUNCTION("""COMPUTED_VALUE"""),0)</f>
        <v>0</v>
      </c>
      <c r="I742" s="23">
        <f ca="1">IFERROR(__xludf.DUMMYFUNCTION("""COMPUTED_VALUE"""),0)</f>
        <v>0</v>
      </c>
      <c r="J742" s="23">
        <f ca="1">IFERROR(__xludf.DUMMYFUNCTION("""COMPUTED_VALUE"""),0)</f>
        <v>0</v>
      </c>
      <c r="K742" s="23">
        <f ca="1">IFERROR(__xludf.DUMMYFUNCTION("""COMPUTED_VALUE"""),0)</f>
        <v>0</v>
      </c>
      <c r="L742" s="23">
        <f ca="1">IFERROR(__xludf.DUMMYFUNCTION("""COMPUTED_VALUE"""),0)</f>
        <v>0</v>
      </c>
      <c r="M742" s="23">
        <f ca="1">IFERROR(__xludf.DUMMYFUNCTION("""COMPUTED_VALUE"""),0)</f>
        <v>0</v>
      </c>
      <c r="N742" s="23">
        <f ca="1">IFERROR(__xludf.DUMMYFUNCTION("""COMPUTED_VALUE"""),0)</f>
        <v>0</v>
      </c>
      <c r="O742" s="23">
        <f ca="1">IFERROR(__xludf.DUMMYFUNCTION("""COMPUTED_VALUE"""),0)</f>
        <v>0</v>
      </c>
      <c r="P742" s="23">
        <f ca="1">IFERROR(__xludf.DUMMYFUNCTION("""COMPUTED_VALUE"""),0)</f>
        <v>0</v>
      </c>
      <c r="Q742" s="24">
        <f ca="1">IFERROR(__xludf.DUMMYFUNCTION("""COMPUTED_VALUE"""),0)</f>
        <v>0</v>
      </c>
      <c r="R742" s="20"/>
    </row>
    <row r="743" spans="1:18" ht="13.2" hidden="1" outlineLevel="1" x14ac:dyDescent="0.25">
      <c r="A743" s="1"/>
      <c r="B743" s="21" t="str">
        <f ca="1">IFERROR(__xludf.DUMMYFUNCTION("""COMPUTED_VALUE"""),"Gas licuado de petróleo")</f>
        <v>Gas licuado de petróleo</v>
      </c>
      <c r="C743" s="22">
        <f ca="1">IFERROR(__xludf.DUMMYFUNCTION("""COMPUTED_VALUE"""),0)</f>
        <v>0</v>
      </c>
      <c r="D743" s="23">
        <f ca="1">IFERROR(__xludf.DUMMYFUNCTION("""COMPUTED_VALUE"""),0)</f>
        <v>0</v>
      </c>
      <c r="E743" s="23">
        <f ca="1">IFERROR(__xludf.DUMMYFUNCTION("""COMPUTED_VALUE"""),0)</f>
        <v>0</v>
      </c>
      <c r="F743" s="23">
        <f ca="1">IFERROR(__xludf.DUMMYFUNCTION("""COMPUTED_VALUE"""),0)</f>
        <v>0</v>
      </c>
      <c r="G743" s="23">
        <f ca="1">IFERROR(__xludf.DUMMYFUNCTION("""COMPUTED_VALUE"""),0)</f>
        <v>0</v>
      </c>
      <c r="H743" s="23">
        <f ca="1">IFERROR(__xludf.DUMMYFUNCTION("""COMPUTED_VALUE"""),0)</f>
        <v>0</v>
      </c>
      <c r="I743" s="23">
        <f ca="1">IFERROR(__xludf.DUMMYFUNCTION("""COMPUTED_VALUE"""),0)</f>
        <v>0</v>
      </c>
      <c r="J743" s="23">
        <f ca="1">IFERROR(__xludf.DUMMYFUNCTION("""COMPUTED_VALUE"""),0)</f>
        <v>0</v>
      </c>
      <c r="K743" s="23">
        <f ca="1">IFERROR(__xludf.DUMMYFUNCTION("""COMPUTED_VALUE"""),0)</f>
        <v>0</v>
      </c>
      <c r="L743" s="23">
        <f ca="1">IFERROR(__xludf.DUMMYFUNCTION("""COMPUTED_VALUE"""),0)</f>
        <v>0</v>
      </c>
      <c r="M743" s="23">
        <f ca="1">IFERROR(__xludf.DUMMYFUNCTION("""COMPUTED_VALUE"""),0)</f>
        <v>0</v>
      </c>
      <c r="N743" s="23">
        <f ca="1">IFERROR(__xludf.DUMMYFUNCTION("""COMPUTED_VALUE"""),0)</f>
        <v>0</v>
      </c>
      <c r="O743" s="23">
        <f ca="1">IFERROR(__xludf.DUMMYFUNCTION("""COMPUTED_VALUE"""),0)</f>
        <v>0</v>
      </c>
      <c r="P743" s="23">
        <f ca="1">IFERROR(__xludf.DUMMYFUNCTION("""COMPUTED_VALUE"""),0)</f>
        <v>0</v>
      </c>
      <c r="Q743" s="24">
        <f ca="1">IFERROR(__xludf.DUMMYFUNCTION("""COMPUTED_VALUE"""),0)</f>
        <v>0</v>
      </c>
      <c r="R743" s="20"/>
    </row>
    <row r="744" spans="1:18" ht="13.2" hidden="1" outlineLevel="1" x14ac:dyDescent="0.25">
      <c r="A744" s="1"/>
      <c r="B744" s="21" t="str">
        <f ca="1">IFERROR(__xludf.DUMMYFUNCTION("""COMPUTED_VALUE"""),"Gasolinas y naftas")</f>
        <v>Gasolinas y naftas</v>
      </c>
      <c r="C744" s="22">
        <f ca="1">IFERROR(__xludf.DUMMYFUNCTION("""COMPUTED_VALUE"""),0)</f>
        <v>0</v>
      </c>
      <c r="D744" s="23">
        <f ca="1">IFERROR(__xludf.DUMMYFUNCTION("""COMPUTED_VALUE"""),0)</f>
        <v>0</v>
      </c>
      <c r="E744" s="23">
        <f ca="1">IFERROR(__xludf.DUMMYFUNCTION("""COMPUTED_VALUE"""),0)</f>
        <v>0</v>
      </c>
      <c r="F744" s="23">
        <f ca="1">IFERROR(__xludf.DUMMYFUNCTION("""COMPUTED_VALUE"""),0)</f>
        <v>0</v>
      </c>
      <c r="G744" s="23">
        <f ca="1">IFERROR(__xludf.DUMMYFUNCTION("""COMPUTED_VALUE"""),0)</f>
        <v>0</v>
      </c>
      <c r="H744" s="23">
        <f ca="1">IFERROR(__xludf.DUMMYFUNCTION("""COMPUTED_VALUE"""),0)</f>
        <v>0</v>
      </c>
      <c r="I744" s="23">
        <f ca="1">IFERROR(__xludf.DUMMYFUNCTION("""COMPUTED_VALUE"""),0)</f>
        <v>0</v>
      </c>
      <c r="J744" s="23">
        <f ca="1">IFERROR(__xludf.DUMMYFUNCTION("""COMPUTED_VALUE"""),0)</f>
        <v>0</v>
      </c>
      <c r="K744" s="23">
        <f ca="1">IFERROR(__xludf.DUMMYFUNCTION("""COMPUTED_VALUE"""),0)</f>
        <v>0</v>
      </c>
      <c r="L744" s="23">
        <f ca="1">IFERROR(__xludf.DUMMYFUNCTION("""COMPUTED_VALUE"""),0)</f>
        <v>0</v>
      </c>
      <c r="M744" s="23">
        <f ca="1">IFERROR(__xludf.DUMMYFUNCTION("""COMPUTED_VALUE"""),0)</f>
        <v>0</v>
      </c>
      <c r="N744" s="23">
        <f ca="1">IFERROR(__xludf.DUMMYFUNCTION("""COMPUTED_VALUE"""),0)</f>
        <v>0</v>
      </c>
      <c r="O744" s="23">
        <f ca="1">IFERROR(__xludf.DUMMYFUNCTION("""COMPUTED_VALUE"""),0)</f>
        <v>0</v>
      </c>
      <c r="P744" s="23">
        <f ca="1">IFERROR(__xludf.DUMMYFUNCTION("""COMPUTED_VALUE"""),0)</f>
        <v>0</v>
      </c>
      <c r="Q744" s="24">
        <f ca="1">IFERROR(__xludf.DUMMYFUNCTION("""COMPUTED_VALUE"""),0)</f>
        <v>0</v>
      </c>
      <c r="R744" s="20"/>
    </row>
    <row r="745" spans="1:18" ht="13.2" hidden="1" outlineLevel="1" x14ac:dyDescent="0.25">
      <c r="A745" s="1"/>
      <c r="B745" s="21" t="str">
        <f ca="1">IFERROR(__xludf.DUMMYFUNCTION("""COMPUTED_VALUE"""),"Querosenos")</f>
        <v>Querosenos</v>
      </c>
      <c r="C745" s="22">
        <f ca="1">IFERROR(__xludf.DUMMYFUNCTION("""COMPUTED_VALUE"""),0)</f>
        <v>0</v>
      </c>
      <c r="D745" s="23">
        <f ca="1">IFERROR(__xludf.DUMMYFUNCTION("""COMPUTED_VALUE"""),0)</f>
        <v>0</v>
      </c>
      <c r="E745" s="23">
        <f ca="1">IFERROR(__xludf.DUMMYFUNCTION("""COMPUTED_VALUE"""),0)</f>
        <v>0</v>
      </c>
      <c r="F745" s="23">
        <f ca="1">IFERROR(__xludf.DUMMYFUNCTION("""COMPUTED_VALUE"""),0)</f>
        <v>0</v>
      </c>
      <c r="G745" s="23">
        <f ca="1">IFERROR(__xludf.DUMMYFUNCTION("""COMPUTED_VALUE"""),0)</f>
        <v>0</v>
      </c>
      <c r="H745" s="23">
        <f ca="1">IFERROR(__xludf.DUMMYFUNCTION("""COMPUTED_VALUE"""),0)</f>
        <v>0</v>
      </c>
      <c r="I745" s="23">
        <f ca="1">IFERROR(__xludf.DUMMYFUNCTION("""COMPUTED_VALUE"""),0)</f>
        <v>0</v>
      </c>
      <c r="J745" s="23">
        <f ca="1">IFERROR(__xludf.DUMMYFUNCTION("""COMPUTED_VALUE"""),0)</f>
        <v>0</v>
      </c>
      <c r="K745" s="23">
        <f ca="1">IFERROR(__xludf.DUMMYFUNCTION("""COMPUTED_VALUE"""),0)</f>
        <v>0</v>
      </c>
      <c r="L745" s="23">
        <f ca="1">IFERROR(__xludf.DUMMYFUNCTION("""COMPUTED_VALUE"""),0)</f>
        <v>0</v>
      </c>
      <c r="M745" s="23">
        <f ca="1">IFERROR(__xludf.DUMMYFUNCTION("""COMPUTED_VALUE"""),0)</f>
        <v>0</v>
      </c>
      <c r="N745" s="23">
        <f ca="1">IFERROR(__xludf.DUMMYFUNCTION("""COMPUTED_VALUE"""),0)</f>
        <v>0</v>
      </c>
      <c r="O745" s="23">
        <f ca="1">IFERROR(__xludf.DUMMYFUNCTION("""COMPUTED_VALUE"""),0)</f>
        <v>0</v>
      </c>
      <c r="P745" s="23">
        <f ca="1">IFERROR(__xludf.DUMMYFUNCTION("""COMPUTED_VALUE"""),0)</f>
        <v>0</v>
      </c>
      <c r="Q745" s="24">
        <f ca="1">IFERROR(__xludf.DUMMYFUNCTION("""COMPUTED_VALUE"""),0)</f>
        <v>0</v>
      </c>
      <c r="R745" s="20"/>
    </row>
    <row r="746" spans="1:18" ht="13.2" hidden="1" outlineLevel="1" x14ac:dyDescent="0.25">
      <c r="A746" s="1"/>
      <c r="B746" s="21" t="str">
        <f ca="1">IFERROR(__xludf.DUMMYFUNCTION("""COMPUTED_VALUE"""),"Diesel")</f>
        <v>Diesel</v>
      </c>
      <c r="C746" s="22">
        <f ca="1">IFERROR(__xludf.DUMMYFUNCTION("""COMPUTED_VALUE"""),0)</f>
        <v>0</v>
      </c>
      <c r="D746" s="23">
        <f ca="1">IFERROR(__xludf.DUMMYFUNCTION("""COMPUTED_VALUE"""),0)</f>
        <v>0</v>
      </c>
      <c r="E746" s="23">
        <f ca="1">IFERROR(__xludf.DUMMYFUNCTION("""COMPUTED_VALUE"""),0)</f>
        <v>0</v>
      </c>
      <c r="F746" s="23">
        <f ca="1">IFERROR(__xludf.DUMMYFUNCTION("""COMPUTED_VALUE"""),0)</f>
        <v>0</v>
      </c>
      <c r="G746" s="23">
        <f ca="1">IFERROR(__xludf.DUMMYFUNCTION("""COMPUTED_VALUE"""),0)</f>
        <v>0</v>
      </c>
      <c r="H746" s="23">
        <f ca="1">IFERROR(__xludf.DUMMYFUNCTION("""COMPUTED_VALUE"""),0)</f>
        <v>0</v>
      </c>
      <c r="I746" s="23">
        <f ca="1">IFERROR(__xludf.DUMMYFUNCTION("""COMPUTED_VALUE"""),0)</f>
        <v>0</v>
      </c>
      <c r="J746" s="23">
        <f ca="1">IFERROR(__xludf.DUMMYFUNCTION("""COMPUTED_VALUE"""),0)</f>
        <v>0</v>
      </c>
      <c r="K746" s="23">
        <f ca="1">IFERROR(__xludf.DUMMYFUNCTION("""COMPUTED_VALUE"""),0)</f>
        <v>0</v>
      </c>
      <c r="L746" s="23">
        <f ca="1">IFERROR(__xludf.DUMMYFUNCTION("""COMPUTED_VALUE"""),0)</f>
        <v>0</v>
      </c>
      <c r="M746" s="23">
        <f ca="1">IFERROR(__xludf.DUMMYFUNCTION("""COMPUTED_VALUE"""),0)</f>
        <v>0</v>
      </c>
      <c r="N746" s="23">
        <f ca="1">IFERROR(__xludf.DUMMYFUNCTION("""COMPUTED_VALUE"""),0)</f>
        <v>0</v>
      </c>
      <c r="O746" s="23">
        <f ca="1">IFERROR(__xludf.DUMMYFUNCTION("""COMPUTED_VALUE"""),0)</f>
        <v>0</v>
      </c>
      <c r="P746" s="23">
        <f ca="1">IFERROR(__xludf.DUMMYFUNCTION("""COMPUTED_VALUE"""),0)</f>
        <v>0</v>
      </c>
      <c r="Q746" s="24">
        <f ca="1">IFERROR(__xludf.DUMMYFUNCTION("""COMPUTED_VALUE"""),0)</f>
        <v>0</v>
      </c>
      <c r="R746" s="20"/>
    </row>
    <row r="747" spans="1:18" ht="13.2" hidden="1" outlineLevel="1" x14ac:dyDescent="0.25">
      <c r="A747" s="1"/>
      <c r="B747" s="21" t="str">
        <f ca="1">IFERROR(__xludf.DUMMYFUNCTION("""COMPUTED_VALUE"""),"Combustóleo")</f>
        <v>Combustóleo</v>
      </c>
      <c r="C747" s="22">
        <f ca="1">IFERROR(__xludf.DUMMYFUNCTION("""COMPUTED_VALUE"""),0)</f>
        <v>0</v>
      </c>
      <c r="D747" s="23">
        <f ca="1">IFERROR(__xludf.DUMMYFUNCTION("""COMPUTED_VALUE"""),0)</f>
        <v>0</v>
      </c>
      <c r="E747" s="23">
        <f ca="1">IFERROR(__xludf.DUMMYFUNCTION("""COMPUTED_VALUE"""),0)</f>
        <v>0</v>
      </c>
      <c r="F747" s="23">
        <f ca="1">IFERROR(__xludf.DUMMYFUNCTION("""COMPUTED_VALUE"""),0)</f>
        <v>0</v>
      </c>
      <c r="G747" s="23">
        <f ca="1">IFERROR(__xludf.DUMMYFUNCTION("""COMPUTED_VALUE"""),0)</f>
        <v>0</v>
      </c>
      <c r="H747" s="23">
        <f ca="1">IFERROR(__xludf.DUMMYFUNCTION("""COMPUTED_VALUE"""),0)</f>
        <v>0</v>
      </c>
      <c r="I747" s="23">
        <f ca="1">IFERROR(__xludf.DUMMYFUNCTION("""COMPUTED_VALUE"""),0)</f>
        <v>0</v>
      </c>
      <c r="J747" s="23">
        <f ca="1">IFERROR(__xludf.DUMMYFUNCTION("""COMPUTED_VALUE"""),0)</f>
        <v>0</v>
      </c>
      <c r="K747" s="23">
        <f ca="1">IFERROR(__xludf.DUMMYFUNCTION("""COMPUTED_VALUE"""),0)</f>
        <v>0</v>
      </c>
      <c r="L747" s="23">
        <f ca="1">IFERROR(__xludf.DUMMYFUNCTION("""COMPUTED_VALUE"""),0)</f>
        <v>0</v>
      </c>
      <c r="M747" s="23">
        <f ca="1">IFERROR(__xludf.DUMMYFUNCTION("""COMPUTED_VALUE"""),0)</f>
        <v>0</v>
      </c>
      <c r="N747" s="23">
        <f ca="1">IFERROR(__xludf.DUMMYFUNCTION("""COMPUTED_VALUE"""),0)</f>
        <v>0</v>
      </c>
      <c r="O747" s="23">
        <f ca="1">IFERROR(__xludf.DUMMYFUNCTION("""COMPUTED_VALUE"""),0)</f>
        <v>0</v>
      </c>
      <c r="P747" s="23">
        <f ca="1">IFERROR(__xludf.DUMMYFUNCTION("""COMPUTED_VALUE"""),0)</f>
        <v>0</v>
      </c>
      <c r="Q747" s="24">
        <f ca="1">IFERROR(__xludf.DUMMYFUNCTION("""COMPUTED_VALUE"""),0)</f>
        <v>0</v>
      </c>
      <c r="R747" s="20"/>
    </row>
    <row r="748" spans="1:18" ht="13.2" hidden="1" outlineLevel="1" x14ac:dyDescent="0.25">
      <c r="A748" s="1"/>
      <c r="B748" s="21" t="str">
        <f ca="1">IFERROR(__xludf.DUMMYFUNCTION("""COMPUTED_VALUE"""),"Otros energéticos")</f>
        <v>Otros energéticos</v>
      </c>
      <c r="C748" s="22">
        <f ca="1">IFERROR(__xludf.DUMMYFUNCTION("""COMPUTED_VALUE"""),0)</f>
        <v>0</v>
      </c>
      <c r="D748" s="23">
        <f ca="1">IFERROR(__xludf.DUMMYFUNCTION("""COMPUTED_VALUE"""),0)</f>
        <v>0</v>
      </c>
      <c r="E748" s="23">
        <f ca="1">IFERROR(__xludf.DUMMYFUNCTION("""COMPUTED_VALUE"""),0)</f>
        <v>0</v>
      </c>
      <c r="F748" s="23">
        <f ca="1">IFERROR(__xludf.DUMMYFUNCTION("""COMPUTED_VALUE"""),0)</f>
        <v>0</v>
      </c>
      <c r="G748" s="23">
        <f ca="1">IFERROR(__xludf.DUMMYFUNCTION("""COMPUTED_VALUE"""),0)</f>
        <v>0</v>
      </c>
      <c r="H748" s="23">
        <f ca="1">IFERROR(__xludf.DUMMYFUNCTION("""COMPUTED_VALUE"""),0)</f>
        <v>0</v>
      </c>
      <c r="I748" s="23">
        <f ca="1">IFERROR(__xludf.DUMMYFUNCTION("""COMPUTED_VALUE"""),0)</f>
        <v>0</v>
      </c>
      <c r="J748" s="23">
        <f ca="1">IFERROR(__xludf.DUMMYFUNCTION("""COMPUTED_VALUE"""),0)</f>
        <v>0</v>
      </c>
      <c r="K748" s="23">
        <f ca="1">IFERROR(__xludf.DUMMYFUNCTION("""COMPUTED_VALUE"""),0)</f>
        <v>0</v>
      </c>
      <c r="L748" s="23">
        <f ca="1">IFERROR(__xludf.DUMMYFUNCTION("""COMPUTED_VALUE"""),0)</f>
        <v>0</v>
      </c>
      <c r="M748" s="23">
        <f ca="1">IFERROR(__xludf.DUMMYFUNCTION("""COMPUTED_VALUE"""),0)</f>
        <v>0</v>
      </c>
      <c r="N748" s="23">
        <f ca="1">IFERROR(__xludf.DUMMYFUNCTION("""COMPUTED_VALUE"""),0)</f>
        <v>0</v>
      </c>
      <c r="O748" s="23">
        <f ca="1">IFERROR(__xludf.DUMMYFUNCTION("""COMPUTED_VALUE"""),0)</f>
        <v>0</v>
      </c>
      <c r="P748" s="23">
        <f ca="1">IFERROR(__xludf.DUMMYFUNCTION("""COMPUTED_VALUE"""),0)</f>
        <v>0</v>
      </c>
      <c r="Q748" s="24">
        <f ca="1">IFERROR(__xludf.DUMMYFUNCTION("""COMPUTED_VALUE"""),0)</f>
        <v>0</v>
      </c>
      <c r="R748" s="20"/>
    </row>
    <row r="749" spans="1:18" ht="13.2" hidden="1" outlineLevel="1" x14ac:dyDescent="0.25">
      <c r="A749" s="1"/>
      <c r="B749" s="21" t="str">
        <f ca="1">IFERROR(__xludf.DUMMYFUNCTION("""COMPUTED_VALUE"""),"Gas natural seco")</f>
        <v>Gas natural seco</v>
      </c>
      <c r="C749" s="22">
        <f ca="1">IFERROR(__xludf.DUMMYFUNCTION("""COMPUTED_VALUE"""),0)</f>
        <v>0</v>
      </c>
      <c r="D749" s="23">
        <f ca="1">IFERROR(__xludf.DUMMYFUNCTION("""COMPUTED_VALUE"""),0)</f>
        <v>0</v>
      </c>
      <c r="E749" s="23">
        <f ca="1">IFERROR(__xludf.DUMMYFUNCTION("""COMPUTED_VALUE"""),0)</f>
        <v>0</v>
      </c>
      <c r="F749" s="23">
        <f ca="1">IFERROR(__xludf.DUMMYFUNCTION("""COMPUTED_VALUE"""),0)</f>
        <v>0</v>
      </c>
      <c r="G749" s="23">
        <f ca="1">IFERROR(__xludf.DUMMYFUNCTION("""COMPUTED_VALUE"""),0)</f>
        <v>0</v>
      </c>
      <c r="H749" s="23">
        <f ca="1">IFERROR(__xludf.DUMMYFUNCTION("""COMPUTED_VALUE"""),0)</f>
        <v>0</v>
      </c>
      <c r="I749" s="23">
        <f ca="1">IFERROR(__xludf.DUMMYFUNCTION("""COMPUTED_VALUE"""),0)</f>
        <v>0</v>
      </c>
      <c r="J749" s="23">
        <f ca="1">IFERROR(__xludf.DUMMYFUNCTION("""COMPUTED_VALUE"""),0)</f>
        <v>0</v>
      </c>
      <c r="K749" s="23">
        <f ca="1">IFERROR(__xludf.DUMMYFUNCTION("""COMPUTED_VALUE"""),0)</f>
        <v>0</v>
      </c>
      <c r="L749" s="23">
        <f ca="1">IFERROR(__xludf.DUMMYFUNCTION("""COMPUTED_VALUE"""),0)</f>
        <v>0</v>
      </c>
      <c r="M749" s="23">
        <f ca="1">IFERROR(__xludf.DUMMYFUNCTION("""COMPUTED_VALUE"""),0)</f>
        <v>0</v>
      </c>
      <c r="N749" s="23">
        <f ca="1">IFERROR(__xludf.DUMMYFUNCTION("""COMPUTED_VALUE"""),0)</f>
        <v>0</v>
      </c>
      <c r="O749" s="23">
        <f ca="1">IFERROR(__xludf.DUMMYFUNCTION("""COMPUTED_VALUE"""),0)</f>
        <v>0</v>
      </c>
      <c r="P749" s="23">
        <f ca="1">IFERROR(__xludf.DUMMYFUNCTION("""COMPUTED_VALUE"""),0)</f>
        <v>0</v>
      </c>
      <c r="Q749" s="24">
        <f ca="1">IFERROR(__xludf.DUMMYFUNCTION("""COMPUTED_VALUE"""),0)</f>
        <v>0</v>
      </c>
      <c r="R749" s="20"/>
    </row>
    <row r="750" spans="1:18" ht="13.2" hidden="1" outlineLevel="1" x14ac:dyDescent="0.25">
      <c r="A750" s="1"/>
      <c r="B750" s="25" t="str">
        <f ca="1">IFERROR(__xludf.DUMMYFUNCTION("""COMPUTED_VALUE"""),"Energía eléctrica")</f>
        <v>Energía eléctrica</v>
      </c>
      <c r="C750" s="26">
        <f ca="1">IFERROR(__xludf.DUMMYFUNCTION("""COMPUTED_VALUE"""),-43.15)</f>
        <v>-43.15</v>
      </c>
      <c r="D750" s="27">
        <f ca="1">IFERROR(__xludf.DUMMYFUNCTION("""COMPUTED_VALUE"""),-46.1)</f>
        <v>-46.1</v>
      </c>
      <c r="E750" s="27">
        <f ca="1">IFERROR(__xludf.DUMMYFUNCTION("""COMPUTED_VALUE"""),-46.11)</f>
        <v>-46.11</v>
      </c>
      <c r="F750" s="27">
        <f ca="1">IFERROR(__xludf.DUMMYFUNCTION("""COMPUTED_VALUE"""),-46.03)</f>
        <v>-46.03</v>
      </c>
      <c r="G750" s="27">
        <f ca="1">IFERROR(__xludf.DUMMYFUNCTION("""COMPUTED_VALUE"""),-46.21)</f>
        <v>-46.21</v>
      </c>
      <c r="H750" s="27">
        <f ca="1">IFERROR(__xludf.DUMMYFUNCTION("""COMPUTED_VALUE"""),-48.09)</f>
        <v>-48.09</v>
      </c>
      <c r="I750" s="27">
        <f ca="1">IFERROR(__xludf.DUMMYFUNCTION("""COMPUTED_VALUE"""),-48.7467)</f>
        <v>-48.746699999999997</v>
      </c>
      <c r="J750" s="27">
        <f ca="1">IFERROR(__xludf.DUMMYFUNCTION("""COMPUTED_VALUE"""),-51.44)</f>
        <v>-51.44</v>
      </c>
      <c r="K750" s="27">
        <f ca="1">IFERROR(__xludf.DUMMYFUNCTION("""COMPUTED_VALUE"""),-54.2)</f>
        <v>-54.2</v>
      </c>
      <c r="L750" s="27">
        <f ca="1">IFERROR(__xludf.DUMMYFUNCTION("""COMPUTED_VALUE"""),-59.3603999525116)</f>
        <v>-59.3603999525116</v>
      </c>
      <c r="M750" s="27">
        <f ca="1">IFERROR(__xludf.DUMMYFUNCTION("""COMPUTED_VALUE"""),-64.5875999483299)</f>
        <v>-64.587599948329895</v>
      </c>
      <c r="N750" s="27">
        <f ca="1">IFERROR(__xludf.DUMMYFUNCTION("""COMPUTED_VALUE"""),-66.1499999470799)</f>
        <v>-66.149999947079905</v>
      </c>
      <c r="O750" s="27">
        <f ca="1">IFERROR(__xludf.DUMMYFUNCTION("""COMPUTED_VALUE"""),-63.5508278131594)</f>
        <v>-63.550827813159401</v>
      </c>
      <c r="P750" s="27">
        <f ca="1">IFERROR(__xludf.DUMMYFUNCTION("""COMPUTED_VALUE"""),-63.3212010249428)</f>
        <v>-63.321201024942802</v>
      </c>
      <c r="Q750" s="28">
        <f ca="1">IFERROR(__xludf.DUMMYFUNCTION("""COMPUTED_VALUE"""),-65.126244933099)</f>
        <v>-65.126244933099002</v>
      </c>
      <c r="R750" s="20"/>
    </row>
    <row r="751" spans="1:18" ht="13.2" hidden="1" outlineLevel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0"/>
    </row>
    <row r="752" spans="1:18" ht="13.2" collapsed="1" x14ac:dyDescent="0.25">
      <c r="A752" s="4"/>
      <c r="B752" s="5" t="str">
        <f ca="1">IFERROR(__xludf.DUMMYFUNCTION("""COMPUTED_VALUE"""),"Con.Fin.Total(e,a)")</f>
        <v>Con.Fin.Total(e,a)</v>
      </c>
      <c r="C752" s="6" t="str">
        <f ca="1">IFERROR(__xludf.DUMMYFUNCTION("""COMPUTED_VALUE"""),"/+")</f>
        <v>/+</v>
      </c>
      <c r="D752" s="7" t="str">
        <f ca="1">IFERROR(__xludf.DUMMYFUNCTION("""COMPUTED_VALUE"""),"Consumo final total")</f>
        <v>Consumo final total</v>
      </c>
      <c r="E752" s="6" t="str">
        <f ca="1">IFERROR(__xludf.DUMMYFUNCTION("""COMPUTED_VALUE"""),"cbne")</f>
        <v>cbne</v>
      </c>
      <c r="F752" s="6" t="str">
        <f ca="1">IFERROR(__xludf.DUMMYFUNCTION("""COMPUTED_VALUE"""),"a")</f>
        <v>a</v>
      </c>
      <c r="G752" s="8" t="str">
        <f ca="1">IFERROR(__xludf.DUMMYFUNCTION("""COMPUTED_VALUE"""),"PJ")</f>
        <v>PJ</v>
      </c>
      <c r="H752" s="9"/>
      <c r="I752" s="1"/>
      <c r="J752" s="1"/>
      <c r="K752" s="1"/>
      <c r="L752" s="1"/>
      <c r="M752" s="1"/>
      <c r="N752" s="1"/>
      <c r="O752" s="1"/>
      <c r="P752" s="1"/>
      <c r="Q752" s="1"/>
      <c r="R752" s="10"/>
    </row>
    <row r="753" spans="1:18" ht="13.2" hidden="1" outlineLevel="1" x14ac:dyDescent="0.25">
      <c r="A753" s="1"/>
      <c r="B753" s="11"/>
      <c r="C753" s="12">
        <f ca="1">IFERROR(__xludf.DUMMYFUNCTION("""COMPUTED_VALUE"""),2010)</f>
        <v>2010</v>
      </c>
      <c r="D753" s="13">
        <f ca="1">IFERROR(__xludf.DUMMYFUNCTION("""COMPUTED_VALUE"""),2011)</f>
        <v>2011</v>
      </c>
      <c r="E753" s="13">
        <f ca="1">IFERROR(__xludf.DUMMYFUNCTION("""COMPUTED_VALUE"""),2012)</f>
        <v>2012</v>
      </c>
      <c r="F753" s="13">
        <f ca="1">IFERROR(__xludf.DUMMYFUNCTION("""COMPUTED_VALUE"""),2013)</f>
        <v>2013</v>
      </c>
      <c r="G753" s="13">
        <f ca="1">IFERROR(__xludf.DUMMYFUNCTION("""COMPUTED_VALUE"""),2014)</f>
        <v>2014</v>
      </c>
      <c r="H753" s="13">
        <f ca="1">IFERROR(__xludf.DUMMYFUNCTION("""COMPUTED_VALUE"""),2015)</f>
        <v>2015</v>
      </c>
      <c r="I753" s="13">
        <f ca="1">IFERROR(__xludf.DUMMYFUNCTION("""COMPUTED_VALUE"""),2016)</f>
        <v>2016</v>
      </c>
      <c r="J753" s="13">
        <f ca="1">IFERROR(__xludf.DUMMYFUNCTION("""COMPUTED_VALUE"""),2017)</f>
        <v>2017</v>
      </c>
      <c r="K753" s="13">
        <f ca="1">IFERROR(__xludf.DUMMYFUNCTION("""COMPUTED_VALUE"""),2018)</f>
        <v>2018</v>
      </c>
      <c r="L753" s="13">
        <f ca="1">IFERROR(__xludf.DUMMYFUNCTION("""COMPUTED_VALUE"""),2019)</f>
        <v>2019</v>
      </c>
      <c r="M753" s="13">
        <f ca="1">IFERROR(__xludf.DUMMYFUNCTION("""COMPUTED_VALUE"""),2020)</f>
        <v>2020</v>
      </c>
      <c r="N753" s="13">
        <f ca="1">IFERROR(__xludf.DUMMYFUNCTION("""COMPUTED_VALUE"""),2021)</f>
        <v>2021</v>
      </c>
      <c r="O753" s="13">
        <f ca="1">IFERROR(__xludf.DUMMYFUNCTION("""COMPUTED_VALUE"""),2022)</f>
        <v>2022</v>
      </c>
      <c r="P753" s="13">
        <f ca="1">IFERROR(__xludf.DUMMYFUNCTION("""COMPUTED_VALUE"""),2023)</f>
        <v>2023</v>
      </c>
      <c r="Q753" s="14">
        <f ca="1">IFERROR(__xludf.DUMMYFUNCTION("""COMPUTED_VALUE"""),2024)</f>
        <v>2024</v>
      </c>
      <c r="R753" s="15"/>
    </row>
    <row r="754" spans="1:18" ht="13.2" hidden="1" outlineLevel="1" x14ac:dyDescent="0.25">
      <c r="A754" s="1"/>
      <c r="B754" s="16" t="str">
        <f ca="1">IFERROR(__xludf.DUMMYFUNCTION("""COMPUTED_VALUE"""),"Carbón mineral")</f>
        <v>Carbón mineral</v>
      </c>
      <c r="C754" s="17">
        <f ca="1">IFERROR(__xludf.DUMMYFUNCTION("""COMPUTED_VALUE"""),160.291749698468)</f>
        <v>160.29174969846801</v>
      </c>
      <c r="D754" s="18">
        <f ca="1">IFERROR(__xludf.DUMMYFUNCTION("""COMPUTED_VALUE"""),260.337551434822)</f>
        <v>260.33755143482199</v>
      </c>
      <c r="E754" s="18">
        <f ca="1">IFERROR(__xludf.DUMMYFUNCTION("""COMPUTED_VALUE"""),122.907581924372)</f>
        <v>122.907581924372</v>
      </c>
      <c r="F754" s="18">
        <f ca="1">IFERROR(__xludf.DUMMYFUNCTION("""COMPUTED_VALUE"""),129.827498372282)</f>
        <v>129.82749837228201</v>
      </c>
      <c r="G754" s="18">
        <f ca="1">IFERROR(__xludf.DUMMYFUNCTION("""COMPUTED_VALUE"""),110.957275451868)</f>
        <v>110.957275451868</v>
      </c>
      <c r="H754" s="18">
        <f ca="1">IFERROR(__xludf.DUMMYFUNCTION("""COMPUTED_VALUE"""),163.212954043836)</f>
        <v>163.21295404383599</v>
      </c>
      <c r="I754" s="18">
        <f ca="1">IFERROR(__xludf.DUMMYFUNCTION("""COMPUTED_VALUE"""),101.180613521828)</f>
        <v>101.18061352182799</v>
      </c>
      <c r="J754" s="18">
        <f ca="1">IFERROR(__xludf.DUMMYFUNCTION("""COMPUTED_VALUE"""),187.15045000421)</f>
        <v>187.15045000421</v>
      </c>
      <c r="K754" s="18">
        <f ca="1">IFERROR(__xludf.DUMMYFUNCTION("""COMPUTED_VALUE"""),139.52732809908)</f>
        <v>139.52732809907999</v>
      </c>
      <c r="L754" s="18">
        <f ca="1">IFERROR(__xludf.DUMMYFUNCTION("""COMPUTED_VALUE"""),148.013963601913)</f>
        <v>148.01396360191299</v>
      </c>
      <c r="M754" s="18">
        <f ca="1">IFERROR(__xludf.DUMMYFUNCTION("""COMPUTED_VALUE"""),186.537793198534)</f>
        <v>186.53779319853399</v>
      </c>
      <c r="N754" s="18">
        <f ca="1">IFERROR(__xludf.DUMMYFUNCTION("""COMPUTED_VALUE"""),221.302804799124)</f>
        <v>221.302804799124</v>
      </c>
      <c r="O754" s="18">
        <f ca="1">IFERROR(__xludf.DUMMYFUNCTION("""COMPUTED_VALUE"""),152.953381925078)</f>
        <v>152.95338192507799</v>
      </c>
      <c r="P754" s="18">
        <f ca="1">IFERROR(__xludf.DUMMYFUNCTION("""COMPUTED_VALUE"""),70.1848411731331)</f>
        <v>70.184841173133094</v>
      </c>
      <c r="Q754" s="19">
        <f ca="1">IFERROR(__xludf.DUMMYFUNCTION("""COMPUTED_VALUE"""),80.0278611914352)</f>
        <v>80.027861191435207</v>
      </c>
      <c r="R754" s="20"/>
    </row>
    <row r="755" spans="1:18" ht="13.2" hidden="1" outlineLevel="1" x14ac:dyDescent="0.25">
      <c r="A755" s="1"/>
      <c r="B755" s="21" t="str">
        <f ca="1">IFERROR(__xludf.DUMMYFUNCTION("""COMPUTED_VALUE"""),"Petróleo crudo")</f>
        <v>Petróleo crudo</v>
      </c>
      <c r="C755" s="22">
        <f ca="1">IFERROR(__xludf.DUMMYFUNCTION("""COMPUTED_VALUE"""),0)</f>
        <v>0</v>
      </c>
      <c r="D755" s="23">
        <f ca="1">IFERROR(__xludf.DUMMYFUNCTION("""COMPUTED_VALUE"""),0)</f>
        <v>0</v>
      </c>
      <c r="E755" s="23">
        <f ca="1">IFERROR(__xludf.DUMMYFUNCTION("""COMPUTED_VALUE"""),0)</f>
        <v>0</v>
      </c>
      <c r="F755" s="23">
        <f ca="1">IFERROR(__xludf.DUMMYFUNCTION("""COMPUTED_VALUE"""),0)</f>
        <v>0</v>
      </c>
      <c r="G755" s="23">
        <f ca="1">IFERROR(__xludf.DUMMYFUNCTION("""COMPUTED_VALUE"""),0)</f>
        <v>0</v>
      </c>
      <c r="H755" s="23">
        <f ca="1">IFERROR(__xludf.DUMMYFUNCTION("""COMPUTED_VALUE"""),0)</f>
        <v>0</v>
      </c>
      <c r="I755" s="23">
        <f ca="1">IFERROR(__xludf.DUMMYFUNCTION("""COMPUTED_VALUE"""),0)</f>
        <v>0</v>
      </c>
      <c r="J755" s="23">
        <f ca="1">IFERROR(__xludf.DUMMYFUNCTION("""COMPUTED_VALUE"""),0)</f>
        <v>0</v>
      </c>
      <c r="K755" s="23">
        <f ca="1">IFERROR(__xludf.DUMMYFUNCTION("""COMPUTED_VALUE"""),0)</f>
        <v>0</v>
      </c>
      <c r="L755" s="23">
        <f ca="1">IFERROR(__xludf.DUMMYFUNCTION("""COMPUTED_VALUE"""),0)</f>
        <v>0</v>
      </c>
      <c r="M755" s="23">
        <f ca="1">IFERROR(__xludf.DUMMYFUNCTION("""COMPUTED_VALUE"""),0)</f>
        <v>0</v>
      </c>
      <c r="N755" s="23">
        <f ca="1">IFERROR(__xludf.DUMMYFUNCTION("""COMPUTED_VALUE"""),0)</f>
        <v>0</v>
      </c>
      <c r="O755" s="23">
        <f ca="1">IFERROR(__xludf.DUMMYFUNCTION("""COMPUTED_VALUE"""),0)</f>
        <v>0</v>
      </c>
      <c r="P755" s="23">
        <f ca="1">IFERROR(__xludf.DUMMYFUNCTION("""COMPUTED_VALUE"""),0)</f>
        <v>0</v>
      </c>
      <c r="Q755" s="24">
        <f ca="1">IFERROR(__xludf.DUMMYFUNCTION("""COMPUTED_VALUE"""),0)</f>
        <v>0</v>
      </c>
      <c r="R755" s="20"/>
    </row>
    <row r="756" spans="1:18" ht="13.2" hidden="1" outlineLevel="1" x14ac:dyDescent="0.25">
      <c r="A756" s="1"/>
      <c r="B756" s="21" t="str">
        <f ca="1">IFERROR(__xludf.DUMMYFUNCTION("""COMPUTED_VALUE"""),"Condensados")</f>
        <v>Condensados</v>
      </c>
      <c r="C756" s="22">
        <f ca="1">IFERROR(__xludf.DUMMYFUNCTION("""COMPUTED_VALUE"""),0)</f>
        <v>0</v>
      </c>
      <c r="D756" s="23">
        <f ca="1">IFERROR(__xludf.DUMMYFUNCTION("""COMPUTED_VALUE"""),0)</f>
        <v>0</v>
      </c>
      <c r="E756" s="23">
        <f ca="1">IFERROR(__xludf.DUMMYFUNCTION("""COMPUTED_VALUE"""),0)</f>
        <v>0</v>
      </c>
      <c r="F756" s="23">
        <f ca="1">IFERROR(__xludf.DUMMYFUNCTION("""COMPUTED_VALUE"""),0)</f>
        <v>0</v>
      </c>
      <c r="G756" s="23">
        <f ca="1">IFERROR(__xludf.DUMMYFUNCTION("""COMPUTED_VALUE"""),0)</f>
        <v>0</v>
      </c>
      <c r="H756" s="23">
        <f ca="1">IFERROR(__xludf.DUMMYFUNCTION("""COMPUTED_VALUE"""),0)</f>
        <v>0</v>
      </c>
      <c r="I756" s="23">
        <f ca="1">IFERROR(__xludf.DUMMYFUNCTION("""COMPUTED_VALUE"""),0)</f>
        <v>0</v>
      </c>
      <c r="J756" s="23">
        <f ca="1">IFERROR(__xludf.DUMMYFUNCTION("""COMPUTED_VALUE"""),0)</f>
        <v>0</v>
      </c>
      <c r="K756" s="23">
        <f ca="1">IFERROR(__xludf.DUMMYFUNCTION("""COMPUTED_VALUE"""),0)</f>
        <v>0</v>
      </c>
      <c r="L756" s="23">
        <f ca="1">IFERROR(__xludf.DUMMYFUNCTION("""COMPUTED_VALUE"""),0)</f>
        <v>0</v>
      </c>
      <c r="M756" s="23">
        <f ca="1">IFERROR(__xludf.DUMMYFUNCTION("""COMPUTED_VALUE"""),0)</f>
        <v>0</v>
      </c>
      <c r="N756" s="23">
        <f ca="1">IFERROR(__xludf.DUMMYFUNCTION("""COMPUTED_VALUE"""),0)</f>
        <v>0</v>
      </c>
      <c r="O756" s="23">
        <f ca="1">IFERROR(__xludf.DUMMYFUNCTION("""COMPUTED_VALUE"""),0)</f>
        <v>0</v>
      </c>
      <c r="P756" s="23">
        <f ca="1">IFERROR(__xludf.DUMMYFUNCTION("""COMPUTED_VALUE"""),0)</f>
        <v>0</v>
      </c>
      <c r="Q756" s="24">
        <f ca="1">IFERROR(__xludf.DUMMYFUNCTION("""COMPUTED_VALUE"""),0)</f>
        <v>0</v>
      </c>
      <c r="R756" s="20"/>
    </row>
    <row r="757" spans="1:18" ht="13.2" hidden="1" outlineLevel="1" x14ac:dyDescent="0.25">
      <c r="A757" s="1"/>
      <c r="B757" s="21" t="str">
        <f ca="1">IFERROR(__xludf.DUMMYFUNCTION("""COMPUTED_VALUE"""),"Gas natural")</f>
        <v>Gas natural</v>
      </c>
      <c r="C757" s="22">
        <f ca="1">IFERROR(__xludf.DUMMYFUNCTION("""COMPUTED_VALUE"""),0)</f>
        <v>0</v>
      </c>
      <c r="D757" s="23">
        <f ca="1">IFERROR(__xludf.DUMMYFUNCTION("""COMPUTED_VALUE"""),0)</f>
        <v>0</v>
      </c>
      <c r="E757" s="23">
        <f ca="1">IFERROR(__xludf.DUMMYFUNCTION("""COMPUTED_VALUE"""),0)</f>
        <v>0</v>
      </c>
      <c r="F757" s="23">
        <f ca="1">IFERROR(__xludf.DUMMYFUNCTION("""COMPUTED_VALUE"""),0)</f>
        <v>0</v>
      </c>
      <c r="G757" s="23">
        <f ca="1">IFERROR(__xludf.DUMMYFUNCTION("""COMPUTED_VALUE"""),0)</f>
        <v>0</v>
      </c>
      <c r="H757" s="23">
        <f ca="1">IFERROR(__xludf.DUMMYFUNCTION("""COMPUTED_VALUE"""),0)</f>
        <v>0</v>
      </c>
      <c r="I757" s="23">
        <f ca="1">IFERROR(__xludf.DUMMYFUNCTION("""COMPUTED_VALUE"""),0)</f>
        <v>0</v>
      </c>
      <c r="J757" s="23">
        <f ca="1">IFERROR(__xludf.DUMMYFUNCTION("""COMPUTED_VALUE"""),0)</f>
        <v>0</v>
      </c>
      <c r="K757" s="23">
        <f ca="1">IFERROR(__xludf.DUMMYFUNCTION("""COMPUTED_VALUE"""),0)</f>
        <v>0</v>
      </c>
      <c r="L757" s="23">
        <f ca="1">IFERROR(__xludf.DUMMYFUNCTION("""COMPUTED_VALUE"""),0)</f>
        <v>0</v>
      </c>
      <c r="M757" s="23">
        <f ca="1">IFERROR(__xludf.DUMMYFUNCTION("""COMPUTED_VALUE"""),0)</f>
        <v>0</v>
      </c>
      <c r="N757" s="23">
        <f ca="1">IFERROR(__xludf.DUMMYFUNCTION("""COMPUTED_VALUE"""),0)</f>
        <v>0</v>
      </c>
      <c r="O757" s="23">
        <f ca="1">IFERROR(__xludf.DUMMYFUNCTION("""COMPUTED_VALUE"""),0)</f>
        <v>0</v>
      </c>
      <c r="P757" s="23">
        <f ca="1">IFERROR(__xludf.DUMMYFUNCTION("""COMPUTED_VALUE"""),0)</f>
        <v>0</v>
      </c>
      <c r="Q757" s="24">
        <f ca="1">IFERROR(__xludf.DUMMYFUNCTION("""COMPUTED_VALUE"""),0)</f>
        <v>0</v>
      </c>
      <c r="R757" s="20"/>
    </row>
    <row r="758" spans="1:18" ht="13.2" hidden="1" outlineLevel="1" x14ac:dyDescent="0.25">
      <c r="A758" s="1"/>
      <c r="B758" s="21" t="str">
        <f ca="1">IFERROR(__xludf.DUMMYFUNCTION("""COMPUTED_VALUE"""),"Energía Nuclear")</f>
        <v>Energía Nuclear</v>
      </c>
      <c r="C758" s="22">
        <f ca="1">IFERROR(__xludf.DUMMYFUNCTION("""COMPUTED_VALUE"""),0)</f>
        <v>0</v>
      </c>
      <c r="D758" s="23">
        <f ca="1">IFERROR(__xludf.DUMMYFUNCTION("""COMPUTED_VALUE"""),0)</f>
        <v>0</v>
      </c>
      <c r="E758" s="23">
        <f ca="1">IFERROR(__xludf.DUMMYFUNCTION("""COMPUTED_VALUE"""),0)</f>
        <v>0</v>
      </c>
      <c r="F758" s="23">
        <f ca="1">IFERROR(__xludf.DUMMYFUNCTION("""COMPUTED_VALUE"""),0)</f>
        <v>0</v>
      </c>
      <c r="G758" s="23">
        <f ca="1">IFERROR(__xludf.DUMMYFUNCTION("""COMPUTED_VALUE"""),0)</f>
        <v>0</v>
      </c>
      <c r="H758" s="23">
        <f ca="1">IFERROR(__xludf.DUMMYFUNCTION("""COMPUTED_VALUE"""),0)</f>
        <v>0</v>
      </c>
      <c r="I758" s="23">
        <f ca="1">IFERROR(__xludf.DUMMYFUNCTION("""COMPUTED_VALUE"""),0)</f>
        <v>0</v>
      </c>
      <c r="J758" s="23">
        <f ca="1">IFERROR(__xludf.DUMMYFUNCTION("""COMPUTED_VALUE"""),0)</f>
        <v>0</v>
      </c>
      <c r="K758" s="23">
        <f ca="1">IFERROR(__xludf.DUMMYFUNCTION("""COMPUTED_VALUE"""),0)</f>
        <v>0</v>
      </c>
      <c r="L758" s="23">
        <f ca="1">IFERROR(__xludf.DUMMYFUNCTION("""COMPUTED_VALUE"""),0)</f>
        <v>0</v>
      </c>
      <c r="M758" s="23">
        <f ca="1">IFERROR(__xludf.DUMMYFUNCTION("""COMPUTED_VALUE"""),0)</f>
        <v>0</v>
      </c>
      <c r="N758" s="23">
        <f ca="1">IFERROR(__xludf.DUMMYFUNCTION("""COMPUTED_VALUE"""),0)</f>
        <v>0</v>
      </c>
      <c r="O758" s="23">
        <f ca="1">IFERROR(__xludf.DUMMYFUNCTION("""COMPUTED_VALUE"""),0)</f>
        <v>0</v>
      </c>
      <c r="P758" s="23">
        <f ca="1">IFERROR(__xludf.DUMMYFUNCTION("""COMPUTED_VALUE"""),0)</f>
        <v>0</v>
      </c>
      <c r="Q758" s="24">
        <f ca="1">IFERROR(__xludf.DUMMYFUNCTION("""COMPUTED_VALUE"""),0)</f>
        <v>0</v>
      </c>
      <c r="R758" s="20"/>
    </row>
    <row r="759" spans="1:18" ht="13.2" hidden="1" outlineLevel="1" x14ac:dyDescent="0.25">
      <c r="A759" s="1"/>
      <c r="B759" s="21" t="str">
        <f ca="1">IFERROR(__xludf.DUMMYFUNCTION("""COMPUTED_VALUE"""),"Energia Hidraúlica")</f>
        <v>Energia Hidraúlica</v>
      </c>
      <c r="C759" s="22">
        <f ca="1">IFERROR(__xludf.DUMMYFUNCTION("""COMPUTED_VALUE"""),0)</f>
        <v>0</v>
      </c>
      <c r="D759" s="23">
        <f ca="1">IFERROR(__xludf.DUMMYFUNCTION("""COMPUTED_VALUE"""),0)</f>
        <v>0</v>
      </c>
      <c r="E759" s="23">
        <f ca="1">IFERROR(__xludf.DUMMYFUNCTION("""COMPUTED_VALUE"""),0)</f>
        <v>0</v>
      </c>
      <c r="F759" s="23">
        <f ca="1">IFERROR(__xludf.DUMMYFUNCTION("""COMPUTED_VALUE"""),0)</f>
        <v>0</v>
      </c>
      <c r="G759" s="23">
        <f ca="1">IFERROR(__xludf.DUMMYFUNCTION("""COMPUTED_VALUE"""),0)</f>
        <v>0</v>
      </c>
      <c r="H759" s="23">
        <f ca="1">IFERROR(__xludf.DUMMYFUNCTION("""COMPUTED_VALUE"""),0)</f>
        <v>0</v>
      </c>
      <c r="I759" s="23">
        <f ca="1">IFERROR(__xludf.DUMMYFUNCTION("""COMPUTED_VALUE"""),0)</f>
        <v>0</v>
      </c>
      <c r="J759" s="23">
        <f ca="1">IFERROR(__xludf.DUMMYFUNCTION("""COMPUTED_VALUE"""),0)</f>
        <v>0</v>
      </c>
      <c r="K759" s="23">
        <f ca="1">IFERROR(__xludf.DUMMYFUNCTION("""COMPUTED_VALUE"""),0)</f>
        <v>0</v>
      </c>
      <c r="L759" s="23">
        <f ca="1">IFERROR(__xludf.DUMMYFUNCTION("""COMPUTED_VALUE"""),0)</f>
        <v>0</v>
      </c>
      <c r="M759" s="23">
        <f ca="1">IFERROR(__xludf.DUMMYFUNCTION("""COMPUTED_VALUE"""),0)</f>
        <v>0</v>
      </c>
      <c r="N759" s="23">
        <f ca="1">IFERROR(__xludf.DUMMYFUNCTION("""COMPUTED_VALUE"""),0)</f>
        <v>0</v>
      </c>
      <c r="O759" s="23">
        <f ca="1">IFERROR(__xludf.DUMMYFUNCTION("""COMPUTED_VALUE"""),0)</f>
        <v>0</v>
      </c>
      <c r="P759" s="23">
        <f ca="1">IFERROR(__xludf.DUMMYFUNCTION("""COMPUTED_VALUE"""),0)</f>
        <v>0</v>
      </c>
      <c r="Q759" s="24">
        <f ca="1">IFERROR(__xludf.DUMMYFUNCTION("""COMPUTED_VALUE"""),0)</f>
        <v>0</v>
      </c>
      <c r="R759" s="20"/>
    </row>
    <row r="760" spans="1:18" ht="13.2" hidden="1" outlineLevel="1" x14ac:dyDescent="0.25">
      <c r="A760" s="1"/>
      <c r="B760" s="21" t="str">
        <f ca="1">IFERROR(__xludf.DUMMYFUNCTION("""COMPUTED_VALUE"""),"Geoenergía")</f>
        <v>Geoenergía</v>
      </c>
      <c r="C760" s="22">
        <f ca="1">IFERROR(__xludf.DUMMYFUNCTION("""COMPUTED_VALUE"""),0)</f>
        <v>0</v>
      </c>
      <c r="D760" s="23">
        <f ca="1">IFERROR(__xludf.DUMMYFUNCTION("""COMPUTED_VALUE"""),0)</f>
        <v>0</v>
      </c>
      <c r="E760" s="23">
        <f ca="1">IFERROR(__xludf.DUMMYFUNCTION("""COMPUTED_VALUE"""),0)</f>
        <v>0</v>
      </c>
      <c r="F760" s="23">
        <f ca="1">IFERROR(__xludf.DUMMYFUNCTION("""COMPUTED_VALUE"""),0)</f>
        <v>0</v>
      </c>
      <c r="G760" s="23">
        <f ca="1">IFERROR(__xludf.DUMMYFUNCTION("""COMPUTED_VALUE"""),0)</f>
        <v>0</v>
      </c>
      <c r="H760" s="23">
        <f ca="1">IFERROR(__xludf.DUMMYFUNCTION("""COMPUTED_VALUE"""),0)</f>
        <v>0</v>
      </c>
      <c r="I760" s="23">
        <f ca="1">IFERROR(__xludf.DUMMYFUNCTION("""COMPUTED_VALUE"""),0)</f>
        <v>0</v>
      </c>
      <c r="J760" s="23">
        <f ca="1">IFERROR(__xludf.DUMMYFUNCTION("""COMPUTED_VALUE"""),0)</f>
        <v>0</v>
      </c>
      <c r="K760" s="23">
        <f ca="1">IFERROR(__xludf.DUMMYFUNCTION("""COMPUTED_VALUE"""),0)</f>
        <v>0</v>
      </c>
      <c r="L760" s="23">
        <f ca="1">IFERROR(__xludf.DUMMYFUNCTION("""COMPUTED_VALUE"""),0)</f>
        <v>0</v>
      </c>
      <c r="M760" s="23">
        <f ca="1">IFERROR(__xludf.DUMMYFUNCTION("""COMPUTED_VALUE"""),0)</f>
        <v>0</v>
      </c>
      <c r="N760" s="23">
        <f ca="1">IFERROR(__xludf.DUMMYFUNCTION("""COMPUTED_VALUE"""),0)</f>
        <v>0</v>
      </c>
      <c r="O760" s="23">
        <f ca="1">IFERROR(__xludf.DUMMYFUNCTION("""COMPUTED_VALUE"""),0)</f>
        <v>0</v>
      </c>
      <c r="P760" s="23">
        <f ca="1">IFERROR(__xludf.DUMMYFUNCTION("""COMPUTED_VALUE"""),0)</f>
        <v>0</v>
      </c>
      <c r="Q760" s="24">
        <f ca="1">IFERROR(__xludf.DUMMYFUNCTION("""COMPUTED_VALUE"""),0)</f>
        <v>0</v>
      </c>
      <c r="R760" s="20"/>
    </row>
    <row r="761" spans="1:18" ht="13.2" hidden="1" outlineLevel="1" x14ac:dyDescent="0.25">
      <c r="A761" s="1"/>
      <c r="B761" s="21" t="str">
        <f ca="1">IFERROR(__xludf.DUMMYFUNCTION("""COMPUTED_VALUE"""),"Energía solar")</f>
        <v>Energía solar</v>
      </c>
      <c r="C761" s="22">
        <f ca="1">IFERROR(__xludf.DUMMYFUNCTION("""COMPUTED_VALUE"""),14.71)</f>
        <v>14.71</v>
      </c>
      <c r="D761" s="23">
        <f ca="1">IFERROR(__xludf.DUMMYFUNCTION("""COMPUTED_VALUE"""),17.15)</f>
        <v>17.149999999999999</v>
      </c>
      <c r="E761" s="23">
        <f ca="1">IFERROR(__xludf.DUMMYFUNCTION("""COMPUTED_VALUE"""),18.74)</f>
        <v>18.739999999999998</v>
      </c>
      <c r="F761" s="23">
        <f ca="1">IFERROR(__xludf.DUMMYFUNCTION("""COMPUTED_VALUE"""),19.61)</f>
        <v>19.61</v>
      </c>
      <c r="G761" s="23">
        <f ca="1">IFERROR(__xludf.DUMMYFUNCTION("""COMPUTED_VALUE"""),22.57)</f>
        <v>22.57</v>
      </c>
      <c r="H761" s="23">
        <f ca="1">IFERROR(__xludf.DUMMYFUNCTION("""COMPUTED_VALUE"""),24.91)</f>
        <v>24.91</v>
      </c>
      <c r="I761" s="23">
        <f ca="1">IFERROR(__xludf.DUMMYFUNCTION("""COMPUTED_VALUE"""),27.12)</f>
        <v>27.12</v>
      </c>
      <c r="J761" s="23">
        <f ca="1">IFERROR(__xludf.DUMMYFUNCTION("""COMPUTED_VALUE"""),29.75)</f>
        <v>29.75</v>
      </c>
      <c r="K761" s="23">
        <f ca="1">IFERROR(__xludf.DUMMYFUNCTION("""COMPUTED_VALUE"""),32.01)</f>
        <v>32.01</v>
      </c>
      <c r="L761" s="23">
        <f ca="1">IFERROR(__xludf.DUMMYFUNCTION("""COMPUTED_VALUE"""),33.92)</f>
        <v>33.92</v>
      </c>
      <c r="M761" s="23">
        <f ca="1">IFERROR(__xludf.DUMMYFUNCTION("""COMPUTED_VALUE"""),34.62)</f>
        <v>34.619999999999997</v>
      </c>
      <c r="N761" s="23">
        <f ca="1">IFERROR(__xludf.DUMMYFUNCTION("""COMPUTED_VALUE"""),37.16)</f>
        <v>37.159999999999997</v>
      </c>
      <c r="O761" s="23">
        <f ca="1">IFERROR(__xludf.DUMMYFUNCTION("""COMPUTED_VALUE"""),39.55)</f>
        <v>39.549999999999997</v>
      </c>
      <c r="P761" s="23">
        <f ca="1">IFERROR(__xludf.DUMMYFUNCTION("""COMPUTED_VALUE"""),42.26)</f>
        <v>42.26</v>
      </c>
      <c r="Q761" s="24">
        <f ca="1">IFERROR(__xludf.DUMMYFUNCTION("""COMPUTED_VALUE"""),46.48)</f>
        <v>46.48</v>
      </c>
      <c r="R761" s="20"/>
    </row>
    <row r="762" spans="1:18" ht="13.2" hidden="1" outlineLevel="1" x14ac:dyDescent="0.25">
      <c r="A762" s="1"/>
      <c r="B762" s="21" t="str">
        <f ca="1">IFERROR(__xludf.DUMMYFUNCTION("""COMPUTED_VALUE"""),"Energía eólica")</f>
        <v>Energía eólica</v>
      </c>
      <c r="C762" s="22">
        <f ca="1">IFERROR(__xludf.DUMMYFUNCTION("""COMPUTED_VALUE"""),0)</f>
        <v>0</v>
      </c>
      <c r="D762" s="23">
        <f ca="1">IFERROR(__xludf.DUMMYFUNCTION("""COMPUTED_VALUE"""),0)</f>
        <v>0</v>
      </c>
      <c r="E762" s="23">
        <f ca="1">IFERROR(__xludf.DUMMYFUNCTION("""COMPUTED_VALUE"""),0)</f>
        <v>0</v>
      </c>
      <c r="F762" s="23">
        <f ca="1">IFERROR(__xludf.DUMMYFUNCTION("""COMPUTED_VALUE"""),0)</f>
        <v>0</v>
      </c>
      <c r="G762" s="23">
        <f ca="1">IFERROR(__xludf.DUMMYFUNCTION("""COMPUTED_VALUE"""),0)</f>
        <v>0</v>
      </c>
      <c r="H762" s="23">
        <f ca="1">IFERROR(__xludf.DUMMYFUNCTION("""COMPUTED_VALUE"""),0)</f>
        <v>0</v>
      </c>
      <c r="I762" s="23">
        <f ca="1">IFERROR(__xludf.DUMMYFUNCTION("""COMPUTED_VALUE"""),0)</f>
        <v>0</v>
      </c>
      <c r="J762" s="23">
        <f ca="1">IFERROR(__xludf.DUMMYFUNCTION("""COMPUTED_VALUE"""),0)</f>
        <v>0</v>
      </c>
      <c r="K762" s="23">
        <f ca="1">IFERROR(__xludf.DUMMYFUNCTION("""COMPUTED_VALUE"""),0)</f>
        <v>0</v>
      </c>
      <c r="L762" s="23">
        <f ca="1">IFERROR(__xludf.DUMMYFUNCTION("""COMPUTED_VALUE"""),0)</f>
        <v>0</v>
      </c>
      <c r="M762" s="23">
        <f ca="1">IFERROR(__xludf.DUMMYFUNCTION("""COMPUTED_VALUE"""),0)</f>
        <v>0</v>
      </c>
      <c r="N762" s="23">
        <f ca="1">IFERROR(__xludf.DUMMYFUNCTION("""COMPUTED_VALUE"""),0)</f>
        <v>0</v>
      </c>
      <c r="O762" s="23">
        <f ca="1">IFERROR(__xludf.DUMMYFUNCTION("""COMPUTED_VALUE"""),0)</f>
        <v>0</v>
      </c>
      <c r="P762" s="23">
        <f ca="1">IFERROR(__xludf.DUMMYFUNCTION("""COMPUTED_VALUE"""),0)</f>
        <v>0</v>
      </c>
      <c r="Q762" s="24">
        <f ca="1">IFERROR(__xludf.DUMMYFUNCTION("""COMPUTED_VALUE"""),0)</f>
        <v>0</v>
      </c>
      <c r="R762" s="20"/>
    </row>
    <row r="763" spans="1:18" ht="13.2" hidden="1" outlineLevel="1" x14ac:dyDescent="0.25">
      <c r="A763" s="1"/>
      <c r="B763" s="21" t="str">
        <f ca="1">IFERROR(__xludf.DUMMYFUNCTION("""COMPUTED_VALUE"""),"Bagazo de caña")</f>
        <v>Bagazo de caña</v>
      </c>
      <c r="C763" s="22">
        <f ca="1">IFERROR(__xludf.DUMMYFUNCTION("""COMPUTED_VALUE"""),51.849896578)</f>
        <v>51.849896577999999</v>
      </c>
      <c r="D763" s="23">
        <f ca="1">IFERROR(__xludf.DUMMYFUNCTION("""COMPUTED_VALUE"""),50.387759172)</f>
        <v>50.387759172000003</v>
      </c>
      <c r="E763" s="23">
        <f ca="1">IFERROR(__xludf.DUMMYFUNCTION("""COMPUTED_VALUE"""),49.0585816299999)</f>
        <v>49.0585816299999</v>
      </c>
      <c r="F763" s="23">
        <f ca="1">IFERROR(__xludf.DUMMYFUNCTION("""COMPUTED_VALUE"""),76.366407306)</f>
        <v>76.366407305999999</v>
      </c>
      <c r="G763" s="23">
        <f ca="1">IFERROR(__xludf.DUMMYFUNCTION("""COMPUTED_VALUE"""),47.525200692)</f>
        <v>47.525200691999999</v>
      </c>
      <c r="H763" s="23">
        <f ca="1">IFERROR(__xludf.DUMMYFUNCTION("""COMPUTED_VALUE"""),42.4909728810364)</f>
        <v>42.490972881036399</v>
      </c>
      <c r="I763" s="23">
        <f ca="1">IFERROR(__xludf.DUMMYFUNCTION("""COMPUTED_VALUE"""),43.3708573203062)</f>
        <v>43.3708573203062</v>
      </c>
      <c r="J763" s="23">
        <f ca="1">IFERROR(__xludf.DUMMYFUNCTION("""COMPUTED_VALUE"""),42.4740836210395)</f>
        <v>42.474083621039497</v>
      </c>
      <c r="K763" s="23">
        <f ca="1">IFERROR(__xludf.DUMMYFUNCTION("""COMPUTED_VALUE"""),42.4679020809803)</f>
        <v>42.467902080980302</v>
      </c>
      <c r="L763" s="23">
        <f ca="1">IFERROR(__xludf.DUMMYFUNCTION("""COMPUTED_VALUE"""),45.4086510181777)</f>
        <v>45.4086510181777</v>
      </c>
      <c r="M763" s="23">
        <f ca="1">IFERROR(__xludf.DUMMYFUNCTION("""COMPUTED_VALUE"""),37.3660336624158)</f>
        <v>37.366033662415802</v>
      </c>
      <c r="N763" s="23">
        <f ca="1">IFERROR(__xludf.DUMMYFUNCTION("""COMPUTED_VALUE"""),40.4182666480347)</f>
        <v>40.418266648034702</v>
      </c>
      <c r="O763" s="23">
        <f ca="1">IFERROR(__xludf.DUMMYFUNCTION("""COMPUTED_VALUE"""),43.7458554529233)</f>
        <v>43.745855452923301</v>
      </c>
      <c r="P763" s="23">
        <f ca="1">IFERROR(__xludf.DUMMYFUNCTION("""COMPUTED_VALUE"""),36.9703337018483)</f>
        <v>36.970333701848297</v>
      </c>
      <c r="Q763" s="24">
        <f ca="1">IFERROR(__xludf.DUMMYFUNCTION("""COMPUTED_VALUE"""),33.2181839290588)</f>
        <v>33.218183929058803</v>
      </c>
      <c r="R763" s="20"/>
    </row>
    <row r="764" spans="1:18" ht="13.2" hidden="1" outlineLevel="1" x14ac:dyDescent="0.25">
      <c r="A764" s="1"/>
      <c r="B764" s="21" t="str">
        <f ca="1">IFERROR(__xludf.DUMMYFUNCTION("""COMPUTED_VALUE"""),"Leña")</f>
        <v>Leña</v>
      </c>
      <c r="C764" s="22">
        <f ca="1">IFERROR(__xludf.DUMMYFUNCTION("""COMPUTED_VALUE"""),138.367582101017)</f>
        <v>138.36758210101701</v>
      </c>
      <c r="D764" s="23">
        <f ca="1">IFERROR(__xludf.DUMMYFUNCTION("""COMPUTED_VALUE"""),137.696178221624)</f>
        <v>137.696178221624</v>
      </c>
      <c r="E764" s="23">
        <f ca="1">IFERROR(__xludf.DUMMYFUNCTION("""COMPUTED_VALUE"""),137.024774342231)</f>
        <v>137.02477434223101</v>
      </c>
      <c r="F764" s="23">
        <f ca="1">IFERROR(__xludf.DUMMYFUNCTION("""COMPUTED_VALUE"""),136.357019396965)</f>
        <v>136.357019396965</v>
      </c>
      <c r="G764" s="23">
        <f ca="1">IFERROR(__xludf.DUMMYFUNCTION("""COMPUTED_VALUE"""),135.685615517572)</f>
        <v>135.68561551757199</v>
      </c>
      <c r="H764" s="23">
        <f ca="1">IFERROR(__xludf.DUMMYFUNCTION("""COMPUTED_VALUE"""),135.010562704052)</f>
        <v>135.01056270405201</v>
      </c>
      <c r="I764" s="23">
        <f ca="1">IFERROR(__xludf.DUMMYFUNCTION("""COMPUTED_VALUE"""),134.339158824659)</f>
        <v>134.33915882465899</v>
      </c>
      <c r="J764" s="23">
        <f ca="1">IFERROR(__xludf.DUMMYFUNCTION("""COMPUTED_VALUE"""),133.667754945265)</f>
        <v>133.66775494526499</v>
      </c>
      <c r="K764" s="23">
        <f ca="1">IFERROR(__xludf.DUMMYFUNCTION("""COMPUTED_VALUE"""),132.999999999999)</f>
        <v>132.99999999999901</v>
      </c>
      <c r="L764" s="23">
        <f ca="1">IFERROR(__xludf.DUMMYFUNCTION("""COMPUTED_VALUE"""),132.324947186479)</f>
        <v>132.32494718647899</v>
      </c>
      <c r="M764" s="23">
        <f ca="1">IFERROR(__xludf.DUMMYFUNCTION("""COMPUTED_VALUE"""),131.653543307086)</f>
        <v>131.65354330708601</v>
      </c>
      <c r="N764" s="23">
        <f ca="1">IFERROR(__xludf.DUMMYFUNCTION("""COMPUTED_VALUE"""),131.095256385634)</f>
        <v>131.095256385634</v>
      </c>
      <c r="O764" s="23">
        <f ca="1">IFERROR(__xludf.DUMMYFUNCTION("""COMPUTED_VALUE"""),130.536969464182)</f>
        <v>130.53696946418199</v>
      </c>
      <c r="P764" s="23">
        <f ca="1">IFERROR(__xludf.DUMMYFUNCTION("""COMPUTED_VALUE"""),129.97868254273)</f>
        <v>129.97868254273001</v>
      </c>
      <c r="Q764" s="24">
        <f ca="1">IFERROR(__xludf.DUMMYFUNCTION("""COMPUTED_VALUE"""),129.420395621279)</f>
        <v>129.420395621279</v>
      </c>
      <c r="R764" s="20"/>
    </row>
    <row r="765" spans="1:18" ht="13.2" hidden="1" outlineLevel="1" x14ac:dyDescent="0.25">
      <c r="A765" s="1"/>
      <c r="B765" s="21" t="str">
        <f ca="1">IFERROR(__xludf.DUMMYFUNCTION("""COMPUTED_VALUE"""),"Biogás")</f>
        <v>Biogás</v>
      </c>
      <c r="C765" s="22">
        <f ca="1">IFERROR(__xludf.DUMMYFUNCTION("""COMPUTED_VALUE"""),0)</f>
        <v>0</v>
      </c>
      <c r="D765" s="23">
        <f ca="1">IFERROR(__xludf.DUMMYFUNCTION("""COMPUTED_VALUE"""),0)</f>
        <v>0</v>
      </c>
      <c r="E765" s="23">
        <f ca="1">IFERROR(__xludf.DUMMYFUNCTION("""COMPUTED_VALUE"""),0)</f>
        <v>0</v>
      </c>
      <c r="F765" s="23">
        <f ca="1">IFERROR(__xludf.DUMMYFUNCTION("""COMPUTED_VALUE"""),0)</f>
        <v>0</v>
      </c>
      <c r="G765" s="23">
        <f ca="1">IFERROR(__xludf.DUMMYFUNCTION("""COMPUTED_VALUE"""),0)</f>
        <v>0</v>
      </c>
      <c r="H765" s="23">
        <f ca="1">IFERROR(__xludf.DUMMYFUNCTION("""COMPUTED_VALUE"""),0)</f>
        <v>0</v>
      </c>
      <c r="I765" s="23">
        <f ca="1">IFERROR(__xludf.DUMMYFUNCTION("""COMPUTED_VALUE"""),0)</f>
        <v>0</v>
      </c>
      <c r="J765" s="23">
        <f ca="1">IFERROR(__xludf.DUMMYFUNCTION("""COMPUTED_VALUE"""),0)</f>
        <v>0</v>
      </c>
      <c r="K765" s="23">
        <f ca="1">IFERROR(__xludf.DUMMYFUNCTION("""COMPUTED_VALUE"""),0)</f>
        <v>0</v>
      </c>
      <c r="L765" s="23">
        <f ca="1">IFERROR(__xludf.DUMMYFUNCTION("""COMPUTED_VALUE"""),0)</f>
        <v>0</v>
      </c>
      <c r="M765" s="23">
        <f ca="1">IFERROR(__xludf.DUMMYFUNCTION("""COMPUTED_VALUE"""),0)</f>
        <v>0</v>
      </c>
      <c r="N765" s="23">
        <f ca="1">IFERROR(__xludf.DUMMYFUNCTION("""COMPUTED_VALUE"""),0)</f>
        <v>0</v>
      </c>
      <c r="O765" s="23">
        <f ca="1">IFERROR(__xludf.DUMMYFUNCTION("""COMPUTED_VALUE"""),0)</f>
        <v>0</v>
      </c>
      <c r="P765" s="23">
        <f ca="1">IFERROR(__xludf.DUMMYFUNCTION("""COMPUTED_VALUE"""),0)</f>
        <v>0</v>
      </c>
      <c r="Q765" s="24">
        <f ca="1">IFERROR(__xludf.DUMMYFUNCTION("""COMPUTED_VALUE"""),0)</f>
        <v>0</v>
      </c>
      <c r="R765" s="20"/>
    </row>
    <row r="766" spans="1:18" ht="13.2" hidden="1" outlineLevel="1" x14ac:dyDescent="0.25">
      <c r="A766" s="1"/>
      <c r="B766" s="21" t="str">
        <f ca="1">IFERROR(__xludf.DUMMYFUNCTION("""COMPUTED_VALUE"""),"Coque de carbón")</f>
        <v>Coque de carbón</v>
      </c>
      <c r="C766" s="22">
        <f ca="1">IFERROR(__xludf.DUMMYFUNCTION("""COMPUTED_VALUE"""),73.131705)</f>
        <v>73.131704999999997</v>
      </c>
      <c r="D766" s="23">
        <f ca="1">IFERROR(__xludf.DUMMYFUNCTION("""COMPUTED_VALUE"""),74.1615081859999)</f>
        <v>74.161508185999907</v>
      </c>
      <c r="E766" s="23">
        <f ca="1">IFERROR(__xludf.DUMMYFUNCTION("""COMPUTED_VALUE"""),79.630705966)</f>
        <v>79.630705965999994</v>
      </c>
      <c r="F766" s="23">
        <f ca="1">IFERROR(__xludf.DUMMYFUNCTION("""COMPUTED_VALUE"""),76.391363594)</f>
        <v>76.391363593999998</v>
      </c>
      <c r="G766" s="23">
        <f ca="1">IFERROR(__xludf.DUMMYFUNCTION("""COMPUTED_VALUE"""),68.8705257315879)</f>
        <v>68.870525731587904</v>
      </c>
      <c r="H766" s="23">
        <f ca="1">IFERROR(__xludf.DUMMYFUNCTION("""COMPUTED_VALUE"""),62.8905662974049)</f>
        <v>62.890566297404902</v>
      </c>
      <c r="I766" s="23">
        <f ca="1">IFERROR(__xludf.DUMMYFUNCTION("""COMPUTED_VALUE"""),63.5135855841319)</f>
        <v>63.513585584131903</v>
      </c>
      <c r="J766" s="23">
        <f ca="1">IFERROR(__xludf.DUMMYFUNCTION("""COMPUTED_VALUE"""),61.1908059182779)</f>
        <v>61.190805918277903</v>
      </c>
      <c r="K766" s="23">
        <f ca="1">IFERROR(__xludf.DUMMYFUNCTION("""COMPUTED_VALUE"""),61.407967010873)</f>
        <v>61.407967010873001</v>
      </c>
      <c r="L766" s="23">
        <f ca="1">IFERROR(__xludf.DUMMYFUNCTION("""COMPUTED_VALUE"""),57.029056340813)</f>
        <v>57.029056340813</v>
      </c>
      <c r="M766" s="23">
        <f ca="1">IFERROR(__xludf.DUMMYFUNCTION("""COMPUTED_VALUE"""),44.557250843698)</f>
        <v>44.557250843698</v>
      </c>
      <c r="N766" s="23">
        <f ca="1">IFERROR(__xludf.DUMMYFUNCTION("""COMPUTED_VALUE"""),48.408891971649)</f>
        <v>48.408891971648998</v>
      </c>
      <c r="O766" s="23">
        <f ca="1">IFERROR(__xludf.DUMMYFUNCTION("""COMPUTED_VALUE"""),42.87200044885)</f>
        <v>42.872000448850002</v>
      </c>
      <c r="P766" s="23">
        <f ca="1">IFERROR(__xludf.DUMMYFUNCTION("""COMPUTED_VALUE"""),18.4121022171549)</f>
        <v>18.412102217154899</v>
      </c>
      <c r="Q766" s="24">
        <f ca="1">IFERROR(__xludf.DUMMYFUNCTION("""COMPUTED_VALUE"""),16.460465758118)</f>
        <v>16.460465758118001</v>
      </c>
      <c r="R766" s="20"/>
    </row>
    <row r="767" spans="1:18" ht="13.2" hidden="1" outlineLevel="1" x14ac:dyDescent="0.25">
      <c r="A767" s="1"/>
      <c r="B767" s="21" t="str">
        <f ca="1">IFERROR(__xludf.DUMMYFUNCTION("""COMPUTED_VALUE"""),"Coque de petróleo")</f>
        <v>Coque de petróleo</v>
      </c>
      <c r="C767" s="22">
        <f ca="1">IFERROR(__xludf.DUMMYFUNCTION("""COMPUTED_VALUE"""),80.313791836)</f>
        <v>80.313791835999993</v>
      </c>
      <c r="D767" s="23">
        <f ca="1">IFERROR(__xludf.DUMMYFUNCTION("""COMPUTED_VALUE"""),109.042681333)</f>
        <v>109.042681333</v>
      </c>
      <c r="E767" s="23">
        <f ca="1">IFERROR(__xludf.DUMMYFUNCTION("""COMPUTED_VALUE"""),90.963662298)</f>
        <v>90.963662298000003</v>
      </c>
      <c r="F767" s="23">
        <f ca="1">IFERROR(__xludf.DUMMYFUNCTION("""COMPUTED_VALUE"""),110.191360187)</f>
        <v>110.191360187</v>
      </c>
      <c r="G767" s="23">
        <f ca="1">IFERROR(__xludf.DUMMYFUNCTION("""COMPUTED_VALUE"""),60.785065299)</f>
        <v>60.785065299000003</v>
      </c>
      <c r="H767" s="23">
        <f ca="1">IFERROR(__xludf.DUMMYFUNCTION("""COMPUTED_VALUE"""),69.694815274)</f>
        <v>69.694815274000007</v>
      </c>
      <c r="I767" s="23">
        <f ca="1">IFERROR(__xludf.DUMMYFUNCTION("""COMPUTED_VALUE"""),42.760435541)</f>
        <v>42.760435541</v>
      </c>
      <c r="J767" s="23">
        <f ca="1">IFERROR(__xludf.DUMMYFUNCTION("""COMPUTED_VALUE"""),55.058182943)</f>
        <v>55.058182942999998</v>
      </c>
      <c r="K767" s="23">
        <f ca="1">IFERROR(__xludf.DUMMYFUNCTION("""COMPUTED_VALUE"""),70.568958517)</f>
        <v>70.568958516999999</v>
      </c>
      <c r="L767" s="23">
        <f ca="1">IFERROR(__xludf.DUMMYFUNCTION("""COMPUTED_VALUE"""),107.453219453)</f>
        <v>107.453219453</v>
      </c>
      <c r="M767" s="23">
        <f ca="1">IFERROR(__xludf.DUMMYFUNCTION("""COMPUTED_VALUE"""),116.552493326)</f>
        <v>116.552493326</v>
      </c>
      <c r="N767" s="23">
        <f ca="1">IFERROR(__xludf.DUMMYFUNCTION("""COMPUTED_VALUE"""),133.005299835)</f>
        <v>133.00529983499999</v>
      </c>
      <c r="O767" s="23">
        <f ca="1">IFERROR(__xludf.DUMMYFUNCTION("""COMPUTED_VALUE"""),141.053466064)</f>
        <v>141.05346606399999</v>
      </c>
      <c r="P767" s="23">
        <f ca="1">IFERROR(__xludf.DUMMYFUNCTION("""COMPUTED_VALUE"""),127.000236626)</f>
        <v>127.000236626</v>
      </c>
      <c r="Q767" s="24">
        <f ca="1">IFERROR(__xludf.DUMMYFUNCTION("""COMPUTED_VALUE"""),126.422357065)</f>
        <v>126.422357065</v>
      </c>
      <c r="R767" s="20"/>
    </row>
    <row r="768" spans="1:18" ht="13.2" hidden="1" outlineLevel="1" x14ac:dyDescent="0.25">
      <c r="A768" s="1"/>
      <c r="B768" s="21" t="str">
        <f ca="1">IFERROR(__xludf.DUMMYFUNCTION("""COMPUTED_VALUE"""),"Gas licuado de petróleo")</f>
        <v>Gas licuado de petróleo</v>
      </c>
      <c r="C768" s="22">
        <f ca="1">IFERROR(__xludf.DUMMYFUNCTION("""COMPUTED_VALUE"""),444.927962908685)</f>
        <v>444.927962908685</v>
      </c>
      <c r="D768" s="23">
        <f ca="1">IFERROR(__xludf.DUMMYFUNCTION("""COMPUTED_VALUE"""),432.379133192805)</f>
        <v>432.379133192805</v>
      </c>
      <c r="E768" s="23">
        <f ca="1">IFERROR(__xludf.DUMMYFUNCTION("""COMPUTED_VALUE"""),428.071023419767)</f>
        <v>428.07102341976702</v>
      </c>
      <c r="F768" s="23">
        <f ca="1">IFERROR(__xludf.DUMMYFUNCTION("""COMPUTED_VALUE"""),417.775370701025)</f>
        <v>417.775370701025</v>
      </c>
      <c r="G768" s="23">
        <f ca="1">IFERROR(__xludf.DUMMYFUNCTION("""COMPUTED_VALUE"""),433.064301753671)</f>
        <v>433.06430175367097</v>
      </c>
      <c r="H768" s="23">
        <f ca="1">IFERROR(__xludf.DUMMYFUNCTION("""COMPUTED_VALUE"""),416.371001369456)</f>
        <v>416.371001369456</v>
      </c>
      <c r="I768" s="23">
        <f ca="1">IFERROR(__xludf.DUMMYFUNCTION("""COMPUTED_VALUE"""),451.922134055033)</f>
        <v>451.92213405503298</v>
      </c>
      <c r="J768" s="23">
        <f ca="1">IFERROR(__xludf.DUMMYFUNCTION("""COMPUTED_VALUE"""),422.07685523406)</f>
        <v>422.07685523406002</v>
      </c>
      <c r="K768" s="23">
        <f ca="1">IFERROR(__xludf.DUMMYFUNCTION("""COMPUTED_VALUE"""),446.02190955989)</f>
        <v>446.02190955988999</v>
      </c>
      <c r="L768" s="23">
        <f ca="1">IFERROR(__xludf.DUMMYFUNCTION("""COMPUTED_VALUE"""),376.146905332202)</f>
        <v>376.14690533220198</v>
      </c>
      <c r="M768" s="23">
        <f ca="1">IFERROR(__xludf.DUMMYFUNCTION("""COMPUTED_VALUE"""),403.586932135721)</f>
        <v>403.58693213572099</v>
      </c>
      <c r="N768" s="23">
        <f ca="1">IFERROR(__xludf.DUMMYFUNCTION("""COMPUTED_VALUE"""),460.561724074574)</f>
        <v>460.56172407457399</v>
      </c>
      <c r="O768" s="23">
        <f ca="1">IFERROR(__xludf.DUMMYFUNCTION("""COMPUTED_VALUE"""),474.841652368229)</f>
        <v>474.84165236822901</v>
      </c>
      <c r="P768" s="23">
        <f ca="1">IFERROR(__xludf.DUMMYFUNCTION("""COMPUTED_VALUE"""),480.070920219114)</f>
        <v>480.07092021911399</v>
      </c>
      <c r="Q768" s="24">
        <f ca="1">IFERROR(__xludf.DUMMYFUNCTION("""COMPUTED_VALUE"""),430.947412228276)</f>
        <v>430.94741222827599</v>
      </c>
      <c r="R768" s="20"/>
    </row>
    <row r="769" spans="1:18" ht="13.2" hidden="1" outlineLevel="1" x14ac:dyDescent="0.25">
      <c r="A769" s="1"/>
      <c r="B769" s="21" t="str">
        <f ca="1">IFERROR(__xludf.DUMMYFUNCTION("""COMPUTED_VALUE"""),"Gasolinas y naftas")</f>
        <v>Gasolinas y naftas</v>
      </c>
      <c r="C769" s="22">
        <f ca="1">IFERROR(__xludf.DUMMYFUNCTION("""COMPUTED_VALUE"""),1399.09)</f>
        <v>1399.09</v>
      </c>
      <c r="D769" s="23">
        <f ca="1">IFERROR(__xludf.DUMMYFUNCTION("""COMPUTED_VALUE"""),1386.37)</f>
        <v>1386.37</v>
      </c>
      <c r="E769" s="23">
        <f ca="1">IFERROR(__xludf.DUMMYFUNCTION("""COMPUTED_VALUE"""),1325.63)</f>
        <v>1325.63</v>
      </c>
      <c r="F769" s="23">
        <f ca="1">IFERROR(__xludf.DUMMYFUNCTION("""COMPUTED_VALUE"""),1364.30999999999)</f>
        <v>1364.3099999999899</v>
      </c>
      <c r="G769" s="23">
        <f ca="1">IFERROR(__xludf.DUMMYFUNCTION("""COMPUTED_VALUE"""),1513.36538488431)</f>
        <v>1513.3653848843101</v>
      </c>
      <c r="H769" s="23">
        <f ca="1">IFERROR(__xludf.DUMMYFUNCTION("""COMPUTED_VALUE"""),1558.11355019008)</f>
        <v>1558.1135501900801</v>
      </c>
      <c r="I769" s="23">
        <f ca="1">IFERROR(__xludf.DUMMYFUNCTION("""COMPUTED_VALUE"""),1642.42)</f>
        <v>1642.42</v>
      </c>
      <c r="J769" s="23">
        <f ca="1">IFERROR(__xludf.DUMMYFUNCTION("""COMPUTED_VALUE"""),1584.16808995959)</f>
        <v>1584.1680899595899</v>
      </c>
      <c r="K769" s="23">
        <f ca="1">IFERROR(__xludf.DUMMYFUNCTION("""COMPUTED_VALUE"""),1623.57350086949)</f>
        <v>1623.5735008694901</v>
      </c>
      <c r="L769" s="23">
        <f ca="1">IFERROR(__xludf.DUMMYFUNCTION("""COMPUTED_VALUE"""),1523.94607138012)</f>
        <v>1523.94607138012</v>
      </c>
      <c r="M769" s="23">
        <f ca="1">IFERROR(__xludf.DUMMYFUNCTION("""COMPUTED_VALUE"""),1122.99087311289)</f>
        <v>1122.9908731128901</v>
      </c>
      <c r="N769" s="23">
        <f ca="1">IFERROR(__xludf.DUMMYFUNCTION("""COMPUTED_VALUE"""),1295.16508509295)</f>
        <v>1295.16508509295</v>
      </c>
      <c r="O769" s="23">
        <f ca="1">IFERROR(__xludf.DUMMYFUNCTION("""COMPUTED_VALUE"""),1397.53458055711)</f>
        <v>1397.5345805571101</v>
      </c>
      <c r="P769" s="23">
        <f ca="1">IFERROR(__xludf.DUMMYFUNCTION("""COMPUTED_VALUE"""),1417.768)</f>
        <v>1417.768</v>
      </c>
      <c r="Q769" s="24">
        <f ca="1">IFERROR(__xludf.DUMMYFUNCTION("""COMPUTED_VALUE"""),1471.81210488963)</f>
        <v>1471.8121048896301</v>
      </c>
      <c r="R769" s="20"/>
    </row>
    <row r="770" spans="1:18" ht="13.2" hidden="1" outlineLevel="1" x14ac:dyDescent="0.25">
      <c r="A770" s="1"/>
      <c r="B770" s="21" t="str">
        <f ca="1">IFERROR(__xludf.DUMMYFUNCTION("""COMPUTED_VALUE"""),"Querosenos")</f>
        <v>Querosenos</v>
      </c>
      <c r="C770" s="22">
        <f ca="1">IFERROR(__xludf.DUMMYFUNCTION("""COMPUTED_VALUE"""),90.12)</f>
        <v>90.12</v>
      </c>
      <c r="D770" s="23">
        <f ca="1">IFERROR(__xludf.DUMMYFUNCTION("""COMPUTED_VALUE"""),78.26)</f>
        <v>78.260000000000005</v>
      </c>
      <c r="E770" s="23">
        <f ca="1">IFERROR(__xludf.DUMMYFUNCTION("""COMPUTED_VALUE"""),91.97)</f>
        <v>91.97</v>
      </c>
      <c r="F770" s="23">
        <f ca="1">IFERROR(__xludf.DUMMYFUNCTION("""COMPUTED_VALUE"""),102.94)</f>
        <v>102.94</v>
      </c>
      <c r="G770" s="23">
        <f ca="1">IFERROR(__xludf.DUMMYFUNCTION("""COMPUTED_VALUE"""),130.91)</f>
        <v>130.91</v>
      </c>
      <c r="H770" s="23">
        <f ca="1">IFERROR(__xludf.DUMMYFUNCTION("""COMPUTED_VALUE"""),147.79)</f>
        <v>147.79</v>
      </c>
      <c r="I770" s="23">
        <f ca="1">IFERROR(__xludf.DUMMYFUNCTION("""COMPUTED_VALUE"""),166.86)</f>
        <v>166.86</v>
      </c>
      <c r="J770" s="23">
        <f ca="1">IFERROR(__xludf.DUMMYFUNCTION("""COMPUTED_VALUE"""),182.04)</f>
        <v>182.04</v>
      </c>
      <c r="K770" s="23">
        <f ca="1">IFERROR(__xludf.DUMMYFUNCTION("""COMPUTED_VALUE"""),209.18)</f>
        <v>209.18</v>
      </c>
      <c r="L770" s="23">
        <f ca="1">IFERROR(__xludf.DUMMYFUNCTION("""COMPUTED_VALUE"""),214.53)</f>
        <v>214.53</v>
      </c>
      <c r="M770" s="23">
        <f ca="1">IFERROR(__xludf.DUMMYFUNCTION("""COMPUTED_VALUE"""),87.55)</f>
        <v>87.55</v>
      </c>
      <c r="N770" s="23">
        <f ca="1">IFERROR(__xludf.DUMMYFUNCTION("""COMPUTED_VALUE"""),140.82)</f>
        <v>140.82</v>
      </c>
      <c r="O770" s="23">
        <f ca="1">IFERROR(__xludf.DUMMYFUNCTION("""COMPUTED_VALUE"""),183.35)</f>
        <v>183.35</v>
      </c>
      <c r="P770" s="23">
        <f ca="1">IFERROR(__xludf.DUMMYFUNCTION("""COMPUTED_VALUE"""),197.27)</f>
        <v>197.27</v>
      </c>
      <c r="Q770" s="24">
        <f ca="1">IFERROR(__xludf.DUMMYFUNCTION("""COMPUTED_VALUE"""),203.23)</f>
        <v>203.23</v>
      </c>
      <c r="R770" s="20"/>
    </row>
    <row r="771" spans="1:18" ht="13.2" hidden="1" outlineLevel="1" x14ac:dyDescent="0.25">
      <c r="A771" s="1"/>
      <c r="B771" s="21" t="str">
        <f ca="1">IFERROR(__xludf.DUMMYFUNCTION("""COMPUTED_VALUE"""),"Diesel")</f>
        <v>Diesel</v>
      </c>
      <c r="C771" s="22">
        <f ca="1">IFERROR(__xludf.DUMMYFUNCTION("""COMPUTED_VALUE"""),765.978318057482)</f>
        <v>765.97831805748206</v>
      </c>
      <c r="D771" s="23">
        <f ca="1">IFERROR(__xludf.DUMMYFUNCTION("""COMPUTED_VALUE"""),774.079219399198)</f>
        <v>774.079219399198</v>
      </c>
      <c r="E771" s="23">
        <f ca="1">IFERROR(__xludf.DUMMYFUNCTION("""COMPUTED_VALUE"""),819.985375456994)</f>
        <v>819.98537545699401</v>
      </c>
      <c r="F771" s="23">
        <f ca="1">IFERROR(__xludf.DUMMYFUNCTION("""COMPUTED_VALUE"""),798.939015794826)</f>
        <v>798.93901579482599</v>
      </c>
      <c r="G771" s="23">
        <f ca="1">IFERROR(__xludf.DUMMYFUNCTION("""COMPUTED_VALUE"""),788.957109159347)</f>
        <v>788.95710915934706</v>
      </c>
      <c r="H771" s="23">
        <f ca="1">IFERROR(__xludf.DUMMYFUNCTION("""COMPUTED_VALUE"""),870.316027046167)</f>
        <v>870.31602704616705</v>
      </c>
      <c r="I771" s="23">
        <f ca="1">IFERROR(__xludf.DUMMYFUNCTION("""COMPUTED_VALUE"""),818.024145349362)</f>
        <v>818.02414534936202</v>
      </c>
      <c r="J771" s="23">
        <f ca="1">IFERROR(__xludf.DUMMYFUNCTION("""COMPUTED_VALUE"""),805.986441425862)</f>
        <v>805.98644142586204</v>
      </c>
      <c r="K771" s="23">
        <f ca="1">IFERROR(__xludf.DUMMYFUNCTION("""COMPUTED_VALUE"""),893.943451614026)</f>
        <v>893.943451614026</v>
      </c>
      <c r="L771" s="23">
        <f ca="1">IFERROR(__xludf.DUMMYFUNCTION("""COMPUTED_VALUE"""),835.856818132048)</f>
        <v>835.85681813204803</v>
      </c>
      <c r="M771" s="23">
        <f ca="1">IFERROR(__xludf.DUMMYFUNCTION("""COMPUTED_VALUE"""),547.292086155513)</f>
        <v>547.29208615551295</v>
      </c>
      <c r="N771" s="23">
        <f ca="1">IFERROR(__xludf.DUMMYFUNCTION("""COMPUTED_VALUE"""),826.382830712516)</f>
        <v>826.38283071251601</v>
      </c>
      <c r="O771" s="23">
        <f ca="1">IFERROR(__xludf.DUMMYFUNCTION("""COMPUTED_VALUE"""),851.971301828564)</f>
        <v>851.97130182856404</v>
      </c>
      <c r="P771" s="23">
        <f ca="1">IFERROR(__xludf.DUMMYFUNCTION("""COMPUTED_VALUE"""),854.197484331301)</f>
        <v>854.19748433130098</v>
      </c>
      <c r="Q771" s="24">
        <f ca="1">IFERROR(__xludf.DUMMYFUNCTION("""COMPUTED_VALUE"""),866.309199297366)</f>
        <v>866.30919929736604</v>
      </c>
      <c r="R771" s="20"/>
    </row>
    <row r="772" spans="1:18" ht="13.2" hidden="1" outlineLevel="1" x14ac:dyDescent="0.25">
      <c r="A772" s="1"/>
      <c r="B772" s="21" t="str">
        <f ca="1">IFERROR(__xludf.DUMMYFUNCTION("""COMPUTED_VALUE"""),"Combustóleo")</f>
        <v>Combustóleo</v>
      </c>
      <c r="C772" s="22">
        <f ca="1">IFERROR(__xludf.DUMMYFUNCTION("""COMPUTED_VALUE"""),52.7583803502682)</f>
        <v>52.758380350268197</v>
      </c>
      <c r="D772" s="23">
        <f ca="1">IFERROR(__xludf.DUMMYFUNCTION("""COMPUTED_VALUE"""),42.9113715999626)</f>
        <v>42.9113715999626</v>
      </c>
      <c r="E772" s="23">
        <f ca="1">IFERROR(__xludf.DUMMYFUNCTION("""COMPUTED_VALUE"""),35.2428471171407)</f>
        <v>35.242847117140698</v>
      </c>
      <c r="F772" s="23">
        <f ca="1">IFERROR(__xludf.DUMMYFUNCTION("""COMPUTED_VALUE"""),28.3804221063834)</f>
        <v>28.380422106383399</v>
      </c>
      <c r="G772" s="23">
        <f ca="1">IFERROR(__xludf.DUMMYFUNCTION("""COMPUTED_VALUE"""),17.5887972068276)</f>
        <v>17.5887972068276</v>
      </c>
      <c r="H772" s="23">
        <f ca="1">IFERROR(__xludf.DUMMYFUNCTION("""COMPUTED_VALUE"""),23.463722721149)</f>
        <v>23.463722721149001</v>
      </c>
      <c r="I772" s="23">
        <f ca="1">IFERROR(__xludf.DUMMYFUNCTION("""COMPUTED_VALUE"""),28.2194288158058)</f>
        <v>28.219428815805799</v>
      </c>
      <c r="J772" s="23">
        <f ca="1">IFERROR(__xludf.DUMMYFUNCTION("""COMPUTED_VALUE"""),28.4641560460879)</f>
        <v>28.464156046087901</v>
      </c>
      <c r="K772" s="23">
        <f ca="1">IFERROR(__xludf.DUMMYFUNCTION("""COMPUTED_VALUE"""),11.4867858830494)</f>
        <v>11.4867858830494</v>
      </c>
      <c r="L772" s="23">
        <f ca="1">IFERROR(__xludf.DUMMYFUNCTION("""COMPUTED_VALUE"""),15.1112855873281)</f>
        <v>15.1112855873281</v>
      </c>
      <c r="M772" s="23">
        <f ca="1">IFERROR(__xludf.DUMMYFUNCTION("""COMPUTED_VALUE"""),14.301409718141)</f>
        <v>14.301409718141</v>
      </c>
      <c r="N772" s="23">
        <f ca="1">IFERROR(__xludf.DUMMYFUNCTION("""COMPUTED_VALUE"""),18.1503423773835)</f>
        <v>18.150342377383499</v>
      </c>
      <c r="O772" s="23">
        <f ca="1">IFERROR(__xludf.DUMMYFUNCTION("""COMPUTED_VALUE"""),17.6842118543055)</f>
        <v>17.684211854305499</v>
      </c>
      <c r="P772" s="23">
        <f ca="1">IFERROR(__xludf.DUMMYFUNCTION("""COMPUTED_VALUE"""),17.3948507391638)</f>
        <v>17.3948507391638</v>
      </c>
      <c r="Q772" s="24">
        <f ca="1">IFERROR(__xludf.DUMMYFUNCTION("""COMPUTED_VALUE"""),16.3031332572436)</f>
        <v>16.303133257243601</v>
      </c>
      <c r="R772" s="20"/>
    </row>
    <row r="773" spans="1:18" ht="13.2" hidden="1" outlineLevel="1" x14ac:dyDescent="0.25">
      <c r="A773" s="1"/>
      <c r="B773" s="21" t="str">
        <f ca="1">IFERROR(__xludf.DUMMYFUNCTION("""COMPUTED_VALUE"""),"Otros energéticos")</f>
        <v>Otros energéticos</v>
      </c>
      <c r="C773" s="22">
        <f ca="1">IFERROR(__xludf.DUMMYFUNCTION("""COMPUTED_VALUE"""),149.72)</f>
        <v>149.72</v>
      </c>
      <c r="D773" s="23">
        <f ca="1">IFERROR(__xludf.DUMMYFUNCTION("""COMPUTED_VALUE"""),144.38)</f>
        <v>144.38</v>
      </c>
      <c r="E773" s="23">
        <f ca="1">IFERROR(__xludf.DUMMYFUNCTION("""COMPUTED_VALUE"""),136.579999999999)</f>
        <v>136.57999999999899</v>
      </c>
      <c r="F773" s="23">
        <f ca="1">IFERROR(__xludf.DUMMYFUNCTION("""COMPUTED_VALUE"""),135.79)</f>
        <v>135.79</v>
      </c>
      <c r="G773" s="23">
        <f ca="1">IFERROR(__xludf.DUMMYFUNCTION("""COMPUTED_VALUE"""),150.04)</f>
        <v>150.04</v>
      </c>
      <c r="H773" s="23">
        <f ca="1">IFERROR(__xludf.DUMMYFUNCTION("""COMPUTED_VALUE"""),126.5)</f>
        <v>126.5</v>
      </c>
      <c r="I773" s="23">
        <f ca="1">IFERROR(__xludf.DUMMYFUNCTION("""COMPUTED_VALUE"""),114.539999999999)</f>
        <v>114.539999999999</v>
      </c>
      <c r="J773" s="23">
        <f ca="1">IFERROR(__xludf.DUMMYFUNCTION("""COMPUTED_VALUE"""),193.25)</f>
        <v>193.25</v>
      </c>
      <c r="K773" s="23">
        <f ca="1">IFERROR(__xludf.DUMMYFUNCTION("""COMPUTED_VALUE"""),137.51)</f>
        <v>137.51</v>
      </c>
      <c r="L773" s="23">
        <f ca="1">IFERROR(__xludf.DUMMYFUNCTION("""COMPUTED_VALUE"""),123.669999999999)</f>
        <v>123.66999999999901</v>
      </c>
      <c r="M773" s="23">
        <f ca="1">IFERROR(__xludf.DUMMYFUNCTION("""COMPUTED_VALUE"""),97.86)</f>
        <v>97.86</v>
      </c>
      <c r="N773" s="23">
        <f ca="1">IFERROR(__xludf.DUMMYFUNCTION("""COMPUTED_VALUE"""),39.44)</f>
        <v>39.44</v>
      </c>
      <c r="O773" s="23">
        <f ca="1">IFERROR(__xludf.DUMMYFUNCTION("""COMPUTED_VALUE"""),49.38)</f>
        <v>49.38</v>
      </c>
      <c r="P773" s="23">
        <f ca="1">IFERROR(__xludf.DUMMYFUNCTION("""COMPUTED_VALUE"""),105.49)</f>
        <v>105.49</v>
      </c>
      <c r="Q773" s="24">
        <f ca="1">IFERROR(__xludf.DUMMYFUNCTION("""COMPUTED_VALUE"""),95.74)</f>
        <v>95.74</v>
      </c>
      <c r="R773" s="20"/>
    </row>
    <row r="774" spans="1:18" ht="13.2" hidden="1" outlineLevel="1" x14ac:dyDescent="0.25">
      <c r="A774" s="1"/>
      <c r="B774" s="21" t="str">
        <f ca="1">IFERROR(__xludf.DUMMYFUNCTION("""COMPUTED_VALUE"""),"Gas natural seco")</f>
        <v>Gas natural seco</v>
      </c>
      <c r="C774" s="22">
        <f ca="1">IFERROR(__xludf.DUMMYFUNCTION("""COMPUTED_VALUE"""),501.386202879929)</f>
        <v>501.38620287992899</v>
      </c>
      <c r="D774" s="23">
        <f ca="1">IFERROR(__xludf.DUMMYFUNCTION("""COMPUTED_VALUE"""),510.645648928121)</f>
        <v>510.64564892812098</v>
      </c>
      <c r="E774" s="23">
        <f ca="1">IFERROR(__xludf.DUMMYFUNCTION("""COMPUTED_VALUE"""),520.766777483443)</f>
        <v>520.76677748344298</v>
      </c>
      <c r="F774" s="23">
        <f ca="1">IFERROR(__xludf.DUMMYFUNCTION("""COMPUTED_VALUE"""),582.058043915728)</f>
        <v>582.05804391572804</v>
      </c>
      <c r="G774" s="23">
        <f ca="1">IFERROR(__xludf.DUMMYFUNCTION("""COMPUTED_VALUE"""),689.087394972376)</f>
        <v>689.08739497237605</v>
      </c>
      <c r="H774" s="23">
        <f ca="1">IFERROR(__xludf.DUMMYFUNCTION("""COMPUTED_VALUE"""),684.420410573498)</f>
        <v>684.42041057349797</v>
      </c>
      <c r="I774" s="23">
        <f ca="1">IFERROR(__xludf.DUMMYFUNCTION("""COMPUTED_VALUE"""),727.0233)</f>
        <v>727.02329999999995</v>
      </c>
      <c r="J774" s="23">
        <f ca="1">IFERROR(__xludf.DUMMYFUNCTION("""COMPUTED_VALUE"""),720.592147843942)</f>
        <v>720.59214784394203</v>
      </c>
      <c r="K774" s="23">
        <f ca="1">IFERROR(__xludf.DUMMYFUNCTION("""COMPUTED_VALUE"""),667.049982591093)</f>
        <v>667.049982591093</v>
      </c>
      <c r="L774" s="23">
        <f ca="1">IFERROR(__xludf.DUMMYFUNCTION("""COMPUTED_VALUE"""),665.038250635506)</f>
        <v>665.03825063550596</v>
      </c>
      <c r="M774" s="23">
        <f ca="1">IFERROR(__xludf.DUMMYFUNCTION("""COMPUTED_VALUE"""),533.953256488549)</f>
        <v>533.95325648854896</v>
      </c>
      <c r="N774" s="23">
        <f ca="1">IFERROR(__xludf.DUMMYFUNCTION("""COMPUTED_VALUE"""),566.82467817576)</f>
        <v>566.82467817576003</v>
      </c>
      <c r="O774" s="23">
        <f ca="1">IFERROR(__xludf.DUMMYFUNCTION("""COMPUTED_VALUE"""),677.363281559888)</f>
        <v>677.36328155988804</v>
      </c>
      <c r="P774" s="23">
        <f ca="1">IFERROR(__xludf.DUMMYFUNCTION("""COMPUTED_VALUE"""),754.340425207756)</f>
        <v>754.34042520775597</v>
      </c>
      <c r="Q774" s="24">
        <f ca="1">IFERROR(__xludf.DUMMYFUNCTION("""COMPUTED_VALUE"""),759.769059634551)</f>
        <v>759.76905963455101</v>
      </c>
      <c r="R774" s="20"/>
    </row>
    <row r="775" spans="1:18" ht="13.2" hidden="1" outlineLevel="1" x14ac:dyDescent="0.25">
      <c r="A775" s="1"/>
      <c r="B775" s="25" t="str">
        <f ca="1">IFERROR(__xludf.DUMMYFUNCTION("""COMPUTED_VALUE"""),"Energía eléctrica")</f>
        <v>Energía eléctrica</v>
      </c>
      <c r="C775" s="26">
        <f ca="1">IFERROR(__xludf.DUMMYFUNCTION("""COMPUTED_VALUE"""),826.183671846335)</f>
        <v>826.18367184633496</v>
      </c>
      <c r="D775" s="27">
        <f ca="1">IFERROR(__xludf.DUMMYFUNCTION("""COMPUTED_VALUE"""),845.752284130568)</f>
        <v>845.752284130568</v>
      </c>
      <c r="E775" s="27">
        <f ca="1">IFERROR(__xludf.DUMMYFUNCTION("""COMPUTED_VALUE"""),869.009684152221)</f>
        <v>869.00968415222098</v>
      </c>
      <c r="F775" s="27">
        <f ca="1">IFERROR(__xludf.DUMMYFUNCTION("""COMPUTED_VALUE"""),887.105735237356)</f>
        <v>887.10573523735604</v>
      </c>
      <c r="G775" s="27">
        <f ca="1">IFERROR(__xludf.DUMMYFUNCTION("""COMPUTED_VALUE"""),908.780285446274)</f>
        <v>908.78028544627398</v>
      </c>
      <c r="H775" s="27">
        <f ca="1">IFERROR(__xludf.DUMMYFUNCTION("""COMPUTED_VALUE"""),912.19306690443)</f>
        <v>912.19306690443</v>
      </c>
      <c r="I775" s="27">
        <f ca="1">IFERROR(__xludf.DUMMYFUNCTION("""COMPUTED_VALUE"""),930.628887416088)</f>
        <v>930.62888741608799</v>
      </c>
      <c r="J775" s="27">
        <f ca="1">IFERROR(__xludf.DUMMYFUNCTION("""COMPUTED_VALUE"""),962.02715472658)</f>
        <v>962.02715472657997</v>
      </c>
      <c r="K775" s="27">
        <f ca="1">IFERROR(__xludf.DUMMYFUNCTION("""COMPUTED_VALUE"""),1003.81332321082)</f>
        <v>1003.81332321082</v>
      </c>
      <c r="L775" s="27">
        <f ca="1">IFERROR(__xludf.DUMMYFUNCTION("""COMPUTED_VALUE"""),1044.0019187598)</f>
        <v>1044.0019187598</v>
      </c>
      <c r="M775" s="27">
        <f ca="1">IFERROR(__xludf.DUMMYFUNCTION("""COMPUTED_VALUE"""),1056.11546509719)</f>
        <v>1056.1154650971901</v>
      </c>
      <c r="N775" s="27">
        <f ca="1">IFERROR(__xludf.DUMMYFUNCTION("""COMPUTED_VALUE"""),1064.31224681825)</f>
        <v>1064.3122468182501</v>
      </c>
      <c r="O775" s="27">
        <f ca="1">IFERROR(__xludf.DUMMYFUNCTION("""COMPUTED_VALUE"""),1090.47491886942)</f>
        <v>1090.47491886942</v>
      </c>
      <c r="P775" s="27">
        <f ca="1">IFERROR(__xludf.DUMMYFUNCTION("""COMPUTED_VALUE"""),1124.0344355581)</f>
        <v>1124.0344355581001</v>
      </c>
      <c r="Q775" s="28">
        <f ca="1">IFERROR(__xludf.DUMMYFUNCTION("""COMPUTED_VALUE"""),1150.49501125544)</f>
        <v>1150.49501125544</v>
      </c>
      <c r="R775" s="20"/>
    </row>
    <row r="776" spans="1:18" ht="13.2" hidden="1" outlineLevel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0"/>
    </row>
    <row r="777" spans="1:18" ht="13.2" collapsed="1" x14ac:dyDescent="0.25">
      <c r="A777" s="4"/>
      <c r="B777" s="5" t="str">
        <f ca="1">IFERROR(__xludf.DUMMYFUNCTION("""COMPUTED_VALUE"""),"Con.Fin.NoE(e,a)")</f>
        <v>Con.Fin.NoE(e,a)</v>
      </c>
      <c r="C777" s="6" t="str">
        <f ca="1">IFERROR(__xludf.DUMMYFUNCTION("""COMPUTED_VALUE"""),"/+")</f>
        <v>/+</v>
      </c>
      <c r="D777" s="7" t="str">
        <f ca="1">IFERROR(__xludf.DUMMYFUNCTION("""COMPUTED_VALUE"""),"Consumo final no energético")</f>
        <v>Consumo final no energético</v>
      </c>
      <c r="E777" s="6" t="str">
        <f ca="1">IFERROR(__xludf.DUMMYFUNCTION("""COMPUTED_VALUE"""),"cbne")</f>
        <v>cbne</v>
      </c>
      <c r="F777" s="6" t="str">
        <f ca="1">IFERROR(__xludf.DUMMYFUNCTION("""COMPUTED_VALUE"""),"a")</f>
        <v>a</v>
      </c>
      <c r="G777" s="8" t="str">
        <f ca="1">IFERROR(__xludf.DUMMYFUNCTION("""COMPUTED_VALUE"""),"PJ")</f>
        <v>PJ</v>
      </c>
      <c r="H777" s="9"/>
      <c r="I777" s="1"/>
      <c r="J777" s="1"/>
      <c r="K777" s="1"/>
      <c r="L777" s="1"/>
      <c r="M777" s="1"/>
      <c r="N777" s="1"/>
      <c r="O777" s="1"/>
      <c r="P777" s="1"/>
      <c r="Q777" s="1"/>
      <c r="R777" s="10"/>
    </row>
    <row r="778" spans="1:18" ht="13.2" hidden="1" outlineLevel="1" x14ac:dyDescent="0.25">
      <c r="A778" s="1"/>
      <c r="B778" s="11"/>
      <c r="C778" s="12">
        <f ca="1">IFERROR(__xludf.DUMMYFUNCTION("""COMPUTED_VALUE"""),2010)</f>
        <v>2010</v>
      </c>
      <c r="D778" s="13">
        <f ca="1">IFERROR(__xludf.DUMMYFUNCTION("""COMPUTED_VALUE"""),2011)</f>
        <v>2011</v>
      </c>
      <c r="E778" s="13">
        <f ca="1">IFERROR(__xludf.DUMMYFUNCTION("""COMPUTED_VALUE"""),2012)</f>
        <v>2012</v>
      </c>
      <c r="F778" s="13">
        <f ca="1">IFERROR(__xludf.DUMMYFUNCTION("""COMPUTED_VALUE"""),2013)</f>
        <v>2013</v>
      </c>
      <c r="G778" s="13">
        <f ca="1">IFERROR(__xludf.DUMMYFUNCTION("""COMPUTED_VALUE"""),2014)</f>
        <v>2014</v>
      </c>
      <c r="H778" s="13">
        <f ca="1">IFERROR(__xludf.DUMMYFUNCTION("""COMPUTED_VALUE"""),2015)</f>
        <v>2015</v>
      </c>
      <c r="I778" s="13">
        <f ca="1">IFERROR(__xludf.DUMMYFUNCTION("""COMPUTED_VALUE"""),2016)</f>
        <v>2016</v>
      </c>
      <c r="J778" s="13">
        <f ca="1">IFERROR(__xludf.DUMMYFUNCTION("""COMPUTED_VALUE"""),2017)</f>
        <v>2017</v>
      </c>
      <c r="K778" s="13">
        <f ca="1">IFERROR(__xludf.DUMMYFUNCTION("""COMPUTED_VALUE"""),2018)</f>
        <v>2018</v>
      </c>
      <c r="L778" s="13">
        <f ca="1">IFERROR(__xludf.DUMMYFUNCTION("""COMPUTED_VALUE"""),2019)</f>
        <v>2019</v>
      </c>
      <c r="M778" s="13">
        <f ca="1">IFERROR(__xludf.DUMMYFUNCTION("""COMPUTED_VALUE"""),2020)</f>
        <v>2020</v>
      </c>
      <c r="N778" s="13">
        <f ca="1">IFERROR(__xludf.DUMMYFUNCTION("""COMPUTED_VALUE"""),2021)</f>
        <v>2021</v>
      </c>
      <c r="O778" s="13">
        <f ca="1">IFERROR(__xludf.DUMMYFUNCTION("""COMPUTED_VALUE"""),2022)</f>
        <v>2022</v>
      </c>
      <c r="P778" s="13">
        <f ca="1">IFERROR(__xludf.DUMMYFUNCTION("""COMPUTED_VALUE"""),2023)</f>
        <v>2023</v>
      </c>
      <c r="Q778" s="14">
        <f ca="1">IFERROR(__xludf.DUMMYFUNCTION("""COMPUTED_VALUE"""),2024)</f>
        <v>2024</v>
      </c>
      <c r="R778" s="15"/>
    </row>
    <row r="779" spans="1:18" ht="13.2" hidden="1" outlineLevel="1" x14ac:dyDescent="0.25">
      <c r="A779" s="1"/>
      <c r="B779" s="16" t="str">
        <f ca="1">IFERROR(__xludf.DUMMYFUNCTION("""COMPUTED_VALUE"""),"Carbón mineral")</f>
        <v>Carbón mineral</v>
      </c>
      <c r="C779" s="17">
        <f ca="1">IFERROR(__xludf.DUMMYFUNCTION("""COMPUTED_VALUE"""),0)</f>
        <v>0</v>
      </c>
      <c r="D779" s="18">
        <f ca="1">IFERROR(__xludf.DUMMYFUNCTION("""COMPUTED_VALUE"""),0)</f>
        <v>0</v>
      </c>
      <c r="E779" s="18">
        <f ca="1">IFERROR(__xludf.DUMMYFUNCTION("""COMPUTED_VALUE"""),0)</f>
        <v>0</v>
      </c>
      <c r="F779" s="18">
        <f ca="1">IFERROR(__xludf.DUMMYFUNCTION("""COMPUTED_VALUE"""),0)</f>
        <v>0</v>
      </c>
      <c r="G779" s="18">
        <f ca="1">IFERROR(__xludf.DUMMYFUNCTION("""COMPUTED_VALUE"""),0)</f>
        <v>0</v>
      </c>
      <c r="H779" s="18">
        <f ca="1">IFERROR(__xludf.DUMMYFUNCTION("""COMPUTED_VALUE"""),0)</f>
        <v>0</v>
      </c>
      <c r="I779" s="18">
        <f ca="1">IFERROR(__xludf.DUMMYFUNCTION("""COMPUTED_VALUE"""),0)</f>
        <v>0</v>
      </c>
      <c r="J779" s="18">
        <f ca="1">IFERROR(__xludf.DUMMYFUNCTION("""COMPUTED_VALUE"""),0)</f>
        <v>0</v>
      </c>
      <c r="K779" s="18">
        <f ca="1">IFERROR(__xludf.DUMMYFUNCTION("""COMPUTED_VALUE"""),0)</f>
        <v>0</v>
      </c>
      <c r="L779" s="18">
        <f ca="1">IFERROR(__xludf.DUMMYFUNCTION("""COMPUTED_VALUE"""),0)</f>
        <v>0</v>
      </c>
      <c r="M779" s="18">
        <f ca="1">IFERROR(__xludf.DUMMYFUNCTION("""COMPUTED_VALUE"""),0)</f>
        <v>0</v>
      </c>
      <c r="N779" s="18">
        <f ca="1">IFERROR(__xludf.DUMMYFUNCTION("""COMPUTED_VALUE"""),0)</f>
        <v>0</v>
      </c>
      <c r="O779" s="18">
        <f ca="1">IFERROR(__xludf.DUMMYFUNCTION("""COMPUTED_VALUE"""),0)</f>
        <v>0</v>
      </c>
      <c r="P779" s="18">
        <f ca="1">IFERROR(__xludf.DUMMYFUNCTION("""COMPUTED_VALUE"""),0)</f>
        <v>0</v>
      </c>
      <c r="Q779" s="19">
        <f ca="1">IFERROR(__xludf.DUMMYFUNCTION("""COMPUTED_VALUE"""),0)</f>
        <v>0</v>
      </c>
      <c r="R779" s="20"/>
    </row>
    <row r="780" spans="1:18" ht="13.2" hidden="1" outlineLevel="1" x14ac:dyDescent="0.25">
      <c r="A780" s="1"/>
      <c r="B780" s="21" t="str">
        <f ca="1">IFERROR(__xludf.DUMMYFUNCTION("""COMPUTED_VALUE"""),"Petróleo crudo")</f>
        <v>Petróleo crudo</v>
      </c>
      <c r="C780" s="22">
        <f ca="1">IFERROR(__xludf.DUMMYFUNCTION("""COMPUTED_VALUE"""),0)</f>
        <v>0</v>
      </c>
      <c r="D780" s="23">
        <f ca="1">IFERROR(__xludf.DUMMYFUNCTION("""COMPUTED_VALUE"""),0)</f>
        <v>0</v>
      </c>
      <c r="E780" s="23">
        <f ca="1">IFERROR(__xludf.DUMMYFUNCTION("""COMPUTED_VALUE"""),0)</f>
        <v>0</v>
      </c>
      <c r="F780" s="23">
        <f ca="1">IFERROR(__xludf.DUMMYFUNCTION("""COMPUTED_VALUE"""),0)</f>
        <v>0</v>
      </c>
      <c r="G780" s="23">
        <f ca="1">IFERROR(__xludf.DUMMYFUNCTION("""COMPUTED_VALUE"""),0)</f>
        <v>0</v>
      </c>
      <c r="H780" s="23">
        <f ca="1">IFERROR(__xludf.DUMMYFUNCTION("""COMPUTED_VALUE"""),0)</f>
        <v>0</v>
      </c>
      <c r="I780" s="23">
        <f ca="1">IFERROR(__xludf.DUMMYFUNCTION("""COMPUTED_VALUE"""),0)</f>
        <v>0</v>
      </c>
      <c r="J780" s="23">
        <f ca="1">IFERROR(__xludf.DUMMYFUNCTION("""COMPUTED_VALUE"""),0)</f>
        <v>0</v>
      </c>
      <c r="K780" s="23">
        <f ca="1">IFERROR(__xludf.DUMMYFUNCTION("""COMPUTED_VALUE"""),0)</f>
        <v>0</v>
      </c>
      <c r="L780" s="23">
        <f ca="1">IFERROR(__xludf.DUMMYFUNCTION("""COMPUTED_VALUE"""),0)</f>
        <v>0</v>
      </c>
      <c r="M780" s="23">
        <f ca="1">IFERROR(__xludf.DUMMYFUNCTION("""COMPUTED_VALUE"""),0)</f>
        <v>0</v>
      </c>
      <c r="N780" s="23">
        <f ca="1">IFERROR(__xludf.DUMMYFUNCTION("""COMPUTED_VALUE"""),0)</f>
        <v>0</v>
      </c>
      <c r="O780" s="23">
        <f ca="1">IFERROR(__xludf.DUMMYFUNCTION("""COMPUTED_VALUE"""),0)</f>
        <v>0</v>
      </c>
      <c r="P780" s="23">
        <f ca="1">IFERROR(__xludf.DUMMYFUNCTION("""COMPUTED_VALUE"""),0)</f>
        <v>0</v>
      </c>
      <c r="Q780" s="24">
        <f ca="1">IFERROR(__xludf.DUMMYFUNCTION("""COMPUTED_VALUE"""),0)</f>
        <v>0</v>
      </c>
      <c r="R780" s="20"/>
    </row>
    <row r="781" spans="1:18" ht="13.2" hidden="1" outlineLevel="1" x14ac:dyDescent="0.25">
      <c r="A781" s="1"/>
      <c r="B781" s="21" t="str">
        <f ca="1">IFERROR(__xludf.DUMMYFUNCTION("""COMPUTED_VALUE"""),"Condensados")</f>
        <v>Condensados</v>
      </c>
      <c r="C781" s="22">
        <f ca="1">IFERROR(__xludf.DUMMYFUNCTION("""COMPUTED_VALUE"""),0)</f>
        <v>0</v>
      </c>
      <c r="D781" s="23">
        <f ca="1">IFERROR(__xludf.DUMMYFUNCTION("""COMPUTED_VALUE"""),0)</f>
        <v>0</v>
      </c>
      <c r="E781" s="23">
        <f ca="1">IFERROR(__xludf.DUMMYFUNCTION("""COMPUTED_VALUE"""),0)</f>
        <v>0</v>
      </c>
      <c r="F781" s="23">
        <f ca="1">IFERROR(__xludf.DUMMYFUNCTION("""COMPUTED_VALUE"""),0)</f>
        <v>0</v>
      </c>
      <c r="G781" s="23">
        <f ca="1">IFERROR(__xludf.DUMMYFUNCTION("""COMPUTED_VALUE"""),0)</f>
        <v>0</v>
      </c>
      <c r="H781" s="23">
        <f ca="1">IFERROR(__xludf.DUMMYFUNCTION("""COMPUTED_VALUE"""),0)</f>
        <v>0</v>
      </c>
      <c r="I781" s="23">
        <f ca="1">IFERROR(__xludf.DUMMYFUNCTION("""COMPUTED_VALUE"""),0)</f>
        <v>0</v>
      </c>
      <c r="J781" s="23">
        <f ca="1">IFERROR(__xludf.DUMMYFUNCTION("""COMPUTED_VALUE"""),0)</f>
        <v>0</v>
      </c>
      <c r="K781" s="23">
        <f ca="1">IFERROR(__xludf.DUMMYFUNCTION("""COMPUTED_VALUE"""),0)</f>
        <v>0</v>
      </c>
      <c r="L781" s="23">
        <f ca="1">IFERROR(__xludf.DUMMYFUNCTION("""COMPUTED_VALUE"""),0)</f>
        <v>0</v>
      </c>
      <c r="M781" s="23">
        <f ca="1">IFERROR(__xludf.DUMMYFUNCTION("""COMPUTED_VALUE"""),0)</f>
        <v>0</v>
      </c>
      <c r="N781" s="23">
        <f ca="1">IFERROR(__xludf.DUMMYFUNCTION("""COMPUTED_VALUE"""),0)</f>
        <v>0</v>
      </c>
      <c r="O781" s="23">
        <f ca="1">IFERROR(__xludf.DUMMYFUNCTION("""COMPUTED_VALUE"""),0)</f>
        <v>0</v>
      </c>
      <c r="P781" s="23">
        <f ca="1">IFERROR(__xludf.DUMMYFUNCTION("""COMPUTED_VALUE"""),0)</f>
        <v>0</v>
      </c>
      <c r="Q781" s="24">
        <f ca="1">IFERROR(__xludf.DUMMYFUNCTION("""COMPUTED_VALUE"""),0)</f>
        <v>0</v>
      </c>
      <c r="R781" s="20"/>
    </row>
    <row r="782" spans="1:18" ht="13.2" hidden="1" outlineLevel="1" x14ac:dyDescent="0.25">
      <c r="A782" s="1"/>
      <c r="B782" s="21" t="str">
        <f ca="1">IFERROR(__xludf.DUMMYFUNCTION("""COMPUTED_VALUE"""),"Gas natural")</f>
        <v>Gas natural</v>
      </c>
      <c r="C782" s="22">
        <f ca="1">IFERROR(__xludf.DUMMYFUNCTION("""COMPUTED_VALUE"""),0)</f>
        <v>0</v>
      </c>
      <c r="D782" s="23">
        <f ca="1">IFERROR(__xludf.DUMMYFUNCTION("""COMPUTED_VALUE"""),0)</f>
        <v>0</v>
      </c>
      <c r="E782" s="23">
        <f ca="1">IFERROR(__xludf.DUMMYFUNCTION("""COMPUTED_VALUE"""),0)</f>
        <v>0</v>
      </c>
      <c r="F782" s="23">
        <f ca="1">IFERROR(__xludf.DUMMYFUNCTION("""COMPUTED_VALUE"""),0)</f>
        <v>0</v>
      </c>
      <c r="G782" s="23">
        <f ca="1">IFERROR(__xludf.DUMMYFUNCTION("""COMPUTED_VALUE"""),0)</f>
        <v>0</v>
      </c>
      <c r="H782" s="23">
        <f ca="1">IFERROR(__xludf.DUMMYFUNCTION("""COMPUTED_VALUE"""),0)</f>
        <v>0</v>
      </c>
      <c r="I782" s="23">
        <f ca="1">IFERROR(__xludf.DUMMYFUNCTION("""COMPUTED_VALUE"""),0)</f>
        <v>0</v>
      </c>
      <c r="J782" s="23">
        <f ca="1">IFERROR(__xludf.DUMMYFUNCTION("""COMPUTED_VALUE"""),0)</f>
        <v>0</v>
      </c>
      <c r="K782" s="23">
        <f ca="1">IFERROR(__xludf.DUMMYFUNCTION("""COMPUTED_VALUE"""),0)</f>
        <v>0</v>
      </c>
      <c r="L782" s="23">
        <f ca="1">IFERROR(__xludf.DUMMYFUNCTION("""COMPUTED_VALUE"""),0)</f>
        <v>0</v>
      </c>
      <c r="M782" s="23">
        <f ca="1">IFERROR(__xludf.DUMMYFUNCTION("""COMPUTED_VALUE"""),0)</f>
        <v>0</v>
      </c>
      <c r="N782" s="23">
        <f ca="1">IFERROR(__xludf.DUMMYFUNCTION("""COMPUTED_VALUE"""),0)</f>
        <v>0</v>
      </c>
      <c r="O782" s="23">
        <f ca="1">IFERROR(__xludf.DUMMYFUNCTION("""COMPUTED_VALUE"""),0)</f>
        <v>0</v>
      </c>
      <c r="P782" s="23">
        <f ca="1">IFERROR(__xludf.DUMMYFUNCTION("""COMPUTED_VALUE"""),0)</f>
        <v>0</v>
      </c>
      <c r="Q782" s="24">
        <f ca="1">IFERROR(__xludf.DUMMYFUNCTION("""COMPUTED_VALUE"""),0)</f>
        <v>0</v>
      </c>
      <c r="R782" s="20"/>
    </row>
    <row r="783" spans="1:18" ht="13.2" hidden="1" outlineLevel="1" x14ac:dyDescent="0.25">
      <c r="A783" s="1"/>
      <c r="B783" s="21" t="str">
        <f ca="1">IFERROR(__xludf.DUMMYFUNCTION("""COMPUTED_VALUE"""),"Energía Nuclear")</f>
        <v>Energía Nuclear</v>
      </c>
      <c r="C783" s="22">
        <f ca="1">IFERROR(__xludf.DUMMYFUNCTION("""COMPUTED_VALUE"""),0)</f>
        <v>0</v>
      </c>
      <c r="D783" s="23">
        <f ca="1">IFERROR(__xludf.DUMMYFUNCTION("""COMPUTED_VALUE"""),0)</f>
        <v>0</v>
      </c>
      <c r="E783" s="23">
        <f ca="1">IFERROR(__xludf.DUMMYFUNCTION("""COMPUTED_VALUE"""),0)</f>
        <v>0</v>
      </c>
      <c r="F783" s="23">
        <f ca="1">IFERROR(__xludf.DUMMYFUNCTION("""COMPUTED_VALUE"""),0)</f>
        <v>0</v>
      </c>
      <c r="G783" s="23">
        <f ca="1">IFERROR(__xludf.DUMMYFUNCTION("""COMPUTED_VALUE"""),0)</f>
        <v>0</v>
      </c>
      <c r="H783" s="23">
        <f ca="1">IFERROR(__xludf.DUMMYFUNCTION("""COMPUTED_VALUE"""),0)</f>
        <v>0</v>
      </c>
      <c r="I783" s="23">
        <f ca="1">IFERROR(__xludf.DUMMYFUNCTION("""COMPUTED_VALUE"""),0)</f>
        <v>0</v>
      </c>
      <c r="J783" s="23">
        <f ca="1">IFERROR(__xludf.DUMMYFUNCTION("""COMPUTED_VALUE"""),0)</f>
        <v>0</v>
      </c>
      <c r="K783" s="23">
        <f ca="1">IFERROR(__xludf.DUMMYFUNCTION("""COMPUTED_VALUE"""),0)</f>
        <v>0</v>
      </c>
      <c r="L783" s="23">
        <f ca="1">IFERROR(__xludf.DUMMYFUNCTION("""COMPUTED_VALUE"""),0)</f>
        <v>0</v>
      </c>
      <c r="M783" s="23">
        <f ca="1">IFERROR(__xludf.DUMMYFUNCTION("""COMPUTED_VALUE"""),0)</f>
        <v>0</v>
      </c>
      <c r="N783" s="23">
        <f ca="1">IFERROR(__xludf.DUMMYFUNCTION("""COMPUTED_VALUE"""),0)</f>
        <v>0</v>
      </c>
      <c r="O783" s="23">
        <f ca="1">IFERROR(__xludf.DUMMYFUNCTION("""COMPUTED_VALUE"""),0)</f>
        <v>0</v>
      </c>
      <c r="P783" s="23">
        <f ca="1">IFERROR(__xludf.DUMMYFUNCTION("""COMPUTED_VALUE"""),0)</f>
        <v>0</v>
      </c>
      <c r="Q783" s="24">
        <f ca="1">IFERROR(__xludf.DUMMYFUNCTION("""COMPUTED_VALUE"""),0)</f>
        <v>0</v>
      </c>
      <c r="R783" s="20"/>
    </row>
    <row r="784" spans="1:18" ht="13.2" hidden="1" outlineLevel="1" x14ac:dyDescent="0.25">
      <c r="A784" s="1"/>
      <c r="B784" s="21" t="str">
        <f ca="1">IFERROR(__xludf.DUMMYFUNCTION("""COMPUTED_VALUE"""),"Energia Hidraúlica")</f>
        <v>Energia Hidraúlica</v>
      </c>
      <c r="C784" s="22">
        <f ca="1">IFERROR(__xludf.DUMMYFUNCTION("""COMPUTED_VALUE"""),0)</f>
        <v>0</v>
      </c>
      <c r="D784" s="23">
        <f ca="1">IFERROR(__xludf.DUMMYFUNCTION("""COMPUTED_VALUE"""),0)</f>
        <v>0</v>
      </c>
      <c r="E784" s="23">
        <f ca="1">IFERROR(__xludf.DUMMYFUNCTION("""COMPUTED_VALUE"""),0)</f>
        <v>0</v>
      </c>
      <c r="F784" s="23">
        <f ca="1">IFERROR(__xludf.DUMMYFUNCTION("""COMPUTED_VALUE"""),0)</f>
        <v>0</v>
      </c>
      <c r="G784" s="23">
        <f ca="1">IFERROR(__xludf.DUMMYFUNCTION("""COMPUTED_VALUE"""),0)</f>
        <v>0</v>
      </c>
      <c r="H784" s="23">
        <f ca="1">IFERROR(__xludf.DUMMYFUNCTION("""COMPUTED_VALUE"""),0)</f>
        <v>0</v>
      </c>
      <c r="I784" s="23">
        <f ca="1">IFERROR(__xludf.DUMMYFUNCTION("""COMPUTED_VALUE"""),0)</f>
        <v>0</v>
      </c>
      <c r="J784" s="23">
        <f ca="1">IFERROR(__xludf.DUMMYFUNCTION("""COMPUTED_VALUE"""),0)</f>
        <v>0</v>
      </c>
      <c r="K784" s="23">
        <f ca="1">IFERROR(__xludf.DUMMYFUNCTION("""COMPUTED_VALUE"""),0)</f>
        <v>0</v>
      </c>
      <c r="L784" s="23">
        <f ca="1">IFERROR(__xludf.DUMMYFUNCTION("""COMPUTED_VALUE"""),0)</f>
        <v>0</v>
      </c>
      <c r="M784" s="23">
        <f ca="1">IFERROR(__xludf.DUMMYFUNCTION("""COMPUTED_VALUE"""),0)</f>
        <v>0</v>
      </c>
      <c r="N784" s="23">
        <f ca="1">IFERROR(__xludf.DUMMYFUNCTION("""COMPUTED_VALUE"""),0)</f>
        <v>0</v>
      </c>
      <c r="O784" s="23">
        <f ca="1">IFERROR(__xludf.DUMMYFUNCTION("""COMPUTED_VALUE"""),0)</f>
        <v>0</v>
      </c>
      <c r="P784" s="23">
        <f ca="1">IFERROR(__xludf.DUMMYFUNCTION("""COMPUTED_VALUE"""),0)</f>
        <v>0</v>
      </c>
      <c r="Q784" s="24">
        <f ca="1">IFERROR(__xludf.DUMMYFUNCTION("""COMPUTED_VALUE"""),0)</f>
        <v>0</v>
      </c>
      <c r="R784" s="20"/>
    </row>
    <row r="785" spans="1:18" ht="13.2" hidden="1" outlineLevel="1" x14ac:dyDescent="0.25">
      <c r="A785" s="1"/>
      <c r="B785" s="21" t="str">
        <f ca="1">IFERROR(__xludf.DUMMYFUNCTION("""COMPUTED_VALUE"""),"Geoenergía")</f>
        <v>Geoenergía</v>
      </c>
      <c r="C785" s="22">
        <f ca="1">IFERROR(__xludf.DUMMYFUNCTION("""COMPUTED_VALUE"""),0)</f>
        <v>0</v>
      </c>
      <c r="D785" s="23">
        <f ca="1">IFERROR(__xludf.DUMMYFUNCTION("""COMPUTED_VALUE"""),0)</f>
        <v>0</v>
      </c>
      <c r="E785" s="23">
        <f ca="1">IFERROR(__xludf.DUMMYFUNCTION("""COMPUTED_VALUE"""),0)</f>
        <v>0</v>
      </c>
      <c r="F785" s="23">
        <f ca="1">IFERROR(__xludf.DUMMYFUNCTION("""COMPUTED_VALUE"""),0)</f>
        <v>0</v>
      </c>
      <c r="G785" s="23">
        <f ca="1">IFERROR(__xludf.DUMMYFUNCTION("""COMPUTED_VALUE"""),0)</f>
        <v>0</v>
      </c>
      <c r="H785" s="23">
        <f ca="1">IFERROR(__xludf.DUMMYFUNCTION("""COMPUTED_VALUE"""),0)</f>
        <v>0</v>
      </c>
      <c r="I785" s="23">
        <f ca="1">IFERROR(__xludf.DUMMYFUNCTION("""COMPUTED_VALUE"""),0)</f>
        <v>0</v>
      </c>
      <c r="J785" s="23">
        <f ca="1">IFERROR(__xludf.DUMMYFUNCTION("""COMPUTED_VALUE"""),0)</f>
        <v>0</v>
      </c>
      <c r="K785" s="23">
        <f ca="1">IFERROR(__xludf.DUMMYFUNCTION("""COMPUTED_VALUE"""),0)</f>
        <v>0</v>
      </c>
      <c r="L785" s="23">
        <f ca="1">IFERROR(__xludf.DUMMYFUNCTION("""COMPUTED_VALUE"""),0)</f>
        <v>0</v>
      </c>
      <c r="M785" s="23">
        <f ca="1">IFERROR(__xludf.DUMMYFUNCTION("""COMPUTED_VALUE"""),0)</f>
        <v>0</v>
      </c>
      <c r="N785" s="23">
        <f ca="1">IFERROR(__xludf.DUMMYFUNCTION("""COMPUTED_VALUE"""),0)</f>
        <v>0</v>
      </c>
      <c r="O785" s="23">
        <f ca="1">IFERROR(__xludf.DUMMYFUNCTION("""COMPUTED_VALUE"""),0)</f>
        <v>0</v>
      </c>
      <c r="P785" s="23">
        <f ca="1">IFERROR(__xludf.DUMMYFUNCTION("""COMPUTED_VALUE"""),0)</f>
        <v>0</v>
      </c>
      <c r="Q785" s="24">
        <f ca="1">IFERROR(__xludf.DUMMYFUNCTION("""COMPUTED_VALUE"""),0)</f>
        <v>0</v>
      </c>
      <c r="R785" s="20"/>
    </row>
    <row r="786" spans="1:18" ht="13.2" hidden="1" outlineLevel="1" x14ac:dyDescent="0.25">
      <c r="A786" s="1"/>
      <c r="B786" s="21" t="str">
        <f ca="1">IFERROR(__xludf.DUMMYFUNCTION("""COMPUTED_VALUE"""),"Energía solar")</f>
        <v>Energía solar</v>
      </c>
      <c r="C786" s="22">
        <f ca="1">IFERROR(__xludf.DUMMYFUNCTION("""COMPUTED_VALUE"""),0)</f>
        <v>0</v>
      </c>
      <c r="D786" s="23">
        <f ca="1">IFERROR(__xludf.DUMMYFUNCTION("""COMPUTED_VALUE"""),0)</f>
        <v>0</v>
      </c>
      <c r="E786" s="23">
        <f ca="1">IFERROR(__xludf.DUMMYFUNCTION("""COMPUTED_VALUE"""),0)</f>
        <v>0</v>
      </c>
      <c r="F786" s="23">
        <f ca="1">IFERROR(__xludf.DUMMYFUNCTION("""COMPUTED_VALUE"""),0)</f>
        <v>0</v>
      </c>
      <c r="G786" s="23">
        <f ca="1">IFERROR(__xludf.DUMMYFUNCTION("""COMPUTED_VALUE"""),0)</f>
        <v>0</v>
      </c>
      <c r="H786" s="23">
        <f ca="1">IFERROR(__xludf.DUMMYFUNCTION("""COMPUTED_VALUE"""),0)</f>
        <v>0</v>
      </c>
      <c r="I786" s="23">
        <f ca="1">IFERROR(__xludf.DUMMYFUNCTION("""COMPUTED_VALUE"""),0)</f>
        <v>0</v>
      </c>
      <c r="J786" s="23">
        <f ca="1">IFERROR(__xludf.DUMMYFUNCTION("""COMPUTED_VALUE"""),0)</f>
        <v>0</v>
      </c>
      <c r="K786" s="23">
        <f ca="1">IFERROR(__xludf.DUMMYFUNCTION("""COMPUTED_VALUE"""),0)</f>
        <v>0</v>
      </c>
      <c r="L786" s="23">
        <f ca="1">IFERROR(__xludf.DUMMYFUNCTION("""COMPUTED_VALUE"""),0)</f>
        <v>0</v>
      </c>
      <c r="M786" s="23">
        <f ca="1">IFERROR(__xludf.DUMMYFUNCTION("""COMPUTED_VALUE"""),0)</f>
        <v>0</v>
      </c>
      <c r="N786" s="23">
        <f ca="1">IFERROR(__xludf.DUMMYFUNCTION("""COMPUTED_VALUE"""),0)</f>
        <v>0</v>
      </c>
      <c r="O786" s="23">
        <f ca="1">IFERROR(__xludf.DUMMYFUNCTION("""COMPUTED_VALUE"""),0)</f>
        <v>0</v>
      </c>
      <c r="P786" s="23">
        <f ca="1">IFERROR(__xludf.DUMMYFUNCTION("""COMPUTED_VALUE"""),0)</f>
        <v>0</v>
      </c>
      <c r="Q786" s="24">
        <f ca="1">IFERROR(__xludf.DUMMYFUNCTION("""COMPUTED_VALUE"""),0)</f>
        <v>0</v>
      </c>
      <c r="R786" s="20"/>
    </row>
    <row r="787" spans="1:18" ht="13.2" hidden="1" outlineLevel="1" x14ac:dyDescent="0.25">
      <c r="A787" s="1"/>
      <c r="B787" s="21" t="str">
        <f ca="1">IFERROR(__xludf.DUMMYFUNCTION("""COMPUTED_VALUE"""),"Energía eólica")</f>
        <v>Energía eólica</v>
      </c>
      <c r="C787" s="22">
        <f ca="1">IFERROR(__xludf.DUMMYFUNCTION("""COMPUTED_VALUE"""),0)</f>
        <v>0</v>
      </c>
      <c r="D787" s="23">
        <f ca="1">IFERROR(__xludf.DUMMYFUNCTION("""COMPUTED_VALUE"""),0)</f>
        <v>0</v>
      </c>
      <c r="E787" s="23">
        <f ca="1">IFERROR(__xludf.DUMMYFUNCTION("""COMPUTED_VALUE"""),0)</f>
        <v>0</v>
      </c>
      <c r="F787" s="23">
        <f ca="1">IFERROR(__xludf.DUMMYFUNCTION("""COMPUTED_VALUE"""),0)</f>
        <v>0</v>
      </c>
      <c r="G787" s="23">
        <f ca="1">IFERROR(__xludf.DUMMYFUNCTION("""COMPUTED_VALUE"""),0)</f>
        <v>0</v>
      </c>
      <c r="H787" s="23">
        <f ca="1">IFERROR(__xludf.DUMMYFUNCTION("""COMPUTED_VALUE"""),0)</f>
        <v>0</v>
      </c>
      <c r="I787" s="23">
        <f ca="1">IFERROR(__xludf.DUMMYFUNCTION("""COMPUTED_VALUE"""),0)</f>
        <v>0</v>
      </c>
      <c r="J787" s="23">
        <f ca="1">IFERROR(__xludf.DUMMYFUNCTION("""COMPUTED_VALUE"""),0)</f>
        <v>0</v>
      </c>
      <c r="K787" s="23">
        <f ca="1">IFERROR(__xludf.DUMMYFUNCTION("""COMPUTED_VALUE"""),0)</f>
        <v>0</v>
      </c>
      <c r="L787" s="23">
        <f ca="1">IFERROR(__xludf.DUMMYFUNCTION("""COMPUTED_VALUE"""),0)</f>
        <v>0</v>
      </c>
      <c r="M787" s="23">
        <f ca="1">IFERROR(__xludf.DUMMYFUNCTION("""COMPUTED_VALUE"""),0)</f>
        <v>0</v>
      </c>
      <c r="N787" s="23">
        <f ca="1">IFERROR(__xludf.DUMMYFUNCTION("""COMPUTED_VALUE"""),0)</f>
        <v>0</v>
      </c>
      <c r="O787" s="23">
        <f ca="1">IFERROR(__xludf.DUMMYFUNCTION("""COMPUTED_VALUE"""),0)</f>
        <v>0</v>
      </c>
      <c r="P787" s="23">
        <f ca="1">IFERROR(__xludf.DUMMYFUNCTION("""COMPUTED_VALUE"""),0)</f>
        <v>0</v>
      </c>
      <c r="Q787" s="24">
        <f ca="1">IFERROR(__xludf.DUMMYFUNCTION("""COMPUTED_VALUE"""),0)</f>
        <v>0</v>
      </c>
      <c r="R787" s="20"/>
    </row>
    <row r="788" spans="1:18" ht="13.2" hidden="1" outlineLevel="1" x14ac:dyDescent="0.25">
      <c r="A788" s="1"/>
      <c r="B788" s="21" t="str">
        <f ca="1">IFERROR(__xludf.DUMMYFUNCTION("""COMPUTED_VALUE"""),"Bagazo de caña")</f>
        <v>Bagazo de caña</v>
      </c>
      <c r="C788" s="22">
        <f ca="1">IFERROR(__xludf.DUMMYFUNCTION("""COMPUTED_VALUE"""),0.25)</f>
        <v>0.25</v>
      </c>
      <c r="D788" s="23">
        <f ca="1">IFERROR(__xludf.DUMMYFUNCTION("""COMPUTED_VALUE"""),0.27)</f>
        <v>0.27</v>
      </c>
      <c r="E788" s="23">
        <f ca="1">IFERROR(__xludf.DUMMYFUNCTION("""COMPUTED_VALUE"""),0.16)</f>
        <v>0.16</v>
      </c>
      <c r="F788" s="23">
        <f ca="1">IFERROR(__xludf.DUMMYFUNCTION("""COMPUTED_VALUE"""),0.12)</f>
        <v>0.12</v>
      </c>
      <c r="G788" s="23">
        <f ca="1">IFERROR(__xludf.DUMMYFUNCTION("""COMPUTED_VALUE"""),0.3)</f>
        <v>0.3</v>
      </c>
      <c r="H788" s="23">
        <f ca="1">IFERROR(__xludf.DUMMYFUNCTION("""COMPUTED_VALUE"""),0.26974087)</f>
        <v>0.26974087000000002</v>
      </c>
      <c r="I788" s="23">
        <f ca="1">IFERROR(__xludf.DUMMYFUNCTION("""COMPUTED_VALUE"""),0.217780795)</f>
        <v>0.217780795</v>
      </c>
      <c r="J788" s="23">
        <f ca="1">IFERROR(__xludf.DUMMYFUNCTION("""COMPUTED_VALUE"""),0.448902595)</f>
        <v>0.44890259500000002</v>
      </c>
      <c r="K788" s="23">
        <f ca="1">IFERROR(__xludf.DUMMYFUNCTION("""COMPUTED_VALUE"""),0.073393165)</f>
        <v>7.3393164999999996E-2</v>
      </c>
      <c r="L788" s="23">
        <f ca="1">IFERROR(__xludf.DUMMYFUNCTION("""COMPUTED_VALUE"""),0.07663141)</f>
        <v>7.6631409999999997E-2</v>
      </c>
      <c r="M788" s="23">
        <f ca="1">IFERROR(__xludf.DUMMYFUNCTION("""COMPUTED_VALUE"""),0.129931935)</f>
        <v>0.129931935</v>
      </c>
      <c r="N788" s="23">
        <f ca="1">IFERROR(__xludf.DUMMYFUNCTION("""COMPUTED_VALUE"""),0.09833259)</f>
        <v>9.8332589999999997E-2</v>
      </c>
      <c r="O788" s="23">
        <f ca="1">IFERROR(__xludf.DUMMYFUNCTION("""COMPUTED_VALUE"""),0.11304932)</f>
        <v>0.11304931999999999</v>
      </c>
      <c r="P788" s="23">
        <f ca="1">IFERROR(__xludf.DUMMYFUNCTION("""COMPUTED_VALUE"""),0.11563145)</f>
        <v>0.11563145</v>
      </c>
      <c r="Q788" s="24">
        <f ca="1">IFERROR(__xludf.DUMMYFUNCTION("""COMPUTED_VALUE"""),0.03695409)</f>
        <v>3.6954090000000002E-2</v>
      </c>
      <c r="R788" s="20"/>
    </row>
    <row r="789" spans="1:18" ht="13.2" hidden="1" outlineLevel="1" x14ac:dyDescent="0.25">
      <c r="A789" s="1"/>
      <c r="B789" s="21" t="str">
        <f ca="1">IFERROR(__xludf.DUMMYFUNCTION("""COMPUTED_VALUE"""),"Leña")</f>
        <v>Leña</v>
      </c>
      <c r="C789" s="22">
        <f ca="1">IFERROR(__xludf.DUMMYFUNCTION("""COMPUTED_VALUE"""),0)</f>
        <v>0</v>
      </c>
      <c r="D789" s="23">
        <f ca="1">IFERROR(__xludf.DUMMYFUNCTION("""COMPUTED_VALUE"""),0)</f>
        <v>0</v>
      </c>
      <c r="E789" s="23">
        <f ca="1">IFERROR(__xludf.DUMMYFUNCTION("""COMPUTED_VALUE"""),0)</f>
        <v>0</v>
      </c>
      <c r="F789" s="23">
        <f ca="1">IFERROR(__xludf.DUMMYFUNCTION("""COMPUTED_VALUE"""),0)</f>
        <v>0</v>
      </c>
      <c r="G789" s="23">
        <f ca="1">IFERROR(__xludf.DUMMYFUNCTION("""COMPUTED_VALUE"""),0)</f>
        <v>0</v>
      </c>
      <c r="H789" s="23">
        <f ca="1">IFERROR(__xludf.DUMMYFUNCTION("""COMPUTED_VALUE"""),0)</f>
        <v>0</v>
      </c>
      <c r="I789" s="23">
        <f ca="1">IFERROR(__xludf.DUMMYFUNCTION("""COMPUTED_VALUE"""),0)</f>
        <v>0</v>
      </c>
      <c r="J789" s="23">
        <f ca="1">IFERROR(__xludf.DUMMYFUNCTION("""COMPUTED_VALUE"""),0)</f>
        <v>0</v>
      </c>
      <c r="K789" s="23">
        <f ca="1">IFERROR(__xludf.DUMMYFUNCTION("""COMPUTED_VALUE"""),0)</f>
        <v>0</v>
      </c>
      <c r="L789" s="23">
        <f ca="1">IFERROR(__xludf.DUMMYFUNCTION("""COMPUTED_VALUE"""),0)</f>
        <v>0</v>
      </c>
      <c r="M789" s="23">
        <f ca="1">IFERROR(__xludf.DUMMYFUNCTION("""COMPUTED_VALUE"""),0)</f>
        <v>0</v>
      </c>
      <c r="N789" s="23">
        <f ca="1">IFERROR(__xludf.DUMMYFUNCTION("""COMPUTED_VALUE"""),0)</f>
        <v>0</v>
      </c>
      <c r="O789" s="23">
        <f ca="1">IFERROR(__xludf.DUMMYFUNCTION("""COMPUTED_VALUE"""),0)</f>
        <v>0</v>
      </c>
      <c r="P789" s="23">
        <f ca="1">IFERROR(__xludf.DUMMYFUNCTION("""COMPUTED_VALUE"""),0)</f>
        <v>0</v>
      </c>
      <c r="Q789" s="24">
        <f ca="1">IFERROR(__xludf.DUMMYFUNCTION("""COMPUTED_VALUE"""),0)</f>
        <v>0</v>
      </c>
      <c r="R789" s="20"/>
    </row>
    <row r="790" spans="1:18" ht="13.2" hidden="1" outlineLevel="1" x14ac:dyDescent="0.25">
      <c r="A790" s="1"/>
      <c r="B790" s="21" t="str">
        <f ca="1">IFERROR(__xludf.DUMMYFUNCTION("""COMPUTED_VALUE"""),"Biogás")</f>
        <v>Biogás</v>
      </c>
      <c r="C790" s="22">
        <f ca="1">IFERROR(__xludf.DUMMYFUNCTION("""COMPUTED_VALUE"""),0)</f>
        <v>0</v>
      </c>
      <c r="D790" s="23">
        <f ca="1">IFERROR(__xludf.DUMMYFUNCTION("""COMPUTED_VALUE"""),0)</f>
        <v>0</v>
      </c>
      <c r="E790" s="23">
        <f ca="1">IFERROR(__xludf.DUMMYFUNCTION("""COMPUTED_VALUE"""),0)</f>
        <v>0</v>
      </c>
      <c r="F790" s="23">
        <f ca="1">IFERROR(__xludf.DUMMYFUNCTION("""COMPUTED_VALUE"""),0)</f>
        <v>0</v>
      </c>
      <c r="G790" s="23">
        <f ca="1">IFERROR(__xludf.DUMMYFUNCTION("""COMPUTED_VALUE"""),0)</f>
        <v>0</v>
      </c>
      <c r="H790" s="23">
        <f ca="1">IFERROR(__xludf.DUMMYFUNCTION("""COMPUTED_VALUE"""),0)</f>
        <v>0</v>
      </c>
      <c r="I790" s="23">
        <f ca="1">IFERROR(__xludf.DUMMYFUNCTION("""COMPUTED_VALUE"""),0)</f>
        <v>0</v>
      </c>
      <c r="J790" s="23">
        <f ca="1">IFERROR(__xludf.DUMMYFUNCTION("""COMPUTED_VALUE"""),0)</f>
        <v>0</v>
      </c>
      <c r="K790" s="23">
        <f ca="1">IFERROR(__xludf.DUMMYFUNCTION("""COMPUTED_VALUE"""),0)</f>
        <v>0</v>
      </c>
      <c r="L790" s="23">
        <f ca="1">IFERROR(__xludf.DUMMYFUNCTION("""COMPUTED_VALUE"""),0)</f>
        <v>0</v>
      </c>
      <c r="M790" s="23">
        <f ca="1">IFERROR(__xludf.DUMMYFUNCTION("""COMPUTED_VALUE"""),0)</f>
        <v>0</v>
      </c>
      <c r="N790" s="23">
        <f ca="1">IFERROR(__xludf.DUMMYFUNCTION("""COMPUTED_VALUE"""),0)</f>
        <v>0</v>
      </c>
      <c r="O790" s="23">
        <f ca="1">IFERROR(__xludf.DUMMYFUNCTION("""COMPUTED_VALUE"""),0)</f>
        <v>0</v>
      </c>
      <c r="P790" s="23">
        <f ca="1">IFERROR(__xludf.DUMMYFUNCTION("""COMPUTED_VALUE"""),0)</f>
        <v>0</v>
      </c>
      <c r="Q790" s="24">
        <f ca="1">IFERROR(__xludf.DUMMYFUNCTION("""COMPUTED_VALUE"""),0)</f>
        <v>0</v>
      </c>
      <c r="R790" s="20"/>
    </row>
    <row r="791" spans="1:18" ht="13.2" hidden="1" outlineLevel="1" x14ac:dyDescent="0.25">
      <c r="A791" s="1"/>
      <c r="B791" s="21" t="str">
        <f ca="1">IFERROR(__xludf.DUMMYFUNCTION("""COMPUTED_VALUE"""),"Coque de carbón")</f>
        <v>Coque de carbón</v>
      </c>
      <c r="C791" s="22">
        <f ca="1">IFERROR(__xludf.DUMMYFUNCTION("""COMPUTED_VALUE"""),0)</f>
        <v>0</v>
      </c>
      <c r="D791" s="23">
        <f ca="1">IFERROR(__xludf.DUMMYFUNCTION("""COMPUTED_VALUE"""),0)</f>
        <v>0</v>
      </c>
      <c r="E791" s="23">
        <f ca="1">IFERROR(__xludf.DUMMYFUNCTION("""COMPUTED_VALUE"""),0)</f>
        <v>0</v>
      </c>
      <c r="F791" s="23">
        <f ca="1">IFERROR(__xludf.DUMMYFUNCTION("""COMPUTED_VALUE"""),0)</f>
        <v>0</v>
      </c>
      <c r="G791" s="23">
        <f ca="1">IFERROR(__xludf.DUMMYFUNCTION("""COMPUTED_VALUE"""),0)</f>
        <v>0</v>
      </c>
      <c r="H791" s="23">
        <f ca="1">IFERROR(__xludf.DUMMYFUNCTION("""COMPUTED_VALUE"""),0)</f>
        <v>0</v>
      </c>
      <c r="I791" s="23">
        <f ca="1">IFERROR(__xludf.DUMMYFUNCTION("""COMPUTED_VALUE"""),0)</f>
        <v>0</v>
      </c>
      <c r="J791" s="23">
        <f ca="1">IFERROR(__xludf.DUMMYFUNCTION("""COMPUTED_VALUE"""),0)</f>
        <v>0</v>
      </c>
      <c r="K791" s="23">
        <f ca="1">IFERROR(__xludf.DUMMYFUNCTION("""COMPUTED_VALUE"""),0)</f>
        <v>0</v>
      </c>
      <c r="L791" s="23">
        <f ca="1">IFERROR(__xludf.DUMMYFUNCTION("""COMPUTED_VALUE"""),0)</f>
        <v>0</v>
      </c>
      <c r="M791" s="23">
        <f ca="1">IFERROR(__xludf.DUMMYFUNCTION("""COMPUTED_VALUE"""),0)</f>
        <v>0</v>
      </c>
      <c r="N791" s="23">
        <f ca="1">IFERROR(__xludf.DUMMYFUNCTION("""COMPUTED_VALUE"""),0)</f>
        <v>0</v>
      </c>
      <c r="O791" s="23">
        <f ca="1">IFERROR(__xludf.DUMMYFUNCTION("""COMPUTED_VALUE"""),0)</f>
        <v>0</v>
      </c>
      <c r="P791" s="23">
        <f ca="1">IFERROR(__xludf.DUMMYFUNCTION("""COMPUTED_VALUE"""),0)</f>
        <v>0</v>
      </c>
      <c r="Q791" s="24">
        <f ca="1">IFERROR(__xludf.DUMMYFUNCTION("""COMPUTED_VALUE"""),0)</f>
        <v>0</v>
      </c>
      <c r="R791" s="20"/>
    </row>
    <row r="792" spans="1:18" ht="13.2" hidden="1" outlineLevel="1" x14ac:dyDescent="0.25">
      <c r="A792" s="1"/>
      <c r="B792" s="21" t="str">
        <f ca="1">IFERROR(__xludf.DUMMYFUNCTION("""COMPUTED_VALUE"""),"Coque de petróleo")</f>
        <v>Coque de petróleo</v>
      </c>
      <c r="C792" s="22">
        <f ca="1">IFERROR(__xludf.DUMMYFUNCTION("""COMPUTED_VALUE"""),0)</f>
        <v>0</v>
      </c>
      <c r="D792" s="23">
        <f ca="1">IFERROR(__xludf.DUMMYFUNCTION("""COMPUTED_VALUE"""),0)</f>
        <v>0</v>
      </c>
      <c r="E792" s="23">
        <f ca="1">IFERROR(__xludf.DUMMYFUNCTION("""COMPUTED_VALUE"""),0)</f>
        <v>0</v>
      </c>
      <c r="F792" s="23">
        <f ca="1">IFERROR(__xludf.DUMMYFUNCTION("""COMPUTED_VALUE"""),0)</f>
        <v>0</v>
      </c>
      <c r="G792" s="23">
        <f ca="1">IFERROR(__xludf.DUMMYFUNCTION("""COMPUTED_VALUE"""),0)</f>
        <v>0</v>
      </c>
      <c r="H792" s="23">
        <f ca="1">IFERROR(__xludf.DUMMYFUNCTION("""COMPUTED_VALUE"""),0)</f>
        <v>0</v>
      </c>
      <c r="I792" s="23">
        <f ca="1">IFERROR(__xludf.DUMMYFUNCTION("""COMPUTED_VALUE"""),0)</f>
        <v>0</v>
      </c>
      <c r="J792" s="23">
        <f ca="1">IFERROR(__xludf.DUMMYFUNCTION("""COMPUTED_VALUE"""),0)</f>
        <v>0</v>
      </c>
      <c r="K792" s="23">
        <f ca="1">IFERROR(__xludf.DUMMYFUNCTION("""COMPUTED_VALUE"""),0)</f>
        <v>0</v>
      </c>
      <c r="L792" s="23">
        <f ca="1">IFERROR(__xludf.DUMMYFUNCTION("""COMPUTED_VALUE"""),0)</f>
        <v>0</v>
      </c>
      <c r="M792" s="23">
        <f ca="1">IFERROR(__xludf.DUMMYFUNCTION("""COMPUTED_VALUE"""),0)</f>
        <v>0</v>
      </c>
      <c r="N792" s="23">
        <f ca="1">IFERROR(__xludf.DUMMYFUNCTION("""COMPUTED_VALUE"""),0)</f>
        <v>0</v>
      </c>
      <c r="O792" s="23">
        <f ca="1">IFERROR(__xludf.DUMMYFUNCTION("""COMPUTED_VALUE"""),0)</f>
        <v>0</v>
      </c>
      <c r="P792" s="23">
        <f ca="1">IFERROR(__xludf.DUMMYFUNCTION("""COMPUTED_VALUE"""),0)</f>
        <v>0</v>
      </c>
      <c r="Q792" s="24">
        <f ca="1">IFERROR(__xludf.DUMMYFUNCTION("""COMPUTED_VALUE"""),0)</f>
        <v>0</v>
      </c>
      <c r="R792" s="20"/>
    </row>
    <row r="793" spans="1:18" ht="13.2" hidden="1" outlineLevel="1" x14ac:dyDescent="0.25">
      <c r="A793" s="1"/>
      <c r="B793" s="21" t="str">
        <f ca="1">IFERROR(__xludf.DUMMYFUNCTION("""COMPUTED_VALUE"""),"Gas licuado de petróleo")</f>
        <v>Gas licuado de petróleo</v>
      </c>
      <c r="C793" s="22">
        <f ca="1">IFERROR(__xludf.DUMMYFUNCTION("""COMPUTED_VALUE"""),2.123)</f>
        <v>2.1230000000000002</v>
      </c>
      <c r="D793" s="23">
        <f ca="1">IFERROR(__xludf.DUMMYFUNCTION("""COMPUTED_VALUE"""),1.7824)</f>
        <v>1.7824</v>
      </c>
      <c r="E793" s="23">
        <f ca="1">IFERROR(__xludf.DUMMYFUNCTION("""COMPUTED_VALUE"""),1.6482)</f>
        <v>1.6482000000000001</v>
      </c>
      <c r="F793" s="23">
        <f ca="1">IFERROR(__xludf.DUMMYFUNCTION("""COMPUTED_VALUE"""),1.5139)</f>
        <v>1.5139</v>
      </c>
      <c r="G793" s="23">
        <f ca="1">IFERROR(__xludf.DUMMYFUNCTION("""COMPUTED_VALUE"""),1.45242605548299)</f>
        <v>1.45242605548299</v>
      </c>
      <c r="H793" s="23">
        <f ca="1">IFERROR(__xludf.DUMMYFUNCTION("""COMPUTED_VALUE"""),1.61359690296773)</f>
        <v>1.61359690296773</v>
      </c>
      <c r="I793" s="23">
        <f ca="1">IFERROR(__xludf.DUMMYFUNCTION("""COMPUTED_VALUE"""),1.741)</f>
        <v>1.7410000000000001</v>
      </c>
      <c r="J793" s="23">
        <f ca="1">IFERROR(__xludf.DUMMYFUNCTION("""COMPUTED_VALUE"""),1.98483489518192)</f>
        <v>1.9848348951819199</v>
      </c>
      <c r="K793" s="23">
        <f ca="1">IFERROR(__xludf.DUMMYFUNCTION("""COMPUTED_VALUE"""),2.79904503230704)</f>
        <v>2.7990450323070402</v>
      </c>
      <c r="L793" s="23">
        <f ca="1">IFERROR(__xludf.DUMMYFUNCTION("""COMPUTED_VALUE"""),4.54166514274376)</f>
        <v>4.54166514274376</v>
      </c>
      <c r="M793" s="23">
        <f ca="1">IFERROR(__xludf.DUMMYFUNCTION("""COMPUTED_VALUE"""),6.61647240546124)</f>
        <v>6.6164724054612396</v>
      </c>
      <c r="N793" s="23">
        <f ca="1">IFERROR(__xludf.DUMMYFUNCTION("""COMPUTED_VALUE"""),5.81143954412902)</f>
        <v>5.8114395441290201</v>
      </c>
      <c r="O793" s="23">
        <f ca="1">IFERROR(__xludf.DUMMYFUNCTION("""COMPUTED_VALUE"""),0.487060804595455)</f>
        <v>0.48706080459545498</v>
      </c>
      <c r="P793" s="23">
        <f ca="1">IFERROR(__xludf.DUMMYFUNCTION("""COMPUTED_VALUE"""),1.09)</f>
        <v>1.0900000000000001</v>
      </c>
      <c r="Q793" s="24">
        <f ca="1">IFERROR(__xludf.DUMMYFUNCTION("""COMPUTED_VALUE"""),0.458919051493381)</f>
        <v>0.45891905149338102</v>
      </c>
      <c r="R793" s="20"/>
    </row>
    <row r="794" spans="1:18" ht="13.2" hidden="1" outlineLevel="1" x14ac:dyDescent="0.25">
      <c r="A794" s="1"/>
      <c r="B794" s="21" t="str">
        <f ca="1">IFERROR(__xludf.DUMMYFUNCTION("""COMPUTED_VALUE"""),"Gasolinas y naftas")</f>
        <v>Gasolinas y naftas</v>
      </c>
      <c r="C794" s="22">
        <f ca="1">IFERROR(__xludf.DUMMYFUNCTION("""COMPUTED_VALUE"""),68.35)</f>
        <v>68.349999999999994</v>
      </c>
      <c r="D794" s="23">
        <f ca="1">IFERROR(__xludf.DUMMYFUNCTION("""COMPUTED_VALUE"""),56.92)</f>
        <v>56.92</v>
      </c>
      <c r="E794" s="23">
        <f ca="1">IFERROR(__xludf.DUMMYFUNCTION("""COMPUTED_VALUE"""),7.53)</f>
        <v>7.53</v>
      </c>
      <c r="F794" s="23">
        <f ca="1">IFERROR(__xludf.DUMMYFUNCTION("""COMPUTED_VALUE"""),39.35)</f>
        <v>39.35</v>
      </c>
      <c r="G794" s="23">
        <f ca="1">IFERROR(__xludf.DUMMYFUNCTION("""COMPUTED_VALUE"""),48.2780525201199)</f>
        <v>48.2780525201199</v>
      </c>
      <c r="H794" s="23">
        <f ca="1">IFERROR(__xludf.DUMMYFUNCTION("""COMPUTED_VALUE"""),32.2529925091876)</f>
        <v>32.2529925091876</v>
      </c>
      <c r="I794" s="23">
        <f ca="1">IFERROR(__xludf.DUMMYFUNCTION("""COMPUTED_VALUE"""),13.893)</f>
        <v>13.893000000000001</v>
      </c>
      <c r="J794" s="23">
        <f ca="1">IFERROR(__xludf.DUMMYFUNCTION("""COMPUTED_VALUE"""),7.91019453367199)</f>
        <v>7.9101945336719899</v>
      </c>
      <c r="K794" s="23">
        <f ca="1">IFERROR(__xludf.DUMMYFUNCTION("""COMPUTED_VALUE"""),5.58556104153599)</f>
        <v>5.58556104153599</v>
      </c>
      <c r="L794" s="23">
        <f ca="1">IFERROR(__xludf.DUMMYFUNCTION("""COMPUTED_VALUE"""),6.67383134434499)</f>
        <v>6.6738313443449897</v>
      </c>
      <c r="M794" s="23">
        <f ca="1">IFERROR(__xludf.DUMMYFUNCTION("""COMPUTED_VALUE"""),0)</f>
        <v>0</v>
      </c>
      <c r="N794" s="23">
        <f ca="1">IFERROR(__xludf.DUMMYFUNCTION("""COMPUTED_VALUE"""),0)</f>
        <v>0</v>
      </c>
      <c r="O794" s="23">
        <f ca="1">IFERROR(__xludf.DUMMYFUNCTION("""COMPUTED_VALUE"""),6.98458055711399)</f>
        <v>6.9845805571139898</v>
      </c>
      <c r="P794" s="23">
        <f ca="1">IFERROR(__xludf.DUMMYFUNCTION("""COMPUTED_VALUE"""),6.618)</f>
        <v>6.6180000000000003</v>
      </c>
      <c r="Q794" s="24">
        <f ca="1">IFERROR(__xludf.DUMMYFUNCTION("""COMPUTED_VALUE"""),10.6921048896319)</f>
        <v>10.692104889631899</v>
      </c>
      <c r="R794" s="20"/>
    </row>
    <row r="795" spans="1:18" ht="13.2" hidden="1" outlineLevel="1" x14ac:dyDescent="0.25">
      <c r="A795" s="1"/>
      <c r="B795" s="21" t="str">
        <f ca="1">IFERROR(__xludf.DUMMYFUNCTION("""COMPUTED_VALUE"""),"Querosenos")</f>
        <v>Querosenos</v>
      </c>
      <c r="C795" s="22">
        <f ca="1">IFERROR(__xludf.DUMMYFUNCTION("""COMPUTED_VALUE"""),0)</f>
        <v>0</v>
      </c>
      <c r="D795" s="23">
        <f ca="1">IFERROR(__xludf.DUMMYFUNCTION("""COMPUTED_VALUE"""),0)</f>
        <v>0</v>
      </c>
      <c r="E795" s="23">
        <f ca="1">IFERROR(__xludf.DUMMYFUNCTION("""COMPUTED_VALUE"""),0)</f>
        <v>0</v>
      </c>
      <c r="F795" s="23">
        <f ca="1">IFERROR(__xludf.DUMMYFUNCTION("""COMPUTED_VALUE"""),0)</f>
        <v>0</v>
      </c>
      <c r="G795" s="23">
        <f ca="1">IFERROR(__xludf.DUMMYFUNCTION("""COMPUTED_VALUE"""),0)</f>
        <v>0</v>
      </c>
      <c r="H795" s="23">
        <f ca="1">IFERROR(__xludf.DUMMYFUNCTION("""COMPUTED_VALUE"""),0)</f>
        <v>0</v>
      </c>
      <c r="I795" s="23">
        <f ca="1">IFERROR(__xludf.DUMMYFUNCTION("""COMPUTED_VALUE"""),0)</f>
        <v>0</v>
      </c>
      <c r="J795" s="23">
        <f ca="1">IFERROR(__xludf.DUMMYFUNCTION("""COMPUTED_VALUE"""),0)</f>
        <v>0</v>
      </c>
      <c r="K795" s="23">
        <f ca="1">IFERROR(__xludf.DUMMYFUNCTION("""COMPUTED_VALUE"""),0)</f>
        <v>0</v>
      </c>
      <c r="L795" s="23">
        <f ca="1">IFERROR(__xludf.DUMMYFUNCTION("""COMPUTED_VALUE"""),0)</f>
        <v>0</v>
      </c>
      <c r="M795" s="23">
        <f ca="1">IFERROR(__xludf.DUMMYFUNCTION("""COMPUTED_VALUE"""),0)</f>
        <v>0</v>
      </c>
      <c r="N795" s="23">
        <f ca="1">IFERROR(__xludf.DUMMYFUNCTION("""COMPUTED_VALUE"""),0)</f>
        <v>0</v>
      </c>
      <c r="O795" s="23">
        <f ca="1">IFERROR(__xludf.DUMMYFUNCTION("""COMPUTED_VALUE"""),0)</f>
        <v>0</v>
      </c>
      <c r="P795" s="23">
        <f ca="1">IFERROR(__xludf.DUMMYFUNCTION("""COMPUTED_VALUE"""),0)</f>
        <v>0</v>
      </c>
      <c r="Q795" s="24">
        <f ca="1">IFERROR(__xludf.DUMMYFUNCTION("""COMPUTED_VALUE"""),0)</f>
        <v>0</v>
      </c>
      <c r="R795" s="20"/>
    </row>
    <row r="796" spans="1:18" ht="13.2" hidden="1" outlineLevel="1" x14ac:dyDescent="0.25">
      <c r="A796" s="1"/>
      <c r="B796" s="21" t="str">
        <f ca="1">IFERROR(__xludf.DUMMYFUNCTION("""COMPUTED_VALUE"""),"Diesel")</f>
        <v>Diesel</v>
      </c>
      <c r="C796" s="22">
        <f ca="1">IFERROR(__xludf.DUMMYFUNCTION("""COMPUTED_VALUE"""),0)</f>
        <v>0</v>
      </c>
      <c r="D796" s="23">
        <f ca="1">IFERROR(__xludf.DUMMYFUNCTION("""COMPUTED_VALUE"""),0)</f>
        <v>0</v>
      </c>
      <c r="E796" s="23">
        <f ca="1">IFERROR(__xludf.DUMMYFUNCTION("""COMPUTED_VALUE"""),0)</f>
        <v>0</v>
      </c>
      <c r="F796" s="23">
        <f ca="1">IFERROR(__xludf.DUMMYFUNCTION("""COMPUTED_VALUE"""),0)</f>
        <v>0</v>
      </c>
      <c r="G796" s="23">
        <f ca="1">IFERROR(__xludf.DUMMYFUNCTION("""COMPUTED_VALUE"""),0)</f>
        <v>0</v>
      </c>
      <c r="H796" s="23">
        <f ca="1">IFERROR(__xludf.DUMMYFUNCTION("""COMPUTED_VALUE"""),0)</f>
        <v>0</v>
      </c>
      <c r="I796" s="23">
        <f ca="1">IFERROR(__xludf.DUMMYFUNCTION("""COMPUTED_VALUE"""),0)</f>
        <v>0</v>
      </c>
      <c r="J796" s="23">
        <f ca="1">IFERROR(__xludf.DUMMYFUNCTION("""COMPUTED_VALUE"""),0)</f>
        <v>0</v>
      </c>
      <c r="K796" s="23">
        <f ca="1">IFERROR(__xludf.DUMMYFUNCTION("""COMPUTED_VALUE"""),0)</f>
        <v>0</v>
      </c>
      <c r="L796" s="23">
        <f ca="1">IFERROR(__xludf.DUMMYFUNCTION("""COMPUTED_VALUE"""),0)</f>
        <v>0</v>
      </c>
      <c r="M796" s="23">
        <f ca="1">IFERROR(__xludf.DUMMYFUNCTION("""COMPUTED_VALUE"""),0)</f>
        <v>0</v>
      </c>
      <c r="N796" s="23">
        <f ca="1">IFERROR(__xludf.DUMMYFUNCTION("""COMPUTED_VALUE"""),0)</f>
        <v>0</v>
      </c>
      <c r="O796" s="23">
        <f ca="1">IFERROR(__xludf.DUMMYFUNCTION("""COMPUTED_VALUE"""),0)</f>
        <v>0</v>
      </c>
      <c r="P796" s="23">
        <f ca="1">IFERROR(__xludf.DUMMYFUNCTION("""COMPUTED_VALUE"""),0)</f>
        <v>0</v>
      </c>
      <c r="Q796" s="24">
        <f ca="1">IFERROR(__xludf.DUMMYFUNCTION("""COMPUTED_VALUE"""),0)</f>
        <v>0</v>
      </c>
      <c r="R796" s="20"/>
    </row>
    <row r="797" spans="1:18" ht="13.2" hidden="1" outlineLevel="1" x14ac:dyDescent="0.25">
      <c r="A797" s="1"/>
      <c r="B797" s="21" t="str">
        <f ca="1">IFERROR(__xludf.DUMMYFUNCTION("""COMPUTED_VALUE"""),"Combustóleo")</f>
        <v>Combustóleo</v>
      </c>
      <c r="C797" s="22">
        <f ca="1">IFERROR(__xludf.DUMMYFUNCTION("""COMPUTED_VALUE"""),0)</f>
        <v>0</v>
      </c>
      <c r="D797" s="23">
        <f ca="1">IFERROR(__xludf.DUMMYFUNCTION("""COMPUTED_VALUE"""),0)</f>
        <v>0</v>
      </c>
      <c r="E797" s="23">
        <f ca="1">IFERROR(__xludf.DUMMYFUNCTION("""COMPUTED_VALUE"""),0)</f>
        <v>0</v>
      </c>
      <c r="F797" s="23">
        <f ca="1">IFERROR(__xludf.DUMMYFUNCTION("""COMPUTED_VALUE"""),0)</f>
        <v>0</v>
      </c>
      <c r="G797" s="23">
        <f ca="1">IFERROR(__xludf.DUMMYFUNCTION("""COMPUTED_VALUE"""),0)</f>
        <v>0</v>
      </c>
      <c r="H797" s="23">
        <f ca="1">IFERROR(__xludf.DUMMYFUNCTION("""COMPUTED_VALUE"""),0)</f>
        <v>0</v>
      </c>
      <c r="I797" s="23">
        <f ca="1">IFERROR(__xludf.DUMMYFUNCTION("""COMPUTED_VALUE"""),0)</f>
        <v>0</v>
      </c>
      <c r="J797" s="23">
        <f ca="1">IFERROR(__xludf.DUMMYFUNCTION("""COMPUTED_VALUE"""),0)</f>
        <v>0</v>
      </c>
      <c r="K797" s="23">
        <f ca="1">IFERROR(__xludf.DUMMYFUNCTION("""COMPUTED_VALUE"""),0)</f>
        <v>0</v>
      </c>
      <c r="L797" s="23">
        <f ca="1">IFERROR(__xludf.DUMMYFUNCTION("""COMPUTED_VALUE"""),0)</f>
        <v>0</v>
      </c>
      <c r="M797" s="23">
        <f ca="1">IFERROR(__xludf.DUMMYFUNCTION("""COMPUTED_VALUE"""),0)</f>
        <v>0</v>
      </c>
      <c r="N797" s="23">
        <f ca="1">IFERROR(__xludf.DUMMYFUNCTION("""COMPUTED_VALUE"""),0)</f>
        <v>0</v>
      </c>
      <c r="O797" s="23">
        <f ca="1">IFERROR(__xludf.DUMMYFUNCTION("""COMPUTED_VALUE"""),0)</f>
        <v>0</v>
      </c>
      <c r="P797" s="23">
        <f ca="1">IFERROR(__xludf.DUMMYFUNCTION("""COMPUTED_VALUE"""),0)</f>
        <v>0</v>
      </c>
      <c r="Q797" s="24">
        <f ca="1">IFERROR(__xludf.DUMMYFUNCTION("""COMPUTED_VALUE"""),0)</f>
        <v>0</v>
      </c>
      <c r="R797" s="20"/>
    </row>
    <row r="798" spans="1:18" ht="13.2" hidden="1" outlineLevel="1" x14ac:dyDescent="0.25">
      <c r="A798" s="1"/>
      <c r="B798" s="21" t="str">
        <f ca="1">IFERROR(__xludf.DUMMYFUNCTION("""COMPUTED_VALUE"""),"Otros energéticos")</f>
        <v>Otros energéticos</v>
      </c>
      <c r="C798" s="22">
        <f ca="1">IFERROR(__xludf.DUMMYFUNCTION("""COMPUTED_VALUE"""),149.72)</f>
        <v>149.72</v>
      </c>
      <c r="D798" s="23">
        <f ca="1">IFERROR(__xludf.DUMMYFUNCTION("""COMPUTED_VALUE"""),144.38)</f>
        <v>144.38</v>
      </c>
      <c r="E798" s="23">
        <f ca="1">IFERROR(__xludf.DUMMYFUNCTION("""COMPUTED_VALUE"""),136.579999999999)</f>
        <v>136.57999999999899</v>
      </c>
      <c r="F798" s="23">
        <f ca="1">IFERROR(__xludf.DUMMYFUNCTION("""COMPUTED_VALUE"""),135.79)</f>
        <v>135.79</v>
      </c>
      <c r="G798" s="23">
        <f ca="1">IFERROR(__xludf.DUMMYFUNCTION("""COMPUTED_VALUE"""),150.04)</f>
        <v>150.04</v>
      </c>
      <c r="H798" s="23">
        <f ca="1">IFERROR(__xludf.DUMMYFUNCTION("""COMPUTED_VALUE"""),126.5)</f>
        <v>126.5</v>
      </c>
      <c r="I798" s="23">
        <f ca="1">IFERROR(__xludf.DUMMYFUNCTION("""COMPUTED_VALUE"""),114.539999999999)</f>
        <v>114.539999999999</v>
      </c>
      <c r="J798" s="23">
        <f ca="1">IFERROR(__xludf.DUMMYFUNCTION("""COMPUTED_VALUE"""),193.25)</f>
        <v>193.25</v>
      </c>
      <c r="K798" s="23">
        <f ca="1">IFERROR(__xludf.DUMMYFUNCTION("""COMPUTED_VALUE"""),137.51)</f>
        <v>137.51</v>
      </c>
      <c r="L798" s="23">
        <f ca="1">IFERROR(__xludf.DUMMYFUNCTION("""COMPUTED_VALUE"""),123.669999999999)</f>
        <v>123.66999999999901</v>
      </c>
      <c r="M798" s="23">
        <f ca="1">IFERROR(__xludf.DUMMYFUNCTION("""COMPUTED_VALUE"""),97.86)</f>
        <v>97.86</v>
      </c>
      <c r="N798" s="23">
        <f ca="1">IFERROR(__xludf.DUMMYFUNCTION("""COMPUTED_VALUE"""),39.44)</f>
        <v>39.44</v>
      </c>
      <c r="O798" s="23">
        <f ca="1">IFERROR(__xludf.DUMMYFUNCTION("""COMPUTED_VALUE"""),49.38)</f>
        <v>49.38</v>
      </c>
      <c r="P798" s="23">
        <f ca="1">IFERROR(__xludf.DUMMYFUNCTION("""COMPUTED_VALUE"""),105.49)</f>
        <v>105.49</v>
      </c>
      <c r="Q798" s="24">
        <f ca="1">IFERROR(__xludf.DUMMYFUNCTION("""COMPUTED_VALUE"""),95.74)</f>
        <v>95.74</v>
      </c>
      <c r="R798" s="20"/>
    </row>
    <row r="799" spans="1:18" ht="13.2" hidden="1" outlineLevel="1" x14ac:dyDescent="0.25">
      <c r="A799" s="1"/>
      <c r="B799" s="21" t="str">
        <f ca="1">IFERROR(__xludf.DUMMYFUNCTION("""COMPUTED_VALUE"""),"Gas natural seco")</f>
        <v>Gas natural seco</v>
      </c>
      <c r="C799" s="22">
        <f ca="1">IFERROR(__xludf.DUMMYFUNCTION("""COMPUTED_VALUE"""),28.62)</f>
        <v>28.62</v>
      </c>
      <c r="D799" s="23">
        <f ca="1">IFERROR(__xludf.DUMMYFUNCTION("""COMPUTED_VALUE"""),29.3699999999999)</f>
        <v>29.369999999999902</v>
      </c>
      <c r="E799" s="23">
        <f ca="1">IFERROR(__xludf.DUMMYFUNCTION("""COMPUTED_VALUE"""),29.26)</f>
        <v>29.26</v>
      </c>
      <c r="F799" s="23">
        <f ca="1">IFERROR(__xludf.DUMMYFUNCTION("""COMPUTED_VALUE"""),26.08)</f>
        <v>26.08</v>
      </c>
      <c r="G799" s="23">
        <f ca="1">IFERROR(__xludf.DUMMYFUNCTION("""COMPUTED_VALUE"""),31.0240949723766)</f>
        <v>31.024094972376599</v>
      </c>
      <c r="H799" s="23">
        <f ca="1">IFERROR(__xludf.DUMMYFUNCTION("""COMPUTED_VALUE"""),23.4499105734988)</f>
        <v>23.449910573498801</v>
      </c>
      <c r="I799" s="23">
        <f ca="1">IFERROR(__xludf.DUMMYFUNCTION("""COMPUTED_VALUE"""),24.78)</f>
        <v>24.78</v>
      </c>
      <c r="J799" s="23">
        <f ca="1">IFERROR(__xludf.DUMMYFUNCTION("""COMPUTED_VALUE"""),19.78)</f>
        <v>19.78</v>
      </c>
      <c r="K799" s="23">
        <f ca="1">IFERROR(__xludf.DUMMYFUNCTION("""COMPUTED_VALUE"""),13.65)</f>
        <v>13.65</v>
      </c>
      <c r="L799" s="23">
        <f ca="1">IFERROR(__xludf.DUMMYFUNCTION("""COMPUTED_VALUE"""),13.91)</f>
        <v>13.91</v>
      </c>
      <c r="M799" s="23">
        <f ca="1">IFERROR(__xludf.DUMMYFUNCTION("""COMPUTED_VALUE"""),12.05)</f>
        <v>12.05</v>
      </c>
      <c r="N799" s="23">
        <f ca="1">IFERROR(__xludf.DUMMYFUNCTION("""COMPUTED_VALUE"""),7.81)</f>
        <v>7.81</v>
      </c>
      <c r="O799" s="23">
        <f ca="1">IFERROR(__xludf.DUMMYFUNCTION("""COMPUTED_VALUE"""),23.84)</f>
        <v>23.84</v>
      </c>
      <c r="P799" s="23">
        <f ca="1">IFERROR(__xludf.DUMMYFUNCTION("""COMPUTED_VALUE"""),56.521)</f>
        <v>56.521000000000001</v>
      </c>
      <c r="Q799" s="24">
        <f ca="1">IFERROR(__xludf.DUMMYFUNCTION("""COMPUTED_VALUE"""),76.25)</f>
        <v>76.25</v>
      </c>
      <c r="R799" s="20"/>
    </row>
    <row r="800" spans="1:18" ht="13.2" hidden="1" outlineLevel="1" x14ac:dyDescent="0.25">
      <c r="A800" s="1"/>
      <c r="B800" s="25" t="str">
        <f ca="1">IFERROR(__xludf.DUMMYFUNCTION("""COMPUTED_VALUE"""),"Energía eléctrica")</f>
        <v>Energía eléctrica</v>
      </c>
      <c r="C800" s="26">
        <f ca="1">IFERROR(__xludf.DUMMYFUNCTION("""COMPUTED_VALUE"""),0)</f>
        <v>0</v>
      </c>
      <c r="D800" s="27">
        <f ca="1">IFERROR(__xludf.DUMMYFUNCTION("""COMPUTED_VALUE"""),0)</f>
        <v>0</v>
      </c>
      <c r="E800" s="27">
        <f ca="1">IFERROR(__xludf.DUMMYFUNCTION("""COMPUTED_VALUE"""),0)</f>
        <v>0</v>
      </c>
      <c r="F800" s="27">
        <f ca="1">IFERROR(__xludf.DUMMYFUNCTION("""COMPUTED_VALUE"""),0)</f>
        <v>0</v>
      </c>
      <c r="G800" s="27">
        <f ca="1">IFERROR(__xludf.DUMMYFUNCTION("""COMPUTED_VALUE"""),0)</f>
        <v>0</v>
      </c>
      <c r="H800" s="27">
        <f ca="1">IFERROR(__xludf.DUMMYFUNCTION("""COMPUTED_VALUE"""),0)</f>
        <v>0</v>
      </c>
      <c r="I800" s="27">
        <f ca="1">IFERROR(__xludf.DUMMYFUNCTION("""COMPUTED_VALUE"""),0)</f>
        <v>0</v>
      </c>
      <c r="J800" s="27">
        <f ca="1">IFERROR(__xludf.DUMMYFUNCTION("""COMPUTED_VALUE"""),0)</f>
        <v>0</v>
      </c>
      <c r="K800" s="27">
        <f ca="1">IFERROR(__xludf.DUMMYFUNCTION("""COMPUTED_VALUE"""),0)</f>
        <v>0</v>
      </c>
      <c r="L800" s="27">
        <f ca="1">IFERROR(__xludf.DUMMYFUNCTION("""COMPUTED_VALUE"""),0)</f>
        <v>0</v>
      </c>
      <c r="M800" s="27">
        <f ca="1">IFERROR(__xludf.DUMMYFUNCTION("""COMPUTED_VALUE"""),0)</f>
        <v>0</v>
      </c>
      <c r="N800" s="27">
        <f ca="1">IFERROR(__xludf.DUMMYFUNCTION("""COMPUTED_VALUE"""),0)</f>
        <v>0</v>
      </c>
      <c r="O800" s="27">
        <f ca="1">IFERROR(__xludf.DUMMYFUNCTION("""COMPUTED_VALUE"""),0)</f>
        <v>0</v>
      </c>
      <c r="P800" s="27">
        <f ca="1">IFERROR(__xludf.DUMMYFUNCTION("""COMPUTED_VALUE"""),0)</f>
        <v>0</v>
      </c>
      <c r="Q800" s="28">
        <f ca="1">IFERROR(__xludf.DUMMYFUNCTION("""COMPUTED_VALUE"""),0)</f>
        <v>0</v>
      </c>
      <c r="R800" s="20"/>
    </row>
    <row r="801" spans="1:18" ht="13.2" hidden="1" outlineLevel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0"/>
    </row>
    <row r="802" spans="1:18" ht="13.2" collapsed="1" x14ac:dyDescent="0.25">
      <c r="A802" s="29"/>
      <c r="B802" s="5" t="str">
        <f ca="1">IFERROR(__xludf.DUMMYFUNCTION("""COMPUTED_VALUE"""),"Con.Fin.NoE.Pet(e,a)")</f>
        <v>Con.Fin.NoE.Pet(e,a)</v>
      </c>
      <c r="C802" s="6" t="str">
        <f ca="1">IFERROR(__xludf.DUMMYFUNCTION("""COMPUTED_VALUE"""),"/+")</f>
        <v>/+</v>
      </c>
      <c r="D802" s="7" t="str">
        <f ca="1">IFERROR(__xludf.DUMMYFUNCTION("""COMPUTED_VALUE"""),"Petroquímica Pemex")</f>
        <v>Petroquímica Pemex</v>
      </c>
      <c r="E802" s="6" t="str">
        <f ca="1">IFERROR(__xludf.DUMMYFUNCTION("""COMPUTED_VALUE"""),"cbne")</f>
        <v>cbne</v>
      </c>
      <c r="F802" s="6" t="str">
        <f ca="1">IFERROR(__xludf.DUMMYFUNCTION("""COMPUTED_VALUE"""),"a")</f>
        <v>a</v>
      </c>
      <c r="G802" s="8" t="str">
        <f ca="1">IFERROR(__xludf.DUMMYFUNCTION("""COMPUTED_VALUE"""),"PJ")</f>
        <v>PJ</v>
      </c>
      <c r="H802" s="9"/>
      <c r="I802" s="1"/>
      <c r="J802" s="1"/>
      <c r="K802" s="1"/>
      <c r="L802" s="1"/>
      <c r="M802" s="1"/>
      <c r="N802" s="1"/>
      <c r="O802" s="1"/>
      <c r="P802" s="1"/>
      <c r="Q802" s="1"/>
      <c r="R802" s="10"/>
    </row>
    <row r="803" spans="1:18" ht="13.2" hidden="1" outlineLevel="1" x14ac:dyDescent="0.25">
      <c r="A803" s="1"/>
      <c r="B803" s="11"/>
      <c r="C803" s="12">
        <f ca="1">IFERROR(__xludf.DUMMYFUNCTION("""COMPUTED_VALUE"""),2010)</f>
        <v>2010</v>
      </c>
      <c r="D803" s="13">
        <f ca="1">IFERROR(__xludf.DUMMYFUNCTION("""COMPUTED_VALUE"""),2011)</f>
        <v>2011</v>
      </c>
      <c r="E803" s="13">
        <f ca="1">IFERROR(__xludf.DUMMYFUNCTION("""COMPUTED_VALUE"""),2012)</f>
        <v>2012</v>
      </c>
      <c r="F803" s="13">
        <f ca="1">IFERROR(__xludf.DUMMYFUNCTION("""COMPUTED_VALUE"""),2013)</f>
        <v>2013</v>
      </c>
      <c r="G803" s="13">
        <f ca="1">IFERROR(__xludf.DUMMYFUNCTION("""COMPUTED_VALUE"""),2014)</f>
        <v>2014</v>
      </c>
      <c r="H803" s="13">
        <f ca="1">IFERROR(__xludf.DUMMYFUNCTION("""COMPUTED_VALUE"""),2015)</f>
        <v>2015</v>
      </c>
      <c r="I803" s="13">
        <f ca="1">IFERROR(__xludf.DUMMYFUNCTION("""COMPUTED_VALUE"""),2016)</f>
        <v>2016</v>
      </c>
      <c r="J803" s="13">
        <f ca="1">IFERROR(__xludf.DUMMYFUNCTION("""COMPUTED_VALUE"""),2017)</f>
        <v>2017</v>
      </c>
      <c r="K803" s="13">
        <f ca="1">IFERROR(__xludf.DUMMYFUNCTION("""COMPUTED_VALUE"""),2018)</f>
        <v>2018</v>
      </c>
      <c r="L803" s="13">
        <f ca="1">IFERROR(__xludf.DUMMYFUNCTION("""COMPUTED_VALUE"""),2019)</f>
        <v>2019</v>
      </c>
      <c r="M803" s="13">
        <f ca="1">IFERROR(__xludf.DUMMYFUNCTION("""COMPUTED_VALUE"""),2020)</f>
        <v>2020</v>
      </c>
      <c r="N803" s="13">
        <f ca="1">IFERROR(__xludf.DUMMYFUNCTION("""COMPUTED_VALUE"""),2021)</f>
        <v>2021</v>
      </c>
      <c r="O803" s="13">
        <f ca="1">IFERROR(__xludf.DUMMYFUNCTION("""COMPUTED_VALUE"""),2022)</f>
        <v>2022</v>
      </c>
      <c r="P803" s="13">
        <f ca="1">IFERROR(__xludf.DUMMYFUNCTION("""COMPUTED_VALUE"""),2023)</f>
        <v>2023</v>
      </c>
      <c r="Q803" s="14">
        <f ca="1">IFERROR(__xludf.DUMMYFUNCTION("""COMPUTED_VALUE"""),2024)</f>
        <v>2024</v>
      </c>
      <c r="R803" s="15"/>
    </row>
    <row r="804" spans="1:18" ht="13.2" hidden="1" outlineLevel="1" x14ac:dyDescent="0.25">
      <c r="A804" s="1"/>
      <c r="B804" s="16" t="str">
        <f ca="1">IFERROR(__xludf.DUMMYFUNCTION("""COMPUTED_VALUE"""),"Carbón mineral")</f>
        <v>Carbón mineral</v>
      </c>
      <c r="C804" s="17">
        <f ca="1">IFERROR(__xludf.DUMMYFUNCTION("""COMPUTED_VALUE"""),0)</f>
        <v>0</v>
      </c>
      <c r="D804" s="18">
        <f ca="1">IFERROR(__xludf.DUMMYFUNCTION("""COMPUTED_VALUE"""),0)</f>
        <v>0</v>
      </c>
      <c r="E804" s="18">
        <f ca="1">IFERROR(__xludf.DUMMYFUNCTION("""COMPUTED_VALUE"""),0)</f>
        <v>0</v>
      </c>
      <c r="F804" s="18">
        <f ca="1">IFERROR(__xludf.DUMMYFUNCTION("""COMPUTED_VALUE"""),0)</f>
        <v>0</v>
      </c>
      <c r="G804" s="18">
        <f ca="1">IFERROR(__xludf.DUMMYFUNCTION("""COMPUTED_VALUE"""),0)</f>
        <v>0</v>
      </c>
      <c r="H804" s="18">
        <f ca="1">IFERROR(__xludf.DUMMYFUNCTION("""COMPUTED_VALUE"""),0)</f>
        <v>0</v>
      </c>
      <c r="I804" s="18">
        <f ca="1">IFERROR(__xludf.DUMMYFUNCTION("""COMPUTED_VALUE"""),0)</f>
        <v>0</v>
      </c>
      <c r="J804" s="18">
        <f ca="1">IFERROR(__xludf.DUMMYFUNCTION("""COMPUTED_VALUE"""),0)</f>
        <v>0</v>
      </c>
      <c r="K804" s="18">
        <f ca="1">IFERROR(__xludf.DUMMYFUNCTION("""COMPUTED_VALUE"""),0)</f>
        <v>0</v>
      </c>
      <c r="L804" s="18">
        <f ca="1">IFERROR(__xludf.DUMMYFUNCTION("""COMPUTED_VALUE"""),0)</f>
        <v>0</v>
      </c>
      <c r="M804" s="18">
        <f ca="1">IFERROR(__xludf.DUMMYFUNCTION("""COMPUTED_VALUE"""),0)</f>
        <v>0</v>
      </c>
      <c r="N804" s="18">
        <f ca="1">IFERROR(__xludf.DUMMYFUNCTION("""COMPUTED_VALUE"""),0)</f>
        <v>0</v>
      </c>
      <c r="O804" s="18">
        <f ca="1">IFERROR(__xludf.DUMMYFUNCTION("""COMPUTED_VALUE"""),0)</f>
        <v>0</v>
      </c>
      <c r="P804" s="18">
        <f ca="1">IFERROR(__xludf.DUMMYFUNCTION("""COMPUTED_VALUE"""),0)</f>
        <v>0</v>
      </c>
      <c r="Q804" s="19">
        <f ca="1">IFERROR(__xludf.DUMMYFUNCTION("""COMPUTED_VALUE"""),0)</f>
        <v>0</v>
      </c>
      <c r="R804" s="20"/>
    </row>
    <row r="805" spans="1:18" ht="13.2" hidden="1" outlineLevel="1" x14ac:dyDescent="0.25">
      <c r="A805" s="1"/>
      <c r="B805" s="21" t="str">
        <f ca="1">IFERROR(__xludf.DUMMYFUNCTION("""COMPUTED_VALUE"""),"Petróleo crudo")</f>
        <v>Petróleo crudo</v>
      </c>
      <c r="C805" s="22">
        <f ca="1">IFERROR(__xludf.DUMMYFUNCTION("""COMPUTED_VALUE"""),0)</f>
        <v>0</v>
      </c>
      <c r="D805" s="23">
        <f ca="1">IFERROR(__xludf.DUMMYFUNCTION("""COMPUTED_VALUE"""),0)</f>
        <v>0</v>
      </c>
      <c r="E805" s="23">
        <f ca="1">IFERROR(__xludf.DUMMYFUNCTION("""COMPUTED_VALUE"""),0)</f>
        <v>0</v>
      </c>
      <c r="F805" s="23">
        <f ca="1">IFERROR(__xludf.DUMMYFUNCTION("""COMPUTED_VALUE"""),0)</f>
        <v>0</v>
      </c>
      <c r="G805" s="23">
        <f ca="1">IFERROR(__xludf.DUMMYFUNCTION("""COMPUTED_VALUE"""),0)</f>
        <v>0</v>
      </c>
      <c r="H805" s="23">
        <f ca="1">IFERROR(__xludf.DUMMYFUNCTION("""COMPUTED_VALUE"""),0)</f>
        <v>0</v>
      </c>
      <c r="I805" s="23">
        <f ca="1">IFERROR(__xludf.DUMMYFUNCTION("""COMPUTED_VALUE"""),0)</f>
        <v>0</v>
      </c>
      <c r="J805" s="23">
        <f ca="1">IFERROR(__xludf.DUMMYFUNCTION("""COMPUTED_VALUE"""),0)</f>
        <v>0</v>
      </c>
      <c r="K805" s="23">
        <f ca="1">IFERROR(__xludf.DUMMYFUNCTION("""COMPUTED_VALUE"""),0)</f>
        <v>0</v>
      </c>
      <c r="L805" s="23">
        <f ca="1">IFERROR(__xludf.DUMMYFUNCTION("""COMPUTED_VALUE"""),0)</f>
        <v>0</v>
      </c>
      <c r="M805" s="23">
        <f ca="1">IFERROR(__xludf.DUMMYFUNCTION("""COMPUTED_VALUE"""),0)</f>
        <v>0</v>
      </c>
      <c r="N805" s="23">
        <f ca="1">IFERROR(__xludf.DUMMYFUNCTION("""COMPUTED_VALUE"""),0)</f>
        <v>0</v>
      </c>
      <c r="O805" s="23">
        <f ca="1">IFERROR(__xludf.DUMMYFUNCTION("""COMPUTED_VALUE"""),0)</f>
        <v>0</v>
      </c>
      <c r="P805" s="23">
        <f ca="1">IFERROR(__xludf.DUMMYFUNCTION("""COMPUTED_VALUE"""),0)</f>
        <v>0</v>
      </c>
      <c r="Q805" s="24">
        <f ca="1">IFERROR(__xludf.DUMMYFUNCTION("""COMPUTED_VALUE"""),0)</f>
        <v>0</v>
      </c>
      <c r="R805" s="20"/>
    </row>
    <row r="806" spans="1:18" ht="13.2" hidden="1" outlineLevel="1" x14ac:dyDescent="0.25">
      <c r="A806" s="1"/>
      <c r="B806" s="21" t="str">
        <f ca="1">IFERROR(__xludf.DUMMYFUNCTION("""COMPUTED_VALUE"""),"Condensados")</f>
        <v>Condensados</v>
      </c>
      <c r="C806" s="22">
        <f ca="1">IFERROR(__xludf.DUMMYFUNCTION("""COMPUTED_VALUE"""),0)</f>
        <v>0</v>
      </c>
      <c r="D806" s="23">
        <f ca="1">IFERROR(__xludf.DUMMYFUNCTION("""COMPUTED_VALUE"""),0)</f>
        <v>0</v>
      </c>
      <c r="E806" s="23">
        <f ca="1">IFERROR(__xludf.DUMMYFUNCTION("""COMPUTED_VALUE"""),0)</f>
        <v>0</v>
      </c>
      <c r="F806" s="23">
        <f ca="1">IFERROR(__xludf.DUMMYFUNCTION("""COMPUTED_VALUE"""),0)</f>
        <v>0</v>
      </c>
      <c r="G806" s="23">
        <f ca="1">IFERROR(__xludf.DUMMYFUNCTION("""COMPUTED_VALUE"""),0)</f>
        <v>0</v>
      </c>
      <c r="H806" s="23">
        <f ca="1">IFERROR(__xludf.DUMMYFUNCTION("""COMPUTED_VALUE"""),0)</f>
        <v>0</v>
      </c>
      <c r="I806" s="23">
        <f ca="1">IFERROR(__xludf.DUMMYFUNCTION("""COMPUTED_VALUE"""),0)</f>
        <v>0</v>
      </c>
      <c r="J806" s="23">
        <f ca="1">IFERROR(__xludf.DUMMYFUNCTION("""COMPUTED_VALUE"""),0)</f>
        <v>0</v>
      </c>
      <c r="K806" s="23">
        <f ca="1">IFERROR(__xludf.DUMMYFUNCTION("""COMPUTED_VALUE"""),0)</f>
        <v>0</v>
      </c>
      <c r="L806" s="23">
        <f ca="1">IFERROR(__xludf.DUMMYFUNCTION("""COMPUTED_VALUE"""),0)</f>
        <v>0</v>
      </c>
      <c r="M806" s="23">
        <f ca="1">IFERROR(__xludf.DUMMYFUNCTION("""COMPUTED_VALUE"""),0)</f>
        <v>0</v>
      </c>
      <c r="N806" s="23">
        <f ca="1">IFERROR(__xludf.DUMMYFUNCTION("""COMPUTED_VALUE"""),0)</f>
        <v>0</v>
      </c>
      <c r="O806" s="23">
        <f ca="1">IFERROR(__xludf.DUMMYFUNCTION("""COMPUTED_VALUE"""),0)</f>
        <v>0</v>
      </c>
      <c r="P806" s="23">
        <f ca="1">IFERROR(__xludf.DUMMYFUNCTION("""COMPUTED_VALUE"""),0)</f>
        <v>0</v>
      </c>
      <c r="Q806" s="24">
        <f ca="1">IFERROR(__xludf.DUMMYFUNCTION("""COMPUTED_VALUE"""),0)</f>
        <v>0</v>
      </c>
      <c r="R806" s="20"/>
    </row>
    <row r="807" spans="1:18" ht="13.2" hidden="1" outlineLevel="1" x14ac:dyDescent="0.25">
      <c r="A807" s="1"/>
      <c r="B807" s="21" t="str">
        <f ca="1">IFERROR(__xludf.DUMMYFUNCTION("""COMPUTED_VALUE"""),"Gas natural")</f>
        <v>Gas natural</v>
      </c>
      <c r="C807" s="22">
        <f ca="1">IFERROR(__xludf.DUMMYFUNCTION("""COMPUTED_VALUE"""),0)</f>
        <v>0</v>
      </c>
      <c r="D807" s="23">
        <f ca="1">IFERROR(__xludf.DUMMYFUNCTION("""COMPUTED_VALUE"""),0)</f>
        <v>0</v>
      </c>
      <c r="E807" s="23">
        <f ca="1">IFERROR(__xludf.DUMMYFUNCTION("""COMPUTED_VALUE"""),0)</f>
        <v>0</v>
      </c>
      <c r="F807" s="23">
        <f ca="1">IFERROR(__xludf.DUMMYFUNCTION("""COMPUTED_VALUE"""),0)</f>
        <v>0</v>
      </c>
      <c r="G807" s="23">
        <f ca="1">IFERROR(__xludf.DUMMYFUNCTION("""COMPUTED_VALUE"""),0)</f>
        <v>0</v>
      </c>
      <c r="H807" s="23">
        <f ca="1">IFERROR(__xludf.DUMMYFUNCTION("""COMPUTED_VALUE"""),0)</f>
        <v>0</v>
      </c>
      <c r="I807" s="23">
        <f ca="1">IFERROR(__xludf.DUMMYFUNCTION("""COMPUTED_VALUE"""),0)</f>
        <v>0</v>
      </c>
      <c r="J807" s="23">
        <f ca="1">IFERROR(__xludf.DUMMYFUNCTION("""COMPUTED_VALUE"""),0)</f>
        <v>0</v>
      </c>
      <c r="K807" s="23">
        <f ca="1">IFERROR(__xludf.DUMMYFUNCTION("""COMPUTED_VALUE"""),0)</f>
        <v>0</v>
      </c>
      <c r="L807" s="23">
        <f ca="1">IFERROR(__xludf.DUMMYFUNCTION("""COMPUTED_VALUE"""),0)</f>
        <v>0</v>
      </c>
      <c r="M807" s="23">
        <f ca="1">IFERROR(__xludf.DUMMYFUNCTION("""COMPUTED_VALUE"""),0)</f>
        <v>0</v>
      </c>
      <c r="N807" s="23">
        <f ca="1">IFERROR(__xludf.DUMMYFUNCTION("""COMPUTED_VALUE"""),0)</f>
        <v>0</v>
      </c>
      <c r="O807" s="23">
        <f ca="1">IFERROR(__xludf.DUMMYFUNCTION("""COMPUTED_VALUE"""),0)</f>
        <v>0</v>
      </c>
      <c r="P807" s="23">
        <f ca="1">IFERROR(__xludf.DUMMYFUNCTION("""COMPUTED_VALUE"""),0)</f>
        <v>0</v>
      </c>
      <c r="Q807" s="24">
        <f ca="1">IFERROR(__xludf.DUMMYFUNCTION("""COMPUTED_VALUE"""),0)</f>
        <v>0</v>
      </c>
      <c r="R807" s="20"/>
    </row>
    <row r="808" spans="1:18" ht="13.2" hidden="1" outlineLevel="1" x14ac:dyDescent="0.25">
      <c r="A808" s="1"/>
      <c r="B808" s="21" t="str">
        <f ca="1">IFERROR(__xludf.DUMMYFUNCTION("""COMPUTED_VALUE"""),"Energía Nuclear")</f>
        <v>Energía Nuclear</v>
      </c>
      <c r="C808" s="22">
        <f ca="1">IFERROR(__xludf.DUMMYFUNCTION("""COMPUTED_VALUE"""),0)</f>
        <v>0</v>
      </c>
      <c r="D808" s="23">
        <f ca="1">IFERROR(__xludf.DUMMYFUNCTION("""COMPUTED_VALUE"""),0)</f>
        <v>0</v>
      </c>
      <c r="E808" s="23">
        <f ca="1">IFERROR(__xludf.DUMMYFUNCTION("""COMPUTED_VALUE"""),0)</f>
        <v>0</v>
      </c>
      <c r="F808" s="23">
        <f ca="1">IFERROR(__xludf.DUMMYFUNCTION("""COMPUTED_VALUE"""),0)</f>
        <v>0</v>
      </c>
      <c r="G808" s="23">
        <f ca="1">IFERROR(__xludf.DUMMYFUNCTION("""COMPUTED_VALUE"""),0)</f>
        <v>0</v>
      </c>
      <c r="H808" s="23">
        <f ca="1">IFERROR(__xludf.DUMMYFUNCTION("""COMPUTED_VALUE"""),0)</f>
        <v>0</v>
      </c>
      <c r="I808" s="23">
        <f ca="1">IFERROR(__xludf.DUMMYFUNCTION("""COMPUTED_VALUE"""),0)</f>
        <v>0</v>
      </c>
      <c r="J808" s="23">
        <f ca="1">IFERROR(__xludf.DUMMYFUNCTION("""COMPUTED_VALUE"""),0)</f>
        <v>0</v>
      </c>
      <c r="K808" s="23">
        <f ca="1">IFERROR(__xludf.DUMMYFUNCTION("""COMPUTED_VALUE"""),0)</f>
        <v>0</v>
      </c>
      <c r="L808" s="23">
        <f ca="1">IFERROR(__xludf.DUMMYFUNCTION("""COMPUTED_VALUE"""),0)</f>
        <v>0</v>
      </c>
      <c r="M808" s="23">
        <f ca="1">IFERROR(__xludf.DUMMYFUNCTION("""COMPUTED_VALUE"""),0)</f>
        <v>0</v>
      </c>
      <c r="N808" s="23">
        <f ca="1">IFERROR(__xludf.DUMMYFUNCTION("""COMPUTED_VALUE"""),0)</f>
        <v>0</v>
      </c>
      <c r="O808" s="23">
        <f ca="1">IFERROR(__xludf.DUMMYFUNCTION("""COMPUTED_VALUE"""),0)</f>
        <v>0</v>
      </c>
      <c r="P808" s="23">
        <f ca="1">IFERROR(__xludf.DUMMYFUNCTION("""COMPUTED_VALUE"""),0)</f>
        <v>0</v>
      </c>
      <c r="Q808" s="24">
        <f ca="1">IFERROR(__xludf.DUMMYFUNCTION("""COMPUTED_VALUE"""),0)</f>
        <v>0</v>
      </c>
      <c r="R808" s="20"/>
    </row>
    <row r="809" spans="1:18" ht="13.2" hidden="1" outlineLevel="1" x14ac:dyDescent="0.25">
      <c r="A809" s="1"/>
      <c r="B809" s="21" t="str">
        <f ca="1">IFERROR(__xludf.DUMMYFUNCTION("""COMPUTED_VALUE"""),"Energia Hidraúlica")</f>
        <v>Energia Hidraúlica</v>
      </c>
      <c r="C809" s="22">
        <f ca="1">IFERROR(__xludf.DUMMYFUNCTION("""COMPUTED_VALUE"""),0)</f>
        <v>0</v>
      </c>
      <c r="D809" s="23">
        <f ca="1">IFERROR(__xludf.DUMMYFUNCTION("""COMPUTED_VALUE"""),0)</f>
        <v>0</v>
      </c>
      <c r="E809" s="23">
        <f ca="1">IFERROR(__xludf.DUMMYFUNCTION("""COMPUTED_VALUE"""),0)</f>
        <v>0</v>
      </c>
      <c r="F809" s="23">
        <f ca="1">IFERROR(__xludf.DUMMYFUNCTION("""COMPUTED_VALUE"""),0)</f>
        <v>0</v>
      </c>
      <c r="G809" s="23">
        <f ca="1">IFERROR(__xludf.DUMMYFUNCTION("""COMPUTED_VALUE"""),0)</f>
        <v>0</v>
      </c>
      <c r="H809" s="23">
        <f ca="1">IFERROR(__xludf.DUMMYFUNCTION("""COMPUTED_VALUE"""),0)</f>
        <v>0</v>
      </c>
      <c r="I809" s="23">
        <f ca="1">IFERROR(__xludf.DUMMYFUNCTION("""COMPUTED_VALUE"""),0)</f>
        <v>0</v>
      </c>
      <c r="J809" s="23">
        <f ca="1">IFERROR(__xludf.DUMMYFUNCTION("""COMPUTED_VALUE"""),0)</f>
        <v>0</v>
      </c>
      <c r="K809" s="23">
        <f ca="1">IFERROR(__xludf.DUMMYFUNCTION("""COMPUTED_VALUE"""),0)</f>
        <v>0</v>
      </c>
      <c r="L809" s="23">
        <f ca="1">IFERROR(__xludf.DUMMYFUNCTION("""COMPUTED_VALUE"""),0)</f>
        <v>0</v>
      </c>
      <c r="M809" s="23">
        <f ca="1">IFERROR(__xludf.DUMMYFUNCTION("""COMPUTED_VALUE"""),0)</f>
        <v>0</v>
      </c>
      <c r="N809" s="23">
        <f ca="1">IFERROR(__xludf.DUMMYFUNCTION("""COMPUTED_VALUE"""),0)</f>
        <v>0</v>
      </c>
      <c r="O809" s="23">
        <f ca="1">IFERROR(__xludf.DUMMYFUNCTION("""COMPUTED_VALUE"""),0)</f>
        <v>0</v>
      </c>
      <c r="P809" s="23">
        <f ca="1">IFERROR(__xludf.DUMMYFUNCTION("""COMPUTED_VALUE"""),0)</f>
        <v>0</v>
      </c>
      <c r="Q809" s="24">
        <f ca="1">IFERROR(__xludf.DUMMYFUNCTION("""COMPUTED_VALUE"""),0)</f>
        <v>0</v>
      </c>
      <c r="R809" s="20"/>
    </row>
    <row r="810" spans="1:18" ht="13.2" hidden="1" outlineLevel="1" x14ac:dyDescent="0.25">
      <c r="A810" s="1"/>
      <c r="B810" s="21" t="str">
        <f ca="1">IFERROR(__xludf.DUMMYFUNCTION("""COMPUTED_VALUE"""),"Geoenergía")</f>
        <v>Geoenergía</v>
      </c>
      <c r="C810" s="22">
        <f ca="1">IFERROR(__xludf.DUMMYFUNCTION("""COMPUTED_VALUE"""),0)</f>
        <v>0</v>
      </c>
      <c r="D810" s="23">
        <f ca="1">IFERROR(__xludf.DUMMYFUNCTION("""COMPUTED_VALUE"""),0)</f>
        <v>0</v>
      </c>
      <c r="E810" s="23">
        <f ca="1">IFERROR(__xludf.DUMMYFUNCTION("""COMPUTED_VALUE"""),0)</f>
        <v>0</v>
      </c>
      <c r="F810" s="23">
        <f ca="1">IFERROR(__xludf.DUMMYFUNCTION("""COMPUTED_VALUE"""),0)</f>
        <v>0</v>
      </c>
      <c r="G810" s="23">
        <f ca="1">IFERROR(__xludf.DUMMYFUNCTION("""COMPUTED_VALUE"""),0)</f>
        <v>0</v>
      </c>
      <c r="H810" s="23">
        <f ca="1">IFERROR(__xludf.DUMMYFUNCTION("""COMPUTED_VALUE"""),0)</f>
        <v>0</v>
      </c>
      <c r="I810" s="23">
        <f ca="1">IFERROR(__xludf.DUMMYFUNCTION("""COMPUTED_VALUE"""),0)</f>
        <v>0</v>
      </c>
      <c r="J810" s="23">
        <f ca="1">IFERROR(__xludf.DUMMYFUNCTION("""COMPUTED_VALUE"""),0)</f>
        <v>0</v>
      </c>
      <c r="K810" s="23">
        <f ca="1">IFERROR(__xludf.DUMMYFUNCTION("""COMPUTED_VALUE"""),0)</f>
        <v>0</v>
      </c>
      <c r="L810" s="23">
        <f ca="1">IFERROR(__xludf.DUMMYFUNCTION("""COMPUTED_VALUE"""),0)</f>
        <v>0</v>
      </c>
      <c r="M810" s="23">
        <f ca="1">IFERROR(__xludf.DUMMYFUNCTION("""COMPUTED_VALUE"""),0)</f>
        <v>0</v>
      </c>
      <c r="N810" s="23">
        <f ca="1">IFERROR(__xludf.DUMMYFUNCTION("""COMPUTED_VALUE"""),0)</f>
        <v>0</v>
      </c>
      <c r="O810" s="23">
        <f ca="1">IFERROR(__xludf.DUMMYFUNCTION("""COMPUTED_VALUE"""),0)</f>
        <v>0</v>
      </c>
      <c r="P810" s="23">
        <f ca="1">IFERROR(__xludf.DUMMYFUNCTION("""COMPUTED_VALUE"""),0)</f>
        <v>0</v>
      </c>
      <c r="Q810" s="24">
        <f ca="1">IFERROR(__xludf.DUMMYFUNCTION("""COMPUTED_VALUE"""),0)</f>
        <v>0</v>
      </c>
      <c r="R810" s="20"/>
    </row>
    <row r="811" spans="1:18" ht="13.2" hidden="1" outlineLevel="1" x14ac:dyDescent="0.25">
      <c r="A811" s="1"/>
      <c r="B811" s="21" t="str">
        <f ca="1">IFERROR(__xludf.DUMMYFUNCTION("""COMPUTED_VALUE"""),"Energía solar")</f>
        <v>Energía solar</v>
      </c>
      <c r="C811" s="22">
        <f ca="1">IFERROR(__xludf.DUMMYFUNCTION("""COMPUTED_VALUE"""),0)</f>
        <v>0</v>
      </c>
      <c r="D811" s="23">
        <f ca="1">IFERROR(__xludf.DUMMYFUNCTION("""COMPUTED_VALUE"""),0)</f>
        <v>0</v>
      </c>
      <c r="E811" s="23">
        <f ca="1">IFERROR(__xludf.DUMMYFUNCTION("""COMPUTED_VALUE"""),0)</f>
        <v>0</v>
      </c>
      <c r="F811" s="23">
        <f ca="1">IFERROR(__xludf.DUMMYFUNCTION("""COMPUTED_VALUE"""),0)</f>
        <v>0</v>
      </c>
      <c r="G811" s="23">
        <f ca="1">IFERROR(__xludf.DUMMYFUNCTION("""COMPUTED_VALUE"""),0)</f>
        <v>0</v>
      </c>
      <c r="H811" s="23">
        <f ca="1">IFERROR(__xludf.DUMMYFUNCTION("""COMPUTED_VALUE"""),0)</f>
        <v>0</v>
      </c>
      <c r="I811" s="23">
        <f ca="1">IFERROR(__xludf.DUMMYFUNCTION("""COMPUTED_VALUE"""),0)</f>
        <v>0</v>
      </c>
      <c r="J811" s="23">
        <f ca="1">IFERROR(__xludf.DUMMYFUNCTION("""COMPUTED_VALUE"""),0)</f>
        <v>0</v>
      </c>
      <c r="K811" s="23">
        <f ca="1">IFERROR(__xludf.DUMMYFUNCTION("""COMPUTED_VALUE"""),0)</f>
        <v>0</v>
      </c>
      <c r="L811" s="23">
        <f ca="1">IFERROR(__xludf.DUMMYFUNCTION("""COMPUTED_VALUE"""),0)</f>
        <v>0</v>
      </c>
      <c r="M811" s="23">
        <f ca="1">IFERROR(__xludf.DUMMYFUNCTION("""COMPUTED_VALUE"""),0)</f>
        <v>0</v>
      </c>
      <c r="N811" s="23">
        <f ca="1">IFERROR(__xludf.DUMMYFUNCTION("""COMPUTED_VALUE"""),0)</f>
        <v>0</v>
      </c>
      <c r="O811" s="23">
        <f ca="1">IFERROR(__xludf.DUMMYFUNCTION("""COMPUTED_VALUE"""),0)</f>
        <v>0</v>
      </c>
      <c r="P811" s="23">
        <f ca="1">IFERROR(__xludf.DUMMYFUNCTION("""COMPUTED_VALUE"""),0)</f>
        <v>0</v>
      </c>
      <c r="Q811" s="24">
        <f ca="1">IFERROR(__xludf.DUMMYFUNCTION("""COMPUTED_VALUE"""),0)</f>
        <v>0</v>
      </c>
      <c r="R811" s="20"/>
    </row>
    <row r="812" spans="1:18" ht="13.2" hidden="1" outlineLevel="1" x14ac:dyDescent="0.25">
      <c r="A812" s="1"/>
      <c r="B812" s="21" t="str">
        <f ca="1">IFERROR(__xludf.DUMMYFUNCTION("""COMPUTED_VALUE"""),"Energía eólica")</f>
        <v>Energía eólica</v>
      </c>
      <c r="C812" s="22">
        <f ca="1">IFERROR(__xludf.DUMMYFUNCTION("""COMPUTED_VALUE"""),0)</f>
        <v>0</v>
      </c>
      <c r="D812" s="23">
        <f ca="1">IFERROR(__xludf.DUMMYFUNCTION("""COMPUTED_VALUE"""),0)</f>
        <v>0</v>
      </c>
      <c r="E812" s="23">
        <f ca="1">IFERROR(__xludf.DUMMYFUNCTION("""COMPUTED_VALUE"""),0)</f>
        <v>0</v>
      </c>
      <c r="F812" s="23">
        <f ca="1">IFERROR(__xludf.DUMMYFUNCTION("""COMPUTED_VALUE"""),0)</f>
        <v>0</v>
      </c>
      <c r="G812" s="23">
        <f ca="1">IFERROR(__xludf.DUMMYFUNCTION("""COMPUTED_VALUE"""),0)</f>
        <v>0</v>
      </c>
      <c r="H812" s="23">
        <f ca="1">IFERROR(__xludf.DUMMYFUNCTION("""COMPUTED_VALUE"""),0)</f>
        <v>0</v>
      </c>
      <c r="I812" s="23">
        <f ca="1">IFERROR(__xludf.DUMMYFUNCTION("""COMPUTED_VALUE"""),0)</f>
        <v>0</v>
      </c>
      <c r="J812" s="23">
        <f ca="1">IFERROR(__xludf.DUMMYFUNCTION("""COMPUTED_VALUE"""),0)</f>
        <v>0</v>
      </c>
      <c r="K812" s="23">
        <f ca="1">IFERROR(__xludf.DUMMYFUNCTION("""COMPUTED_VALUE"""),0)</f>
        <v>0</v>
      </c>
      <c r="L812" s="23">
        <f ca="1">IFERROR(__xludf.DUMMYFUNCTION("""COMPUTED_VALUE"""),0)</f>
        <v>0</v>
      </c>
      <c r="M812" s="23">
        <f ca="1">IFERROR(__xludf.DUMMYFUNCTION("""COMPUTED_VALUE"""),0)</f>
        <v>0</v>
      </c>
      <c r="N812" s="23">
        <f ca="1">IFERROR(__xludf.DUMMYFUNCTION("""COMPUTED_VALUE"""),0)</f>
        <v>0</v>
      </c>
      <c r="O812" s="23">
        <f ca="1">IFERROR(__xludf.DUMMYFUNCTION("""COMPUTED_VALUE"""),0)</f>
        <v>0</v>
      </c>
      <c r="P812" s="23">
        <f ca="1">IFERROR(__xludf.DUMMYFUNCTION("""COMPUTED_VALUE"""),0)</f>
        <v>0</v>
      </c>
      <c r="Q812" s="24">
        <f ca="1">IFERROR(__xludf.DUMMYFUNCTION("""COMPUTED_VALUE"""),0)</f>
        <v>0</v>
      </c>
      <c r="R812" s="20"/>
    </row>
    <row r="813" spans="1:18" ht="13.2" hidden="1" outlineLevel="1" x14ac:dyDescent="0.25">
      <c r="A813" s="1"/>
      <c r="B813" s="21" t="str">
        <f ca="1">IFERROR(__xludf.DUMMYFUNCTION("""COMPUTED_VALUE"""),"Bagazo de caña")</f>
        <v>Bagazo de caña</v>
      </c>
      <c r="C813" s="22">
        <f ca="1">IFERROR(__xludf.DUMMYFUNCTION("""COMPUTED_VALUE"""),0)</f>
        <v>0</v>
      </c>
      <c r="D813" s="23">
        <f ca="1">IFERROR(__xludf.DUMMYFUNCTION("""COMPUTED_VALUE"""),0)</f>
        <v>0</v>
      </c>
      <c r="E813" s="23">
        <f ca="1">IFERROR(__xludf.DUMMYFUNCTION("""COMPUTED_VALUE"""),0)</f>
        <v>0</v>
      </c>
      <c r="F813" s="23">
        <f ca="1">IFERROR(__xludf.DUMMYFUNCTION("""COMPUTED_VALUE"""),0)</f>
        <v>0</v>
      </c>
      <c r="G813" s="23">
        <f ca="1">IFERROR(__xludf.DUMMYFUNCTION("""COMPUTED_VALUE"""),0)</f>
        <v>0</v>
      </c>
      <c r="H813" s="23">
        <f ca="1">IFERROR(__xludf.DUMMYFUNCTION("""COMPUTED_VALUE"""),0)</f>
        <v>0</v>
      </c>
      <c r="I813" s="23">
        <f ca="1">IFERROR(__xludf.DUMMYFUNCTION("""COMPUTED_VALUE"""),0)</f>
        <v>0</v>
      </c>
      <c r="J813" s="23">
        <f ca="1">IFERROR(__xludf.DUMMYFUNCTION("""COMPUTED_VALUE"""),0)</f>
        <v>0</v>
      </c>
      <c r="K813" s="23">
        <f ca="1">IFERROR(__xludf.DUMMYFUNCTION("""COMPUTED_VALUE"""),0)</f>
        <v>0</v>
      </c>
      <c r="L813" s="23">
        <f ca="1">IFERROR(__xludf.DUMMYFUNCTION("""COMPUTED_VALUE"""),0)</f>
        <v>0</v>
      </c>
      <c r="M813" s="23">
        <f ca="1">IFERROR(__xludf.DUMMYFUNCTION("""COMPUTED_VALUE"""),0)</f>
        <v>0</v>
      </c>
      <c r="N813" s="23">
        <f ca="1">IFERROR(__xludf.DUMMYFUNCTION("""COMPUTED_VALUE"""),0)</f>
        <v>0</v>
      </c>
      <c r="O813" s="23">
        <f ca="1">IFERROR(__xludf.DUMMYFUNCTION("""COMPUTED_VALUE"""),0)</f>
        <v>0</v>
      </c>
      <c r="P813" s="23">
        <f ca="1">IFERROR(__xludf.DUMMYFUNCTION("""COMPUTED_VALUE"""),0)</f>
        <v>0</v>
      </c>
      <c r="Q813" s="24">
        <f ca="1">IFERROR(__xludf.DUMMYFUNCTION("""COMPUTED_VALUE"""),0)</f>
        <v>0</v>
      </c>
      <c r="R813" s="20"/>
    </row>
    <row r="814" spans="1:18" ht="13.2" hidden="1" outlineLevel="1" x14ac:dyDescent="0.25">
      <c r="A814" s="1"/>
      <c r="B814" s="21" t="str">
        <f ca="1">IFERROR(__xludf.DUMMYFUNCTION("""COMPUTED_VALUE"""),"Leña")</f>
        <v>Leña</v>
      </c>
      <c r="C814" s="22">
        <f ca="1">IFERROR(__xludf.DUMMYFUNCTION("""COMPUTED_VALUE"""),0)</f>
        <v>0</v>
      </c>
      <c r="D814" s="23">
        <f ca="1">IFERROR(__xludf.DUMMYFUNCTION("""COMPUTED_VALUE"""),0)</f>
        <v>0</v>
      </c>
      <c r="E814" s="23">
        <f ca="1">IFERROR(__xludf.DUMMYFUNCTION("""COMPUTED_VALUE"""),0)</f>
        <v>0</v>
      </c>
      <c r="F814" s="23">
        <f ca="1">IFERROR(__xludf.DUMMYFUNCTION("""COMPUTED_VALUE"""),0)</f>
        <v>0</v>
      </c>
      <c r="G814" s="23">
        <f ca="1">IFERROR(__xludf.DUMMYFUNCTION("""COMPUTED_VALUE"""),0)</f>
        <v>0</v>
      </c>
      <c r="H814" s="23">
        <f ca="1">IFERROR(__xludf.DUMMYFUNCTION("""COMPUTED_VALUE"""),0)</f>
        <v>0</v>
      </c>
      <c r="I814" s="23">
        <f ca="1">IFERROR(__xludf.DUMMYFUNCTION("""COMPUTED_VALUE"""),0)</f>
        <v>0</v>
      </c>
      <c r="J814" s="23">
        <f ca="1">IFERROR(__xludf.DUMMYFUNCTION("""COMPUTED_VALUE"""),0)</f>
        <v>0</v>
      </c>
      <c r="K814" s="23">
        <f ca="1">IFERROR(__xludf.DUMMYFUNCTION("""COMPUTED_VALUE"""),0)</f>
        <v>0</v>
      </c>
      <c r="L814" s="23">
        <f ca="1">IFERROR(__xludf.DUMMYFUNCTION("""COMPUTED_VALUE"""),0)</f>
        <v>0</v>
      </c>
      <c r="M814" s="23">
        <f ca="1">IFERROR(__xludf.DUMMYFUNCTION("""COMPUTED_VALUE"""),0)</f>
        <v>0</v>
      </c>
      <c r="N814" s="23">
        <f ca="1">IFERROR(__xludf.DUMMYFUNCTION("""COMPUTED_VALUE"""),0)</f>
        <v>0</v>
      </c>
      <c r="O814" s="23">
        <f ca="1">IFERROR(__xludf.DUMMYFUNCTION("""COMPUTED_VALUE"""),0)</f>
        <v>0</v>
      </c>
      <c r="P814" s="23">
        <f ca="1">IFERROR(__xludf.DUMMYFUNCTION("""COMPUTED_VALUE"""),0)</f>
        <v>0</v>
      </c>
      <c r="Q814" s="24">
        <f ca="1">IFERROR(__xludf.DUMMYFUNCTION("""COMPUTED_VALUE"""),0)</f>
        <v>0</v>
      </c>
      <c r="R814" s="20"/>
    </row>
    <row r="815" spans="1:18" ht="13.2" hidden="1" outlineLevel="1" x14ac:dyDescent="0.25">
      <c r="A815" s="1"/>
      <c r="B815" s="21" t="str">
        <f ca="1">IFERROR(__xludf.DUMMYFUNCTION("""COMPUTED_VALUE"""),"Biogás")</f>
        <v>Biogás</v>
      </c>
      <c r="C815" s="22">
        <f ca="1">IFERROR(__xludf.DUMMYFUNCTION("""COMPUTED_VALUE"""),0)</f>
        <v>0</v>
      </c>
      <c r="D815" s="23">
        <f ca="1">IFERROR(__xludf.DUMMYFUNCTION("""COMPUTED_VALUE"""),0)</f>
        <v>0</v>
      </c>
      <c r="E815" s="23">
        <f ca="1">IFERROR(__xludf.DUMMYFUNCTION("""COMPUTED_VALUE"""),0)</f>
        <v>0</v>
      </c>
      <c r="F815" s="23">
        <f ca="1">IFERROR(__xludf.DUMMYFUNCTION("""COMPUTED_VALUE"""),0)</f>
        <v>0</v>
      </c>
      <c r="G815" s="23">
        <f ca="1">IFERROR(__xludf.DUMMYFUNCTION("""COMPUTED_VALUE"""),0)</f>
        <v>0</v>
      </c>
      <c r="H815" s="23">
        <f ca="1">IFERROR(__xludf.DUMMYFUNCTION("""COMPUTED_VALUE"""),0)</f>
        <v>0</v>
      </c>
      <c r="I815" s="23">
        <f ca="1">IFERROR(__xludf.DUMMYFUNCTION("""COMPUTED_VALUE"""),0)</f>
        <v>0</v>
      </c>
      <c r="J815" s="23">
        <f ca="1">IFERROR(__xludf.DUMMYFUNCTION("""COMPUTED_VALUE"""),0)</f>
        <v>0</v>
      </c>
      <c r="K815" s="23">
        <f ca="1">IFERROR(__xludf.DUMMYFUNCTION("""COMPUTED_VALUE"""),0)</f>
        <v>0</v>
      </c>
      <c r="L815" s="23">
        <f ca="1">IFERROR(__xludf.DUMMYFUNCTION("""COMPUTED_VALUE"""),0)</f>
        <v>0</v>
      </c>
      <c r="M815" s="23">
        <f ca="1">IFERROR(__xludf.DUMMYFUNCTION("""COMPUTED_VALUE"""),0)</f>
        <v>0</v>
      </c>
      <c r="N815" s="23">
        <f ca="1">IFERROR(__xludf.DUMMYFUNCTION("""COMPUTED_VALUE"""),0)</f>
        <v>0</v>
      </c>
      <c r="O815" s="23">
        <f ca="1">IFERROR(__xludf.DUMMYFUNCTION("""COMPUTED_VALUE"""),0)</f>
        <v>0</v>
      </c>
      <c r="P815" s="23">
        <f ca="1">IFERROR(__xludf.DUMMYFUNCTION("""COMPUTED_VALUE"""),0)</f>
        <v>0</v>
      </c>
      <c r="Q815" s="24">
        <f ca="1">IFERROR(__xludf.DUMMYFUNCTION("""COMPUTED_VALUE"""),0)</f>
        <v>0</v>
      </c>
      <c r="R815" s="20"/>
    </row>
    <row r="816" spans="1:18" ht="13.2" hidden="1" outlineLevel="1" x14ac:dyDescent="0.25">
      <c r="A816" s="1"/>
      <c r="B816" s="21" t="str">
        <f ca="1">IFERROR(__xludf.DUMMYFUNCTION("""COMPUTED_VALUE"""),"Coque de carbón")</f>
        <v>Coque de carbón</v>
      </c>
      <c r="C816" s="22">
        <f ca="1">IFERROR(__xludf.DUMMYFUNCTION("""COMPUTED_VALUE"""),0)</f>
        <v>0</v>
      </c>
      <c r="D816" s="23">
        <f ca="1">IFERROR(__xludf.DUMMYFUNCTION("""COMPUTED_VALUE"""),0)</f>
        <v>0</v>
      </c>
      <c r="E816" s="23">
        <f ca="1">IFERROR(__xludf.DUMMYFUNCTION("""COMPUTED_VALUE"""),0)</f>
        <v>0</v>
      </c>
      <c r="F816" s="23">
        <f ca="1">IFERROR(__xludf.DUMMYFUNCTION("""COMPUTED_VALUE"""),0)</f>
        <v>0</v>
      </c>
      <c r="G816" s="23">
        <f ca="1">IFERROR(__xludf.DUMMYFUNCTION("""COMPUTED_VALUE"""),0)</f>
        <v>0</v>
      </c>
      <c r="H816" s="23">
        <f ca="1">IFERROR(__xludf.DUMMYFUNCTION("""COMPUTED_VALUE"""),0)</f>
        <v>0</v>
      </c>
      <c r="I816" s="23">
        <f ca="1">IFERROR(__xludf.DUMMYFUNCTION("""COMPUTED_VALUE"""),0)</f>
        <v>0</v>
      </c>
      <c r="J816" s="23">
        <f ca="1">IFERROR(__xludf.DUMMYFUNCTION("""COMPUTED_VALUE"""),0)</f>
        <v>0</v>
      </c>
      <c r="K816" s="23">
        <f ca="1">IFERROR(__xludf.DUMMYFUNCTION("""COMPUTED_VALUE"""),0)</f>
        <v>0</v>
      </c>
      <c r="L816" s="23">
        <f ca="1">IFERROR(__xludf.DUMMYFUNCTION("""COMPUTED_VALUE"""),0)</f>
        <v>0</v>
      </c>
      <c r="M816" s="23">
        <f ca="1">IFERROR(__xludf.DUMMYFUNCTION("""COMPUTED_VALUE"""),0)</f>
        <v>0</v>
      </c>
      <c r="N816" s="23">
        <f ca="1">IFERROR(__xludf.DUMMYFUNCTION("""COMPUTED_VALUE"""),0)</f>
        <v>0</v>
      </c>
      <c r="O816" s="23">
        <f ca="1">IFERROR(__xludf.DUMMYFUNCTION("""COMPUTED_VALUE"""),0)</f>
        <v>0</v>
      </c>
      <c r="P816" s="23">
        <f ca="1">IFERROR(__xludf.DUMMYFUNCTION("""COMPUTED_VALUE"""),0)</f>
        <v>0</v>
      </c>
      <c r="Q816" s="24">
        <f ca="1">IFERROR(__xludf.DUMMYFUNCTION("""COMPUTED_VALUE"""),0)</f>
        <v>0</v>
      </c>
      <c r="R816" s="20"/>
    </row>
    <row r="817" spans="1:18" ht="13.2" hidden="1" outlineLevel="1" x14ac:dyDescent="0.25">
      <c r="A817" s="1"/>
      <c r="B817" s="21" t="str">
        <f ca="1">IFERROR(__xludf.DUMMYFUNCTION("""COMPUTED_VALUE"""),"Coque de petróleo")</f>
        <v>Coque de petróleo</v>
      </c>
      <c r="C817" s="22">
        <f ca="1">IFERROR(__xludf.DUMMYFUNCTION("""COMPUTED_VALUE"""),0)</f>
        <v>0</v>
      </c>
      <c r="D817" s="23">
        <f ca="1">IFERROR(__xludf.DUMMYFUNCTION("""COMPUTED_VALUE"""),0)</f>
        <v>0</v>
      </c>
      <c r="E817" s="23">
        <f ca="1">IFERROR(__xludf.DUMMYFUNCTION("""COMPUTED_VALUE"""),0)</f>
        <v>0</v>
      </c>
      <c r="F817" s="23">
        <f ca="1">IFERROR(__xludf.DUMMYFUNCTION("""COMPUTED_VALUE"""),0)</f>
        <v>0</v>
      </c>
      <c r="G817" s="23">
        <f ca="1">IFERROR(__xludf.DUMMYFUNCTION("""COMPUTED_VALUE"""),0)</f>
        <v>0</v>
      </c>
      <c r="H817" s="23">
        <f ca="1">IFERROR(__xludf.DUMMYFUNCTION("""COMPUTED_VALUE"""),0)</f>
        <v>0</v>
      </c>
      <c r="I817" s="23">
        <f ca="1">IFERROR(__xludf.DUMMYFUNCTION("""COMPUTED_VALUE"""),0)</f>
        <v>0</v>
      </c>
      <c r="J817" s="23">
        <f ca="1">IFERROR(__xludf.DUMMYFUNCTION("""COMPUTED_VALUE"""),0)</f>
        <v>0</v>
      </c>
      <c r="K817" s="23">
        <f ca="1">IFERROR(__xludf.DUMMYFUNCTION("""COMPUTED_VALUE"""),0)</f>
        <v>0</v>
      </c>
      <c r="L817" s="23">
        <f ca="1">IFERROR(__xludf.DUMMYFUNCTION("""COMPUTED_VALUE"""),0)</f>
        <v>0</v>
      </c>
      <c r="M817" s="23">
        <f ca="1">IFERROR(__xludf.DUMMYFUNCTION("""COMPUTED_VALUE"""),0)</f>
        <v>0</v>
      </c>
      <c r="N817" s="23">
        <f ca="1">IFERROR(__xludf.DUMMYFUNCTION("""COMPUTED_VALUE"""),0)</f>
        <v>0</v>
      </c>
      <c r="O817" s="23">
        <f ca="1">IFERROR(__xludf.DUMMYFUNCTION("""COMPUTED_VALUE"""),0)</f>
        <v>0</v>
      </c>
      <c r="P817" s="23">
        <f ca="1">IFERROR(__xludf.DUMMYFUNCTION("""COMPUTED_VALUE"""),0)</f>
        <v>0</v>
      </c>
      <c r="Q817" s="24">
        <f ca="1">IFERROR(__xludf.DUMMYFUNCTION("""COMPUTED_VALUE"""),0)</f>
        <v>0</v>
      </c>
      <c r="R817" s="20"/>
    </row>
    <row r="818" spans="1:18" ht="13.2" hidden="1" outlineLevel="1" x14ac:dyDescent="0.25">
      <c r="A818" s="1"/>
      <c r="B818" s="21" t="str">
        <f ca="1">IFERROR(__xludf.DUMMYFUNCTION("""COMPUTED_VALUE"""),"Gas licuado de petróleo")</f>
        <v>Gas licuado de petróleo</v>
      </c>
      <c r="C818" s="22">
        <f ca="1">IFERROR(__xludf.DUMMYFUNCTION("""COMPUTED_VALUE"""),0)</f>
        <v>0</v>
      </c>
      <c r="D818" s="23">
        <f ca="1">IFERROR(__xludf.DUMMYFUNCTION("""COMPUTED_VALUE"""),0)</f>
        <v>0</v>
      </c>
      <c r="E818" s="23">
        <f ca="1">IFERROR(__xludf.DUMMYFUNCTION("""COMPUTED_VALUE"""),0)</f>
        <v>0</v>
      </c>
      <c r="F818" s="23">
        <f ca="1">IFERROR(__xludf.DUMMYFUNCTION("""COMPUTED_VALUE"""),0)</f>
        <v>0</v>
      </c>
      <c r="G818" s="23">
        <f ca="1">IFERROR(__xludf.DUMMYFUNCTION("""COMPUTED_VALUE"""),0.00388253916908529)</f>
        <v>3.88253916908529E-3</v>
      </c>
      <c r="H818" s="23">
        <f ca="1">IFERROR(__xludf.DUMMYFUNCTION("""COMPUTED_VALUE"""),0.000357633435364097)</f>
        <v>3.5763343536409698E-4</v>
      </c>
      <c r="I818" s="23">
        <f ca="1">IFERROR(__xludf.DUMMYFUNCTION("""COMPUTED_VALUE"""),0)</f>
        <v>0</v>
      </c>
      <c r="J818" s="23">
        <f ca="1">IFERROR(__xludf.DUMMYFUNCTION("""COMPUTED_VALUE"""),0)</f>
        <v>0</v>
      </c>
      <c r="K818" s="23">
        <f ca="1">IFERROR(__xludf.DUMMYFUNCTION("""COMPUTED_VALUE"""),0)</f>
        <v>0</v>
      </c>
      <c r="L818" s="23">
        <f ca="1">IFERROR(__xludf.DUMMYFUNCTION("""COMPUTED_VALUE"""),0)</f>
        <v>0</v>
      </c>
      <c r="M818" s="23">
        <f ca="1">IFERROR(__xludf.DUMMYFUNCTION("""COMPUTED_VALUE"""),0)</f>
        <v>0</v>
      </c>
      <c r="N818" s="23">
        <f ca="1">IFERROR(__xludf.DUMMYFUNCTION("""COMPUTED_VALUE"""),0)</f>
        <v>0</v>
      </c>
      <c r="O818" s="23">
        <f ca="1">IFERROR(__xludf.DUMMYFUNCTION("""COMPUTED_VALUE"""),0)</f>
        <v>0</v>
      </c>
      <c r="P818" s="23">
        <f ca="1">IFERROR(__xludf.DUMMYFUNCTION("""COMPUTED_VALUE"""),0)</f>
        <v>0</v>
      </c>
      <c r="Q818" s="24">
        <f ca="1">IFERROR(__xludf.DUMMYFUNCTION("""COMPUTED_VALUE"""),0)</f>
        <v>0</v>
      </c>
      <c r="R818" s="20"/>
    </row>
    <row r="819" spans="1:18" ht="13.2" hidden="1" outlineLevel="1" x14ac:dyDescent="0.25">
      <c r="A819" s="1"/>
      <c r="B819" s="21" t="str">
        <f ca="1">IFERROR(__xludf.DUMMYFUNCTION("""COMPUTED_VALUE"""),"Gasolinas y naftas")</f>
        <v>Gasolinas y naftas</v>
      </c>
      <c r="C819" s="22">
        <f ca="1">IFERROR(__xludf.DUMMYFUNCTION("""COMPUTED_VALUE"""),68.35)</f>
        <v>68.349999999999994</v>
      </c>
      <c r="D819" s="23">
        <f ca="1">IFERROR(__xludf.DUMMYFUNCTION("""COMPUTED_VALUE"""),56.92)</f>
        <v>56.92</v>
      </c>
      <c r="E819" s="23">
        <f ca="1">IFERROR(__xludf.DUMMYFUNCTION("""COMPUTED_VALUE"""),7.53)</f>
        <v>7.53</v>
      </c>
      <c r="F819" s="23">
        <f ca="1">IFERROR(__xludf.DUMMYFUNCTION("""COMPUTED_VALUE"""),39.35)</f>
        <v>39.35</v>
      </c>
      <c r="G819" s="23">
        <f ca="1">IFERROR(__xludf.DUMMYFUNCTION("""COMPUTED_VALUE"""),48.2780525201199)</f>
        <v>48.2780525201199</v>
      </c>
      <c r="H819" s="23">
        <f ca="1">IFERROR(__xludf.DUMMYFUNCTION("""COMPUTED_VALUE"""),32.2529925091876)</f>
        <v>32.2529925091876</v>
      </c>
      <c r="I819" s="23">
        <f ca="1">IFERROR(__xludf.DUMMYFUNCTION("""COMPUTED_VALUE"""),13.893)</f>
        <v>13.893000000000001</v>
      </c>
      <c r="J819" s="23">
        <f ca="1">IFERROR(__xludf.DUMMYFUNCTION("""COMPUTED_VALUE"""),7.91019453367199)</f>
        <v>7.9101945336719899</v>
      </c>
      <c r="K819" s="23">
        <f ca="1">IFERROR(__xludf.DUMMYFUNCTION("""COMPUTED_VALUE"""),5.58556104153599)</f>
        <v>5.58556104153599</v>
      </c>
      <c r="L819" s="23">
        <f ca="1">IFERROR(__xludf.DUMMYFUNCTION("""COMPUTED_VALUE"""),6.67383134434499)</f>
        <v>6.6738313443449897</v>
      </c>
      <c r="M819" s="23">
        <f ca="1">IFERROR(__xludf.DUMMYFUNCTION("""COMPUTED_VALUE"""),0)</f>
        <v>0</v>
      </c>
      <c r="N819" s="23">
        <f ca="1">IFERROR(__xludf.DUMMYFUNCTION("""COMPUTED_VALUE"""),0)</f>
        <v>0</v>
      </c>
      <c r="O819" s="23">
        <f ca="1">IFERROR(__xludf.DUMMYFUNCTION("""COMPUTED_VALUE"""),6.98458055711399)</f>
        <v>6.9845805571139898</v>
      </c>
      <c r="P819" s="23">
        <f ca="1">IFERROR(__xludf.DUMMYFUNCTION("""COMPUTED_VALUE"""),6.618)</f>
        <v>6.6180000000000003</v>
      </c>
      <c r="Q819" s="24">
        <f ca="1">IFERROR(__xludf.DUMMYFUNCTION("""COMPUTED_VALUE"""),10.6921048896319)</f>
        <v>10.692104889631899</v>
      </c>
      <c r="R819" s="20"/>
    </row>
    <row r="820" spans="1:18" ht="13.2" hidden="1" outlineLevel="1" x14ac:dyDescent="0.25">
      <c r="A820" s="1"/>
      <c r="B820" s="21" t="str">
        <f ca="1">IFERROR(__xludf.DUMMYFUNCTION("""COMPUTED_VALUE"""),"Querosenos")</f>
        <v>Querosenos</v>
      </c>
      <c r="C820" s="22">
        <f ca="1">IFERROR(__xludf.DUMMYFUNCTION("""COMPUTED_VALUE"""),0)</f>
        <v>0</v>
      </c>
      <c r="D820" s="23">
        <f ca="1">IFERROR(__xludf.DUMMYFUNCTION("""COMPUTED_VALUE"""),0)</f>
        <v>0</v>
      </c>
      <c r="E820" s="23">
        <f ca="1">IFERROR(__xludf.DUMMYFUNCTION("""COMPUTED_VALUE"""),0)</f>
        <v>0</v>
      </c>
      <c r="F820" s="23">
        <f ca="1">IFERROR(__xludf.DUMMYFUNCTION("""COMPUTED_VALUE"""),0)</f>
        <v>0</v>
      </c>
      <c r="G820" s="23">
        <f ca="1">IFERROR(__xludf.DUMMYFUNCTION("""COMPUTED_VALUE"""),0)</f>
        <v>0</v>
      </c>
      <c r="H820" s="23">
        <f ca="1">IFERROR(__xludf.DUMMYFUNCTION("""COMPUTED_VALUE"""),0)</f>
        <v>0</v>
      </c>
      <c r="I820" s="23">
        <f ca="1">IFERROR(__xludf.DUMMYFUNCTION("""COMPUTED_VALUE"""),0)</f>
        <v>0</v>
      </c>
      <c r="J820" s="23">
        <f ca="1">IFERROR(__xludf.DUMMYFUNCTION("""COMPUTED_VALUE"""),0)</f>
        <v>0</v>
      </c>
      <c r="K820" s="23">
        <f ca="1">IFERROR(__xludf.DUMMYFUNCTION("""COMPUTED_VALUE"""),0)</f>
        <v>0</v>
      </c>
      <c r="L820" s="23">
        <f ca="1">IFERROR(__xludf.DUMMYFUNCTION("""COMPUTED_VALUE"""),0)</f>
        <v>0</v>
      </c>
      <c r="M820" s="23">
        <f ca="1">IFERROR(__xludf.DUMMYFUNCTION("""COMPUTED_VALUE"""),0)</f>
        <v>0</v>
      </c>
      <c r="N820" s="23">
        <f ca="1">IFERROR(__xludf.DUMMYFUNCTION("""COMPUTED_VALUE"""),0)</f>
        <v>0</v>
      </c>
      <c r="O820" s="23">
        <f ca="1">IFERROR(__xludf.DUMMYFUNCTION("""COMPUTED_VALUE"""),0)</f>
        <v>0</v>
      </c>
      <c r="P820" s="23">
        <f ca="1">IFERROR(__xludf.DUMMYFUNCTION("""COMPUTED_VALUE"""),0)</f>
        <v>0</v>
      </c>
      <c r="Q820" s="24">
        <f ca="1">IFERROR(__xludf.DUMMYFUNCTION("""COMPUTED_VALUE"""),0)</f>
        <v>0</v>
      </c>
      <c r="R820" s="20"/>
    </row>
    <row r="821" spans="1:18" ht="13.2" hidden="1" outlineLevel="1" x14ac:dyDescent="0.25">
      <c r="A821" s="1"/>
      <c r="B821" s="21" t="str">
        <f ca="1">IFERROR(__xludf.DUMMYFUNCTION("""COMPUTED_VALUE"""),"Diesel")</f>
        <v>Diesel</v>
      </c>
      <c r="C821" s="22">
        <f ca="1">IFERROR(__xludf.DUMMYFUNCTION("""COMPUTED_VALUE"""),0)</f>
        <v>0</v>
      </c>
      <c r="D821" s="23">
        <f ca="1">IFERROR(__xludf.DUMMYFUNCTION("""COMPUTED_VALUE"""),0)</f>
        <v>0</v>
      </c>
      <c r="E821" s="23">
        <f ca="1">IFERROR(__xludf.DUMMYFUNCTION("""COMPUTED_VALUE"""),0)</f>
        <v>0</v>
      </c>
      <c r="F821" s="23">
        <f ca="1">IFERROR(__xludf.DUMMYFUNCTION("""COMPUTED_VALUE"""),0)</f>
        <v>0</v>
      </c>
      <c r="G821" s="23">
        <f ca="1">IFERROR(__xludf.DUMMYFUNCTION("""COMPUTED_VALUE"""),0)</f>
        <v>0</v>
      </c>
      <c r="H821" s="23">
        <f ca="1">IFERROR(__xludf.DUMMYFUNCTION("""COMPUTED_VALUE"""),0)</f>
        <v>0</v>
      </c>
      <c r="I821" s="23">
        <f ca="1">IFERROR(__xludf.DUMMYFUNCTION("""COMPUTED_VALUE"""),0)</f>
        <v>0</v>
      </c>
      <c r="J821" s="23">
        <f ca="1">IFERROR(__xludf.DUMMYFUNCTION("""COMPUTED_VALUE"""),0)</f>
        <v>0</v>
      </c>
      <c r="K821" s="23">
        <f ca="1">IFERROR(__xludf.DUMMYFUNCTION("""COMPUTED_VALUE"""),0)</f>
        <v>0</v>
      </c>
      <c r="L821" s="23">
        <f ca="1">IFERROR(__xludf.DUMMYFUNCTION("""COMPUTED_VALUE"""),0)</f>
        <v>0</v>
      </c>
      <c r="M821" s="23">
        <f ca="1">IFERROR(__xludf.DUMMYFUNCTION("""COMPUTED_VALUE"""),0)</f>
        <v>0</v>
      </c>
      <c r="N821" s="23">
        <f ca="1">IFERROR(__xludf.DUMMYFUNCTION("""COMPUTED_VALUE"""),0)</f>
        <v>0</v>
      </c>
      <c r="O821" s="23">
        <f ca="1">IFERROR(__xludf.DUMMYFUNCTION("""COMPUTED_VALUE"""),0)</f>
        <v>0</v>
      </c>
      <c r="P821" s="23">
        <f ca="1">IFERROR(__xludf.DUMMYFUNCTION("""COMPUTED_VALUE"""),0)</f>
        <v>0</v>
      </c>
      <c r="Q821" s="24">
        <f ca="1">IFERROR(__xludf.DUMMYFUNCTION("""COMPUTED_VALUE"""),0)</f>
        <v>0</v>
      </c>
      <c r="R821" s="20"/>
    </row>
    <row r="822" spans="1:18" ht="13.2" hidden="1" outlineLevel="1" x14ac:dyDescent="0.25">
      <c r="A822" s="1"/>
      <c r="B822" s="21" t="str">
        <f ca="1">IFERROR(__xludf.DUMMYFUNCTION("""COMPUTED_VALUE"""),"Combustóleo")</f>
        <v>Combustóleo</v>
      </c>
      <c r="C822" s="22">
        <f ca="1">IFERROR(__xludf.DUMMYFUNCTION("""COMPUTED_VALUE"""),0)</f>
        <v>0</v>
      </c>
      <c r="D822" s="23">
        <f ca="1">IFERROR(__xludf.DUMMYFUNCTION("""COMPUTED_VALUE"""),0)</f>
        <v>0</v>
      </c>
      <c r="E822" s="23">
        <f ca="1">IFERROR(__xludf.DUMMYFUNCTION("""COMPUTED_VALUE"""),0)</f>
        <v>0</v>
      </c>
      <c r="F822" s="23">
        <f ca="1">IFERROR(__xludf.DUMMYFUNCTION("""COMPUTED_VALUE"""),0)</f>
        <v>0</v>
      </c>
      <c r="G822" s="23">
        <f ca="1">IFERROR(__xludf.DUMMYFUNCTION("""COMPUTED_VALUE"""),0)</f>
        <v>0</v>
      </c>
      <c r="H822" s="23">
        <f ca="1">IFERROR(__xludf.DUMMYFUNCTION("""COMPUTED_VALUE"""),0)</f>
        <v>0</v>
      </c>
      <c r="I822" s="23">
        <f ca="1">IFERROR(__xludf.DUMMYFUNCTION("""COMPUTED_VALUE"""),0)</f>
        <v>0</v>
      </c>
      <c r="J822" s="23">
        <f ca="1">IFERROR(__xludf.DUMMYFUNCTION("""COMPUTED_VALUE"""),0)</f>
        <v>0</v>
      </c>
      <c r="K822" s="23">
        <f ca="1">IFERROR(__xludf.DUMMYFUNCTION("""COMPUTED_VALUE"""),0)</f>
        <v>0</v>
      </c>
      <c r="L822" s="23">
        <f ca="1">IFERROR(__xludf.DUMMYFUNCTION("""COMPUTED_VALUE"""),0)</f>
        <v>0</v>
      </c>
      <c r="M822" s="23">
        <f ca="1">IFERROR(__xludf.DUMMYFUNCTION("""COMPUTED_VALUE"""),0)</f>
        <v>0</v>
      </c>
      <c r="N822" s="23">
        <f ca="1">IFERROR(__xludf.DUMMYFUNCTION("""COMPUTED_VALUE"""),0)</f>
        <v>0</v>
      </c>
      <c r="O822" s="23">
        <f ca="1">IFERROR(__xludf.DUMMYFUNCTION("""COMPUTED_VALUE"""),0)</f>
        <v>0</v>
      </c>
      <c r="P822" s="23">
        <f ca="1">IFERROR(__xludf.DUMMYFUNCTION("""COMPUTED_VALUE"""),0)</f>
        <v>0</v>
      </c>
      <c r="Q822" s="24">
        <f ca="1">IFERROR(__xludf.DUMMYFUNCTION("""COMPUTED_VALUE"""),0)</f>
        <v>0</v>
      </c>
      <c r="R822" s="20"/>
    </row>
    <row r="823" spans="1:18" ht="13.2" hidden="1" outlineLevel="1" x14ac:dyDescent="0.25">
      <c r="A823" s="1"/>
      <c r="B823" s="21" t="str">
        <f ca="1">IFERROR(__xludf.DUMMYFUNCTION("""COMPUTED_VALUE"""),"Otros energéticos")</f>
        <v>Otros energéticos</v>
      </c>
      <c r="C823" s="22">
        <f ca="1">IFERROR(__xludf.DUMMYFUNCTION("""COMPUTED_VALUE"""),74.59)</f>
        <v>74.59</v>
      </c>
      <c r="D823" s="23">
        <f ca="1">IFERROR(__xludf.DUMMYFUNCTION("""COMPUTED_VALUE"""),76.03)</f>
        <v>76.03</v>
      </c>
      <c r="E823" s="23">
        <f ca="1">IFERROR(__xludf.DUMMYFUNCTION("""COMPUTED_VALUE"""),76.42)</f>
        <v>76.42</v>
      </c>
      <c r="F823" s="23">
        <f ca="1">IFERROR(__xludf.DUMMYFUNCTION("""COMPUTED_VALUE"""),71.84)</f>
        <v>71.84</v>
      </c>
      <c r="G823" s="23">
        <f ca="1">IFERROR(__xludf.DUMMYFUNCTION("""COMPUTED_VALUE"""),62.19)</f>
        <v>62.19</v>
      </c>
      <c r="H823" s="23">
        <f ca="1">IFERROR(__xludf.DUMMYFUNCTION("""COMPUTED_VALUE"""),56.84)</f>
        <v>56.84</v>
      </c>
      <c r="I823" s="23">
        <f ca="1">IFERROR(__xludf.DUMMYFUNCTION("""COMPUTED_VALUE"""),61.22)</f>
        <v>61.22</v>
      </c>
      <c r="J823" s="23">
        <f ca="1">IFERROR(__xludf.DUMMYFUNCTION("""COMPUTED_VALUE"""),42.84)</f>
        <v>42.84</v>
      </c>
      <c r="K823" s="23">
        <f ca="1">IFERROR(__xludf.DUMMYFUNCTION("""COMPUTED_VALUE"""),37.3)</f>
        <v>37.299999999999997</v>
      </c>
      <c r="L823" s="23">
        <f ca="1">IFERROR(__xludf.DUMMYFUNCTION("""COMPUTED_VALUE"""),27.35)</f>
        <v>27.35</v>
      </c>
      <c r="M823" s="23">
        <f ca="1">IFERROR(__xludf.DUMMYFUNCTION("""COMPUTED_VALUE"""),0)</f>
        <v>0</v>
      </c>
      <c r="N823" s="23">
        <f ca="1">IFERROR(__xludf.DUMMYFUNCTION("""COMPUTED_VALUE"""),0)</f>
        <v>0</v>
      </c>
      <c r="O823" s="23">
        <f ca="1">IFERROR(__xludf.DUMMYFUNCTION("""COMPUTED_VALUE"""),0)</f>
        <v>0</v>
      </c>
      <c r="P823" s="23">
        <f ca="1">IFERROR(__xludf.DUMMYFUNCTION("""COMPUTED_VALUE"""),0)</f>
        <v>0</v>
      </c>
      <c r="Q823" s="24">
        <f ca="1">IFERROR(__xludf.DUMMYFUNCTION("""COMPUTED_VALUE"""),0)</f>
        <v>0</v>
      </c>
      <c r="R823" s="20"/>
    </row>
    <row r="824" spans="1:18" ht="13.2" hidden="1" outlineLevel="1" x14ac:dyDescent="0.25">
      <c r="A824" s="1"/>
      <c r="B824" s="21" t="str">
        <f ca="1">IFERROR(__xludf.DUMMYFUNCTION("""COMPUTED_VALUE"""),"Gas natural seco")</f>
        <v>Gas natural seco</v>
      </c>
      <c r="C824" s="22">
        <f ca="1">IFERROR(__xludf.DUMMYFUNCTION("""COMPUTED_VALUE"""),27.85)</f>
        <v>27.85</v>
      </c>
      <c r="D824" s="23">
        <f ca="1">IFERROR(__xludf.DUMMYFUNCTION("""COMPUTED_VALUE"""),28.63)</f>
        <v>28.63</v>
      </c>
      <c r="E824" s="23">
        <f ca="1">IFERROR(__xludf.DUMMYFUNCTION("""COMPUTED_VALUE"""),28.6)</f>
        <v>28.6</v>
      </c>
      <c r="F824" s="23">
        <f ca="1">IFERROR(__xludf.DUMMYFUNCTION("""COMPUTED_VALUE"""),25.34)</f>
        <v>25.34</v>
      </c>
      <c r="G824" s="23">
        <f ca="1">IFERROR(__xludf.DUMMYFUNCTION("""COMPUTED_VALUE"""),30.6097526202776)</f>
        <v>30.6097526202776</v>
      </c>
      <c r="H824" s="23">
        <f ca="1">IFERROR(__xludf.DUMMYFUNCTION("""COMPUTED_VALUE"""),22.9837532845218)</f>
        <v>22.9837532845218</v>
      </c>
      <c r="I824" s="23">
        <f ca="1">IFERROR(__xludf.DUMMYFUNCTION("""COMPUTED_VALUE"""),24.09)</f>
        <v>24.09</v>
      </c>
      <c r="J824" s="23">
        <f ca="1">IFERROR(__xludf.DUMMYFUNCTION("""COMPUTED_VALUE"""),19.78)</f>
        <v>19.78</v>
      </c>
      <c r="K824" s="23">
        <f ca="1">IFERROR(__xludf.DUMMYFUNCTION("""COMPUTED_VALUE"""),13.65)</f>
        <v>13.65</v>
      </c>
      <c r="L824" s="23">
        <f ca="1">IFERROR(__xludf.DUMMYFUNCTION("""COMPUTED_VALUE"""),13.91)</f>
        <v>13.91</v>
      </c>
      <c r="M824" s="23">
        <f ca="1">IFERROR(__xludf.DUMMYFUNCTION("""COMPUTED_VALUE"""),12.05)</f>
        <v>12.05</v>
      </c>
      <c r="N824" s="23">
        <f ca="1">IFERROR(__xludf.DUMMYFUNCTION("""COMPUTED_VALUE"""),7.81)</f>
        <v>7.81</v>
      </c>
      <c r="O824" s="23">
        <f ca="1">IFERROR(__xludf.DUMMYFUNCTION("""COMPUTED_VALUE"""),23.84)</f>
        <v>23.84</v>
      </c>
      <c r="P824" s="23">
        <f ca="1">IFERROR(__xludf.DUMMYFUNCTION("""COMPUTED_VALUE"""),56.521)</f>
        <v>56.521000000000001</v>
      </c>
      <c r="Q824" s="24">
        <f ca="1">IFERROR(__xludf.DUMMYFUNCTION("""COMPUTED_VALUE"""),76.25)</f>
        <v>76.25</v>
      </c>
      <c r="R824" s="20"/>
    </row>
    <row r="825" spans="1:18" ht="13.2" hidden="1" outlineLevel="1" x14ac:dyDescent="0.25">
      <c r="A825" s="1"/>
      <c r="B825" s="25" t="str">
        <f ca="1">IFERROR(__xludf.DUMMYFUNCTION("""COMPUTED_VALUE"""),"Energía eléctrica")</f>
        <v>Energía eléctrica</v>
      </c>
      <c r="C825" s="26">
        <f ca="1">IFERROR(__xludf.DUMMYFUNCTION("""COMPUTED_VALUE"""),0)</f>
        <v>0</v>
      </c>
      <c r="D825" s="27">
        <f ca="1">IFERROR(__xludf.DUMMYFUNCTION("""COMPUTED_VALUE"""),0)</f>
        <v>0</v>
      </c>
      <c r="E825" s="27">
        <f ca="1">IFERROR(__xludf.DUMMYFUNCTION("""COMPUTED_VALUE"""),0)</f>
        <v>0</v>
      </c>
      <c r="F825" s="27">
        <f ca="1">IFERROR(__xludf.DUMMYFUNCTION("""COMPUTED_VALUE"""),0)</f>
        <v>0</v>
      </c>
      <c r="G825" s="27">
        <f ca="1">IFERROR(__xludf.DUMMYFUNCTION("""COMPUTED_VALUE"""),0)</f>
        <v>0</v>
      </c>
      <c r="H825" s="27">
        <f ca="1">IFERROR(__xludf.DUMMYFUNCTION("""COMPUTED_VALUE"""),0)</f>
        <v>0</v>
      </c>
      <c r="I825" s="27">
        <f ca="1">IFERROR(__xludf.DUMMYFUNCTION("""COMPUTED_VALUE"""),0)</f>
        <v>0</v>
      </c>
      <c r="J825" s="27">
        <f ca="1">IFERROR(__xludf.DUMMYFUNCTION("""COMPUTED_VALUE"""),0)</f>
        <v>0</v>
      </c>
      <c r="K825" s="27">
        <f ca="1">IFERROR(__xludf.DUMMYFUNCTION("""COMPUTED_VALUE"""),0)</f>
        <v>0</v>
      </c>
      <c r="L825" s="27">
        <f ca="1">IFERROR(__xludf.DUMMYFUNCTION("""COMPUTED_VALUE"""),0)</f>
        <v>0</v>
      </c>
      <c r="M825" s="27">
        <f ca="1">IFERROR(__xludf.DUMMYFUNCTION("""COMPUTED_VALUE"""),0)</f>
        <v>0</v>
      </c>
      <c r="N825" s="27">
        <f ca="1">IFERROR(__xludf.DUMMYFUNCTION("""COMPUTED_VALUE"""),0)</f>
        <v>0</v>
      </c>
      <c r="O825" s="27">
        <f ca="1">IFERROR(__xludf.DUMMYFUNCTION("""COMPUTED_VALUE"""),0)</f>
        <v>0</v>
      </c>
      <c r="P825" s="27">
        <f ca="1">IFERROR(__xludf.DUMMYFUNCTION("""COMPUTED_VALUE"""),0)</f>
        <v>0</v>
      </c>
      <c r="Q825" s="28">
        <f ca="1">IFERROR(__xludf.DUMMYFUNCTION("""COMPUTED_VALUE"""),0)</f>
        <v>0</v>
      </c>
      <c r="R825" s="20"/>
    </row>
    <row r="826" spans="1:18" ht="13.2" hidden="1" outlineLevel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0"/>
    </row>
    <row r="827" spans="1:18" ht="13.2" collapsed="1" x14ac:dyDescent="0.25">
      <c r="A827" s="29"/>
      <c r="B827" s="5" t="str">
        <f ca="1">IFERROR(__xludf.DUMMYFUNCTION("""COMPUTED_VALUE"""),"Con.Fin.NoE.Otr(e,a)")</f>
        <v>Con.Fin.NoE.Otr(e,a)</v>
      </c>
      <c r="C827" s="6" t="str">
        <f ca="1">IFERROR(__xludf.DUMMYFUNCTION("""COMPUTED_VALUE"""),"/+")</f>
        <v>/+</v>
      </c>
      <c r="D827" s="7" t="str">
        <f ca="1">IFERROR(__xludf.DUMMYFUNCTION("""COMPUTED_VALUE"""),"Otras ramas económicas")</f>
        <v>Otras ramas económicas</v>
      </c>
      <c r="E827" s="6" t="str">
        <f ca="1">IFERROR(__xludf.DUMMYFUNCTION("""COMPUTED_VALUE"""),"cbne")</f>
        <v>cbne</v>
      </c>
      <c r="F827" s="6" t="str">
        <f ca="1">IFERROR(__xludf.DUMMYFUNCTION("""COMPUTED_VALUE"""),"a")</f>
        <v>a</v>
      </c>
      <c r="G827" s="8" t="str">
        <f ca="1">IFERROR(__xludf.DUMMYFUNCTION("""COMPUTED_VALUE"""),"PJ")</f>
        <v>PJ</v>
      </c>
      <c r="H827" s="9"/>
      <c r="I827" s="1"/>
      <c r="J827" s="1"/>
      <c r="K827" s="1"/>
      <c r="L827" s="1"/>
      <c r="M827" s="1"/>
      <c r="N827" s="1"/>
      <c r="O827" s="1"/>
      <c r="P827" s="1"/>
      <c r="Q827" s="1"/>
      <c r="R827" s="10"/>
    </row>
    <row r="828" spans="1:18" ht="13.2" hidden="1" outlineLevel="1" x14ac:dyDescent="0.25">
      <c r="A828" s="1"/>
      <c r="B828" s="11"/>
      <c r="C828" s="12">
        <f ca="1">IFERROR(__xludf.DUMMYFUNCTION("""COMPUTED_VALUE"""),2010)</f>
        <v>2010</v>
      </c>
      <c r="D828" s="13">
        <f ca="1">IFERROR(__xludf.DUMMYFUNCTION("""COMPUTED_VALUE"""),2011)</f>
        <v>2011</v>
      </c>
      <c r="E828" s="13">
        <f ca="1">IFERROR(__xludf.DUMMYFUNCTION("""COMPUTED_VALUE"""),2012)</f>
        <v>2012</v>
      </c>
      <c r="F828" s="13">
        <f ca="1">IFERROR(__xludf.DUMMYFUNCTION("""COMPUTED_VALUE"""),2013)</f>
        <v>2013</v>
      </c>
      <c r="G828" s="13">
        <f ca="1">IFERROR(__xludf.DUMMYFUNCTION("""COMPUTED_VALUE"""),2014)</f>
        <v>2014</v>
      </c>
      <c r="H828" s="13">
        <f ca="1">IFERROR(__xludf.DUMMYFUNCTION("""COMPUTED_VALUE"""),2015)</f>
        <v>2015</v>
      </c>
      <c r="I828" s="13">
        <f ca="1">IFERROR(__xludf.DUMMYFUNCTION("""COMPUTED_VALUE"""),2016)</f>
        <v>2016</v>
      </c>
      <c r="J828" s="13">
        <f ca="1">IFERROR(__xludf.DUMMYFUNCTION("""COMPUTED_VALUE"""),2017)</f>
        <v>2017</v>
      </c>
      <c r="K828" s="13">
        <f ca="1">IFERROR(__xludf.DUMMYFUNCTION("""COMPUTED_VALUE"""),2018)</f>
        <v>2018</v>
      </c>
      <c r="L828" s="13">
        <f ca="1">IFERROR(__xludf.DUMMYFUNCTION("""COMPUTED_VALUE"""),2019)</f>
        <v>2019</v>
      </c>
      <c r="M828" s="13">
        <f ca="1">IFERROR(__xludf.DUMMYFUNCTION("""COMPUTED_VALUE"""),2020)</f>
        <v>2020</v>
      </c>
      <c r="N828" s="13">
        <f ca="1">IFERROR(__xludf.DUMMYFUNCTION("""COMPUTED_VALUE"""),2021)</f>
        <v>2021</v>
      </c>
      <c r="O828" s="13">
        <f ca="1">IFERROR(__xludf.DUMMYFUNCTION("""COMPUTED_VALUE"""),2022)</f>
        <v>2022</v>
      </c>
      <c r="P828" s="13">
        <f ca="1">IFERROR(__xludf.DUMMYFUNCTION("""COMPUTED_VALUE"""),2023)</f>
        <v>2023</v>
      </c>
      <c r="Q828" s="14">
        <f ca="1">IFERROR(__xludf.DUMMYFUNCTION("""COMPUTED_VALUE"""),2024)</f>
        <v>2024</v>
      </c>
      <c r="R828" s="15"/>
    </row>
    <row r="829" spans="1:18" ht="13.2" hidden="1" outlineLevel="1" x14ac:dyDescent="0.25">
      <c r="A829" s="1"/>
      <c r="B829" s="16" t="str">
        <f ca="1">IFERROR(__xludf.DUMMYFUNCTION("""COMPUTED_VALUE"""),"Carbón mineral")</f>
        <v>Carbón mineral</v>
      </c>
      <c r="C829" s="17">
        <f ca="1">IFERROR(__xludf.DUMMYFUNCTION("""COMPUTED_VALUE"""),0)</f>
        <v>0</v>
      </c>
      <c r="D829" s="18">
        <f ca="1">IFERROR(__xludf.DUMMYFUNCTION("""COMPUTED_VALUE"""),0)</f>
        <v>0</v>
      </c>
      <c r="E829" s="18">
        <f ca="1">IFERROR(__xludf.DUMMYFUNCTION("""COMPUTED_VALUE"""),0)</f>
        <v>0</v>
      </c>
      <c r="F829" s="18">
        <f ca="1">IFERROR(__xludf.DUMMYFUNCTION("""COMPUTED_VALUE"""),0)</f>
        <v>0</v>
      </c>
      <c r="G829" s="18">
        <f ca="1">IFERROR(__xludf.DUMMYFUNCTION("""COMPUTED_VALUE"""),0)</f>
        <v>0</v>
      </c>
      <c r="H829" s="18">
        <f ca="1">IFERROR(__xludf.DUMMYFUNCTION("""COMPUTED_VALUE"""),0)</f>
        <v>0</v>
      </c>
      <c r="I829" s="18">
        <f ca="1">IFERROR(__xludf.DUMMYFUNCTION("""COMPUTED_VALUE"""),0)</f>
        <v>0</v>
      </c>
      <c r="J829" s="18">
        <f ca="1">IFERROR(__xludf.DUMMYFUNCTION("""COMPUTED_VALUE"""),0)</f>
        <v>0</v>
      </c>
      <c r="K829" s="18">
        <f ca="1">IFERROR(__xludf.DUMMYFUNCTION("""COMPUTED_VALUE"""),0)</f>
        <v>0</v>
      </c>
      <c r="L829" s="18">
        <f ca="1">IFERROR(__xludf.DUMMYFUNCTION("""COMPUTED_VALUE"""),0)</f>
        <v>0</v>
      </c>
      <c r="M829" s="18">
        <f ca="1">IFERROR(__xludf.DUMMYFUNCTION("""COMPUTED_VALUE"""),0)</f>
        <v>0</v>
      </c>
      <c r="N829" s="18">
        <f ca="1">IFERROR(__xludf.DUMMYFUNCTION("""COMPUTED_VALUE"""),0)</f>
        <v>0</v>
      </c>
      <c r="O829" s="18">
        <f ca="1">IFERROR(__xludf.DUMMYFUNCTION("""COMPUTED_VALUE"""),0)</f>
        <v>0</v>
      </c>
      <c r="P829" s="18">
        <f ca="1">IFERROR(__xludf.DUMMYFUNCTION("""COMPUTED_VALUE"""),0)</f>
        <v>0</v>
      </c>
      <c r="Q829" s="19">
        <f ca="1">IFERROR(__xludf.DUMMYFUNCTION("""COMPUTED_VALUE"""),0)</f>
        <v>0</v>
      </c>
      <c r="R829" s="20"/>
    </row>
    <row r="830" spans="1:18" ht="13.2" hidden="1" outlineLevel="1" x14ac:dyDescent="0.25">
      <c r="A830" s="1"/>
      <c r="B830" s="21" t="str">
        <f ca="1">IFERROR(__xludf.DUMMYFUNCTION("""COMPUTED_VALUE"""),"Petróleo crudo")</f>
        <v>Petróleo crudo</v>
      </c>
      <c r="C830" s="22">
        <f ca="1">IFERROR(__xludf.DUMMYFUNCTION("""COMPUTED_VALUE"""),0)</f>
        <v>0</v>
      </c>
      <c r="D830" s="23">
        <f ca="1">IFERROR(__xludf.DUMMYFUNCTION("""COMPUTED_VALUE"""),0)</f>
        <v>0</v>
      </c>
      <c r="E830" s="23">
        <f ca="1">IFERROR(__xludf.DUMMYFUNCTION("""COMPUTED_VALUE"""),0)</f>
        <v>0</v>
      </c>
      <c r="F830" s="23">
        <f ca="1">IFERROR(__xludf.DUMMYFUNCTION("""COMPUTED_VALUE"""),0)</f>
        <v>0</v>
      </c>
      <c r="G830" s="23">
        <f ca="1">IFERROR(__xludf.DUMMYFUNCTION("""COMPUTED_VALUE"""),0)</f>
        <v>0</v>
      </c>
      <c r="H830" s="23">
        <f ca="1">IFERROR(__xludf.DUMMYFUNCTION("""COMPUTED_VALUE"""),0)</f>
        <v>0</v>
      </c>
      <c r="I830" s="23">
        <f ca="1">IFERROR(__xludf.DUMMYFUNCTION("""COMPUTED_VALUE"""),0)</f>
        <v>0</v>
      </c>
      <c r="J830" s="23">
        <f ca="1">IFERROR(__xludf.DUMMYFUNCTION("""COMPUTED_VALUE"""),0)</f>
        <v>0</v>
      </c>
      <c r="K830" s="23">
        <f ca="1">IFERROR(__xludf.DUMMYFUNCTION("""COMPUTED_VALUE"""),0)</f>
        <v>0</v>
      </c>
      <c r="L830" s="23">
        <f ca="1">IFERROR(__xludf.DUMMYFUNCTION("""COMPUTED_VALUE"""),0)</f>
        <v>0</v>
      </c>
      <c r="M830" s="23">
        <f ca="1">IFERROR(__xludf.DUMMYFUNCTION("""COMPUTED_VALUE"""),0)</f>
        <v>0</v>
      </c>
      <c r="N830" s="23">
        <f ca="1">IFERROR(__xludf.DUMMYFUNCTION("""COMPUTED_VALUE"""),0)</f>
        <v>0</v>
      </c>
      <c r="O830" s="23">
        <f ca="1">IFERROR(__xludf.DUMMYFUNCTION("""COMPUTED_VALUE"""),0)</f>
        <v>0</v>
      </c>
      <c r="P830" s="23">
        <f ca="1">IFERROR(__xludf.DUMMYFUNCTION("""COMPUTED_VALUE"""),0)</f>
        <v>0</v>
      </c>
      <c r="Q830" s="24">
        <f ca="1">IFERROR(__xludf.DUMMYFUNCTION("""COMPUTED_VALUE"""),0)</f>
        <v>0</v>
      </c>
      <c r="R830" s="20"/>
    </row>
    <row r="831" spans="1:18" ht="13.2" hidden="1" outlineLevel="1" x14ac:dyDescent="0.25">
      <c r="A831" s="1"/>
      <c r="B831" s="21" t="str">
        <f ca="1">IFERROR(__xludf.DUMMYFUNCTION("""COMPUTED_VALUE"""),"Condensados")</f>
        <v>Condensados</v>
      </c>
      <c r="C831" s="22">
        <f ca="1">IFERROR(__xludf.DUMMYFUNCTION("""COMPUTED_VALUE"""),0)</f>
        <v>0</v>
      </c>
      <c r="D831" s="23">
        <f ca="1">IFERROR(__xludf.DUMMYFUNCTION("""COMPUTED_VALUE"""),0)</f>
        <v>0</v>
      </c>
      <c r="E831" s="23">
        <f ca="1">IFERROR(__xludf.DUMMYFUNCTION("""COMPUTED_VALUE"""),0)</f>
        <v>0</v>
      </c>
      <c r="F831" s="23">
        <f ca="1">IFERROR(__xludf.DUMMYFUNCTION("""COMPUTED_VALUE"""),0)</f>
        <v>0</v>
      </c>
      <c r="G831" s="23">
        <f ca="1">IFERROR(__xludf.DUMMYFUNCTION("""COMPUTED_VALUE"""),0)</f>
        <v>0</v>
      </c>
      <c r="H831" s="23">
        <f ca="1">IFERROR(__xludf.DUMMYFUNCTION("""COMPUTED_VALUE"""),0)</f>
        <v>0</v>
      </c>
      <c r="I831" s="23">
        <f ca="1">IFERROR(__xludf.DUMMYFUNCTION("""COMPUTED_VALUE"""),0)</f>
        <v>0</v>
      </c>
      <c r="J831" s="23">
        <f ca="1">IFERROR(__xludf.DUMMYFUNCTION("""COMPUTED_VALUE"""),0)</f>
        <v>0</v>
      </c>
      <c r="K831" s="23">
        <f ca="1">IFERROR(__xludf.DUMMYFUNCTION("""COMPUTED_VALUE"""),0)</f>
        <v>0</v>
      </c>
      <c r="L831" s="23">
        <f ca="1">IFERROR(__xludf.DUMMYFUNCTION("""COMPUTED_VALUE"""),0)</f>
        <v>0</v>
      </c>
      <c r="M831" s="23">
        <f ca="1">IFERROR(__xludf.DUMMYFUNCTION("""COMPUTED_VALUE"""),0)</f>
        <v>0</v>
      </c>
      <c r="N831" s="23">
        <f ca="1">IFERROR(__xludf.DUMMYFUNCTION("""COMPUTED_VALUE"""),0)</f>
        <v>0</v>
      </c>
      <c r="O831" s="23">
        <f ca="1">IFERROR(__xludf.DUMMYFUNCTION("""COMPUTED_VALUE"""),0)</f>
        <v>0</v>
      </c>
      <c r="P831" s="23">
        <f ca="1">IFERROR(__xludf.DUMMYFUNCTION("""COMPUTED_VALUE"""),0)</f>
        <v>0</v>
      </c>
      <c r="Q831" s="24">
        <f ca="1">IFERROR(__xludf.DUMMYFUNCTION("""COMPUTED_VALUE"""),0)</f>
        <v>0</v>
      </c>
      <c r="R831" s="20"/>
    </row>
    <row r="832" spans="1:18" ht="13.2" hidden="1" outlineLevel="1" x14ac:dyDescent="0.25">
      <c r="A832" s="1"/>
      <c r="B832" s="21" t="str">
        <f ca="1">IFERROR(__xludf.DUMMYFUNCTION("""COMPUTED_VALUE"""),"Gas natural")</f>
        <v>Gas natural</v>
      </c>
      <c r="C832" s="22">
        <f ca="1">IFERROR(__xludf.DUMMYFUNCTION("""COMPUTED_VALUE"""),0)</f>
        <v>0</v>
      </c>
      <c r="D832" s="23">
        <f ca="1">IFERROR(__xludf.DUMMYFUNCTION("""COMPUTED_VALUE"""),0)</f>
        <v>0</v>
      </c>
      <c r="E832" s="23">
        <f ca="1">IFERROR(__xludf.DUMMYFUNCTION("""COMPUTED_VALUE"""),0)</f>
        <v>0</v>
      </c>
      <c r="F832" s="23">
        <f ca="1">IFERROR(__xludf.DUMMYFUNCTION("""COMPUTED_VALUE"""),0)</f>
        <v>0</v>
      </c>
      <c r="G832" s="23">
        <f ca="1">IFERROR(__xludf.DUMMYFUNCTION("""COMPUTED_VALUE"""),0)</f>
        <v>0</v>
      </c>
      <c r="H832" s="23">
        <f ca="1">IFERROR(__xludf.DUMMYFUNCTION("""COMPUTED_VALUE"""),0)</f>
        <v>0</v>
      </c>
      <c r="I832" s="23">
        <f ca="1">IFERROR(__xludf.DUMMYFUNCTION("""COMPUTED_VALUE"""),0)</f>
        <v>0</v>
      </c>
      <c r="J832" s="23">
        <f ca="1">IFERROR(__xludf.DUMMYFUNCTION("""COMPUTED_VALUE"""),0)</f>
        <v>0</v>
      </c>
      <c r="K832" s="23">
        <f ca="1">IFERROR(__xludf.DUMMYFUNCTION("""COMPUTED_VALUE"""),0)</f>
        <v>0</v>
      </c>
      <c r="L832" s="23">
        <f ca="1">IFERROR(__xludf.DUMMYFUNCTION("""COMPUTED_VALUE"""),0)</f>
        <v>0</v>
      </c>
      <c r="M832" s="23">
        <f ca="1">IFERROR(__xludf.DUMMYFUNCTION("""COMPUTED_VALUE"""),0)</f>
        <v>0</v>
      </c>
      <c r="N832" s="23">
        <f ca="1">IFERROR(__xludf.DUMMYFUNCTION("""COMPUTED_VALUE"""),0)</f>
        <v>0</v>
      </c>
      <c r="O832" s="23">
        <f ca="1">IFERROR(__xludf.DUMMYFUNCTION("""COMPUTED_VALUE"""),0)</f>
        <v>0</v>
      </c>
      <c r="P832" s="23">
        <f ca="1">IFERROR(__xludf.DUMMYFUNCTION("""COMPUTED_VALUE"""),0)</f>
        <v>0</v>
      </c>
      <c r="Q832" s="24">
        <f ca="1">IFERROR(__xludf.DUMMYFUNCTION("""COMPUTED_VALUE"""),0)</f>
        <v>0</v>
      </c>
      <c r="R832" s="20"/>
    </row>
    <row r="833" spans="1:18" ht="13.2" hidden="1" outlineLevel="1" x14ac:dyDescent="0.25">
      <c r="A833" s="1"/>
      <c r="B833" s="21" t="str">
        <f ca="1">IFERROR(__xludf.DUMMYFUNCTION("""COMPUTED_VALUE"""),"Energía Nuclear")</f>
        <v>Energía Nuclear</v>
      </c>
      <c r="C833" s="22">
        <f ca="1">IFERROR(__xludf.DUMMYFUNCTION("""COMPUTED_VALUE"""),0)</f>
        <v>0</v>
      </c>
      <c r="D833" s="23">
        <f ca="1">IFERROR(__xludf.DUMMYFUNCTION("""COMPUTED_VALUE"""),0)</f>
        <v>0</v>
      </c>
      <c r="E833" s="23">
        <f ca="1">IFERROR(__xludf.DUMMYFUNCTION("""COMPUTED_VALUE"""),0)</f>
        <v>0</v>
      </c>
      <c r="F833" s="23">
        <f ca="1">IFERROR(__xludf.DUMMYFUNCTION("""COMPUTED_VALUE"""),0)</f>
        <v>0</v>
      </c>
      <c r="G833" s="23">
        <f ca="1">IFERROR(__xludf.DUMMYFUNCTION("""COMPUTED_VALUE"""),0)</f>
        <v>0</v>
      </c>
      <c r="H833" s="23">
        <f ca="1">IFERROR(__xludf.DUMMYFUNCTION("""COMPUTED_VALUE"""),0)</f>
        <v>0</v>
      </c>
      <c r="I833" s="23">
        <f ca="1">IFERROR(__xludf.DUMMYFUNCTION("""COMPUTED_VALUE"""),0)</f>
        <v>0</v>
      </c>
      <c r="J833" s="23">
        <f ca="1">IFERROR(__xludf.DUMMYFUNCTION("""COMPUTED_VALUE"""),0)</f>
        <v>0</v>
      </c>
      <c r="K833" s="23">
        <f ca="1">IFERROR(__xludf.DUMMYFUNCTION("""COMPUTED_VALUE"""),0)</f>
        <v>0</v>
      </c>
      <c r="L833" s="23">
        <f ca="1">IFERROR(__xludf.DUMMYFUNCTION("""COMPUTED_VALUE"""),0)</f>
        <v>0</v>
      </c>
      <c r="M833" s="23">
        <f ca="1">IFERROR(__xludf.DUMMYFUNCTION("""COMPUTED_VALUE"""),0)</f>
        <v>0</v>
      </c>
      <c r="N833" s="23">
        <f ca="1">IFERROR(__xludf.DUMMYFUNCTION("""COMPUTED_VALUE"""),0)</f>
        <v>0</v>
      </c>
      <c r="O833" s="23">
        <f ca="1">IFERROR(__xludf.DUMMYFUNCTION("""COMPUTED_VALUE"""),0)</f>
        <v>0</v>
      </c>
      <c r="P833" s="23">
        <f ca="1">IFERROR(__xludf.DUMMYFUNCTION("""COMPUTED_VALUE"""),0)</f>
        <v>0</v>
      </c>
      <c r="Q833" s="24">
        <f ca="1">IFERROR(__xludf.DUMMYFUNCTION("""COMPUTED_VALUE"""),0)</f>
        <v>0</v>
      </c>
      <c r="R833" s="20"/>
    </row>
    <row r="834" spans="1:18" ht="13.2" hidden="1" outlineLevel="1" x14ac:dyDescent="0.25">
      <c r="A834" s="1"/>
      <c r="B834" s="21" t="str">
        <f ca="1">IFERROR(__xludf.DUMMYFUNCTION("""COMPUTED_VALUE"""),"Energia Hidraúlica")</f>
        <v>Energia Hidraúlica</v>
      </c>
      <c r="C834" s="22">
        <f ca="1">IFERROR(__xludf.DUMMYFUNCTION("""COMPUTED_VALUE"""),0)</f>
        <v>0</v>
      </c>
      <c r="D834" s="23">
        <f ca="1">IFERROR(__xludf.DUMMYFUNCTION("""COMPUTED_VALUE"""),0)</f>
        <v>0</v>
      </c>
      <c r="E834" s="23">
        <f ca="1">IFERROR(__xludf.DUMMYFUNCTION("""COMPUTED_VALUE"""),0)</f>
        <v>0</v>
      </c>
      <c r="F834" s="23">
        <f ca="1">IFERROR(__xludf.DUMMYFUNCTION("""COMPUTED_VALUE"""),0)</f>
        <v>0</v>
      </c>
      <c r="G834" s="23">
        <f ca="1">IFERROR(__xludf.DUMMYFUNCTION("""COMPUTED_VALUE"""),0)</f>
        <v>0</v>
      </c>
      <c r="H834" s="23">
        <f ca="1">IFERROR(__xludf.DUMMYFUNCTION("""COMPUTED_VALUE"""),0)</f>
        <v>0</v>
      </c>
      <c r="I834" s="23">
        <f ca="1">IFERROR(__xludf.DUMMYFUNCTION("""COMPUTED_VALUE"""),0)</f>
        <v>0</v>
      </c>
      <c r="J834" s="23">
        <f ca="1">IFERROR(__xludf.DUMMYFUNCTION("""COMPUTED_VALUE"""),0)</f>
        <v>0</v>
      </c>
      <c r="K834" s="23">
        <f ca="1">IFERROR(__xludf.DUMMYFUNCTION("""COMPUTED_VALUE"""),0)</f>
        <v>0</v>
      </c>
      <c r="L834" s="23">
        <f ca="1">IFERROR(__xludf.DUMMYFUNCTION("""COMPUTED_VALUE"""),0)</f>
        <v>0</v>
      </c>
      <c r="M834" s="23">
        <f ca="1">IFERROR(__xludf.DUMMYFUNCTION("""COMPUTED_VALUE"""),0)</f>
        <v>0</v>
      </c>
      <c r="N834" s="23">
        <f ca="1">IFERROR(__xludf.DUMMYFUNCTION("""COMPUTED_VALUE"""),0)</f>
        <v>0</v>
      </c>
      <c r="O834" s="23">
        <f ca="1">IFERROR(__xludf.DUMMYFUNCTION("""COMPUTED_VALUE"""),0)</f>
        <v>0</v>
      </c>
      <c r="P834" s="23">
        <f ca="1">IFERROR(__xludf.DUMMYFUNCTION("""COMPUTED_VALUE"""),0)</f>
        <v>0</v>
      </c>
      <c r="Q834" s="24">
        <f ca="1">IFERROR(__xludf.DUMMYFUNCTION("""COMPUTED_VALUE"""),0)</f>
        <v>0</v>
      </c>
      <c r="R834" s="20"/>
    </row>
    <row r="835" spans="1:18" ht="13.2" hidden="1" outlineLevel="1" x14ac:dyDescent="0.25">
      <c r="A835" s="1"/>
      <c r="B835" s="21" t="str">
        <f ca="1">IFERROR(__xludf.DUMMYFUNCTION("""COMPUTED_VALUE"""),"Geoenergía")</f>
        <v>Geoenergía</v>
      </c>
      <c r="C835" s="22">
        <f ca="1">IFERROR(__xludf.DUMMYFUNCTION("""COMPUTED_VALUE"""),0)</f>
        <v>0</v>
      </c>
      <c r="D835" s="23">
        <f ca="1">IFERROR(__xludf.DUMMYFUNCTION("""COMPUTED_VALUE"""),0)</f>
        <v>0</v>
      </c>
      <c r="E835" s="23">
        <f ca="1">IFERROR(__xludf.DUMMYFUNCTION("""COMPUTED_VALUE"""),0)</f>
        <v>0</v>
      </c>
      <c r="F835" s="23">
        <f ca="1">IFERROR(__xludf.DUMMYFUNCTION("""COMPUTED_VALUE"""),0)</f>
        <v>0</v>
      </c>
      <c r="G835" s="23">
        <f ca="1">IFERROR(__xludf.DUMMYFUNCTION("""COMPUTED_VALUE"""),0)</f>
        <v>0</v>
      </c>
      <c r="H835" s="23">
        <f ca="1">IFERROR(__xludf.DUMMYFUNCTION("""COMPUTED_VALUE"""),0)</f>
        <v>0</v>
      </c>
      <c r="I835" s="23">
        <f ca="1">IFERROR(__xludf.DUMMYFUNCTION("""COMPUTED_VALUE"""),0)</f>
        <v>0</v>
      </c>
      <c r="J835" s="23">
        <f ca="1">IFERROR(__xludf.DUMMYFUNCTION("""COMPUTED_VALUE"""),0)</f>
        <v>0</v>
      </c>
      <c r="K835" s="23">
        <f ca="1">IFERROR(__xludf.DUMMYFUNCTION("""COMPUTED_VALUE"""),0)</f>
        <v>0</v>
      </c>
      <c r="L835" s="23">
        <f ca="1">IFERROR(__xludf.DUMMYFUNCTION("""COMPUTED_VALUE"""),0)</f>
        <v>0</v>
      </c>
      <c r="M835" s="23">
        <f ca="1">IFERROR(__xludf.DUMMYFUNCTION("""COMPUTED_VALUE"""),0)</f>
        <v>0</v>
      </c>
      <c r="N835" s="23">
        <f ca="1">IFERROR(__xludf.DUMMYFUNCTION("""COMPUTED_VALUE"""),0)</f>
        <v>0</v>
      </c>
      <c r="O835" s="23">
        <f ca="1">IFERROR(__xludf.DUMMYFUNCTION("""COMPUTED_VALUE"""),0)</f>
        <v>0</v>
      </c>
      <c r="P835" s="23">
        <f ca="1">IFERROR(__xludf.DUMMYFUNCTION("""COMPUTED_VALUE"""),0)</f>
        <v>0</v>
      </c>
      <c r="Q835" s="24">
        <f ca="1">IFERROR(__xludf.DUMMYFUNCTION("""COMPUTED_VALUE"""),0)</f>
        <v>0</v>
      </c>
      <c r="R835" s="20"/>
    </row>
    <row r="836" spans="1:18" ht="13.2" hidden="1" outlineLevel="1" x14ac:dyDescent="0.25">
      <c r="A836" s="1"/>
      <c r="B836" s="21" t="str">
        <f ca="1">IFERROR(__xludf.DUMMYFUNCTION("""COMPUTED_VALUE"""),"Energía solar")</f>
        <v>Energía solar</v>
      </c>
      <c r="C836" s="22">
        <f ca="1">IFERROR(__xludf.DUMMYFUNCTION("""COMPUTED_VALUE"""),0)</f>
        <v>0</v>
      </c>
      <c r="D836" s="23">
        <f ca="1">IFERROR(__xludf.DUMMYFUNCTION("""COMPUTED_VALUE"""),0)</f>
        <v>0</v>
      </c>
      <c r="E836" s="23">
        <f ca="1">IFERROR(__xludf.DUMMYFUNCTION("""COMPUTED_VALUE"""),0)</f>
        <v>0</v>
      </c>
      <c r="F836" s="23">
        <f ca="1">IFERROR(__xludf.DUMMYFUNCTION("""COMPUTED_VALUE"""),0)</f>
        <v>0</v>
      </c>
      <c r="G836" s="23">
        <f ca="1">IFERROR(__xludf.DUMMYFUNCTION("""COMPUTED_VALUE"""),0)</f>
        <v>0</v>
      </c>
      <c r="H836" s="23">
        <f ca="1">IFERROR(__xludf.DUMMYFUNCTION("""COMPUTED_VALUE"""),0)</f>
        <v>0</v>
      </c>
      <c r="I836" s="23">
        <f ca="1">IFERROR(__xludf.DUMMYFUNCTION("""COMPUTED_VALUE"""),0)</f>
        <v>0</v>
      </c>
      <c r="J836" s="23">
        <f ca="1">IFERROR(__xludf.DUMMYFUNCTION("""COMPUTED_VALUE"""),0)</f>
        <v>0</v>
      </c>
      <c r="K836" s="23">
        <f ca="1">IFERROR(__xludf.DUMMYFUNCTION("""COMPUTED_VALUE"""),0)</f>
        <v>0</v>
      </c>
      <c r="L836" s="23">
        <f ca="1">IFERROR(__xludf.DUMMYFUNCTION("""COMPUTED_VALUE"""),0)</f>
        <v>0</v>
      </c>
      <c r="M836" s="23">
        <f ca="1">IFERROR(__xludf.DUMMYFUNCTION("""COMPUTED_VALUE"""),0)</f>
        <v>0</v>
      </c>
      <c r="N836" s="23">
        <f ca="1">IFERROR(__xludf.DUMMYFUNCTION("""COMPUTED_VALUE"""),0)</f>
        <v>0</v>
      </c>
      <c r="O836" s="23">
        <f ca="1">IFERROR(__xludf.DUMMYFUNCTION("""COMPUTED_VALUE"""),0)</f>
        <v>0</v>
      </c>
      <c r="P836" s="23">
        <f ca="1">IFERROR(__xludf.DUMMYFUNCTION("""COMPUTED_VALUE"""),0)</f>
        <v>0</v>
      </c>
      <c r="Q836" s="24">
        <f ca="1">IFERROR(__xludf.DUMMYFUNCTION("""COMPUTED_VALUE"""),0)</f>
        <v>0</v>
      </c>
      <c r="R836" s="20"/>
    </row>
    <row r="837" spans="1:18" ht="13.2" hidden="1" outlineLevel="1" x14ac:dyDescent="0.25">
      <c r="A837" s="1"/>
      <c r="B837" s="21" t="str">
        <f ca="1">IFERROR(__xludf.DUMMYFUNCTION("""COMPUTED_VALUE"""),"Energía eólica")</f>
        <v>Energía eólica</v>
      </c>
      <c r="C837" s="22">
        <f ca="1">IFERROR(__xludf.DUMMYFUNCTION("""COMPUTED_VALUE"""),0)</f>
        <v>0</v>
      </c>
      <c r="D837" s="23">
        <f ca="1">IFERROR(__xludf.DUMMYFUNCTION("""COMPUTED_VALUE"""),0)</f>
        <v>0</v>
      </c>
      <c r="E837" s="23">
        <f ca="1">IFERROR(__xludf.DUMMYFUNCTION("""COMPUTED_VALUE"""),0)</f>
        <v>0</v>
      </c>
      <c r="F837" s="23">
        <f ca="1">IFERROR(__xludf.DUMMYFUNCTION("""COMPUTED_VALUE"""),0)</f>
        <v>0</v>
      </c>
      <c r="G837" s="23">
        <f ca="1">IFERROR(__xludf.DUMMYFUNCTION("""COMPUTED_VALUE"""),0)</f>
        <v>0</v>
      </c>
      <c r="H837" s="23">
        <f ca="1">IFERROR(__xludf.DUMMYFUNCTION("""COMPUTED_VALUE"""),0)</f>
        <v>0</v>
      </c>
      <c r="I837" s="23">
        <f ca="1">IFERROR(__xludf.DUMMYFUNCTION("""COMPUTED_VALUE"""),0)</f>
        <v>0</v>
      </c>
      <c r="J837" s="23">
        <f ca="1">IFERROR(__xludf.DUMMYFUNCTION("""COMPUTED_VALUE"""),0)</f>
        <v>0</v>
      </c>
      <c r="K837" s="23">
        <f ca="1">IFERROR(__xludf.DUMMYFUNCTION("""COMPUTED_VALUE"""),0)</f>
        <v>0</v>
      </c>
      <c r="L837" s="23">
        <f ca="1">IFERROR(__xludf.DUMMYFUNCTION("""COMPUTED_VALUE"""),0)</f>
        <v>0</v>
      </c>
      <c r="M837" s="23">
        <f ca="1">IFERROR(__xludf.DUMMYFUNCTION("""COMPUTED_VALUE"""),0)</f>
        <v>0</v>
      </c>
      <c r="N837" s="23">
        <f ca="1">IFERROR(__xludf.DUMMYFUNCTION("""COMPUTED_VALUE"""),0)</f>
        <v>0</v>
      </c>
      <c r="O837" s="23">
        <f ca="1">IFERROR(__xludf.DUMMYFUNCTION("""COMPUTED_VALUE"""),0)</f>
        <v>0</v>
      </c>
      <c r="P837" s="23">
        <f ca="1">IFERROR(__xludf.DUMMYFUNCTION("""COMPUTED_VALUE"""),0)</f>
        <v>0</v>
      </c>
      <c r="Q837" s="24">
        <f ca="1">IFERROR(__xludf.DUMMYFUNCTION("""COMPUTED_VALUE"""),0)</f>
        <v>0</v>
      </c>
      <c r="R837" s="20"/>
    </row>
    <row r="838" spans="1:18" ht="13.2" hidden="1" outlineLevel="1" x14ac:dyDescent="0.25">
      <c r="A838" s="1"/>
      <c r="B838" s="21" t="str">
        <f ca="1">IFERROR(__xludf.DUMMYFUNCTION("""COMPUTED_VALUE"""),"Bagazo de caña")</f>
        <v>Bagazo de caña</v>
      </c>
      <c r="C838" s="22">
        <f ca="1">IFERROR(__xludf.DUMMYFUNCTION("""COMPUTED_VALUE"""),0.25)</f>
        <v>0.25</v>
      </c>
      <c r="D838" s="23">
        <f ca="1">IFERROR(__xludf.DUMMYFUNCTION("""COMPUTED_VALUE"""),0.27)</f>
        <v>0.27</v>
      </c>
      <c r="E838" s="23">
        <f ca="1">IFERROR(__xludf.DUMMYFUNCTION("""COMPUTED_VALUE"""),0.16)</f>
        <v>0.16</v>
      </c>
      <c r="F838" s="23">
        <f ca="1">IFERROR(__xludf.DUMMYFUNCTION("""COMPUTED_VALUE"""),0.12)</f>
        <v>0.12</v>
      </c>
      <c r="G838" s="23">
        <f ca="1">IFERROR(__xludf.DUMMYFUNCTION("""COMPUTED_VALUE"""),0.3)</f>
        <v>0.3</v>
      </c>
      <c r="H838" s="23">
        <f ca="1">IFERROR(__xludf.DUMMYFUNCTION("""COMPUTED_VALUE"""),0.26974087)</f>
        <v>0.26974087000000002</v>
      </c>
      <c r="I838" s="23">
        <f ca="1">IFERROR(__xludf.DUMMYFUNCTION("""COMPUTED_VALUE"""),0.217780795)</f>
        <v>0.217780795</v>
      </c>
      <c r="J838" s="23">
        <f ca="1">IFERROR(__xludf.DUMMYFUNCTION("""COMPUTED_VALUE"""),0.448902595)</f>
        <v>0.44890259500000002</v>
      </c>
      <c r="K838" s="23">
        <f ca="1">IFERROR(__xludf.DUMMYFUNCTION("""COMPUTED_VALUE"""),0.073393165)</f>
        <v>7.3393164999999996E-2</v>
      </c>
      <c r="L838" s="23">
        <f ca="1">IFERROR(__xludf.DUMMYFUNCTION("""COMPUTED_VALUE"""),0.07663141)</f>
        <v>7.6631409999999997E-2</v>
      </c>
      <c r="M838" s="23">
        <f ca="1">IFERROR(__xludf.DUMMYFUNCTION("""COMPUTED_VALUE"""),0.129931935)</f>
        <v>0.129931935</v>
      </c>
      <c r="N838" s="23">
        <f ca="1">IFERROR(__xludf.DUMMYFUNCTION("""COMPUTED_VALUE"""),0.09833259)</f>
        <v>9.8332589999999997E-2</v>
      </c>
      <c r="O838" s="23">
        <f ca="1">IFERROR(__xludf.DUMMYFUNCTION("""COMPUTED_VALUE"""),0.11304932)</f>
        <v>0.11304931999999999</v>
      </c>
      <c r="P838" s="23">
        <f ca="1">IFERROR(__xludf.DUMMYFUNCTION("""COMPUTED_VALUE"""),0.11563145)</f>
        <v>0.11563145</v>
      </c>
      <c r="Q838" s="24">
        <f ca="1">IFERROR(__xludf.DUMMYFUNCTION("""COMPUTED_VALUE"""),0.03695409)</f>
        <v>3.6954090000000002E-2</v>
      </c>
      <c r="R838" s="20"/>
    </row>
    <row r="839" spans="1:18" ht="13.2" hidden="1" outlineLevel="1" x14ac:dyDescent="0.25">
      <c r="A839" s="1"/>
      <c r="B839" s="21" t="str">
        <f ca="1">IFERROR(__xludf.DUMMYFUNCTION("""COMPUTED_VALUE"""),"Leña")</f>
        <v>Leña</v>
      </c>
      <c r="C839" s="22">
        <f ca="1">IFERROR(__xludf.DUMMYFUNCTION("""COMPUTED_VALUE"""),0)</f>
        <v>0</v>
      </c>
      <c r="D839" s="23">
        <f ca="1">IFERROR(__xludf.DUMMYFUNCTION("""COMPUTED_VALUE"""),0)</f>
        <v>0</v>
      </c>
      <c r="E839" s="23">
        <f ca="1">IFERROR(__xludf.DUMMYFUNCTION("""COMPUTED_VALUE"""),0)</f>
        <v>0</v>
      </c>
      <c r="F839" s="23">
        <f ca="1">IFERROR(__xludf.DUMMYFUNCTION("""COMPUTED_VALUE"""),0)</f>
        <v>0</v>
      </c>
      <c r="G839" s="23">
        <f ca="1">IFERROR(__xludf.DUMMYFUNCTION("""COMPUTED_VALUE"""),0)</f>
        <v>0</v>
      </c>
      <c r="H839" s="23">
        <f ca="1">IFERROR(__xludf.DUMMYFUNCTION("""COMPUTED_VALUE"""),0)</f>
        <v>0</v>
      </c>
      <c r="I839" s="23">
        <f ca="1">IFERROR(__xludf.DUMMYFUNCTION("""COMPUTED_VALUE"""),0)</f>
        <v>0</v>
      </c>
      <c r="J839" s="23">
        <f ca="1">IFERROR(__xludf.DUMMYFUNCTION("""COMPUTED_VALUE"""),0)</f>
        <v>0</v>
      </c>
      <c r="K839" s="23">
        <f ca="1">IFERROR(__xludf.DUMMYFUNCTION("""COMPUTED_VALUE"""),0)</f>
        <v>0</v>
      </c>
      <c r="L839" s="23">
        <f ca="1">IFERROR(__xludf.DUMMYFUNCTION("""COMPUTED_VALUE"""),0)</f>
        <v>0</v>
      </c>
      <c r="M839" s="23">
        <f ca="1">IFERROR(__xludf.DUMMYFUNCTION("""COMPUTED_VALUE"""),0)</f>
        <v>0</v>
      </c>
      <c r="N839" s="23">
        <f ca="1">IFERROR(__xludf.DUMMYFUNCTION("""COMPUTED_VALUE"""),0)</f>
        <v>0</v>
      </c>
      <c r="O839" s="23">
        <f ca="1">IFERROR(__xludf.DUMMYFUNCTION("""COMPUTED_VALUE"""),0)</f>
        <v>0</v>
      </c>
      <c r="P839" s="23">
        <f ca="1">IFERROR(__xludf.DUMMYFUNCTION("""COMPUTED_VALUE"""),0)</f>
        <v>0</v>
      </c>
      <c r="Q839" s="24">
        <f ca="1">IFERROR(__xludf.DUMMYFUNCTION("""COMPUTED_VALUE"""),0)</f>
        <v>0</v>
      </c>
      <c r="R839" s="20"/>
    </row>
    <row r="840" spans="1:18" ht="13.2" hidden="1" outlineLevel="1" x14ac:dyDescent="0.25">
      <c r="A840" s="1"/>
      <c r="B840" s="21" t="str">
        <f ca="1">IFERROR(__xludf.DUMMYFUNCTION("""COMPUTED_VALUE"""),"Biogás")</f>
        <v>Biogás</v>
      </c>
      <c r="C840" s="22">
        <f ca="1">IFERROR(__xludf.DUMMYFUNCTION("""COMPUTED_VALUE"""),0)</f>
        <v>0</v>
      </c>
      <c r="D840" s="23">
        <f ca="1">IFERROR(__xludf.DUMMYFUNCTION("""COMPUTED_VALUE"""),0)</f>
        <v>0</v>
      </c>
      <c r="E840" s="23">
        <f ca="1">IFERROR(__xludf.DUMMYFUNCTION("""COMPUTED_VALUE"""),0)</f>
        <v>0</v>
      </c>
      <c r="F840" s="23">
        <f ca="1">IFERROR(__xludf.DUMMYFUNCTION("""COMPUTED_VALUE"""),0)</f>
        <v>0</v>
      </c>
      <c r="G840" s="23">
        <f ca="1">IFERROR(__xludf.DUMMYFUNCTION("""COMPUTED_VALUE"""),0)</f>
        <v>0</v>
      </c>
      <c r="H840" s="23">
        <f ca="1">IFERROR(__xludf.DUMMYFUNCTION("""COMPUTED_VALUE"""),0)</f>
        <v>0</v>
      </c>
      <c r="I840" s="23">
        <f ca="1">IFERROR(__xludf.DUMMYFUNCTION("""COMPUTED_VALUE"""),0)</f>
        <v>0</v>
      </c>
      <c r="J840" s="23">
        <f ca="1">IFERROR(__xludf.DUMMYFUNCTION("""COMPUTED_VALUE"""),0)</f>
        <v>0</v>
      </c>
      <c r="K840" s="23">
        <f ca="1">IFERROR(__xludf.DUMMYFUNCTION("""COMPUTED_VALUE"""),0)</f>
        <v>0</v>
      </c>
      <c r="L840" s="23">
        <f ca="1">IFERROR(__xludf.DUMMYFUNCTION("""COMPUTED_VALUE"""),0)</f>
        <v>0</v>
      </c>
      <c r="M840" s="23">
        <f ca="1">IFERROR(__xludf.DUMMYFUNCTION("""COMPUTED_VALUE"""),0)</f>
        <v>0</v>
      </c>
      <c r="N840" s="23">
        <f ca="1">IFERROR(__xludf.DUMMYFUNCTION("""COMPUTED_VALUE"""),0)</f>
        <v>0</v>
      </c>
      <c r="O840" s="23">
        <f ca="1">IFERROR(__xludf.DUMMYFUNCTION("""COMPUTED_VALUE"""),0)</f>
        <v>0</v>
      </c>
      <c r="P840" s="23">
        <f ca="1">IFERROR(__xludf.DUMMYFUNCTION("""COMPUTED_VALUE"""),0)</f>
        <v>0</v>
      </c>
      <c r="Q840" s="24">
        <f ca="1">IFERROR(__xludf.DUMMYFUNCTION("""COMPUTED_VALUE"""),0)</f>
        <v>0</v>
      </c>
      <c r="R840" s="20"/>
    </row>
    <row r="841" spans="1:18" ht="13.2" hidden="1" outlineLevel="1" x14ac:dyDescent="0.25">
      <c r="A841" s="1"/>
      <c r="B841" s="21" t="str">
        <f ca="1">IFERROR(__xludf.DUMMYFUNCTION("""COMPUTED_VALUE"""),"Coque de carbón")</f>
        <v>Coque de carbón</v>
      </c>
      <c r="C841" s="22">
        <f ca="1">IFERROR(__xludf.DUMMYFUNCTION("""COMPUTED_VALUE"""),0)</f>
        <v>0</v>
      </c>
      <c r="D841" s="23">
        <f ca="1">IFERROR(__xludf.DUMMYFUNCTION("""COMPUTED_VALUE"""),0)</f>
        <v>0</v>
      </c>
      <c r="E841" s="23">
        <f ca="1">IFERROR(__xludf.DUMMYFUNCTION("""COMPUTED_VALUE"""),0)</f>
        <v>0</v>
      </c>
      <c r="F841" s="23">
        <f ca="1">IFERROR(__xludf.DUMMYFUNCTION("""COMPUTED_VALUE"""),0)</f>
        <v>0</v>
      </c>
      <c r="G841" s="23">
        <f ca="1">IFERROR(__xludf.DUMMYFUNCTION("""COMPUTED_VALUE"""),0)</f>
        <v>0</v>
      </c>
      <c r="H841" s="23">
        <f ca="1">IFERROR(__xludf.DUMMYFUNCTION("""COMPUTED_VALUE"""),0)</f>
        <v>0</v>
      </c>
      <c r="I841" s="23">
        <f ca="1">IFERROR(__xludf.DUMMYFUNCTION("""COMPUTED_VALUE"""),0)</f>
        <v>0</v>
      </c>
      <c r="J841" s="23">
        <f ca="1">IFERROR(__xludf.DUMMYFUNCTION("""COMPUTED_VALUE"""),0)</f>
        <v>0</v>
      </c>
      <c r="K841" s="23">
        <f ca="1">IFERROR(__xludf.DUMMYFUNCTION("""COMPUTED_VALUE"""),0)</f>
        <v>0</v>
      </c>
      <c r="L841" s="23">
        <f ca="1">IFERROR(__xludf.DUMMYFUNCTION("""COMPUTED_VALUE"""),0)</f>
        <v>0</v>
      </c>
      <c r="M841" s="23">
        <f ca="1">IFERROR(__xludf.DUMMYFUNCTION("""COMPUTED_VALUE"""),0)</f>
        <v>0</v>
      </c>
      <c r="N841" s="23">
        <f ca="1">IFERROR(__xludf.DUMMYFUNCTION("""COMPUTED_VALUE"""),0)</f>
        <v>0</v>
      </c>
      <c r="O841" s="23">
        <f ca="1">IFERROR(__xludf.DUMMYFUNCTION("""COMPUTED_VALUE"""),0)</f>
        <v>0</v>
      </c>
      <c r="P841" s="23">
        <f ca="1">IFERROR(__xludf.DUMMYFUNCTION("""COMPUTED_VALUE"""),0)</f>
        <v>0</v>
      </c>
      <c r="Q841" s="24">
        <f ca="1">IFERROR(__xludf.DUMMYFUNCTION("""COMPUTED_VALUE"""),0)</f>
        <v>0</v>
      </c>
      <c r="R841" s="20"/>
    </row>
    <row r="842" spans="1:18" ht="13.2" hidden="1" outlineLevel="1" x14ac:dyDescent="0.25">
      <c r="A842" s="1"/>
      <c r="B842" s="21" t="str">
        <f ca="1">IFERROR(__xludf.DUMMYFUNCTION("""COMPUTED_VALUE"""),"Coque de petróleo")</f>
        <v>Coque de petróleo</v>
      </c>
      <c r="C842" s="22">
        <f ca="1">IFERROR(__xludf.DUMMYFUNCTION("""COMPUTED_VALUE"""),0)</f>
        <v>0</v>
      </c>
      <c r="D842" s="23">
        <f ca="1">IFERROR(__xludf.DUMMYFUNCTION("""COMPUTED_VALUE"""),0)</f>
        <v>0</v>
      </c>
      <c r="E842" s="23">
        <f ca="1">IFERROR(__xludf.DUMMYFUNCTION("""COMPUTED_VALUE"""),0)</f>
        <v>0</v>
      </c>
      <c r="F842" s="23">
        <f ca="1">IFERROR(__xludf.DUMMYFUNCTION("""COMPUTED_VALUE"""),0)</f>
        <v>0</v>
      </c>
      <c r="G842" s="23">
        <f ca="1">IFERROR(__xludf.DUMMYFUNCTION("""COMPUTED_VALUE"""),0)</f>
        <v>0</v>
      </c>
      <c r="H842" s="23">
        <f ca="1">IFERROR(__xludf.DUMMYFUNCTION("""COMPUTED_VALUE"""),0)</f>
        <v>0</v>
      </c>
      <c r="I842" s="23">
        <f ca="1">IFERROR(__xludf.DUMMYFUNCTION("""COMPUTED_VALUE"""),0)</f>
        <v>0</v>
      </c>
      <c r="J842" s="23">
        <f ca="1">IFERROR(__xludf.DUMMYFUNCTION("""COMPUTED_VALUE"""),0)</f>
        <v>0</v>
      </c>
      <c r="K842" s="23">
        <f ca="1">IFERROR(__xludf.DUMMYFUNCTION("""COMPUTED_VALUE"""),0)</f>
        <v>0</v>
      </c>
      <c r="L842" s="23">
        <f ca="1">IFERROR(__xludf.DUMMYFUNCTION("""COMPUTED_VALUE"""),0)</f>
        <v>0</v>
      </c>
      <c r="M842" s="23">
        <f ca="1">IFERROR(__xludf.DUMMYFUNCTION("""COMPUTED_VALUE"""),0)</f>
        <v>0</v>
      </c>
      <c r="N842" s="23">
        <f ca="1">IFERROR(__xludf.DUMMYFUNCTION("""COMPUTED_VALUE"""),0)</f>
        <v>0</v>
      </c>
      <c r="O842" s="23">
        <f ca="1">IFERROR(__xludf.DUMMYFUNCTION("""COMPUTED_VALUE"""),0)</f>
        <v>0</v>
      </c>
      <c r="P842" s="23">
        <f ca="1">IFERROR(__xludf.DUMMYFUNCTION("""COMPUTED_VALUE"""),0)</f>
        <v>0</v>
      </c>
      <c r="Q842" s="24">
        <f ca="1">IFERROR(__xludf.DUMMYFUNCTION("""COMPUTED_VALUE"""),0)</f>
        <v>0</v>
      </c>
      <c r="R842" s="20"/>
    </row>
    <row r="843" spans="1:18" ht="13.2" hidden="1" outlineLevel="1" x14ac:dyDescent="0.25">
      <c r="A843" s="1"/>
      <c r="B843" s="21" t="str">
        <f ca="1">IFERROR(__xludf.DUMMYFUNCTION("""COMPUTED_VALUE"""),"Gas licuado de petróleo")</f>
        <v>Gas licuado de petróleo</v>
      </c>
      <c r="C843" s="22">
        <f ca="1">IFERROR(__xludf.DUMMYFUNCTION("""COMPUTED_VALUE"""),2.123)</f>
        <v>2.1230000000000002</v>
      </c>
      <c r="D843" s="23">
        <f ca="1">IFERROR(__xludf.DUMMYFUNCTION("""COMPUTED_VALUE"""),1.7824)</f>
        <v>1.7824</v>
      </c>
      <c r="E843" s="23">
        <f ca="1">IFERROR(__xludf.DUMMYFUNCTION("""COMPUTED_VALUE"""),1.6482)</f>
        <v>1.6482000000000001</v>
      </c>
      <c r="F843" s="23">
        <f ca="1">IFERROR(__xludf.DUMMYFUNCTION("""COMPUTED_VALUE"""),1.5139)</f>
        <v>1.5139</v>
      </c>
      <c r="G843" s="23">
        <f ca="1">IFERROR(__xludf.DUMMYFUNCTION("""COMPUTED_VALUE"""),1.44854351631391)</f>
        <v>1.44854351631391</v>
      </c>
      <c r="H843" s="23">
        <f ca="1">IFERROR(__xludf.DUMMYFUNCTION("""COMPUTED_VALUE"""),1.61323926953237)</f>
        <v>1.6132392695323701</v>
      </c>
      <c r="I843" s="23">
        <f ca="1">IFERROR(__xludf.DUMMYFUNCTION("""COMPUTED_VALUE"""),1.741)</f>
        <v>1.7410000000000001</v>
      </c>
      <c r="J843" s="23">
        <f ca="1">IFERROR(__xludf.DUMMYFUNCTION("""COMPUTED_VALUE"""),1.98483489518192)</f>
        <v>1.9848348951819199</v>
      </c>
      <c r="K843" s="23">
        <f ca="1">IFERROR(__xludf.DUMMYFUNCTION("""COMPUTED_VALUE"""),2.79904503230704)</f>
        <v>2.7990450323070402</v>
      </c>
      <c r="L843" s="23">
        <f ca="1">IFERROR(__xludf.DUMMYFUNCTION("""COMPUTED_VALUE"""),4.54166514274376)</f>
        <v>4.54166514274376</v>
      </c>
      <c r="M843" s="23">
        <f ca="1">IFERROR(__xludf.DUMMYFUNCTION("""COMPUTED_VALUE"""),6.61647240546124)</f>
        <v>6.6164724054612396</v>
      </c>
      <c r="N843" s="23">
        <f ca="1">IFERROR(__xludf.DUMMYFUNCTION("""COMPUTED_VALUE"""),5.81143954412902)</f>
        <v>5.8114395441290201</v>
      </c>
      <c r="O843" s="23">
        <f ca="1">IFERROR(__xludf.DUMMYFUNCTION("""COMPUTED_VALUE"""),0.487060804595455)</f>
        <v>0.48706080459545498</v>
      </c>
      <c r="P843" s="23">
        <f ca="1">IFERROR(__xludf.DUMMYFUNCTION("""COMPUTED_VALUE"""),1.09)</f>
        <v>1.0900000000000001</v>
      </c>
      <c r="Q843" s="24">
        <f ca="1">IFERROR(__xludf.DUMMYFUNCTION("""COMPUTED_VALUE"""),0.458919051493381)</f>
        <v>0.45891905149338102</v>
      </c>
      <c r="R843" s="20"/>
    </row>
    <row r="844" spans="1:18" ht="13.2" hidden="1" outlineLevel="1" x14ac:dyDescent="0.25">
      <c r="A844" s="1"/>
      <c r="B844" s="21" t="str">
        <f ca="1">IFERROR(__xludf.DUMMYFUNCTION("""COMPUTED_VALUE"""),"Gasolinas y naftas")</f>
        <v>Gasolinas y naftas</v>
      </c>
      <c r="C844" s="22">
        <f ca="1">IFERROR(__xludf.DUMMYFUNCTION("""COMPUTED_VALUE"""),0)</f>
        <v>0</v>
      </c>
      <c r="D844" s="23">
        <f ca="1">IFERROR(__xludf.DUMMYFUNCTION("""COMPUTED_VALUE"""),0)</f>
        <v>0</v>
      </c>
      <c r="E844" s="23">
        <f ca="1">IFERROR(__xludf.DUMMYFUNCTION("""COMPUTED_VALUE"""),0)</f>
        <v>0</v>
      </c>
      <c r="F844" s="23">
        <f ca="1">IFERROR(__xludf.DUMMYFUNCTION("""COMPUTED_VALUE"""),0)</f>
        <v>0</v>
      </c>
      <c r="G844" s="23">
        <f ca="1">IFERROR(__xludf.DUMMYFUNCTION("""COMPUTED_VALUE"""),0)</f>
        <v>0</v>
      </c>
      <c r="H844" s="23">
        <f ca="1">IFERROR(__xludf.DUMMYFUNCTION("""COMPUTED_VALUE"""),0)</f>
        <v>0</v>
      </c>
      <c r="I844" s="23">
        <f ca="1">IFERROR(__xludf.DUMMYFUNCTION("""COMPUTED_VALUE"""),0)</f>
        <v>0</v>
      </c>
      <c r="J844" s="23">
        <f ca="1">IFERROR(__xludf.DUMMYFUNCTION("""COMPUTED_VALUE"""),0)</f>
        <v>0</v>
      </c>
      <c r="K844" s="23">
        <f ca="1">IFERROR(__xludf.DUMMYFUNCTION("""COMPUTED_VALUE"""),0)</f>
        <v>0</v>
      </c>
      <c r="L844" s="23">
        <f ca="1">IFERROR(__xludf.DUMMYFUNCTION("""COMPUTED_VALUE"""),0)</f>
        <v>0</v>
      </c>
      <c r="M844" s="23">
        <f ca="1">IFERROR(__xludf.DUMMYFUNCTION("""COMPUTED_VALUE"""),0)</f>
        <v>0</v>
      </c>
      <c r="N844" s="23">
        <f ca="1">IFERROR(__xludf.DUMMYFUNCTION("""COMPUTED_VALUE"""),0)</f>
        <v>0</v>
      </c>
      <c r="O844" s="23">
        <f ca="1">IFERROR(__xludf.DUMMYFUNCTION("""COMPUTED_VALUE"""),0)</f>
        <v>0</v>
      </c>
      <c r="P844" s="23">
        <f ca="1">IFERROR(__xludf.DUMMYFUNCTION("""COMPUTED_VALUE"""),0)</f>
        <v>0</v>
      </c>
      <c r="Q844" s="24">
        <f ca="1">IFERROR(__xludf.DUMMYFUNCTION("""COMPUTED_VALUE"""),0)</f>
        <v>0</v>
      </c>
      <c r="R844" s="20"/>
    </row>
    <row r="845" spans="1:18" ht="13.2" hidden="1" outlineLevel="1" x14ac:dyDescent="0.25">
      <c r="A845" s="1"/>
      <c r="B845" s="21" t="str">
        <f ca="1">IFERROR(__xludf.DUMMYFUNCTION("""COMPUTED_VALUE"""),"Querosenos")</f>
        <v>Querosenos</v>
      </c>
      <c r="C845" s="22">
        <f ca="1">IFERROR(__xludf.DUMMYFUNCTION("""COMPUTED_VALUE"""),0)</f>
        <v>0</v>
      </c>
      <c r="D845" s="23">
        <f ca="1">IFERROR(__xludf.DUMMYFUNCTION("""COMPUTED_VALUE"""),0)</f>
        <v>0</v>
      </c>
      <c r="E845" s="23">
        <f ca="1">IFERROR(__xludf.DUMMYFUNCTION("""COMPUTED_VALUE"""),0)</f>
        <v>0</v>
      </c>
      <c r="F845" s="23">
        <f ca="1">IFERROR(__xludf.DUMMYFUNCTION("""COMPUTED_VALUE"""),0)</f>
        <v>0</v>
      </c>
      <c r="G845" s="23">
        <f ca="1">IFERROR(__xludf.DUMMYFUNCTION("""COMPUTED_VALUE"""),0)</f>
        <v>0</v>
      </c>
      <c r="H845" s="23">
        <f ca="1">IFERROR(__xludf.DUMMYFUNCTION("""COMPUTED_VALUE"""),0)</f>
        <v>0</v>
      </c>
      <c r="I845" s="23">
        <f ca="1">IFERROR(__xludf.DUMMYFUNCTION("""COMPUTED_VALUE"""),0)</f>
        <v>0</v>
      </c>
      <c r="J845" s="23">
        <f ca="1">IFERROR(__xludf.DUMMYFUNCTION("""COMPUTED_VALUE"""),0)</f>
        <v>0</v>
      </c>
      <c r="K845" s="23">
        <f ca="1">IFERROR(__xludf.DUMMYFUNCTION("""COMPUTED_VALUE"""),0)</f>
        <v>0</v>
      </c>
      <c r="L845" s="23">
        <f ca="1">IFERROR(__xludf.DUMMYFUNCTION("""COMPUTED_VALUE"""),0)</f>
        <v>0</v>
      </c>
      <c r="M845" s="23">
        <f ca="1">IFERROR(__xludf.DUMMYFUNCTION("""COMPUTED_VALUE"""),0)</f>
        <v>0</v>
      </c>
      <c r="N845" s="23">
        <f ca="1">IFERROR(__xludf.DUMMYFUNCTION("""COMPUTED_VALUE"""),0)</f>
        <v>0</v>
      </c>
      <c r="O845" s="23">
        <f ca="1">IFERROR(__xludf.DUMMYFUNCTION("""COMPUTED_VALUE"""),0)</f>
        <v>0</v>
      </c>
      <c r="P845" s="23">
        <f ca="1">IFERROR(__xludf.DUMMYFUNCTION("""COMPUTED_VALUE"""),0)</f>
        <v>0</v>
      </c>
      <c r="Q845" s="24">
        <f ca="1">IFERROR(__xludf.DUMMYFUNCTION("""COMPUTED_VALUE"""),0)</f>
        <v>0</v>
      </c>
      <c r="R845" s="20"/>
    </row>
    <row r="846" spans="1:18" ht="13.2" hidden="1" outlineLevel="1" x14ac:dyDescent="0.25">
      <c r="A846" s="1"/>
      <c r="B846" s="21" t="str">
        <f ca="1">IFERROR(__xludf.DUMMYFUNCTION("""COMPUTED_VALUE"""),"Diesel")</f>
        <v>Diesel</v>
      </c>
      <c r="C846" s="22">
        <f ca="1">IFERROR(__xludf.DUMMYFUNCTION("""COMPUTED_VALUE"""),0)</f>
        <v>0</v>
      </c>
      <c r="D846" s="23">
        <f ca="1">IFERROR(__xludf.DUMMYFUNCTION("""COMPUTED_VALUE"""),0)</f>
        <v>0</v>
      </c>
      <c r="E846" s="23">
        <f ca="1">IFERROR(__xludf.DUMMYFUNCTION("""COMPUTED_VALUE"""),0)</f>
        <v>0</v>
      </c>
      <c r="F846" s="23">
        <f ca="1">IFERROR(__xludf.DUMMYFUNCTION("""COMPUTED_VALUE"""),0)</f>
        <v>0</v>
      </c>
      <c r="G846" s="23">
        <f ca="1">IFERROR(__xludf.DUMMYFUNCTION("""COMPUTED_VALUE"""),0)</f>
        <v>0</v>
      </c>
      <c r="H846" s="23">
        <f ca="1">IFERROR(__xludf.DUMMYFUNCTION("""COMPUTED_VALUE"""),0)</f>
        <v>0</v>
      </c>
      <c r="I846" s="23">
        <f ca="1">IFERROR(__xludf.DUMMYFUNCTION("""COMPUTED_VALUE"""),0)</f>
        <v>0</v>
      </c>
      <c r="J846" s="23">
        <f ca="1">IFERROR(__xludf.DUMMYFUNCTION("""COMPUTED_VALUE"""),0)</f>
        <v>0</v>
      </c>
      <c r="K846" s="23">
        <f ca="1">IFERROR(__xludf.DUMMYFUNCTION("""COMPUTED_VALUE"""),0)</f>
        <v>0</v>
      </c>
      <c r="L846" s="23">
        <f ca="1">IFERROR(__xludf.DUMMYFUNCTION("""COMPUTED_VALUE"""),0)</f>
        <v>0</v>
      </c>
      <c r="M846" s="23">
        <f ca="1">IFERROR(__xludf.DUMMYFUNCTION("""COMPUTED_VALUE"""),0)</f>
        <v>0</v>
      </c>
      <c r="N846" s="23">
        <f ca="1">IFERROR(__xludf.DUMMYFUNCTION("""COMPUTED_VALUE"""),0)</f>
        <v>0</v>
      </c>
      <c r="O846" s="23">
        <f ca="1">IFERROR(__xludf.DUMMYFUNCTION("""COMPUTED_VALUE"""),0)</f>
        <v>0</v>
      </c>
      <c r="P846" s="23">
        <f ca="1">IFERROR(__xludf.DUMMYFUNCTION("""COMPUTED_VALUE"""),0)</f>
        <v>0</v>
      </c>
      <c r="Q846" s="24">
        <f ca="1">IFERROR(__xludf.DUMMYFUNCTION("""COMPUTED_VALUE"""),0)</f>
        <v>0</v>
      </c>
      <c r="R846" s="20"/>
    </row>
    <row r="847" spans="1:18" ht="13.2" hidden="1" outlineLevel="1" x14ac:dyDescent="0.25">
      <c r="A847" s="1"/>
      <c r="B847" s="21" t="str">
        <f ca="1">IFERROR(__xludf.DUMMYFUNCTION("""COMPUTED_VALUE"""),"Combustóleo")</f>
        <v>Combustóleo</v>
      </c>
      <c r="C847" s="22">
        <f ca="1">IFERROR(__xludf.DUMMYFUNCTION("""COMPUTED_VALUE"""),0)</f>
        <v>0</v>
      </c>
      <c r="D847" s="23">
        <f ca="1">IFERROR(__xludf.DUMMYFUNCTION("""COMPUTED_VALUE"""),0)</f>
        <v>0</v>
      </c>
      <c r="E847" s="23">
        <f ca="1">IFERROR(__xludf.DUMMYFUNCTION("""COMPUTED_VALUE"""),0)</f>
        <v>0</v>
      </c>
      <c r="F847" s="23">
        <f ca="1">IFERROR(__xludf.DUMMYFUNCTION("""COMPUTED_VALUE"""),0)</f>
        <v>0</v>
      </c>
      <c r="G847" s="23">
        <f ca="1">IFERROR(__xludf.DUMMYFUNCTION("""COMPUTED_VALUE"""),0)</f>
        <v>0</v>
      </c>
      <c r="H847" s="23">
        <f ca="1">IFERROR(__xludf.DUMMYFUNCTION("""COMPUTED_VALUE"""),0)</f>
        <v>0</v>
      </c>
      <c r="I847" s="23">
        <f ca="1">IFERROR(__xludf.DUMMYFUNCTION("""COMPUTED_VALUE"""),0)</f>
        <v>0</v>
      </c>
      <c r="J847" s="23">
        <f ca="1">IFERROR(__xludf.DUMMYFUNCTION("""COMPUTED_VALUE"""),0)</f>
        <v>0</v>
      </c>
      <c r="K847" s="23">
        <f ca="1">IFERROR(__xludf.DUMMYFUNCTION("""COMPUTED_VALUE"""),0)</f>
        <v>0</v>
      </c>
      <c r="L847" s="23">
        <f ca="1">IFERROR(__xludf.DUMMYFUNCTION("""COMPUTED_VALUE"""),0)</f>
        <v>0</v>
      </c>
      <c r="M847" s="23">
        <f ca="1">IFERROR(__xludf.DUMMYFUNCTION("""COMPUTED_VALUE"""),0)</f>
        <v>0</v>
      </c>
      <c r="N847" s="23">
        <f ca="1">IFERROR(__xludf.DUMMYFUNCTION("""COMPUTED_VALUE"""),0)</f>
        <v>0</v>
      </c>
      <c r="O847" s="23">
        <f ca="1">IFERROR(__xludf.DUMMYFUNCTION("""COMPUTED_VALUE"""),0)</f>
        <v>0</v>
      </c>
      <c r="P847" s="23">
        <f ca="1">IFERROR(__xludf.DUMMYFUNCTION("""COMPUTED_VALUE"""),0)</f>
        <v>0</v>
      </c>
      <c r="Q847" s="24">
        <f ca="1">IFERROR(__xludf.DUMMYFUNCTION("""COMPUTED_VALUE"""),0)</f>
        <v>0</v>
      </c>
      <c r="R847" s="20"/>
    </row>
    <row r="848" spans="1:18" ht="13.2" hidden="1" outlineLevel="1" x14ac:dyDescent="0.25">
      <c r="A848" s="1"/>
      <c r="B848" s="21" t="str">
        <f ca="1">IFERROR(__xludf.DUMMYFUNCTION("""COMPUTED_VALUE"""),"Otros energéticos")</f>
        <v>Otros energéticos</v>
      </c>
      <c r="C848" s="22">
        <f ca="1">IFERROR(__xludf.DUMMYFUNCTION("""COMPUTED_VALUE"""),75.13)</f>
        <v>75.13</v>
      </c>
      <c r="D848" s="23">
        <f ca="1">IFERROR(__xludf.DUMMYFUNCTION("""COMPUTED_VALUE"""),68.35)</f>
        <v>68.349999999999994</v>
      </c>
      <c r="E848" s="23">
        <f ca="1">IFERROR(__xludf.DUMMYFUNCTION("""COMPUTED_VALUE"""),60.16)</f>
        <v>60.16</v>
      </c>
      <c r="F848" s="23">
        <f ca="1">IFERROR(__xludf.DUMMYFUNCTION("""COMPUTED_VALUE"""),63.95)</f>
        <v>63.95</v>
      </c>
      <c r="G848" s="23">
        <f ca="1">IFERROR(__xludf.DUMMYFUNCTION("""COMPUTED_VALUE"""),87.85)</f>
        <v>87.85</v>
      </c>
      <c r="H848" s="23">
        <f ca="1">IFERROR(__xludf.DUMMYFUNCTION("""COMPUTED_VALUE"""),69.66)</f>
        <v>69.66</v>
      </c>
      <c r="I848" s="23">
        <f ca="1">IFERROR(__xludf.DUMMYFUNCTION("""COMPUTED_VALUE"""),53.32)</f>
        <v>53.32</v>
      </c>
      <c r="J848" s="23">
        <f ca="1">IFERROR(__xludf.DUMMYFUNCTION("""COMPUTED_VALUE"""),150.41)</f>
        <v>150.41</v>
      </c>
      <c r="K848" s="23">
        <f ca="1">IFERROR(__xludf.DUMMYFUNCTION("""COMPUTED_VALUE"""),100.21)</f>
        <v>100.21</v>
      </c>
      <c r="L848" s="23">
        <f ca="1">IFERROR(__xludf.DUMMYFUNCTION("""COMPUTED_VALUE"""),96.32)</f>
        <v>96.32</v>
      </c>
      <c r="M848" s="23">
        <f ca="1">IFERROR(__xludf.DUMMYFUNCTION("""COMPUTED_VALUE"""),97.86)</f>
        <v>97.86</v>
      </c>
      <c r="N848" s="23">
        <f ca="1">IFERROR(__xludf.DUMMYFUNCTION("""COMPUTED_VALUE"""),39.44)</f>
        <v>39.44</v>
      </c>
      <c r="O848" s="23">
        <f ca="1">IFERROR(__xludf.DUMMYFUNCTION("""COMPUTED_VALUE"""),49.38)</f>
        <v>49.38</v>
      </c>
      <c r="P848" s="23">
        <f ca="1">IFERROR(__xludf.DUMMYFUNCTION("""COMPUTED_VALUE"""),105.49)</f>
        <v>105.49</v>
      </c>
      <c r="Q848" s="24">
        <f ca="1">IFERROR(__xludf.DUMMYFUNCTION("""COMPUTED_VALUE"""),95.74)</f>
        <v>95.74</v>
      </c>
      <c r="R848" s="20"/>
    </row>
    <row r="849" spans="1:18" ht="13.2" hidden="1" outlineLevel="1" x14ac:dyDescent="0.25">
      <c r="A849" s="1"/>
      <c r="B849" s="21" t="str">
        <f ca="1">IFERROR(__xludf.DUMMYFUNCTION("""COMPUTED_VALUE"""),"Gas natural seco")</f>
        <v>Gas natural seco</v>
      </c>
      <c r="C849" s="22">
        <f ca="1">IFERROR(__xludf.DUMMYFUNCTION("""COMPUTED_VALUE"""),0.77)</f>
        <v>0.77</v>
      </c>
      <c r="D849" s="23">
        <f ca="1">IFERROR(__xludf.DUMMYFUNCTION("""COMPUTED_VALUE"""),0.74)</f>
        <v>0.74</v>
      </c>
      <c r="E849" s="23">
        <f ca="1">IFERROR(__xludf.DUMMYFUNCTION("""COMPUTED_VALUE"""),0.66)</f>
        <v>0.66</v>
      </c>
      <c r="F849" s="23">
        <f ca="1">IFERROR(__xludf.DUMMYFUNCTION("""COMPUTED_VALUE"""),0.74)</f>
        <v>0.74</v>
      </c>
      <c r="G849" s="23">
        <f ca="1">IFERROR(__xludf.DUMMYFUNCTION("""COMPUTED_VALUE"""),0.414342352099001)</f>
        <v>0.414342352099001</v>
      </c>
      <c r="H849" s="23">
        <f ca="1">IFERROR(__xludf.DUMMYFUNCTION("""COMPUTED_VALUE"""),0.466157288977078)</f>
        <v>0.46615728897707798</v>
      </c>
      <c r="I849" s="23">
        <f ca="1">IFERROR(__xludf.DUMMYFUNCTION("""COMPUTED_VALUE"""),0.69)</f>
        <v>0.69</v>
      </c>
      <c r="J849" s="23">
        <f ca="1">IFERROR(__xludf.DUMMYFUNCTION("""COMPUTED_VALUE"""),0)</f>
        <v>0</v>
      </c>
      <c r="K849" s="23">
        <f ca="1">IFERROR(__xludf.DUMMYFUNCTION("""COMPUTED_VALUE"""),0)</f>
        <v>0</v>
      </c>
      <c r="L849" s="23">
        <f ca="1">IFERROR(__xludf.DUMMYFUNCTION("""COMPUTED_VALUE"""),0)</f>
        <v>0</v>
      </c>
      <c r="M849" s="23">
        <f ca="1">IFERROR(__xludf.DUMMYFUNCTION("""COMPUTED_VALUE"""),0)</f>
        <v>0</v>
      </c>
      <c r="N849" s="23">
        <f ca="1">IFERROR(__xludf.DUMMYFUNCTION("""COMPUTED_VALUE"""),0)</f>
        <v>0</v>
      </c>
      <c r="O849" s="23">
        <f ca="1">IFERROR(__xludf.DUMMYFUNCTION("""COMPUTED_VALUE"""),0)</f>
        <v>0</v>
      </c>
      <c r="P849" s="23">
        <f ca="1">IFERROR(__xludf.DUMMYFUNCTION("""COMPUTED_VALUE"""),0)</f>
        <v>0</v>
      </c>
      <c r="Q849" s="24">
        <f ca="1">IFERROR(__xludf.DUMMYFUNCTION("""COMPUTED_VALUE"""),0)</f>
        <v>0</v>
      </c>
      <c r="R849" s="20"/>
    </row>
    <row r="850" spans="1:18" ht="13.2" hidden="1" outlineLevel="1" x14ac:dyDescent="0.25">
      <c r="A850" s="1"/>
      <c r="B850" s="25" t="str">
        <f ca="1">IFERROR(__xludf.DUMMYFUNCTION("""COMPUTED_VALUE"""),"Energía eléctrica")</f>
        <v>Energía eléctrica</v>
      </c>
      <c r="C850" s="26">
        <f ca="1">IFERROR(__xludf.DUMMYFUNCTION("""COMPUTED_VALUE"""),0)</f>
        <v>0</v>
      </c>
      <c r="D850" s="27">
        <f ca="1">IFERROR(__xludf.DUMMYFUNCTION("""COMPUTED_VALUE"""),0)</f>
        <v>0</v>
      </c>
      <c r="E850" s="27">
        <f ca="1">IFERROR(__xludf.DUMMYFUNCTION("""COMPUTED_VALUE"""),0)</f>
        <v>0</v>
      </c>
      <c r="F850" s="27">
        <f ca="1">IFERROR(__xludf.DUMMYFUNCTION("""COMPUTED_VALUE"""),0)</f>
        <v>0</v>
      </c>
      <c r="G850" s="27">
        <f ca="1">IFERROR(__xludf.DUMMYFUNCTION("""COMPUTED_VALUE"""),0)</f>
        <v>0</v>
      </c>
      <c r="H850" s="27">
        <f ca="1">IFERROR(__xludf.DUMMYFUNCTION("""COMPUTED_VALUE"""),0)</f>
        <v>0</v>
      </c>
      <c r="I850" s="27">
        <f ca="1">IFERROR(__xludf.DUMMYFUNCTION("""COMPUTED_VALUE"""),0)</f>
        <v>0</v>
      </c>
      <c r="J850" s="27">
        <f ca="1">IFERROR(__xludf.DUMMYFUNCTION("""COMPUTED_VALUE"""),0)</f>
        <v>0</v>
      </c>
      <c r="K850" s="27">
        <f ca="1">IFERROR(__xludf.DUMMYFUNCTION("""COMPUTED_VALUE"""),0)</f>
        <v>0</v>
      </c>
      <c r="L850" s="27">
        <f ca="1">IFERROR(__xludf.DUMMYFUNCTION("""COMPUTED_VALUE"""),0)</f>
        <v>0</v>
      </c>
      <c r="M850" s="27">
        <f ca="1">IFERROR(__xludf.DUMMYFUNCTION("""COMPUTED_VALUE"""),0)</f>
        <v>0</v>
      </c>
      <c r="N850" s="27">
        <f ca="1">IFERROR(__xludf.DUMMYFUNCTION("""COMPUTED_VALUE"""),0)</f>
        <v>0</v>
      </c>
      <c r="O850" s="27">
        <f ca="1">IFERROR(__xludf.DUMMYFUNCTION("""COMPUTED_VALUE"""),0)</f>
        <v>0</v>
      </c>
      <c r="P850" s="27">
        <f ca="1">IFERROR(__xludf.DUMMYFUNCTION("""COMPUTED_VALUE"""),0)</f>
        <v>0</v>
      </c>
      <c r="Q850" s="28">
        <f ca="1">IFERROR(__xludf.DUMMYFUNCTION("""COMPUTED_VALUE"""),0)</f>
        <v>0</v>
      </c>
      <c r="R850" s="20"/>
    </row>
    <row r="851" spans="1:18" ht="13.2" hidden="1" outlineLevel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0"/>
    </row>
    <row r="852" spans="1:18" ht="13.2" collapsed="1" x14ac:dyDescent="0.25">
      <c r="A852" s="4"/>
      <c r="B852" s="5" t="str">
        <f ca="1">IFERROR(__xludf.DUMMYFUNCTION("""COMPUTED_VALUE"""),"Con.Fin.Ene(e,a)")</f>
        <v>Con.Fin.Ene(e,a)</v>
      </c>
      <c r="C852" s="6" t="str">
        <f ca="1">IFERROR(__xludf.DUMMYFUNCTION("""COMPUTED_VALUE"""),"/+")</f>
        <v>/+</v>
      </c>
      <c r="D852" s="7" t="str">
        <f ca="1">IFERROR(__xludf.DUMMYFUNCTION("""COMPUTED_VALUE"""),"Consumo final energético")</f>
        <v>Consumo final energético</v>
      </c>
      <c r="E852" s="6" t="str">
        <f ca="1">IFERROR(__xludf.DUMMYFUNCTION("""COMPUTED_VALUE"""),"cbne")</f>
        <v>cbne</v>
      </c>
      <c r="F852" s="6" t="str">
        <f ca="1">IFERROR(__xludf.DUMMYFUNCTION("""COMPUTED_VALUE"""),"a")</f>
        <v>a</v>
      </c>
      <c r="G852" s="8" t="str">
        <f ca="1">IFERROR(__xludf.DUMMYFUNCTION("""COMPUTED_VALUE"""),"PJ")</f>
        <v>PJ</v>
      </c>
      <c r="H852" s="9"/>
      <c r="I852" s="1"/>
      <c r="J852" s="1"/>
      <c r="K852" s="1"/>
      <c r="L852" s="1"/>
      <c r="M852" s="1"/>
      <c r="N852" s="1"/>
      <c r="O852" s="1"/>
      <c r="P852" s="1"/>
      <c r="Q852" s="1"/>
      <c r="R852" s="10"/>
    </row>
    <row r="853" spans="1:18" ht="13.2" hidden="1" outlineLevel="1" x14ac:dyDescent="0.25">
      <c r="A853" s="1"/>
      <c r="B853" s="11"/>
      <c r="C853" s="12">
        <f ca="1">IFERROR(__xludf.DUMMYFUNCTION("""COMPUTED_VALUE"""),2010)</f>
        <v>2010</v>
      </c>
      <c r="D853" s="13">
        <f ca="1">IFERROR(__xludf.DUMMYFUNCTION("""COMPUTED_VALUE"""),2011)</f>
        <v>2011</v>
      </c>
      <c r="E853" s="13">
        <f ca="1">IFERROR(__xludf.DUMMYFUNCTION("""COMPUTED_VALUE"""),2012)</f>
        <v>2012</v>
      </c>
      <c r="F853" s="13">
        <f ca="1">IFERROR(__xludf.DUMMYFUNCTION("""COMPUTED_VALUE"""),2013)</f>
        <v>2013</v>
      </c>
      <c r="G853" s="13">
        <f ca="1">IFERROR(__xludf.DUMMYFUNCTION("""COMPUTED_VALUE"""),2014)</f>
        <v>2014</v>
      </c>
      <c r="H853" s="13">
        <f ca="1">IFERROR(__xludf.DUMMYFUNCTION("""COMPUTED_VALUE"""),2015)</f>
        <v>2015</v>
      </c>
      <c r="I853" s="13">
        <f ca="1">IFERROR(__xludf.DUMMYFUNCTION("""COMPUTED_VALUE"""),2016)</f>
        <v>2016</v>
      </c>
      <c r="J853" s="13">
        <f ca="1">IFERROR(__xludf.DUMMYFUNCTION("""COMPUTED_VALUE"""),2017)</f>
        <v>2017</v>
      </c>
      <c r="K853" s="13">
        <f ca="1">IFERROR(__xludf.DUMMYFUNCTION("""COMPUTED_VALUE"""),2018)</f>
        <v>2018</v>
      </c>
      <c r="L853" s="13">
        <f ca="1">IFERROR(__xludf.DUMMYFUNCTION("""COMPUTED_VALUE"""),2019)</f>
        <v>2019</v>
      </c>
      <c r="M853" s="13">
        <f ca="1">IFERROR(__xludf.DUMMYFUNCTION("""COMPUTED_VALUE"""),2020)</f>
        <v>2020</v>
      </c>
      <c r="N853" s="13">
        <f ca="1">IFERROR(__xludf.DUMMYFUNCTION("""COMPUTED_VALUE"""),2021)</f>
        <v>2021</v>
      </c>
      <c r="O853" s="13">
        <f ca="1">IFERROR(__xludf.DUMMYFUNCTION("""COMPUTED_VALUE"""),2022)</f>
        <v>2022</v>
      </c>
      <c r="P853" s="13">
        <f ca="1">IFERROR(__xludf.DUMMYFUNCTION("""COMPUTED_VALUE"""),2023)</f>
        <v>2023</v>
      </c>
      <c r="Q853" s="14">
        <f ca="1">IFERROR(__xludf.DUMMYFUNCTION("""COMPUTED_VALUE"""),2024)</f>
        <v>2024</v>
      </c>
      <c r="R853" s="15"/>
    </row>
    <row r="854" spans="1:18" ht="13.2" hidden="1" outlineLevel="1" x14ac:dyDescent="0.25">
      <c r="A854" s="1"/>
      <c r="B854" s="16" t="str">
        <f ca="1">IFERROR(__xludf.DUMMYFUNCTION("""COMPUTED_VALUE"""),"Carbón mineral")</f>
        <v>Carbón mineral</v>
      </c>
      <c r="C854" s="17">
        <f ca="1">IFERROR(__xludf.DUMMYFUNCTION("""COMPUTED_VALUE"""),160.291749698468)</f>
        <v>160.29174969846801</v>
      </c>
      <c r="D854" s="18">
        <f ca="1">IFERROR(__xludf.DUMMYFUNCTION("""COMPUTED_VALUE"""),260.337551434822)</f>
        <v>260.33755143482199</v>
      </c>
      <c r="E854" s="18">
        <f ca="1">IFERROR(__xludf.DUMMYFUNCTION("""COMPUTED_VALUE"""),122.907581924372)</f>
        <v>122.907581924372</v>
      </c>
      <c r="F854" s="18">
        <f ca="1">IFERROR(__xludf.DUMMYFUNCTION("""COMPUTED_VALUE"""),129.827498372282)</f>
        <v>129.82749837228201</v>
      </c>
      <c r="G854" s="18">
        <f ca="1">IFERROR(__xludf.DUMMYFUNCTION("""COMPUTED_VALUE"""),110.957275451868)</f>
        <v>110.957275451868</v>
      </c>
      <c r="H854" s="18">
        <f ca="1">IFERROR(__xludf.DUMMYFUNCTION("""COMPUTED_VALUE"""),163.212954043836)</f>
        <v>163.21295404383599</v>
      </c>
      <c r="I854" s="18">
        <f ca="1">IFERROR(__xludf.DUMMYFUNCTION("""COMPUTED_VALUE"""),101.180613521828)</f>
        <v>101.18061352182799</v>
      </c>
      <c r="J854" s="18">
        <f ca="1">IFERROR(__xludf.DUMMYFUNCTION("""COMPUTED_VALUE"""),187.15045000421)</f>
        <v>187.15045000421</v>
      </c>
      <c r="K854" s="18">
        <f ca="1">IFERROR(__xludf.DUMMYFUNCTION("""COMPUTED_VALUE"""),139.52732809908)</f>
        <v>139.52732809907999</v>
      </c>
      <c r="L854" s="18">
        <f ca="1">IFERROR(__xludf.DUMMYFUNCTION("""COMPUTED_VALUE"""),148.013963601913)</f>
        <v>148.01396360191299</v>
      </c>
      <c r="M854" s="18">
        <f ca="1">IFERROR(__xludf.DUMMYFUNCTION("""COMPUTED_VALUE"""),186.537793198534)</f>
        <v>186.53779319853399</v>
      </c>
      <c r="N854" s="18">
        <f ca="1">IFERROR(__xludf.DUMMYFUNCTION("""COMPUTED_VALUE"""),221.302804799124)</f>
        <v>221.302804799124</v>
      </c>
      <c r="O854" s="18">
        <f ca="1">IFERROR(__xludf.DUMMYFUNCTION("""COMPUTED_VALUE"""),152.953381925078)</f>
        <v>152.95338192507799</v>
      </c>
      <c r="P854" s="18">
        <f ca="1">IFERROR(__xludf.DUMMYFUNCTION("""COMPUTED_VALUE"""),70.1848411731331)</f>
        <v>70.184841173133094</v>
      </c>
      <c r="Q854" s="19">
        <f ca="1">IFERROR(__xludf.DUMMYFUNCTION("""COMPUTED_VALUE"""),80.0278611914352)</f>
        <v>80.027861191435207</v>
      </c>
      <c r="R854" s="20"/>
    </row>
    <row r="855" spans="1:18" ht="13.2" hidden="1" outlineLevel="1" x14ac:dyDescent="0.25">
      <c r="A855" s="1"/>
      <c r="B855" s="21" t="str">
        <f ca="1">IFERROR(__xludf.DUMMYFUNCTION("""COMPUTED_VALUE"""),"Petróleo crudo")</f>
        <v>Petróleo crudo</v>
      </c>
      <c r="C855" s="22">
        <f ca="1">IFERROR(__xludf.DUMMYFUNCTION("""COMPUTED_VALUE"""),0)</f>
        <v>0</v>
      </c>
      <c r="D855" s="23">
        <f ca="1">IFERROR(__xludf.DUMMYFUNCTION("""COMPUTED_VALUE"""),0)</f>
        <v>0</v>
      </c>
      <c r="E855" s="23">
        <f ca="1">IFERROR(__xludf.DUMMYFUNCTION("""COMPUTED_VALUE"""),0)</f>
        <v>0</v>
      </c>
      <c r="F855" s="23">
        <f ca="1">IFERROR(__xludf.DUMMYFUNCTION("""COMPUTED_VALUE"""),0)</f>
        <v>0</v>
      </c>
      <c r="G855" s="23">
        <f ca="1">IFERROR(__xludf.DUMMYFUNCTION("""COMPUTED_VALUE"""),0)</f>
        <v>0</v>
      </c>
      <c r="H855" s="23">
        <f ca="1">IFERROR(__xludf.DUMMYFUNCTION("""COMPUTED_VALUE"""),0)</f>
        <v>0</v>
      </c>
      <c r="I855" s="23">
        <f ca="1">IFERROR(__xludf.DUMMYFUNCTION("""COMPUTED_VALUE"""),0)</f>
        <v>0</v>
      </c>
      <c r="J855" s="23">
        <f ca="1">IFERROR(__xludf.DUMMYFUNCTION("""COMPUTED_VALUE"""),0)</f>
        <v>0</v>
      </c>
      <c r="K855" s="23">
        <f ca="1">IFERROR(__xludf.DUMMYFUNCTION("""COMPUTED_VALUE"""),0)</f>
        <v>0</v>
      </c>
      <c r="L855" s="23">
        <f ca="1">IFERROR(__xludf.DUMMYFUNCTION("""COMPUTED_VALUE"""),0)</f>
        <v>0</v>
      </c>
      <c r="M855" s="23">
        <f ca="1">IFERROR(__xludf.DUMMYFUNCTION("""COMPUTED_VALUE"""),0)</f>
        <v>0</v>
      </c>
      <c r="N855" s="23">
        <f ca="1">IFERROR(__xludf.DUMMYFUNCTION("""COMPUTED_VALUE"""),0)</f>
        <v>0</v>
      </c>
      <c r="O855" s="23">
        <f ca="1">IFERROR(__xludf.DUMMYFUNCTION("""COMPUTED_VALUE"""),0)</f>
        <v>0</v>
      </c>
      <c r="P855" s="23">
        <f ca="1">IFERROR(__xludf.DUMMYFUNCTION("""COMPUTED_VALUE"""),0)</f>
        <v>0</v>
      </c>
      <c r="Q855" s="24">
        <f ca="1">IFERROR(__xludf.DUMMYFUNCTION("""COMPUTED_VALUE"""),0)</f>
        <v>0</v>
      </c>
      <c r="R855" s="20"/>
    </row>
    <row r="856" spans="1:18" ht="13.2" hidden="1" outlineLevel="1" x14ac:dyDescent="0.25">
      <c r="A856" s="1"/>
      <c r="B856" s="21" t="str">
        <f ca="1">IFERROR(__xludf.DUMMYFUNCTION("""COMPUTED_VALUE"""),"Condensados")</f>
        <v>Condensados</v>
      </c>
      <c r="C856" s="22">
        <f ca="1">IFERROR(__xludf.DUMMYFUNCTION("""COMPUTED_VALUE"""),0)</f>
        <v>0</v>
      </c>
      <c r="D856" s="23">
        <f ca="1">IFERROR(__xludf.DUMMYFUNCTION("""COMPUTED_VALUE"""),0)</f>
        <v>0</v>
      </c>
      <c r="E856" s="23">
        <f ca="1">IFERROR(__xludf.DUMMYFUNCTION("""COMPUTED_VALUE"""),0)</f>
        <v>0</v>
      </c>
      <c r="F856" s="23">
        <f ca="1">IFERROR(__xludf.DUMMYFUNCTION("""COMPUTED_VALUE"""),0)</f>
        <v>0</v>
      </c>
      <c r="G856" s="23">
        <f ca="1">IFERROR(__xludf.DUMMYFUNCTION("""COMPUTED_VALUE"""),0)</f>
        <v>0</v>
      </c>
      <c r="H856" s="23">
        <f ca="1">IFERROR(__xludf.DUMMYFUNCTION("""COMPUTED_VALUE"""),0)</f>
        <v>0</v>
      </c>
      <c r="I856" s="23">
        <f ca="1">IFERROR(__xludf.DUMMYFUNCTION("""COMPUTED_VALUE"""),0)</f>
        <v>0</v>
      </c>
      <c r="J856" s="23">
        <f ca="1">IFERROR(__xludf.DUMMYFUNCTION("""COMPUTED_VALUE"""),0)</f>
        <v>0</v>
      </c>
      <c r="K856" s="23">
        <f ca="1">IFERROR(__xludf.DUMMYFUNCTION("""COMPUTED_VALUE"""),0)</f>
        <v>0</v>
      </c>
      <c r="L856" s="23">
        <f ca="1">IFERROR(__xludf.DUMMYFUNCTION("""COMPUTED_VALUE"""),0)</f>
        <v>0</v>
      </c>
      <c r="M856" s="23">
        <f ca="1">IFERROR(__xludf.DUMMYFUNCTION("""COMPUTED_VALUE"""),0)</f>
        <v>0</v>
      </c>
      <c r="N856" s="23">
        <f ca="1">IFERROR(__xludf.DUMMYFUNCTION("""COMPUTED_VALUE"""),0)</f>
        <v>0</v>
      </c>
      <c r="O856" s="23">
        <f ca="1">IFERROR(__xludf.DUMMYFUNCTION("""COMPUTED_VALUE"""),0)</f>
        <v>0</v>
      </c>
      <c r="P856" s="23">
        <f ca="1">IFERROR(__xludf.DUMMYFUNCTION("""COMPUTED_VALUE"""),0)</f>
        <v>0</v>
      </c>
      <c r="Q856" s="24">
        <f ca="1">IFERROR(__xludf.DUMMYFUNCTION("""COMPUTED_VALUE"""),0)</f>
        <v>0</v>
      </c>
      <c r="R856" s="20"/>
    </row>
    <row r="857" spans="1:18" ht="13.2" hidden="1" outlineLevel="1" x14ac:dyDescent="0.25">
      <c r="A857" s="1"/>
      <c r="B857" s="21" t="str">
        <f ca="1">IFERROR(__xludf.DUMMYFUNCTION("""COMPUTED_VALUE"""),"Gas natural")</f>
        <v>Gas natural</v>
      </c>
      <c r="C857" s="22">
        <f ca="1">IFERROR(__xludf.DUMMYFUNCTION("""COMPUTED_VALUE"""),0)</f>
        <v>0</v>
      </c>
      <c r="D857" s="23">
        <f ca="1">IFERROR(__xludf.DUMMYFUNCTION("""COMPUTED_VALUE"""),0)</f>
        <v>0</v>
      </c>
      <c r="E857" s="23">
        <f ca="1">IFERROR(__xludf.DUMMYFUNCTION("""COMPUTED_VALUE"""),0)</f>
        <v>0</v>
      </c>
      <c r="F857" s="23">
        <f ca="1">IFERROR(__xludf.DUMMYFUNCTION("""COMPUTED_VALUE"""),0)</f>
        <v>0</v>
      </c>
      <c r="G857" s="23">
        <f ca="1">IFERROR(__xludf.DUMMYFUNCTION("""COMPUTED_VALUE"""),0)</f>
        <v>0</v>
      </c>
      <c r="H857" s="23">
        <f ca="1">IFERROR(__xludf.DUMMYFUNCTION("""COMPUTED_VALUE"""),0)</f>
        <v>0</v>
      </c>
      <c r="I857" s="23">
        <f ca="1">IFERROR(__xludf.DUMMYFUNCTION("""COMPUTED_VALUE"""),0)</f>
        <v>0</v>
      </c>
      <c r="J857" s="23">
        <f ca="1">IFERROR(__xludf.DUMMYFUNCTION("""COMPUTED_VALUE"""),0)</f>
        <v>0</v>
      </c>
      <c r="K857" s="23">
        <f ca="1">IFERROR(__xludf.DUMMYFUNCTION("""COMPUTED_VALUE"""),0)</f>
        <v>0</v>
      </c>
      <c r="L857" s="23">
        <f ca="1">IFERROR(__xludf.DUMMYFUNCTION("""COMPUTED_VALUE"""),0)</f>
        <v>0</v>
      </c>
      <c r="M857" s="23">
        <f ca="1">IFERROR(__xludf.DUMMYFUNCTION("""COMPUTED_VALUE"""),0)</f>
        <v>0</v>
      </c>
      <c r="N857" s="23">
        <f ca="1">IFERROR(__xludf.DUMMYFUNCTION("""COMPUTED_VALUE"""),0)</f>
        <v>0</v>
      </c>
      <c r="O857" s="23">
        <f ca="1">IFERROR(__xludf.DUMMYFUNCTION("""COMPUTED_VALUE"""),0)</f>
        <v>0</v>
      </c>
      <c r="P857" s="23">
        <f ca="1">IFERROR(__xludf.DUMMYFUNCTION("""COMPUTED_VALUE"""),0)</f>
        <v>0</v>
      </c>
      <c r="Q857" s="24">
        <f ca="1">IFERROR(__xludf.DUMMYFUNCTION("""COMPUTED_VALUE"""),0)</f>
        <v>0</v>
      </c>
      <c r="R857" s="20"/>
    </row>
    <row r="858" spans="1:18" ht="13.2" hidden="1" outlineLevel="1" x14ac:dyDescent="0.25">
      <c r="A858" s="1"/>
      <c r="B858" s="21" t="str">
        <f ca="1">IFERROR(__xludf.DUMMYFUNCTION("""COMPUTED_VALUE"""),"Energía Nuclear")</f>
        <v>Energía Nuclear</v>
      </c>
      <c r="C858" s="22">
        <f ca="1">IFERROR(__xludf.DUMMYFUNCTION("""COMPUTED_VALUE"""),0)</f>
        <v>0</v>
      </c>
      <c r="D858" s="23">
        <f ca="1">IFERROR(__xludf.DUMMYFUNCTION("""COMPUTED_VALUE"""),0)</f>
        <v>0</v>
      </c>
      <c r="E858" s="23">
        <f ca="1">IFERROR(__xludf.DUMMYFUNCTION("""COMPUTED_VALUE"""),0)</f>
        <v>0</v>
      </c>
      <c r="F858" s="23">
        <f ca="1">IFERROR(__xludf.DUMMYFUNCTION("""COMPUTED_VALUE"""),0)</f>
        <v>0</v>
      </c>
      <c r="G858" s="23">
        <f ca="1">IFERROR(__xludf.DUMMYFUNCTION("""COMPUTED_VALUE"""),0)</f>
        <v>0</v>
      </c>
      <c r="H858" s="23">
        <f ca="1">IFERROR(__xludf.DUMMYFUNCTION("""COMPUTED_VALUE"""),0)</f>
        <v>0</v>
      </c>
      <c r="I858" s="23">
        <f ca="1">IFERROR(__xludf.DUMMYFUNCTION("""COMPUTED_VALUE"""),0)</f>
        <v>0</v>
      </c>
      <c r="J858" s="23">
        <f ca="1">IFERROR(__xludf.DUMMYFUNCTION("""COMPUTED_VALUE"""),0)</f>
        <v>0</v>
      </c>
      <c r="K858" s="23">
        <f ca="1">IFERROR(__xludf.DUMMYFUNCTION("""COMPUTED_VALUE"""),0)</f>
        <v>0</v>
      </c>
      <c r="L858" s="23">
        <f ca="1">IFERROR(__xludf.DUMMYFUNCTION("""COMPUTED_VALUE"""),0)</f>
        <v>0</v>
      </c>
      <c r="M858" s="23">
        <f ca="1">IFERROR(__xludf.DUMMYFUNCTION("""COMPUTED_VALUE"""),0)</f>
        <v>0</v>
      </c>
      <c r="N858" s="23">
        <f ca="1">IFERROR(__xludf.DUMMYFUNCTION("""COMPUTED_VALUE"""),0)</f>
        <v>0</v>
      </c>
      <c r="O858" s="23">
        <f ca="1">IFERROR(__xludf.DUMMYFUNCTION("""COMPUTED_VALUE"""),0)</f>
        <v>0</v>
      </c>
      <c r="P858" s="23">
        <f ca="1">IFERROR(__xludf.DUMMYFUNCTION("""COMPUTED_VALUE"""),0)</f>
        <v>0</v>
      </c>
      <c r="Q858" s="24">
        <f ca="1">IFERROR(__xludf.DUMMYFUNCTION("""COMPUTED_VALUE"""),0)</f>
        <v>0</v>
      </c>
      <c r="R858" s="20"/>
    </row>
    <row r="859" spans="1:18" ht="13.2" hidden="1" outlineLevel="1" x14ac:dyDescent="0.25">
      <c r="A859" s="1"/>
      <c r="B859" s="21" t="str">
        <f ca="1">IFERROR(__xludf.DUMMYFUNCTION("""COMPUTED_VALUE"""),"Energia Hidraúlica")</f>
        <v>Energia Hidraúlica</v>
      </c>
      <c r="C859" s="22">
        <f ca="1">IFERROR(__xludf.DUMMYFUNCTION("""COMPUTED_VALUE"""),0)</f>
        <v>0</v>
      </c>
      <c r="D859" s="23">
        <f ca="1">IFERROR(__xludf.DUMMYFUNCTION("""COMPUTED_VALUE"""),0)</f>
        <v>0</v>
      </c>
      <c r="E859" s="23">
        <f ca="1">IFERROR(__xludf.DUMMYFUNCTION("""COMPUTED_VALUE"""),0)</f>
        <v>0</v>
      </c>
      <c r="F859" s="23">
        <f ca="1">IFERROR(__xludf.DUMMYFUNCTION("""COMPUTED_VALUE"""),0)</f>
        <v>0</v>
      </c>
      <c r="G859" s="23">
        <f ca="1">IFERROR(__xludf.DUMMYFUNCTION("""COMPUTED_VALUE"""),0)</f>
        <v>0</v>
      </c>
      <c r="H859" s="23">
        <f ca="1">IFERROR(__xludf.DUMMYFUNCTION("""COMPUTED_VALUE"""),0)</f>
        <v>0</v>
      </c>
      <c r="I859" s="23">
        <f ca="1">IFERROR(__xludf.DUMMYFUNCTION("""COMPUTED_VALUE"""),0)</f>
        <v>0</v>
      </c>
      <c r="J859" s="23">
        <f ca="1">IFERROR(__xludf.DUMMYFUNCTION("""COMPUTED_VALUE"""),0)</f>
        <v>0</v>
      </c>
      <c r="K859" s="23">
        <f ca="1">IFERROR(__xludf.DUMMYFUNCTION("""COMPUTED_VALUE"""),0)</f>
        <v>0</v>
      </c>
      <c r="L859" s="23">
        <f ca="1">IFERROR(__xludf.DUMMYFUNCTION("""COMPUTED_VALUE"""),0)</f>
        <v>0</v>
      </c>
      <c r="M859" s="23">
        <f ca="1">IFERROR(__xludf.DUMMYFUNCTION("""COMPUTED_VALUE"""),0)</f>
        <v>0</v>
      </c>
      <c r="N859" s="23">
        <f ca="1">IFERROR(__xludf.DUMMYFUNCTION("""COMPUTED_VALUE"""),0)</f>
        <v>0</v>
      </c>
      <c r="O859" s="23">
        <f ca="1">IFERROR(__xludf.DUMMYFUNCTION("""COMPUTED_VALUE"""),0)</f>
        <v>0</v>
      </c>
      <c r="P859" s="23">
        <f ca="1">IFERROR(__xludf.DUMMYFUNCTION("""COMPUTED_VALUE"""),0)</f>
        <v>0</v>
      </c>
      <c r="Q859" s="24">
        <f ca="1">IFERROR(__xludf.DUMMYFUNCTION("""COMPUTED_VALUE"""),0)</f>
        <v>0</v>
      </c>
      <c r="R859" s="20"/>
    </row>
    <row r="860" spans="1:18" ht="13.2" hidden="1" outlineLevel="1" x14ac:dyDescent="0.25">
      <c r="A860" s="1"/>
      <c r="B860" s="21" t="str">
        <f ca="1">IFERROR(__xludf.DUMMYFUNCTION("""COMPUTED_VALUE"""),"Geoenergía")</f>
        <v>Geoenergía</v>
      </c>
      <c r="C860" s="22">
        <f ca="1">IFERROR(__xludf.DUMMYFUNCTION("""COMPUTED_VALUE"""),0)</f>
        <v>0</v>
      </c>
      <c r="D860" s="23">
        <f ca="1">IFERROR(__xludf.DUMMYFUNCTION("""COMPUTED_VALUE"""),0)</f>
        <v>0</v>
      </c>
      <c r="E860" s="23">
        <f ca="1">IFERROR(__xludf.DUMMYFUNCTION("""COMPUTED_VALUE"""),0)</f>
        <v>0</v>
      </c>
      <c r="F860" s="23">
        <f ca="1">IFERROR(__xludf.DUMMYFUNCTION("""COMPUTED_VALUE"""),0)</f>
        <v>0</v>
      </c>
      <c r="G860" s="23">
        <f ca="1">IFERROR(__xludf.DUMMYFUNCTION("""COMPUTED_VALUE"""),0)</f>
        <v>0</v>
      </c>
      <c r="H860" s="23">
        <f ca="1">IFERROR(__xludf.DUMMYFUNCTION("""COMPUTED_VALUE"""),0)</f>
        <v>0</v>
      </c>
      <c r="I860" s="23">
        <f ca="1">IFERROR(__xludf.DUMMYFUNCTION("""COMPUTED_VALUE"""),0)</f>
        <v>0</v>
      </c>
      <c r="J860" s="23">
        <f ca="1">IFERROR(__xludf.DUMMYFUNCTION("""COMPUTED_VALUE"""),0)</f>
        <v>0</v>
      </c>
      <c r="K860" s="23">
        <f ca="1">IFERROR(__xludf.DUMMYFUNCTION("""COMPUTED_VALUE"""),0)</f>
        <v>0</v>
      </c>
      <c r="L860" s="23">
        <f ca="1">IFERROR(__xludf.DUMMYFUNCTION("""COMPUTED_VALUE"""),0)</f>
        <v>0</v>
      </c>
      <c r="M860" s="23">
        <f ca="1">IFERROR(__xludf.DUMMYFUNCTION("""COMPUTED_VALUE"""),0)</f>
        <v>0</v>
      </c>
      <c r="N860" s="23">
        <f ca="1">IFERROR(__xludf.DUMMYFUNCTION("""COMPUTED_VALUE"""),0)</f>
        <v>0</v>
      </c>
      <c r="O860" s="23">
        <f ca="1">IFERROR(__xludf.DUMMYFUNCTION("""COMPUTED_VALUE"""),0)</f>
        <v>0</v>
      </c>
      <c r="P860" s="23">
        <f ca="1">IFERROR(__xludf.DUMMYFUNCTION("""COMPUTED_VALUE"""),0)</f>
        <v>0</v>
      </c>
      <c r="Q860" s="24">
        <f ca="1">IFERROR(__xludf.DUMMYFUNCTION("""COMPUTED_VALUE"""),0)</f>
        <v>0</v>
      </c>
      <c r="R860" s="20"/>
    </row>
    <row r="861" spans="1:18" ht="13.2" hidden="1" outlineLevel="1" x14ac:dyDescent="0.25">
      <c r="A861" s="1"/>
      <c r="B861" s="21" t="str">
        <f ca="1">IFERROR(__xludf.DUMMYFUNCTION("""COMPUTED_VALUE"""),"Energía solar")</f>
        <v>Energía solar</v>
      </c>
      <c r="C861" s="22">
        <f ca="1">IFERROR(__xludf.DUMMYFUNCTION("""COMPUTED_VALUE"""),14.71)</f>
        <v>14.71</v>
      </c>
      <c r="D861" s="23">
        <f ca="1">IFERROR(__xludf.DUMMYFUNCTION("""COMPUTED_VALUE"""),17.15)</f>
        <v>17.149999999999999</v>
      </c>
      <c r="E861" s="23">
        <f ca="1">IFERROR(__xludf.DUMMYFUNCTION("""COMPUTED_VALUE"""),18.74)</f>
        <v>18.739999999999998</v>
      </c>
      <c r="F861" s="23">
        <f ca="1">IFERROR(__xludf.DUMMYFUNCTION("""COMPUTED_VALUE"""),19.61)</f>
        <v>19.61</v>
      </c>
      <c r="G861" s="23">
        <f ca="1">IFERROR(__xludf.DUMMYFUNCTION("""COMPUTED_VALUE"""),22.57)</f>
        <v>22.57</v>
      </c>
      <c r="H861" s="23">
        <f ca="1">IFERROR(__xludf.DUMMYFUNCTION("""COMPUTED_VALUE"""),24.91)</f>
        <v>24.91</v>
      </c>
      <c r="I861" s="23">
        <f ca="1">IFERROR(__xludf.DUMMYFUNCTION("""COMPUTED_VALUE"""),27.12)</f>
        <v>27.12</v>
      </c>
      <c r="J861" s="23">
        <f ca="1">IFERROR(__xludf.DUMMYFUNCTION("""COMPUTED_VALUE"""),29.75)</f>
        <v>29.75</v>
      </c>
      <c r="K861" s="23">
        <f ca="1">IFERROR(__xludf.DUMMYFUNCTION("""COMPUTED_VALUE"""),32.01)</f>
        <v>32.01</v>
      </c>
      <c r="L861" s="23">
        <f ca="1">IFERROR(__xludf.DUMMYFUNCTION("""COMPUTED_VALUE"""),33.92)</f>
        <v>33.92</v>
      </c>
      <c r="M861" s="23">
        <f ca="1">IFERROR(__xludf.DUMMYFUNCTION("""COMPUTED_VALUE"""),34.62)</f>
        <v>34.619999999999997</v>
      </c>
      <c r="N861" s="23">
        <f ca="1">IFERROR(__xludf.DUMMYFUNCTION("""COMPUTED_VALUE"""),37.16)</f>
        <v>37.159999999999997</v>
      </c>
      <c r="O861" s="23">
        <f ca="1">IFERROR(__xludf.DUMMYFUNCTION("""COMPUTED_VALUE"""),39.55)</f>
        <v>39.549999999999997</v>
      </c>
      <c r="P861" s="23">
        <f ca="1">IFERROR(__xludf.DUMMYFUNCTION("""COMPUTED_VALUE"""),42.26)</f>
        <v>42.26</v>
      </c>
      <c r="Q861" s="24">
        <f ca="1">IFERROR(__xludf.DUMMYFUNCTION("""COMPUTED_VALUE"""),46.48)</f>
        <v>46.48</v>
      </c>
      <c r="R861" s="20"/>
    </row>
    <row r="862" spans="1:18" ht="13.2" hidden="1" outlineLevel="1" x14ac:dyDescent="0.25">
      <c r="A862" s="1"/>
      <c r="B862" s="21" t="str">
        <f ca="1">IFERROR(__xludf.DUMMYFUNCTION("""COMPUTED_VALUE"""),"Energía eólica")</f>
        <v>Energía eólica</v>
      </c>
      <c r="C862" s="22">
        <f ca="1">IFERROR(__xludf.DUMMYFUNCTION("""COMPUTED_VALUE"""),0)</f>
        <v>0</v>
      </c>
      <c r="D862" s="23">
        <f ca="1">IFERROR(__xludf.DUMMYFUNCTION("""COMPUTED_VALUE"""),0)</f>
        <v>0</v>
      </c>
      <c r="E862" s="23">
        <f ca="1">IFERROR(__xludf.DUMMYFUNCTION("""COMPUTED_VALUE"""),0)</f>
        <v>0</v>
      </c>
      <c r="F862" s="23">
        <f ca="1">IFERROR(__xludf.DUMMYFUNCTION("""COMPUTED_VALUE"""),0)</f>
        <v>0</v>
      </c>
      <c r="G862" s="23">
        <f ca="1">IFERROR(__xludf.DUMMYFUNCTION("""COMPUTED_VALUE"""),0)</f>
        <v>0</v>
      </c>
      <c r="H862" s="23">
        <f ca="1">IFERROR(__xludf.DUMMYFUNCTION("""COMPUTED_VALUE"""),0)</f>
        <v>0</v>
      </c>
      <c r="I862" s="23">
        <f ca="1">IFERROR(__xludf.DUMMYFUNCTION("""COMPUTED_VALUE"""),0)</f>
        <v>0</v>
      </c>
      <c r="J862" s="23">
        <f ca="1">IFERROR(__xludf.DUMMYFUNCTION("""COMPUTED_VALUE"""),0)</f>
        <v>0</v>
      </c>
      <c r="K862" s="23">
        <f ca="1">IFERROR(__xludf.DUMMYFUNCTION("""COMPUTED_VALUE"""),0)</f>
        <v>0</v>
      </c>
      <c r="L862" s="23">
        <f ca="1">IFERROR(__xludf.DUMMYFUNCTION("""COMPUTED_VALUE"""),0)</f>
        <v>0</v>
      </c>
      <c r="M862" s="23">
        <f ca="1">IFERROR(__xludf.DUMMYFUNCTION("""COMPUTED_VALUE"""),0)</f>
        <v>0</v>
      </c>
      <c r="N862" s="23">
        <f ca="1">IFERROR(__xludf.DUMMYFUNCTION("""COMPUTED_VALUE"""),0)</f>
        <v>0</v>
      </c>
      <c r="O862" s="23">
        <f ca="1">IFERROR(__xludf.DUMMYFUNCTION("""COMPUTED_VALUE"""),0)</f>
        <v>0</v>
      </c>
      <c r="P862" s="23">
        <f ca="1">IFERROR(__xludf.DUMMYFUNCTION("""COMPUTED_VALUE"""),0)</f>
        <v>0</v>
      </c>
      <c r="Q862" s="24">
        <f ca="1">IFERROR(__xludf.DUMMYFUNCTION("""COMPUTED_VALUE"""),0)</f>
        <v>0</v>
      </c>
      <c r="R862" s="20"/>
    </row>
    <row r="863" spans="1:18" ht="13.2" hidden="1" outlineLevel="1" x14ac:dyDescent="0.25">
      <c r="A863" s="1"/>
      <c r="B863" s="21" t="str">
        <f ca="1">IFERROR(__xludf.DUMMYFUNCTION("""COMPUTED_VALUE"""),"Bagazo de caña")</f>
        <v>Bagazo de caña</v>
      </c>
      <c r="C863" s="22">
        <f ca="1">IFERROR(__xludf.DUMMYFUNCTION("""COMPUTED_VALUE"""),51.599896578)</f>
        <v>51.599896577999999</v>
      </c>
      <c r="D863" s="23">
        <f ca="1">IFERROR(__xludf.DUMMYFUNCTION("""COMPUTED_VALUE"""),50.117759172)</f>
        <v>50.117759172</v>
      </c>
      <c r="E863" s="23">
        <f ca="1">IFERROR(__xludf.DUMMYFUNCTION("""COMPUTED_VALUE"""),48.8985816299999)</f>
        <v>48.898581629999903</v>
      </c>
      <c r="F863" s="23">
        <f ca="1">IFERROR(__xludf.DUMMYFUNCTION("""COMPUTED_VALUE"""),76.246407306)</f>
        <v>76.246407305999995</v>
      </c>
      <c r="G863" s="23">
        <f ca="1">IFERROR(__xludf.DUMMYFUNCTION("""COMPUTED_VALUE"""),47.225200692)</f>
        <v>47.225200692000001</v>
      </c>
      <c r="H863" s="23">
        <f ca="1">IFERROR(__xludf.DUMMYFUNCTION("""COMPUTED_VALUE"""),42.2212320110364)</f>
        <v>42.221232011036399</v>
      </c>
      <c r="I863" s="23">
        <f ca="1">IFERROR(__xludf.DUMMYFUNCTION("""COMPUTED_VALUE"""),43.1530765253062)</f>
        <v>43.153076525306197</v>
      </c>
      <c r="J863" s="23">
        <f ca="1">IFERROR(__xludf.DUMMYFUNCTION("""COMPUTED_VALUE"""),42.0251810260395)</f>
        <v>42.025181026039498</v>
      </c>
      <c r="K863" s="23">
        <f ca="1">IFERROR(__xludf.DUMMYFUNCTION("""COMPUTED_VALUE"""),42.3945089159803)</f>
        <v>42.394508915980303</v>
      </c>
      <c r="L863" s="23">
        <f ca="1">IFERROR(__xludf.DUMMYFUNCTION("""COMPUTED_VALUE"""),45.3320196081777)</f>
        <v>45.332019608177703</v>
      </c>
      <c r="M863" s="23">
        <f ca="1">IFERROR(__xludf.DUMMYFUNCTION("""COMPUTED_VALUE"""),37.2361017274158)</f>
        <v>37.2361017274158</v>
      </c>
      <c r="N863" s="23">
        <f ca="1">IFERROR(__xludf.DUMMYFUNCTION("""COMPUTED_VALUE"""),40.3199340580347)</f>
        <v>40.319934058034697</v>
      </c>
      <c r="O863" s="23">
        <f ca="1">IFERROR(__xludf.DUMMYFUNCTION("""COMPUTED_VALUE"""),43.6328061329233)</f>
        <v>43.632806132923299</v>
      </c>
      <c r="P863" s="23">
        <f ca="1">IFERROR(__xludf.DUMMYFUNCTION("""COMPUTED_VALUE"""),36.8547022518483)</f>
        <v>36.854702251848302</v>
      </c>
      <c r="Q863" s="24">
        <f ca="1">IFERROR(__xludf.DUMMYFUNCTION("""COMPUTED_VALUE"""),33.1812298390588)</f>
        <v>33.181229839058801</v>
      </c>
      <c r="R863" s="20"/>
    </row>
    <row r="864" spans="1:18" ht="13.2" hidden="1" outlineLevel="1" x14ac:dyDescent="0.25">
      <c r="A864" s="1"/>
      <c r="B864" s="21" t="str">
        <f ca="1">IFERROR(__xludf.DUMMYFUNCTION("""COMPUTED_VALUE"""),"Leña")</f>
        <v>Leña</v>
      </c>
      <c r="C864" s="22">
        <f ca="1">IFERROR(__xludf.DUMMYFUNCTION("""COMPUTED_VALUE"""),138.367582101017)</f>
        <v>138.36758210101701</v>
      </c>
      <c r="D864" s="23">
        <f ca="1">IFERROR(__xludf.DUMMYFUNCTION("""COMPUTED_VALUE"""),137.696178221624)</f>
        <v>137.696178221624</v>
      </c>
      <c r="E864" s="23">
        <f ca="1">IFERROR(__xludf.DUMMYFUNCTION("""COMPUTED_VALUE"""),137.024774342231)</f>
        <v>137.02477434223101</v>
      </c>
      <c r="F864" s="23">
        <f ca="1">IFERROR(__xludf.DUMMYFUNCTION("""COMPUTED_VALUE"""),136.357019396965)</f>
        <v>136.357019396965</v>
      </c>
      <c r="G864" s="23">
        <f ca="1">IFERROR(__xludf.DUMMYFUNCTION("""COMPUTED_VALUE"""),135.685615517572)</f>
        <v>135.68561551757199</v>
      </c>
      <c r="H864" s="23">
        <f ca="1">IFERROR(__xludf.DUMMYFUNCTION("""COMPUTED_VALUE"""),135.010562704052)</f>
        <v>135.01056270405201</v>
      </c>
      <c r="I864" s="23">
        <f ca="1">IFERROR(__xludf.DUMMYFUNCTION("""COMPUTED_VALUE"""),134.339158824659)</f>
        <v>134.33915882465899</v>
      </c>
      <c r="J864" s="23">
        <f ca="1">IFERROR(__xludf.DUMMYFUNCTION("""COMPUTED_VALUE"""),133.667754945265)</f>
        <v>133.66775494526499</v>
      </c>
      <c r="K864" s="23">
        <f ca="1">IFERROR(__xludf.DUMMYFUNCTION("""COMPUTED_VALUE"""),132.999999999999)</f>
        <v>132.99999999999901</v>
      </c>
      <c r="L864" s="23">
        <f ca="1">IFERROR(__xludf.DUMMYFUNCTION("""COMPUTED_VALUE"""),132.324947186479)</f>
        <v>132.32494718647899</v>
      </c>
      <c r="M864" s="23">
        <f ca="1">IFERROR(__xludf.DUMMYFUNCTION("""COMPUTED_VALUE"""),131.653543307086)</f>
        <v>131.65354330708601</v>
      </c>
      <c r="N864" s="23">
        <f ca="1">IFERROR(__xludf.DUMMYFUNCTION("""COMPUTED_VALUE"""),131.095256385634)</f>
        <v>131.095256385634</v>
      </c>
      <c r="O864" s="23">
        <f ca="1">IFERROR(__xludf.DUMMYFUNCTION("""COMPUTED_VALUE"""),130.536969464182)</f>
        <v>130.53696946418199</v>
      </c>
      <c r="P864" s="23">
        <f ca="1">IFERROR(__xludf.DUMMYFUNCTION("""COMPUTED_VALUE"""),129.97868254273)</f>
        <v>129.97868254273001</v>
      </c>
      <c r="Q864" s="24">
        <f ca="1">IFERROR(__xludf.DUMMYFUNCTION("""COMPUTED_VALUE"""),129.420395621279)</f>
        <v>129.420395621279</v>
      </c>
      <c r="R864" s="20"/>
    </row>
    <row r="865" spans="1:18" ht="13.2" hidden="1" outlineLevel="1" x14ac:dyDescent="0.25">
      <c r="A865" s="1"/>
      <c r="B865" s="21" t="str">
        <f ca="1">IFERROR(__xludf.DUMMYFUNCTION("""COMPUTED_VALUE"""),"Biogás")</f>
        <v>Biogás</v>
      </c>
      <c r="C865" s="22">
        <f ca="1">IFERROR(__xludf.DUMMYFUNCTION("""COMPUTED_VALUE"""),0)</f>
        <v>0</v>
      </c>
      <c r="D865" s="23">
        <f ca="1">IFERROR(__xludf.DUMMYFUNCTION("""COMPUTED_VALUE"""),0)</f>
        <v>0</v>
      </c>
      <c r="E865" s="23">
        <f ca="1">IFERROR(__xludf.DUMMYFUNCTION("""COMPUTED_VALUE"""),0)</f>
        <v>0</v>
      </c>
      <c r="F865" s="23">
        <f ca="1">IFERROR(__xludf.DUMMYFUNCTION("""COMPUTED_VALUE"""),0)</f>
        <v>0</v>
      </c>
      <c r="G865" s="23">
        <f ca="1">IFERROR(__xludf.DUMMYFUNCTION("""COMPUTED_VALUE"""),0)</f>
        <v>0</v>
      </c>
      <c r="H865" s="23">
        <f ca="1">IFERROR(__xludf.DUMMYFUNCTION("""COMPUTED_VALUE"""),0)</f>
        <v>0</v>
      </c>
      <c r="I865" s="23">
        <f ca="1">IFERROR(__xludf.DUMMYFUNCTION("""COMPUTED_VALUE"""),0)</f>
        <v>0</v>
      </c>
      <c r="J865" s="23">
        <f ca="1">IFERROR(__xludf.DUMMYFUNCTION("""COMPUTED_VALUE"""),0)</f>
        <v>0</v>
      </c>
      <c r="K865" s="23">
        <f ca="1">IFERROR(__xludf.DUMMYFUNCTION("""COMPUTED_VALUE"""),0)</f>
        <v>0</v>
      </c>
      <c r="L865" s="23">
        <f ca="1">IFERROR(__xludf.DUMMYFUNCTION("""COMPUTED_VALUE"""),0)</f>
        <v>0</v>
      </c>
      <c r="M865" s="23">
        <f ca="1">IFERROR(__xludf.DUMMYFUNCTION("""COMPUTED_VALUE"""),0)</f>
        <v>0</v>
      </c>
      <c r="N865" s="23">
        <f ca="1">IFERROR(__xludf.DUMMYFUNCTION("""COMPUTED_VALUE"""),0)</f>
        <v>0</v>
      </c>
      <c r="O865" s="23">
        <f ca="1">IFERROR(__xludf.DUMMYFUNCTION("""COMPUTED_VALUE"""),0)</f>
        <v>0</v>
      </c>
      <c r="P865" s="23">
        <f ca="1">IFERROR(__xludf.DUMMYFUNCTION("""COMPUTED_VALUE"""),0)</f>
        <v>0</v>
      </c>
      <c r="Q865" s="24">
        <f ca="1">IFERROR(__xludf.DUMMYFUNCTION("""COMPUTED_VALUE"""),0)</f>
        <v>0</v>
      </c>
      <c r="R865" s="20"/>
    </row>
    <row r="866" spans="1:18" ht="13.2" hidden="1" outlineLevel="1" x14ac:dyDescent="0.25">
      <c r="A866" s="1"/>
      <c r="B866" s="21" t="str">
        <f ca="1">IFERROR(__xludf.DUMMYFUNCTION("""COMPUTED_VALUE"""),"Coque de carbón")</f>
        <v>Coque de carbón</v>
      </c>
      <c r="C866" s="22">
        <f ca="1">IFERROR(__xludf.DUMMYFUNCTION("""COMPUTED_VALUE"""),73.131705)</f>
        <v>73.131704999999997</v>
      </c>
      <c r="D866" s="23">
        <f ca="1">IFERROR(__xludf.DUMMYFUNCTION("""COMPUTED_VALUE"""),74.1615081859999)</f>
        <v>74.161508185999907</v>
      </c>
      <c r="E866" s="23">
        <f ca="1">IFERROR(__xludf.DUMMYFUNCTION("""COMPUTED_VALUE"""),79.630705966)</f>
        <v>79.630705965999994</v>
      </c>
      <c r="F866" s="23">
        <f ca="1">IFERROR(__xludf.DUMMYFUNCTION("""COMPUTED_VALUE"""),76.391363594)</f>
        <v>76.391363593999998</v>
      </c>
      <c r="G866" s="23">
        <f ca="1">IFERROR(__xludf.DUMMYFUNCTION("""COMPUTED_VALUE"""),68.8705257315879)</f>
        <v>68.870525731587904</v>
      </c>
      <c r="H866" s="23">
        <f ca="1">IFERROR(__xludf.DUMMYFUNCTION("""COMPUTED_VALUE"""),62.8905662974049)</f>
        <v>62.890566297404902</v>
      </c>
      <c r="I866" s="23">
        <f ca="1">IFERROR(__xludf.DUMMYFUNCTION("""COMPUTED_VALUE"""),63.5135855841319)</f>
        <v>63.513585584131903</v>
      </c>
      <c r="J866" s="23">
        <f ca="1">IFERROR(__xludf.DUMMYFUNCTION("""COMPUTED_VALUE"""),61.1908059182779)</f>
        <v>61.190805918277903</v>
      </c>
      <c r="K866" s="23">
        <f ca="1">IFERROR(__xludf.DUMMYFUNCTION("""COMPUTED_VALUE"""),61.407967010873)</f>
        <v>61.407967010873001</v>
      </c>
      <c r="L866" s="23">
        <f ca="1">IFERROR(__xludf.DUMMYFUNCTION("""COMPUTED_VALUE"""),57.029056340813)</f>
        <v>57.029056340813</v>
      </c>
      <c r="M866" s="23">
        <f ca="1">IFERROR(__xludf.DUMMYFUNCTION("""COMPUTED_VALUE"""),44.557250843698)</f>
        <v>44.557250843698</v>
      </c>
      <c r="N866" s="23">
        <f ca="1">IFERROR(__xludf.DUMMYFUNCTION("""COMPUTED_VALUE"""),48.408891971649)</f>
        <v>48.408891971648998</v>
      </c>
      <c r="O866" s="23">
        <f ca="1">IFERROR(__xludf.DUMMYFUNCTION("""COMPUTED_VALUE"""),42.87200044885)</f>
        <v>42.872000448850002</v>
      </c>
      <c r="P866" s="23">
        <f ca="1">IFERROR(__xludf.DUMMYFUNCTION("""COMPUTED_VALUE"""),18.4121022171549)</f>
        <v>18.412102217154899</v>
      </c>
      <c r="Q866" s="24">
        <f ca="1">IFERROR(__xludf.DUMMYFUNCTION("""COMPUTED_VALUE"""),16.460465758118)</f>
        <v>16.460465758118001</v>
      </c>
      <c r="R866" s="20"/>
    </row>
    <row r="867" spans="1:18" ht="13.2" hidden="1" outlineLevel="1" x14ac:dyDescent="0.25">
      <c r="A867" s="1"/>
      <c r="B867" s="21" t="str">
        <f ca="1">IFERROR(__xludf.DUMMYFUNCTION("""COMPUTED_VALUE"""),"Coque de petróleo")</f>
        <v>Coque de petróleo</v>
      </c>
      <c r="C867" s="22">
        <f ca="1">IFERROR(__xludf.DUMMYFUNCTION("""COMPUTED_VALUE"""),80.313791836)</f>
        <v>80.313791835999993</v>
      </c>
      <c r="D867" s="23">
        <f ca="1">IFERROR(__xludf.DUMMYFUNCTION("""COMPUTED_VALUE"""),109.042681333)</f>
        <v>109.042681333</v>
      </c>
      <c r="E867" s="23">
        <f ca="1">IFERROR(__xludf.DUMMYFUNCTION("""COMPUTED_VALUE"""),90.963662298)</f>
        <v>90.963662298000003</v>
      </c>
      <c r="F867" s="23">
        <f ca="1">IFERROR(__xludf.DUMMYFUNCTION("""COMPUTED_VALUE"""),110.191360187)</f>
        <v>110.191360187</v>
      </c>
      <c r="G867" s="23">
        <f ca="1">IFERROR(__xludf.DUMMYFUNCTION("""COMPUTED_VALUE"""),60.785065299)</f>
        <v>60.785065299000003</v>
      </c>
      <c r="H867" s="23">
        <f ca="1">IFERROR(__xludf.DUMMYFUNCTION("""COMPUTED_VALUE"""),69.694815274)</f>
        <v>69.694815274000007</v>
      </c>
      <c r="I867" s="23">
        <f ca="1">IFERROR(__xludf.DUMMYFUNCTION("""COMPUTED_VALUE"""),42.760435541)</f>
        <v>42.760435541</v>
      </c>
      <c r="J867" s="23">
        <f ca="1">IFERROR(__xludf.DUMMYFUNCTION("""COMPUTED_VALUE"""),55.058182943)</f>
        <v>55.058182942999998</v>
      </c>
      <c r="K867" s="23">
        <f ca="1">IFERROR(__xludf.DUMMYFUNCTION("""COMPUTED_VALUE"""),70.568958517)</f>
        <v>70.568958516999999</v>
      </c>
      <c r="L867" s="23">
        <f ca="1">IFERROR(__xludf.DUMMYFUNCTION("""COMPUTED_VALUE"""),107.453219453)</f>
        <v>107.453219453</v>
      </c>
      <c r="M867" s="23">
        <f ca="1">IFERROR(__xludf.DUMMYFUNCTION("""COMPUTED_VALUE"""),116.552493326)</f>
        <v>116.552493326</v>
      </c>
      <c r="N867" s="23">
        <f ca="1">IFERROR(__xludf.DUMMYFUNCTION("""COMPUTED_VALUE"""),133.005299835)</f>
        <v>133.00529983499999</v>
      </c>
      <c r="O867" s="23">
        <f ca="1">IFERROR(__xludf.DUMMYFUNCTION("""COMPUTED_VALUE"""),141.053466064)</f>
        <v>141.05346606399999</v>
      </c>
      <c r="P867" s="23">
        <f ca="1">IFERROR(__xludf.DUMMYFUNCTION("""COMPUTED_VALUE"""),127.000236626)</f>
        <v>127.000236626</v>
      </c>
      <c r="Q867" s="24">
        <f ca="1">IFERROR(__xludf.DUMMYFUNCTION("""COMPUTED_VALUE"""),126.422357065)</f>
        <v>126.422357065</v>
      </c>
      <c r="R867" s="20"/>
    </row>
    <row r="868" spans="1:18" ht="13.2" hidden="1" outlineLevel="1" x14ac:dyDescent="0.25">
      <c r="A868" s="1"/>
      <c r="B868" s="21" t="str">
        <f ca="1">IFERROR(__xludf.DUMMYFUNCTION("""COMPUTED_VALUE"""),"Gas licuado de petróleo")</f>
        <v>Gas licuado de petróleo</v>
      </c>
      <c r="C868" s="22">
        <f ca="1">IFERROR(__xludf.DUMMYFUNCTION("""COMPUTED_VALUE"""),442.804962908685)</f>
        <v>442.80496290868501</v>
      </c>
      <c r="D868" s="23">
        <f ca="1">IFERROR(__xludf.DUMMYFUNCTION("""COMPUTED_VALUE"""),430.596733192805)</f>
        <v>430.596733192805</v>
      </c>
      <c r="E868" s="23">
        <f ca="1">IFERROR(__xludf.DUMMYFUNCTION("""COMPUTED_VALUE"""),426.422823419767)</f>
        <v>426.42282341976698</v>
      </c>
      <c r="F868" s="23">
        <f ca="1">IFERROR(__xludf.DUMMYFUNCTION("""COMPUTED_VALUE"""),416.261470701025)</f>
        <v>416.26147070102502</v>
      </c>
      <c r="G868" s="23">
        <f ca="1">IFERROR(__xludf.DUMMYFUNCTION("""COMPUTED_VALUE"""),431.611875698188)</f>
        <v>431.61187569818799</v>
      </c>
      <c r="H868" s="23">
        <f ca="1">IFERROR(__xludf.DUMMYFUNCTION("""COMPUTED_VALUE"""),414.757404466488)</f>
        <v>414.75740446648803</v>
      </c>
      <c r="I868" s="23">
        <f ca="1">IFERROR(__xludf.DUMMYFUNCTION("""COMPUTED_VALUE"""),450.181134055033)</f>
        <v>450.181134055033</v>
      </c>
      <c r="J868" s="23">
        <f ca="1">IFERROR(__xludf.DUMMYFUNCTION("""COMPUTED_VALUE"""),420.092020338878)</f>
        <v>420.092020338878</v>
      </c>
      <c r="K868" s="23">
        <f ca="1">IFERROR(__xludf.DUMMYFUNCTION("""COMPUTED_VALUE"""),443.222864527583)</f>
        <v>443.222864527583</v>
      </c>
      <c r="L868" s="23">
        <f ca="1">IFERROR(__xludf.DUMMYFUNCTION("""COMPUTED_VALUE"""),371.605240189459)</f>
        <v>371.60524018945898</v>
      </c>
      <c r="M868" s="23">
        <f ca="1">IFERROR(__xludf.DUMMYFUNCTION("""COMPUTED_VALUE"""),396.97045973026)</f>
        <v>396.97045973026002</v>
      </c>
      <c r="N868" s="23">
        <f ca="1">IFERROR(__xludf.DUMMYFUNCTION("""COMPUTED_VALUE"""),454.750284530445)</f>
        <v>454.75028453044501</v>
      </c>
      <c r="O868" s="23">
        <f ca="1">IFERROR(__xludf.DUMMYFUNCTION("""COMPUTED_VALUE"""),474.354591563634)</f>
        <v>474.35459156363402</v>
      </c>
      <c r="P868" s="23">
        <f ca="1">IFERROR(__xludf.DUMMYFUNCTION("""COMPUTED_VALUE"""),478.980920219114)</f>
        <v>478.98092021911401</v>
      </c>
      <c r="Q868" s="24">
        <f ca="1">IFERROR(__xludf.DUMMYFUNCTION("""COMPUTED_VALUE"""),430.488493176783)</f>
        <v>430.48849317678298</v>
      </c>
      <c r="R868" s="20"/>
    </row>
    <row r="869" spans="1:18" ht="13.2" hidden="1" outlineLevel="1" x14ac:dyDescent="0.25">
      <c r="A869" s="1"/>
      <c r="B869" s="21" t="str">
        <f ca="1">IFERROR(__xludf.DUMMYFUNCTION("""COMPUTED_VALUE"""),"Gasolinas y naftas")</f>
        <v>Gasolinas y naftas</v>
      </c>
      <c r="C869" s="22">
        <f ca="1">IFERROR(__xludf.DUMMYFUNCTION("""COMPUTED_VALUE"""),1330.74)</f>
        <v>1330.74</v>
      </c>
      <c r="D869" s="23">
        <f ca="1">IFERROR(__xludf.DUMMYFUNCTION("""COMPUTED_VALUE"""),1329.45)</f>
        <v>1329.45</v>
      </c>
      <c r="E869" s="23">
        <f ca="1">IFERROR(__xludf.DUMMYFUNCTION("""COMPUTED_VALUE"""),1318.1)</f>
        <v>1318.1</v>
      </c>
      <c r="F869" s="23">
        <f ca="1">IFERROR(__xludf.DUMMYFUNCTION("""COMPUTED_VALUE"""),1324.95999999999)</f>
        <v>1324.95999999999</v>
      </c>
      <c r="G869" s="23">
        <f ca="1">IFERROR(__xludf.DUMMYFUNCTION("""COMPUTED_VALUE"""),1465.0873323642)</f>
        <v>1465.0873323641999</v>
      </c>
      <c r="H869" s="23">
        <f ca="1">IFERROR(__xludf.DUMMYFUNCTION("""COMPUTED_VALUE"""),1525.86055768089)</f>
        <v>1525.86055768089</v>
      </c>
      <c r="I869" s="23">
        <f ca="1">IFERROR(__xludf.DUMMYFUNCTION("""COMPUTED_VALUE"""),1628.527)</f>
        <v>1628.527</v>
      </c>
      <c r="J869" s="23">
        <f ca="1">IFERROR(__xludf.DUMMYFUNCTION("""COMPUTED_VALUE"""),1576.25789542592)</f>
        <v>1576.25789542592</v>
      </c>
      <c r="K869" s="23">
        <f ca="1">IFERROR(__xludf.DUMMYFUNCTION("""COMPUTED_VALUE"""),1617.98793982795)</f>
        <v>1617.98793982795</v>
      </c>
      <c r="L869" s="23">
        <f ca="1">IFERROR(__xludf.DUMMYFUNCTION("""COMPUTED_VALUE"""),1517.27224003577)</f>
        <v>1517.27224003577</v>
      </c>
      <c r="M869" s="23">
        <f ca="1">IFERROR(__xludf.DUMMYFUNCTION("""COMPUTED_VALUE"""),1122.99087311289)</f>
        <v>1122.9908731128901</v>
      </c>
      <c r="N869" s="23">
        <f ca="1">IFERROR(__xludf.DUMMYFUNCTION("""COMPUTED_VALUE"""),1295.16508509295)</f>
        <v>1295.16508509295</v>
      </c>
      <c r="O869" s="23">
        <f ca="1">IFERROR(__xludf.DUMMYFUNCTION("""COMPUTED_VALUE"""),1390.55)</f>
        <v>1390.55</v>
      </c>
      <c r="P869" s="23">
        <f ca="1">IFERROR(__xludf.DUMMYFUNCTION("""COMPUTED_VALUE"""),1411.15)</f>
        <v>1411.15</v>
      </c>
      <c r="Q869" s="24">
        <f ca="1">IFERROR(__xludf.DUMMYFUNCTION("""COMPUTED_VALUE"""),1461.12)</f>
        <v>1461.12</v>
      </c>
      <c r="R869" s="20"/>
    </row>
    <row r="870" spans="1:18" ht="13.2" hidden="1" outlineLevel="1" x14ac:dyDescent="0.25">
      <c r="A870" s="1"/>
      <c r="B870" s="21" t="str">
        <f ca="1">IFERROR(__xludf.DUMMYFUNCTION("""COMPUTED_VALUE"""),"Querosenos")</f>
        <v>Querosenos</v>
      </c>
      <c r="C870" s="22">
        <f ca="1">IFERROR(__xludf.DUMMYFUNCTION("""COMPUTED_VALUE"""),90.12)</f>
        <v>90.12</v>
      </c>
      <c r="D870" s="23">
        <f ca="1">IFERROR(__xludf.DUMMYFUNCTION("""COMPUTED_VALUE"""),78.26)</f>
        <v>78.260000000000005</v>
      </c>
      <c r="E870" s="23">
        <f ca="1">IFERROR(__xludf.DUMMYFUNCTION("""COMPUTED_VALUE"""),91.97)</f>
        <v>91.97</v>
      </c>
      <c r="F870" s="23">
        <f ca="1">IFERROR(__xludf.DUMMYFUNCTION("""COMPUTED_VALUE"""),102.94)</f>
        <v>102.94</v>
      </c>
      <c r="G870" s="23">
        <f ca="1">IFERROR(__xludf.DUMMYFUNCTION("""COMPUTED_VALUE"""),130.91)</f>
        <v>130.91</v>
      </c>
      <c r="H870" s="23">
        <f ca="1">IFERROR(__xludf.DUMMYFUNCTION("""COMPUTED_VALUE"""),147.79)</f>
        <v>147.79</v>
      </c>
      <c r="I870" s="23">
        <f ca="1">IFERROR(__xludf.DUMMYFUNCTION("""COMPUTED_VALUE"""),166.86)</f>
        <v>166.86</v>
      </c>
      <c r="J870" s="23">
        <f ca="1">IFERROR(__xludf.DUMMYFUNCTION("""COMPUTED_VALUE"""),182.04)</f>
        <v>182.04</v>
      </c>
      <c r="K870" s="23">
        <f ca="1">IFERROR(__xludf.DUMMYFUNCTION("""COMPUTED_VALUE"""),209.18)</f>
        <v>209.18</v>
      </c>
      <c r="L870" s="23">
        <f ca="1">IFERROR(__xludf.DUMMYFUNCTION("""COMPUTED_VALUE"""),214.53)</f>
        <v>214.53</v>
      </c>
      <c r="M870" s="23">
        <f ca="1">IFERROR(__xludf.DUMMYFUNCTION("""COMPUTED_VALUE"""),87.55)</f>
        <v>87.55</v>
      </c>
      <c r="N870" s="23">
        <f ca="1">IFERROR(__xludf.DUMMYFUNCTION("""COMPUTED_VALUE"""),140.82)</f>
        <v>140.82</v>
      </c>
      <c r="O870" s="23">
        <f ca="1">IFERROR(__xludf.DUMMYFUNCTION("""COMPUTED_VALUE"""),183.35)</f>
        <v>183.35</v>
      </c>
      <c r="P870" s="23">
        <f ca="1">IFERROR(__xludf.DUMMYFUNCTION("""COMPUTED_VALUE"""),197.27)</f>
        <v>197.27</v>
      </c>
      <c r="Q870" s="24">
        <f ca="1">IFERROR(__xludf.DUMMYFUNCTION("""COMPUTED_VALUE"""),203.23)</f>
        <v>203.23</v>
      </c>
      <c r="R870" s="20"/>
    </row>
    <row r="871" spans="1:18" ht="13.2" hidden="1" outlineLevel="1" x14ac:dyDescent="0.25">
      <c r="A871" s="1"/>
      <c r="B871" s="21" t="str">
        <f ca="1">IFERROR(__xludf.DUMMYFUNCTION("""COMPUTED_VALUE"""),"Diesel")</f>
        <v>Diesel</v>
      </c>
      <c r="C871" s="22">
        <f ca="1">IFERROR(__xludf.DUMMYFUNCTION("""COMPUTED_VALUE"""),765.978318057482)</f>
        <v>765.97831805748206</v>
      </c>
      <c r="D871" s="23">
        <f ca="1">IFERROR(__xludf.DUMMYFUNCTION("""COMPUTED_VALUE"""),774.079219399198)</f>
        <v>774.079219399198</v>
      </c>
      <c r="E871" s="23">
        <f ca="1">IFERROR(__xludf.DUMMYFUNCTION("""COMPUTED_VALUE"""),819.985375456994)</f>
        <v>819.98537545699401</v>
      </c>
      <c r="F871" s="23">
        <f ca="1">IFERROR(__xludf.DUMMYFUNCTION("""COMPUTED_VALUE"""),798.939015794826)</f>
        <v>798.93901579482599</v>
      </c>
      <c r="G871" s="23">
        <f ca="1">IFERROR(__xludf.DUMMYFUNCTION("""COMPUTED_VALUE"""),788.957109159347)</f>
        <v>788.95710915934706</v>
      </c>
      <c r="H871" s="23">
        <f ca="1">IFERROR(__xludf.DUMMYFUNCTION("""COMPUTED_VALUE"""),870.316027046167)</f>
        <v>870.31602704616705</v>
      </c>
      <c r="I871" s="23">
        <f ca="1">IFERROR(__xludf.DUMMYFUNCTION("""COMPUTED_VALUE"""),818.024145349362)</f>
        <v>818.02414534936202</v>
      </c>
      <c r="J871" s="23">
        <f ca="1">IFERROR(__xludf.DUMMYFUNCTION("""COMPUTED_VALUE"""),805.986441425862)</f>
        <v>805.98644142586204</v>
      </c>
      <c r="K871" s="23">
        <f ca="1">IFERROR(__xludf.DUMMYFUNCTION("""COMPUTED_VALUE"""),893.943451614026)</f>
        <v>893.943451614026</v>
      </c>
      <c r="L871" s="23">
        <f ca="1">IFERROR(__xludf.DUMMYFUNCTION("""COMPUTED_VALUE"""),835.856818132048)</f>
        <v>835.85681813204803</v>
      </c>
      <c r="M871" s="23">
        <f ca="1">IFERROR(__xludf.DUMMYFUNCTION("""COMPUTED_VALUE"""),547.292086155513)</f>
        <v>547.29208615551295</v>
      </c>
      <c r="N871" s="23">
        <f ca="1">IFERROR(__xludf.DUMMYFUNCTION("""COMPUTED_VALUE"""),826.382830712516)</f>
        <v>826.38283071251601</v>
      </c>
      <c r="O871" s="23">
        <f ca="1">IFERROR(__xludf.DUMMYFUNCTION("""COMPUTED_VALUE"""),851.971301828564)</f>
        <v>851.97130182856404</v>
      </c>
      <c r="P871" s="23">
        <f ca="1">IFERROR(__xludf.DUMMYFUNCTION("""COMPUTED_VALUE"""),854.197484331301)</f>
        <v>854.19748433130098</v>
      </c>
      <c r="Q871" s="24">
        <f ca="1">IFERROR(__xludf.DUMMYFUNCTION("""COMPUTED_VALUE"""),866.309199297366)</f>
        <v>866.30919929736604</v>
      </c>
      <c r="R871" s="20"/>
    </row>
    <row r="872" spans="1:18" ht="13.2" hidden="1" outlineLevel="1" x14ac:dyDescent="0.25">
      <c r="A872" s="1"/>
      <c r="B872" s="21" t="str">
        <f ca="1">IFERROR(__xludf.DUMMYFUNCTION("""COMPUTED_VALUE"""),"Combustóleo")</f>
        <v>Combustóleo</v>
      </c>
      <c r="C872" s="22">
        <f ca="1">IFERROR(__xludf.DUMMYFUNCTION("""COMPUTED_VALUE"""),52.7583803502682)</f>
        <v>52.758380350268197</v>
      </c>
      <c r="D872" s="23">
        <f ca="1">IFERROR(__xludf.DUMMYFUNCTION("""COMPUTED_VALUE"""),42.9113715999626)</f>
        <v>42.9113715999626</v>
      </c>
      <c r="E872" s="23">
        <f ca="1">IFERROR(__xludf.DUMMYFUNCTION("""COMPUTED_VALUE"""),35.2428471171407)</f>
        <v>35.242847117140698</v>
      </c>
      <c r="F872" s="23">
        <f ca="1">IFERROR(__xludf.DUMMYFUNCTION("""COMPUTED_VALUE"""),28.3804221063834)</f>
        <v>28.380422106383399</v>
      </c>
      <c r="G872" s="23">
        <f ca="1">IFERROR(__xludf.DUMMYFUNCTION("""COMPUTED_VALUE"""),17.5887972068276)</f>
        <v>17.5887972068276</v>
      </c>
      <c r="H872" s="23">
        <f ca="1">IFERROR(__xludf.DUMMYFUNCTION("""COMPUTED_VALUE"""),23.463722721149)</f>
        <v>23.463722721149001</v>
      </c>
      <c r="I872" s="23">
        <f ca="1">IFERROR(__xludf.DUMMYFUNCTION("""COMPUTED_VALUE"""),28.2194288158058)</f>
        <v>28.219428815805799</v>
      </c>
      <c r="J872" s="23">
        <f ca="1">IFERROR(__xludf.DUMMYFUNCTION("""COMPUTED_VALUE"""),28.4641560460879)</f>
        <v>28.464156046087901</v>
      </c>
      <c r="K872" s="23">
        <f ca="1">IFERROR(__xludf.DUMMYFUNCTION("""COMPUTED_VALUE"""),11.4867858830494)</f>
        <v>11.4867858830494</v>
      </c>
      <c r="L872" s="23">
        <f ca="1">IFERROR(__xludf.DUMMYFUNCTION("""COMPUTED_VALUE"""),15.1112855873281)</f>
        <v>15.1112855873281</v>
      </c>
      <c r="M872" s="23">
        <f ca="1">IFERROR(__xludf.DUMMYFUNCTION("""COMPUTED_VALUE"""),14.301409718141)</f>
        <v>14.301409718141</v>
      </c>
      <c r="N872" s="23">
        <f ca="1">IFERROR(__xludf.DUMMYFUNCTION("""COMPUTED_VALUE"""),18.1503423773835)</f>
        <v>18.150342377383499</v>
      </c>
      <c r="O872" s="23">
        <f ca="1">IFERROR(__xludf.DUMMYFUNCTION("""COMPUTED_VALUE"""),17.6842118543055)</f>
        <v>17.684211854305499</v>
      </c>
      <c r="P872" s="23">
        <f ca="1">IFERROR(__xludf.DUMMYFUNCTION("""COMPUTED_VALUE"""),17.3948507391638)</f>
        <v>17.3948507391638</v>
      </c>
      <c r="Q872" s="24">
        <f ca="1">IFERROR(__xludf.DUMMYFUNCTION("""COMPUTED_VALUE"""),16.3031332572436)</f>
        <v>16.303133257243601</v>
      </c>
      <c r="R872" s="20"/>
    </row>
    <row r="873" spans="1:18" ht="13.2" hidden="1" outlineLevel="1" x14ac:dyDescent="0.25">
      <c r="A873" s="1"/>
      <c r="B873" s="21" t="str">
        <f ca="1">IFERROR(__xludf.DUMMYFUNCTION("""COMPUTED_VALUE"""),"Otros energéticos")</f>
        <v>Otros energéticos</v>
      </c>
      <c r="C873" s="22">
        <f ca="1">IFERROR(__xludf.DUMMYFUNCTION("""COMPUTED_VALUE"""),0)</f>
        <v>0</v>
      </c>
      <c r="D873" s="23">
        <f ca="1">IFERROR(__xludf.DUMMYFUNCTION("""COMPUTED_VALUE"""),0)</f>
        <v>0</v>
      </c>
      <c r="E873" s="23">
        <f ca="1">IFERROR(__xludf.DUMMYFUNCTION("""COMPUTED_VALUE"""),0)</f>
        <v>0</v>
      </c>
      <c r="F873" s="23">
        <f ca="1">IFERROR(__xludf.DUMMYFUNCTION("""COMPUTED_VALUE"""),0)</f>
        <v>0</v>
      </c>
      <c r="G873" s="23">
        <f ca="1">IFERROR(__xludf.DUMMYFUNCTION("""COMPUTED_VALUE"""),0)</f>
        <v>0</v>
      </c>
      <c r="H873" s="23">
        <f ca="1">IFERROR(__xludf.DUMMYFUNCTION("""COMPUTED_VALUE"""),0)</f>
        <v>0</v>
      </c>
      <c r="I873" s="23">
        <f ca="1">IFERROR(__xludf.DUMMYFUNCTION("""COMPUTED_VALUE"""),0)</f>
        <v>0</v>
      </c>
      <c r="J873" s="23">
        <f ca="1">IFERROR(__xludf.DUMMYFUNCTION("""COMPUTED_VALUE"""),0)</f>
        <v>0</v>
      </c>
      <c r="K873" s="23">
        <f ca="1">IFERROR(__xludf.DUMMYFUNCTION("""COMPUTED_VALUE"""),0)</f>
        <v>0</v>
      </c>
      <c r="L873" s="23">
        <f ca="1">IFERROR(__xludf.DUMMYFUNCTION("""COMPUTED_VALUE"""),0)</f>
        <v>0</v>
      </c>
      <c r="M873" s="23">
        <f ca="1">IFERROR(__xludf.DUMMYFUNCTION("""COMPUTED_VALUE"""),0)</f>
        <v>0</v>
      </c>
      <c r="N873" s="23">
        <f ca="1">IFERROR(__xludf.DUMMYFUNCTION("""COMPUTED_VALUE"""),0)</f>
        <v>0</v>
      </c>
      <c r="O873" s="23">
        <f ca="1">IFERROR(__xludf.DUMMYFUNCTION("""COMPUTED_VALUE"""),0)</f>
        <v>0</v>
      </c>
      <c r="P873" s="23">
        <f ca="1">IFERROR(__xludf.DUMMYFUNCTION("""COMPUTED_VALUE"""),0)</f>
        <v>0</v>
      </c>
      <c r="Q873" s="24">
        <f ca="1">IFERROR(__xludf.DUMMYFUNCTION("""COMPUTED_VALUE"""),0)</f>
        <v>0</v>
      </c>
      <c r="R873" s="20"/>
    </row>
    <row r="874" spans="1:18" ht="13.2" hidden="1" outlineLevel="1" x14ac:dyDescent="0.25">
      <c r="A874" s="1"/>
      <c r="B874" s="21" t="str">
        <f ca="1">IFERROR(__xludf.DUMMYFUNCTION("""COMPUTED_VALUE"""),"Gas natural seco")</f>
        <v>Gas natural seco</v>
      </c>
      <c r="C874" s="22">
        <f ca="1">IFERROR(__xludf.DUMMYFUNCTION("""COMPUTED_VALUE"""),472.766202879929)</f>
        <v>472.76620287992898</v>
      </c>
      <c r="D874" s="23">
        <f ca="1">IFERROR(__xludf.DUMMYFUNCTION("""COMPUTED_VALUE"""),481.275648928121)</f>
        <v>481.27564892812097</v>
      </c>
      <c r="E874" s="23">
        <f ca="1">IFERROR(__xludf.DUMMYFUNCTION("""COMPUTED_VALUE"""),491.506777483443)</f>
        <v>491.50677748344299</v>
      </c>
      <c r="F874" s="23">
        <f ca="1">IFERROR(__xludf.DUMMYFUNCTION("""COMPUTED_VALUE"""),555.978043915728)</f>
        <v>555.97804391572799</v>
      </c>
      <c r="G874" s="23">
        <f ca="1">IFERROR(__xludf.DUMMYFUNCTION("""COMPUTED_VALUE"""),658.0633)</f>
        <v>658.06330000000003</v>
      </c>
      <c r="H874" s="23">
        <f ca="1">IFERROR(__xludf.DUMMYFUNCTION("""COMPUTED_VALUE"""),660.9705)</f>
        <v>660.97050000000002</v>
      </c>
      <c r="I874" s="23">
        <f ca="1">IFERROR(__xludf.DUMMYFUNCTION("""COMPUTED_VALUE"""),702.2433)</f>
        <v>702.24329999999998</v>
      </c>
      <c r="J874" s="23">
        <f ca="1">IFERROR(__xludf.DUMMYFUNCTION("""COMPUTED_VALUE"""),700.812147843942)</f>
        <v>700.81214784394194</v>
      </c>
      <c r="K874" s="23">
        <f ca="1">IFERROR(__xludf.DUMMYFUNCTION("""COMPUTED_VALUE"""),653.399982591093)</f>
        <v>653.39998259109302</v>
      </c>
      <c r="L874" s="23">
        <f ca="1">IFERROR(__xludf.DUMMYFUNCTION("""COMPUTED_VALUE"""),651.128250635506)</f>
        <v>651.12825063550599</v>
      </c>
      <c r="M874" s="23">
        <f ca="1">IFERROR(__xludf.DUMMYFUNCTION("""COMPUTED_VALUE"""),521.903256488549)</f>
        <v>521.903256488549</v>
      </c>
      <c r="N874" s="23">
        <f ca="1">IFERROR(__xludf.DUMMYFUNCTION("""COMPUTED_VALUE"""),559.01467817576)</f>
        <v>559.01467817575997</v>
      </c>
      <c r="O874" s="23">
        <f ca="1">IFERROR(__xludf.DUMMYFUNCTION("""COMPUTED_VALUE"""),653.523281559888)</f>
        <v>653.52328155988801</v>
      </c>
      <c r="P874" s="23">
        <f ca="1">IFERROR(__xludf.DUMMYFUNCTION("""COMPUTED_VALUE"""),697.819425207756)</f>
        <v>697.81942520775601</v>
      </c>
      <c r="Q874" s="24">
        <f ca="1">IFERROR(__xludf.DUMMYFUNCTION("""COMPUTED_VALUE"""),683.519059634551)</f>
        <v>683.51905963455101</v>
      </c>
      <c r="R874" s="20"/>
    </row>
    <row r="875" spans="1:18" ht="13.2" hidden="1" outlineLevel="1" x14ac:dyDescent="0.25">
      <c r="A875" s="1"/>
      <c r="B875" s="25" t="str">
        <f ca="1">IFERROR(__xludf.DUMMYFUNCTION("""COMPUTED_VALUE"""),"Energía eléctrica")</f>
        <v>Energía eléctrica</v>
      </c>
      <c r="C875" s="26">
        <f ca="1">IFERROR(__xludf.DUMMYFUNCTION("""COMPUTED_VALUE"""),826.183671846335)</f>
        <v>826.18367184633496</v>
      </c>
      <c r="D875" s="27">
        <f ca="1">IFERROR(__xludf.DUMMYFUNCTION("""COMPUTED_VALUE"""),845.752284130568)</f>
        <v>845.752284130568</v>
      </c>
      <c r="E875" s="27">
        <f ca="1">IFERROR(__xludf.DUMMYFUNCTION("""COMPUTED_VALUE"""),869.009684152221)</f>
        <v>869.00968415222098</v>
      </c>
      <c r="F875" s="27">
        <f ca="1">IFERROR(__xludf.DUMMYFUNCTION("""COMPUTED_VALUE"""),887.105735237356)</f>
        <v>887.10573523735604</v>
      </c>
      <c r="G875" s="27">
        <f ca="1">IFERROR(__xludf.DUMMYFUNCTION("""COMPUTED_VALUE"""),908.780285446274)</f>
        <v>908.78028544627398</v>
      </c>
      <c r="H875" s="27">
        <f ca="1">IFERROR(__xludf.DUMMYFUNCTION("""COMPUTED_VALUE"""),912.19306690443)</f>
        <v>912.19306690443</v>
      </c>
      <c r="I875" s="27">
        <f ca="1">IFERROR(__xludf.DUMMYFUNCTION("""COMPUTED_VALUE"""),930.628887416088)</f>
        <v>930.62888741608799</v>
      </c>
      <c r="J875" s="27">
        <f ca="1">IFERROR(__xludf.DUMMYFUNCTION("""COMPUTED_VALUE"""),962.02715472658)</f>
        <v>962.02715472657997</v>
      </c>
      <c r="K875" s="27">
        <f ca="1">IFERROR(__xludf.DUMMYFUNCTION("""COMPUTED_VALUE"""),1003.81332321082)</f>
        <v>1003.81332321082</v>
      </c>
      <c r="L875" s="27">
        <f ca="1">IFERROR(__xludf.DUMMYFUNCTION("""COMPUTED_VALUE"""),1044.0019187598)</f>
        <v>1044.0019187598</v>
      </c>
      <c r="M875" s="27">
        <f ca="1">IFERROR(__xludf.DUMMYFUNCTION("""COMPUTED_VALUE"""),1056.11546509719)</f>
        <v>1056.1154650971901</v>
      </c>
      <c r="N875" s="27">
        <f ca="1">IFERROR(__xludf.DUMMYFUNCTION("""COMPUTED_VALUE"""),1064.31224681825)</f>
        <v>1064.3122468182501</v>
      </c>
      <c r="O875" s="27">
        <f ca="1">IFERROR(__xludf.DUMMYFUNCTION("""COMPUTED_VALUE"""),1090.47491886942)</f>
        <v>1090.47491886942</v>
      </c>
      <c r="P875" s="27">
        <f ca="1">IFERROR(__xludf.DUMMYFUNCTION("""COMPUTED_VALUE"""),1124.0344355581)</f>
        <v>1124.0344355581001</v>
      </c>
      <c r="Q875" s="28">
        <f ca="1">IFERROR(__xludf.DUMMYFUNCTION("""COMPUTED_VALUE"""),1150.49501125544)</f>
        <v>1150.49501125544</v>
      </c>
      <c r="R875" s="20"/>
    </row>
    <row r="876" spans="1:18" ht="13.2" hidden="1" outlineLevel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0"/>
    </row>
    <row r="877" spans="1:18" ht="13.2" collapsed="1" x14ac:dyDescent="0.25">
      <c r="A877" s="29"/>
      <c r="B877" s="5" t="str">
        <f ca="1">IFERROR(__xludf.DUMMYFUNCTION("""COMPUTED_VALUE"""),"Con.Fin.Ene.Agr(e,a)")</f>
        <v>Con.Fin.Ene.Agr(e,a)</v>
      </c>
      <c r="C877" s="6" t="str">
        <f ca="1">IFERROR(__xludf.DUMMYFUNCTION("""COMPUTED_VALUE"""),"/+")</f>
        <v>/+</v>
      </c>
      <c r="D877" s="7" t="str">
        <f ca="1">IFERROR(__xludf.DUMMYFUNCTION("""COMPUTED_VALUE"""),"Agropecuario")</f>
        <v>Agropecuario</v>
      </c>
      <c r="E877" s="6" t="str">
        <f ca="1">IFERROR(__xludf.DUMMYFUNCTION("""COMPUTED_VALUE"""),"cbne")</f>
        <v>cbne</v>
      </c>
      <c r="F877" s="6" t="str">
        <f ca="1">IFERROR(__xludf.DUMMYFUNCTION("""COMPUTED_VALUE"""),"a")</f>
        <v>a</v>
      </c>
      <c r="G877" s="8" t="str">
        <f ca="1">IFERROR(__xludf.DUMMYFUNCTION("""COMPUTED_VALUE"""),"PJ")</f>
        <v>PJ</v>
      </c>
      <c r="H877" s="9"/>
      <c r="I877" s="1"/>
      <c r="J877" s="1"/>
      <c r="K877" s="1"/>
      <c r="L877" s="1"/>
      <c r="M877" s="1"/>
      <c r="N877" s="1"/>
      <c r="O877" s="1"/>
      <c r="P877" s="1"/>
      <c r="Q877" s="1"/>
      <c r="R877" s="10"/>
    </row>
    <row r="878" spans="1:18" ht="13.2" hidden="1" outlineLevel="1" x14ac:dyDescent="0.25">
      <c r="A878" s="1"/>
      <c r="B878" s="11"/>
      <c r="C878" s="12">
        <f ca="1">IFERROR(__xludf.DUMMYFUNCTION("""COMPUTED_VALUE"""),2010)</f>
        <v>2010</v>
      </c>
      <c r="D878" s="13">
        <f ca="1">IFERROR(__xludf.DUMMYFUNCTION("""COMPUTED_VALUE"""),2011)</f>
        <v>2011</v>
      </c>
      <c r="E878" s="13">
        <f ca="1">IFERROR(__xludf.DUMMYFUNCTION("""COMPUTED_VALUE"""),2012)</f>
        <v>2012</v>
      </c>
      <c r="F878" s="13">
        <f ca="1">IFERROR(__xludf.DUMMYFUNCTION("""COMPUTED_VALUE"""),2013)</f>
        <v>2013</v>
      </c>
      <c r="G878" s="13">
        <f ca="1">IFERROR(__xludf.DUMMYFUNCTION("""COMPUTED_VALUE"""),2014)</f>
        <v>2014</v>
      </c>
      <c r="H878" s="13">
        <f ca="1">IFERROR(__xludf.DUMMYFUNCTION("""COMPUTED_VALUE"""),2015)</f>
        <v>2015</v>
      </c>
      <c r="I878" s="13">
        <f ca="1">IFERROR(__xludf.DUMMYFUNCTION("""COMPUTED_VALUE"""),2016)</f>
        <v>2016</v>
      </c>
      <c r="J878" s="13">
        <f ca="1">IFERROR(__xludf.DUMMYFUNCTION("""COMPUTED_VALUE"""),2017)</f>
        <v>2017</v>
      </c>
      <c r="K878" s="13">
        <f ca="1">IFERROR(__xludf.DUMMYFUNCTION("""COMPUTED_VALUE"""),2018)</f>
        <v>2018</v>
      </c>
      <c r="L878" s="13">
        <f ca="1">IFERROR(__xludf.DUMMYFUNCTION("""COMPUTED_VALUE"""),2019)</f>
        <v>2019</v>
      </c>
      <c r="M878" s="13">
        <f ca="1">IFERROR(__xludf.DUMMYFUNCTION("""COMPUTED_VALUE"""),2020)</f>
        <v>2020</v>
      </c>
      <c r="N878" s="13">
        <f ca="1">IFERROR(__xludf.DUMMYFUNCTION("""COMPUTED_VALUE"""),2021)</f>
        <v>2021</v>
      </c>
      <c r="O878" s="13">
        <f ca="1">IFERROR(__xludf.DUMMYFUNCTION("""COMPUTED_VALUE"""),2022)</f>
        <v>2022</v>
      </c>
      <c r="P878" s="13">
        <f ca="1">IFERROR(__xludf.DUMMYFUNCTION("""COMPUTED_VALUE"""),2023)</f>
        <v>2023</v>
      </c>
      <c r="Q878" s="14">
        <f ca="1">IFERROR(__xludf.DUMMYFUNCTION("""COMPUTED_VALUE"""),2024)</f>
        <v>2024</v>
      </c>
      <c r="R878" s="15"/>
    </row>
    <row r="879" spans="1:18" ht="13.2" hidden="1" outlineLevel="1" x14ac:dyDescent="0.25">
      <c r="A879" s="1"/>
      <c r="B879" s="16" t="str">
        <f ca="1">IFERROR(__xludf.DUMMYFUNCTION("""COMPUTED_VALUE"""),"Carbón mineral")</f>
        <v>Carbón mineral</v>
      </c>
      <c r="C879" s="17">
        <f ca="1">IFERROR(__xludf.DUMMYFUNCTION("""COMPUTED_VALUE"""),0)</f>
        <v>0</v>
      </c>
      <c r="D879" s="18">
        <f ca="1">IFERROR(__xludf.DUMMYFUNCTION("""COMPUTED_VALUE"""),0)</f>
        <v>0</v>
      </c>
      <c r="E879" s="18">
        <f ca="1">IFERROR(__xludf.DUMMYFUNCTION("""COMPUTED_VALUE"""),0)</f>
        <v>0</v>
      </c>
      <c r="F879" s="18">
        <f ca="1">IFERROR(__xludf.DUMMYFUNCTION("""COMPUTED_VALUE"""),0)</f>
        <v>0</v>
      </c>
      <c r="G879" s="18">
        <f ca="1">IFERROR(__xludf.DUMMYFUNCTION("""COMPUTED_VALUE"""),0)</f>
        <v>0</v>
      </c>
      <c r="H879" s="18">
        <f ca="1">IFERROR(__xludf.DUMMYFUNCTION("""COMPUTED_VALUE"""),0)</f>
        <v>0</v>
      </c>
      <c r="I879" s="18">
        <f ca="1">IFERROR(__xludf.DUMMYFUNCTION("""COMPUTED_VALUE"""),0)</f>
        <v>0</v>
      </c>
      <c r="J879" s="18">
        <f ca="1">IFERROR(__xludf.DUMMYFUNCTION("""COMPUTED_VALUE"""),0)</f>
        <v>0</v>
      </c>
      <c r="K879" s="18">
        <f ca="1">IFERROR(__xludf.DUMMYFUNCTION("""COMPUTED_VALUE"""),0)</f>
        <v>0</v>
      </c>
      <c r="L879" s="18">
        <f ca="1">IFERROR(__xludf.DUMMYFUNCTION("""COMPUTED_VALUE"""),0)</f>
        <v>0</v>
      </c>
      <c r="M879" s="18">
        <f ca="1">IFERROR(__xludf.DUMMYFUNCTION("""COMPUTED_VALUE"""),0)</f>
        <v>0</v>
      </c>
      <c r="N879" s="18">
        <f ca="1">IFERROR(__xludf.DUMMYFUNCTION("""COMPUTED_VALUE"""),0)</f>
        <v>0</v>
      </c>
      <c r="O879" s="18">
        <f ca="1">IFERROR(__xludf.DUMMYFUNCTION("""COMPUTED_VALUE"""),0)</f>
        <v>0</v>
      </c>
      <c r="P879" s="18">
        <f ca="1">IFERROR(__xludf.DUMMYFUNCTION("""COMPUTED_VALUE"""),0)</f>
        <v>0</v>
      </c>
      <c r="Q879" s="19">
        <f ca="1">IFERROR(__xludf.DUMMYFUNCTION("""COMPUTED_VALUE"""),0)</f>
        <v>0</v>
      </c>
      <c r="R879" s="20"/>
    </row>
    <row r="880" spans="1:18" ht="13.2" hidden="1" outlineLevel="1" x14ac:dyDescent="0.25">
      <c r="A880" s="1"/>
      <c r="B880" s="21" t="str">
        <f ca="1">IFERROR(__xludf.DUMMYFUNCTION("""COMPUTED_VALUE"""),"Petróleo crudo")</f>
        <v>Petróleo crudo</v>
      </c>
      <c r="C880" s="22">
        <f ca="1">IFERROR(__xludf.DUMMYFUNCTION("""COMPUTED_VALUE"""),0)</f>
        <v>0</v>
      </c>
      <c r="D880" s="23">
        <f ca="1">IFERROR(__xludf.DUMMYFUNCTION("""COMPUTED_VALUE"""),0)</f>
        <v>0</v>
      </c>
      <c r="E880" s="23">
        <f ca="1">IFERROR(__xludf.DUMMYFUNCTION("""COMPUTED_VALUE"""),0)</f>
        <v>0</v>
      </c>
      <c r="F880" s="23">
        <f ca="1">IFERROR(__xludf.DUMMYFUNCTION("""COMPUTED_VALUE"""),0)</f>
        <v>0</v>
      </c>
      <c r="G880" s="23">
        <f ca="1">IFERROR(__xludf.DUMMYFUNCTION("""COMPUTED_VALUE"""),0)</f>
        <v>0</v>
      </c>
      <c r="H880" s="23">
        <f ca="1">IFERROR(__xludf.DUMMYFUNCTION("""COMPUTED_VALUE"""),0)</f>
        <v>0</v>
      </c>
      <c r="I880" s="23">
        <f ca="1">IFERROR(__xludf.DUMMYFUNCTION("""COMPUTED_VALUE"""),0)</f>
        <v>0</v>
      </c>
      <c r="J880" s="23">
        <f ca="1">IFERROR(__xludf.DUMMYFUNCTION("""COMPUTED_VALUE"""),0)</f>
        <v>0</v>
      </c>
      <c r="K880" s="23">
        <f ca="1">IFERROR(__xludf.DUMMYFUNCTION("""COMPUTED_VALUE"""),0)</f>
        <v>0</v>
      </c>
      <c r="L880" s="23">
        <f ca="1">IFERROR(__xludf.DUMMYFUNCTION("""COMPUTED_VALUE"""),0)</f>
        <v>0</v>
      </c>
      <c r="M880" s="23">
        <f ca="1">IFERROR(__xludf.DUMMYFUNCTION("""COMPUTED_VALUE"""),0)</f>
        <v>0</v>
      </c>
      <c r="N880" s="23">
        <f ca="1">IFERROR(__xludf.DUMMYFUNCTION("""COMPUTED_VALUE"""),0)</f>
        <v>0</v>
      </c>
      <c r="O880" s="23">
        <f ca="1">IFERROR(__xludf.DUMMYFUNCTION("""COMPUTED_VALUE"""),0)</f>
        <v>0</v>
      </c>
      <c r="P880" s="23">
        <f ca="1">IFERROR(__xludf.DUMMYFUNCTION("""COMPUTED_VALUE"""),0)</f>
        <v>0</v>
      </c>
      <c r="Q880" s="24">
        <f ca="1">IFERROR(__xludf.DUMMYFUNCTION("""COMPUTED_VALUE"""),0)</f>
        <v>0</v>
      </c>
      <c r="R880" s="20"/>
    </row>
    <row r="881" spans="1:18" ht="13.2" hidden="1" outlineLevel="1" x14ac:dyDescent="0.25">
      <c r="A881" s="1"/>
      <c r="B881" s="21" t="str">
        <f ca="1">IFERROR(__xludf.DUMMYFUNCTION("""COMPUTED_VALUE"""),"Condensados")</f>
        <v>Condensados</v>
      </c>
      <c r="C881" s="22">
        <f ca="1">IFERROR(__xludf.DUMMYFUNCTION("""COMPUTED_VALUE"""),0)</f>
        <v>0</v>
      </c>
      <c r="D881" s="23">
        <f ca="1">IFERROR(__xludf.DUMMYFUNCTION("""COMPUTED_VALUE"""),0)</f>
        <v>0</v>
      </c>
      <c r="E881" s="23">
        <f ca="1">IFERROR(__xludf.DUMMYFUNCTION("""COMPUTED_VALUE"""),0)</f>
        <v>0</v>
      </c>
      <c r="F881" s="23">
        <f ca="1">IFERROR(__xludf.DUMMYFUNCTION("""COMPUTED_VALUE"""),0)</f>
        <v>0</v>
      </c>
      <c r="G881" s="23">
        <f ca="1">IFERROR(__xludf.DUMMYFUNCTION("""COMPUTED_VALUE"""),0)</f>
        <v>0</v>
      </c>
      <c r="H881" s="23">
        <f ca="1">IFERROR(__xludf.DUMMYFUNCTION("""COMPUTED_VALUE"""),0)</f>
        <v>0</v>
      </c>
      <c r="I881" s="23">
        <f ca="1">IFERROR(__xludf.DUMMYFUNCTION("""COMPUTED_VALUE"""),0)</f>
        <v>0</v>
      </c>
      <c r="J881" s="23">
        <f ca="1">IFERROR(__xludf.DUMMYFUNCTION("""COMPUTED_VALUE"""),0)</f>
        <v>0</v>
      </c>
      <c r="K881" s="23">
        <f ca="1">IFERROR(__xludf.DUMMYFUNCTION("""COMPUTED_VALUE"""),0)</f>
        <v>0</v>
      </c>
      <c r="L881" s="23">
        <f ca="1">IFERROR(__xludf.DUMMYFUNCTION("""COMPUTED_VALUE"""),0)</f>
        <v>0</v>
      </c>
      <c r="M881" s="23">
        <f ca="1">IFERROR(__xludf.DUMMYFUNCTION("""COMPUTED_VALUE"""),0)</f>
        <v>0</v>
      </c>
      <c r="N881" s="23">
        <f ca="1">IFERROR(__xludf.DUMMYFUNCTION("""COMPUTED_VALUE"""),0)</f>
        <v>0</v>
      </c>
      <c r="O881" s="23">
        <f ca="1">IFERROR(__xludf.DUMMYFUNCTION("""COMPUTED_VALUE"""),0)</f>
        <v>0</v>
      </c>
      <c r="P881" s="23">
        <f ca="1">IFERROR(__xludf.DUMMYFUNCTION("""COMPUTED_VALUE"""),0)</f>
        <v>0</v>
      </c>
      <c r="Q881" s="24">
        <f ca="1">IFERROR(__xludf.DUMMYFUNCTION("""COMPUTED_VALUE"""),0)</f>
        <v>0</v>
      </c>
      <c r="R881" s="20"/>
    </row>
    <row r="882" spans="1:18" ht="13.2" hidden="1" outlineLevel="1" x14ac:dyDescent="0.25">
      <c r="A882" s="1"/>
      <c r="B882" s="21" t="str">
        <f ca="1">IFERROR(__xludf.DUMMYFUNCTION("""COMPUTED_VALUE"""),"Gas natural")</f>
        <v>Gas natural</v>
      </c>
      <c r="C882" s="22">
        <f ca="1">IFERROR(__xludf.DUMMYFUNCTION("""COMPUTED_VALUE"""),0)</f>
        <v>0</v>
      </c>
      <c r="D882" s="23">
        <f ca="1">IFERROR(__xludf.DUMMYFUNCTION("""COMPUTED_VALUE"""),0)</f>
        <v>0</v>
      </c>
      <c r="E882" s="23">
        <f ca="1">IFERROR(__xludf.DUMMYFUNCTION("""COMPUTED_VALUE"""),0)</f>
        <v>0</v>
      </c>
      <c r="F882" s="23">
        <f ca="1">IFERROR(__xludf.DUMMYFUNCTION("""COMPUTED_VALUE"""),0)</f>
        <v>0</v>
      </c>
      <c r="G882" s="23">
        <f ca="1">IFERROR(__xludf.DUMMYFUNCTION("""COMPUTED_VALUE"""),0)</f>
        <v>0</v>
      </c>
      <c r="H882" s="23">
        <f ca="1">IFERROR(__xludf.DUMMYFUNCTION("""COMPUTED_VALUE"""),0)</f>
        <v>0</v>
      </c>
      <c r="I882" s="23">
        <f ca="1">IFERROR(__xludf.DUMMYFUNCTION("""COMPUTED_VALUE"""),0)</f>
        <v>0</v>
      </c>
      <c r="J882" s="23">
        <f ca="1">IFERROR(__xludf.DUMMYFUNCTION("""COMPUTED_VALUE"""),0)</f>
        <v>0</v>
      </c>
      <c r="K882" s="23">
        <f ca="1">IFERROR(__xludf.DUMMYFUNCTION("""COMPUTED_VALUE"""),0)</f>
        <v>0</v>
      </c>
      <c r="L882" s="23">
        <f ca="1">IFERROR(__xludf.DUMMYFUNCTION("""COMPUTED_VALUE"""),0)</f>
        <v>0</v>
      </c>
      <c r="M882" s="23">
        <f ca="1">IFERROR(__xludf.DUMMYFUNCTION("""COMPUTED_VALUE"""),0)</f>
        <v>0</v>
      </c>
      <c r="N882" s="23">
        <f ca="1">IFERROR(__xludf.DUMMYFUNCTION("""COMPUTED_VALUE"""),0)</f>
        <v>0</v>
      </c>
      <c r="O882" s="23">
        <f ca="1">IFERROR(__xludf.DUMMYFUNCTION("""COMPUTED_VALUE"""),0)</f>
        <v>0</v>
      </c>
      <c r="P882" s="23">
        <f ca="1">IFERROR(__xludf.DUMMYFUNCTION("""COMPUTED_VALUE"""),0)</f>
        <v>0</v>
      </c>
      <c r="Q882" s="24">
        <f ca="1">IFERROR(__xludf.DUMMYFUNCTION("""COMPUTED_VALUE"""),0)</f>
        <v>0</v>
      </c>
      <c r="R882" s="20"/>
    </row>
    <row r="883" spans="1:18" ht="13.2" hidden="1" outlineLevel="1" x14ac:dyDescent="0.25">
      <c r="A883" s="1"/>
      <c r="B883" s="21" t="str">
        <f ca="1">IFERROR(__xludf.DUMMYFUNCTION("""COMPUTED_VALUE"""),"Energía Nuclear")</f>
        <v>Energía Nuclear</v>
      </c>
      <c r="C883" s="22">
        <f ca="1">IFERROR(__xludf.DUMMYFUNCTION("""COMPUTED_VALUE"""),0)</f>
        <v>0</v>
      </c>
      <c r="D883" s="23">
        <f ca="1">IFERROR(__xludf.DUMMYFUNCTION("""COMPUTED_VALUE"""),0)</f>
        <v>0</v>
      </c>
      <c r="E883" s="23">
        <f ca="1">IFERROR(__xludf.DUMMYFUNCTION("""COMPUTED_VALUE"""),0)</f>
        <v>0</v>
      </c>
      <c r="F883" s="23">
        <f ca="1">IFERROR(__xludf.DUMMYFUNCTION("""COMPUTED_VALUE"""),0)</f>
        <v>0</v>
      </c>
      <c r="G883" s="23">
        <f ca="1">IFERROR(__xludf.DUMMYFUNCTION("""COMPUTED_VALUE"""),0)</f>
        <v>0</v>
      </c>
      <c r="H883" s="23">
        <f ca="1">IFERROR(__xludf.DUMMYFUNCTION("""COMPUTED_VALUE"""),0)</f>
        <v>0</v>
      </c>
      <c r="I883" s="23">
        <f ca="1">IFERROR(__xludf.DUMMYFUNCTION("""COMPUTED_VALUE"""),0)</f>
        <v>0</v>
      </c>
      <c r="J883" s="23">
        <f ca="1">IFERROR(__xludf.DUMMYFUNCTION("""COMPUTED_VALUE"""),0)</f>
        <v>0</v>
      </c>
      <c r="K883" s="23">
        <f ca="1">IFERROR(__xludf.DUMMYFUNCTION("""COMPUTED_VALUE"""),0)</f>
        <v>0</v>
      </c>
      <c r="L883" s="23">
        <f ca="1">IFERROR(__xludf.DUMMYFUNCTION("""COMPUTED_VALUE"""),0)</f>
        <v>0</v>
      </c>
      <c r="M883" s="23">
        <f ca="1">IFERROR(__xludf.DUMMYFUNCTION("""COMPUTED_VALUE"""),0)</f>
        <v>0</v>
      </c>
      <c r="N883" s="23">
        <f ca="1">IFERROR(__xludf.DUMMYFUNCTION("""COMPUTED_VALUE"""),0)</f>
        <v>0</v>
      </c>
      <c r="O883" s="23">
        <f ca="1">IFERROR(__xludf.DUMMYFUNCTION("""COMPUTED_VALUE"""),0)</f>
        <v>0</v>
      </c>
      <c r="P883" s="23">
        <f ca="1">IFERROR(__xludf.DUMMYFUNCTION("""COMPUTED_VALUE"""),0)</f>
        <v>0</v>
      </c>
      <c r="Q883" s="24">
        <f ca="1">IFERROR(__xludf.DUMMYFUNCTION("""COMPUTED_VALUE"""),0)</f>
        <v>0</v>
      </c>
      <c r="R883" s="20"/>
    </row>
    <row r="884" spans="1:18" ht="13.2" hidden="1" outlineLevel="1" x14ac:dyDescent="0.25">
      <c r="A884" s="1"/>
      <c r="B884" s="21" t="str">
        <f ca="1">IFERROR(__xludf.DUMMYFUNCTION("""COMPUTED_VALUE"""),"Energia Hidraúlica")</f>
        <v>Energia Hidraúlica</v>
      </c>
      <c r="C884" s="22">
        <f ca="1">IFERROR(__xludf.DUMMYFUNCTION("""COMPUTED_VALUE"""),0)</f>
        <v>0</v>
      </c>
      <c r="D884" s="23">
        <f ca="1">IFERROR(__xludf.DUMMYFUNCTION("""COMPUTED_VALUE"""),0)</f>
        <v>0</v>
      </c>
      <c r="E884" s="23">
        <f ca="1">IFERROR(__xludf.DUMMYFUNCTION("""COMPUTED_VALUE"""),0)</f>
        <v>0</v>
      </c>
      <c r="F884" s="23">
        <f ca="1">IFERROR(__xludf.DUMMYFUNCTION("""COMPUTED_VALUE"""),0)</f>
        <v>0</v>
      </c>
      <c r="G884" s="23">
        <f ca="1">IFERROR(__xludf.DUMMYFUNCTION("""COMPUTED_VALUE"""),0)</f>
        <v>0</v>
      </c>
      <c r="H884" s="23">
        <f ca="1">IFERROR(__xludf.DUMMYFUNCTION("""COMPUTED_VALUE"""),0)</f>
        <v>0</v>
      </c>
      <c r="I884" s="23">
        <f ca="1">IFERROR(__xludf.DUMMYFUNCTION("""COMPUTED_VALUE"""),0)</f>
        <v>0</v>
      </c>
      <c r="J884" s="23">
        <f ca="1">IFERROR(__xludf.DUMMYFUNCTION("""COMPUTED_VALUE"""),0)</f>
        <v>0</v>
      </c>
      <c r="K884" s="23">
        <f ca="1">IFERROR(__xludf.DUMMYFUNCTION("""COMPUTED_VALUE"""),0)</f>
        <v>0</v>
      </c>
      <c r="L884" s="23">
        <f ca="1">IFERROR(__xludf.DUMMYFUNCTION("""COMPUTED_VALUE"""),0)</f>
        <v>0</v>
      </c>
      <c r="M884" s="23">
        <f ca="1">IFERROR(__xludf.DUMMYFUNCTION("""COMPUTED_VALUE"""),0)</f>
        <v>0</v>
      </c>
      <c r="N884" s="23">
        <f ca="1">IFERROR(__xludf.DUMMYFUNCTION("""COMPUTED_VALUE"""),0)</f>
        <v>0</v>
      </c>
      <c r="O884" s="23">
        <f ca="1">IFERROR(__xludf.DUMMYFUNCTION("""COMPUTED_VALUE"""),0)</f>
        <v>0</v>
      </c>
      <c r="P884" s="23">
        <f ca="1">IFERROR(__xludf.DUMMYFUNCTION("""COMPUTED_VALUE"""),0)</f>
        <v>0</v>
      </c>
      <c r="Q884" s="24">
        <f ca="1">IFERROR(__xludf.DUMMYFUNCTION("""COMPUTED_VALUE"""),0)</f>
        <v>0</v>
      </c>
      <c r="R884" s="20"/>
    </row>
    <row r="885" spans="1:18" ht="13.2" hidden="1" outlineLevel="1" x14ac:dyDescent="0.25">
      <c r="A885" s="1"/>
      <c r="B885" s="21" t="str">
        <f ca="1">IFERROR(__xludf.DUMMYFUNCTION("""COMPUTED_VALUE"""),"Geoenergía")</f>
        <v>Geoenergía</v>
      </c>
      <c r="C885" s="22">
        <f ca="1">IFERROR(__xludf.DUMMYFUNCTION("""COMPUTED_VALUE"""),0)</f>
        <v>0</v>
      </c>
      <c r="D885" s="23">
        <f ca="1">IFERROR(__xludf.DUMMYFUNCTION("""COMPUTED_VALUE"""),0)</f>
        <v>0</v>
      </c>
      <c r="E885" s="23">
        <f ca="1">IFERROR(__xludf.DUMMYFUNCTION("""COMPUTED_VALUE"""),0)</f>
        <v>0</v>
      </c>
      <c r="F885" s="23">
        <f ca="1">IFERROR(__xludf.DUMMYFUNCTION("""COMPUTED_VALUE"""),0)</f>
        <v>0</v>
      </c>
      <c r="G885" s="23">
        <f ca="1">IFERROR(__xludf.DUMMYFUNCTION("""COMPUTED_VALUE"""),0)</f>
        <v>0</v>
      </c>
      <c r="H885" s="23">
        <f ca="1">IFERROR(__xludf.DUMMYFUNCTION("""COMPUTED_VALUE"""),0)</f>
        <v>0</v>
      </c>
      <c r="I885" s="23">
        <f ca="1">IFERROR(__xludf.DUMMYFUNCTION("""COMPUTED_VALUE"""),0)</f>
        <v>0</v>
      </c>
      <c r="J885" s="23">
        <f ca="1">IFERROR(__xludf.DUMMYFUNCTION("""COMPUTED_VALUE"""),0)</f>
        <v>0</v>
      </c>
      <c r="K885" s="23">
        <f ca="1">IFERROR(__xludf.DUMMYFUNCTION("""COMPUTED_VALUE"""),0)</f>
        <v>0</v>
      </c>
      <c r="L885" s="23">
        <f ca="1">IFERROR(__xludf.DUMMYFUNCTION("""COMPUTED_VALUE"""),0)</f>
        <v>0</v>
      </c>
      <c r="M885" s="23">
        <f ca="1">IFERROR(__xludf.DUMMYFUNCTION("""COMPUTED_VALUE"""),0)</f>
        <v>0</v>
      </c>
      <c r="N885" s="23">
        <f ca="1">IFERROR(__xludf.DUMMYFUNCTION("""COMPUTED_VALUE"""),0)</f>
        <v>0</v>
      </c>
      <c r="O885" s="23">
        <f ca="1">IFERROR(__xludf.DUMMYFUNCTION("""COMPUTED_VALUE"""),0)</f>
        <v>0</v>
      </c>
      <c r="P885" s="23">
        <f ca="1">IFERROR(__xludf.DUMMYFUNCTION("""COMPUTED_VALUE"""),0)</f>
        <v>0</v>
      </c>
      <c r="Q885" s="24">
        <f ca="1">IFERROR(__xludf.DUMMYFUNCTION("""COMPUTED_VALUE"""),0)</f>
        <v>0</v>
      </c>
      <c r="R885" s="20"/>
    </row>
    <row r="886" spans="1:18" ht="13.2" hidden="1" outlineLevel="1" x14ac:dyDescent="0.25">
      <c r="A886" s="1"/>
      <c r="B886" s="21" t="str">
        <f ca="1">IFERROR(__xludf.DUMMYFUNCTION("""COMPUTED_VALUE"""),"Energía solar")</f>
        <v>Energía solar</v>
      </c>
      <c r="C886" s="22">
        <f ca="1">IFERROR(__xludf.DUMMYFUNCTION("""COMPUTED_VALUE"""),0)</f>
        <v>0</v>
      </c>
      <c r="D886" s="23">
        <f ca="1">IFERROR(__xludf.DUMMYFUNCTION("""COMPUTED_VALUE"""),0)</f>
        <v>0</v>
      </c>
      <c r="E886" s="23">
        <f ca="1">IFERROR(__xludf.DUMMYFUNCTION("""COMPUTED_VALUE"""),0)</f>
        <v>0</v>
      </c>
      <c r="F886" s="23">
        <f ca="1">IFERROR(__xludf.DUMMYFUNCTION("""COMPUTED_VALUE"""),0)</f>
        <v>0</v>
      </c>
      <c r="G886" s="23">
        <f ca="1">IFERROR(__xludf.DUMMYFUNCTION("""COMPUTED_VALUE"""),0)</f>
        <v>0</v>
      </c>
      <c r="H886" s="23">
        <f ca="1">IFERROR(__xludf.DUMMYFUNCTION("""COMPUTED_VALUE"""),0)</f>
        <v>0</v>
      </c>
      <c r="I886" s="23">
        <f ca="1">IFERROR(__xludf.DUMMYFUNCTION("""COMPUTED_VALUE"""),0)</f>
        <v>0</v>
      </c>
      <c r="J886" s="23">
        <f ca="1">IFERROR(__xludf.DUMMYFUNCTION("""COMPUTED_VALUE"""),0)</f>
        <v>0</v>
      </c>
      <c r="K886" s="23">
        <f ca="1">IFERROR(__xludf.DUMMYFUNCTION("""COMPUTED_VALUE"""),0)</f>
        <v>0</v>
      </c>
      <c r="L886" s="23">
        <f ca="1">IFERROR(__xludf.DUMMYFUNCTION("""COMPUTED_VALUE"""),0)</f>
        <v>0</v>
      </c>
      <c r="M886" s="23">
        <f ca="1">IFERROR(__xludf.DUMMYFUNCTION("""COMPUTED_VALUE"""),0)</f>
        <v>0</v>
      </c>
      <c r="N886" s="23">
        <f ca="1">IFERROR(__xludf.DUMMYFUNCTION("""COMPUTED_VALUE"""),0)</f>
        <v>0</v>
      </c>
      <c r="O886" s="23">
        <f ca="1">IFERROR(__xludf.DUMMYFUNCTION("""COMPUTED_VALUE"""),0)</f>
        <v>0</v>
      </c>
      <c r="P886" s="23">
        <f ca="1">IFERROR(__xludf.DUMMYFUNCTION("""COMPUTED_VALUE"""),0)</f>
        <v>0</v>
      </c>
      <c r="Q886" s="24">
        <f ca="1">IFERROR(__xludf.DUMMYFUNCTION("""COMPUTED_VALUE"""),0)</f>
        <v>0</v>
      </c>
      <c r="R886" s="20"/>
    </row>
    <row r="887" spans="1:18" ht="13.2" hidden="1" outlineLevel="1" x14ac:dyDescent="0.25">
      <c r="A887" s="1"/>
      <c r="B887" s="21" t="str">
        <f ca="1">IFERROR(__xludf.DUMMYFUNCTION("""COMPUTED_VALUE"""),"Energía eólica")</f>
        <v>Energía eólica</v>
      </c>
      <c r="C887" s="22">
        <f ca="1">IFERROR(__xludf.DUMMYFUNCTION("""COMPUTED_VALUE"""),0)</f>
        <v>0</v>
      </c>
      <c r="D887" s="23">
        <f ca="1">IFERROR(__xludf.DUMMYFUNCTION("""COMPUTED_VALUE"""),0)</f>
        <v>0</v>
      </c>
      <c r="E887" s="23">
        <f ca="1">IFERROR(__xludf.DUMMYFUNCTION("""COMPUTED_VALUE"""),0)</f>
        <v>0</v>
      </c>
      <c r="F887" s="23">
        <f ca="1">IFERROR(__xludf.DUMMYFUNCTION("""COMPUTED_VALUE"""),0)</f>
        <v>0</v>
      </c>
      <c r="G887" s="23">
        <f ca="1">IFERROR(__xludf.DUMMYFUNCTION("""COMPUTED_VALUE"""),0)</f>
        <v>0</v>
      </c>
      <c r="H887" s="23">
        <f ca="1">IFERROR(__xludf.DUMMYFUNCTION("""COMPUTED_VALUE"""),0)</f>
        <v>0</v>
      </c>
      <c r="I887" s="23">
        <f ca="1">IFERROR(__xludf.DUMMYFUNCTION("""COMPUTED_VALUE"""),0)</f>
        <v>0</v>
      </c>
      <c r="J887" s="23">
        <f ca="1">IFERROR(__xludf.DUMMYFUNCTION("""COMPUTED_VALUE"""),0)</f>
        <v>0</v>
      </c>
      <c r="K887" s="23">
        <f ca="1">IFERROR(__xludf.DUMMYFUNCTION("""COMPUTED_VALUE"""),0)</f>
        <v>0</v>
      </c>
      <c r="L887" s="23">
        <f ca="1">IFERROR(__xludf.DUMMYFUNCTION("""COMPUTED_VALUE"""),0)</f>
        <v>0</v>
      </c>
      <c r="M887" s="23">
        <f ca="1">IFERROR(__xludf.DUMMYFUNCTION("""COMPUTED_VALUE"""),0)</f>
        <v>0</v>
      </c>
      <c r="N887" s="23">
        <f ca="1">IFERROR(__xludf.DUMMYFUNCTION("""COMPUTED_VALUE"""),0)</f>
        <v>0</v>
      </c>
      <c r="O887" s="23">
        <f ca="1">IFERROR(__xludf.DUMMYFUNCTION("""COMPUTED_VALUE"""),0)</f>
        <v>0</v>
      </c>
      <c r="P887" s="23">
        <f ca="1">IFERROR(__xludf.DUMMYFUNCTION("""COMPUTED_VALUE"""),0)</f>
        <v>0</v>
      </c>
      <c r="Q887" s="24">
        <f ca="1">IFERROR(__xludf.DUMMYFUNCTION("""COMPUTED_VALUE"""),0)</f>
        <v>0</v>
      </c>
      <c r="R887" s="20"/>
    </row>
    <row r="888" spans="1:18" ht="13.2" hidden="1" outlineLevel="1" x14ac:dyDescent="0.25">
      <c r="A888" s="1"/>
      <c r="B888" s="21" t="str">
        <f ca="1">IFERROR(__xludf.DUMMYFUNCTION("""COMPUTED_VALUE"""),"Bagazo de caña")</f>
        <v>Bagazo de caña</v>
      </c>
      <c r="C888" s="22">
        <f ca="1">IFERROR(__xludf.DUMMYFUNCTION("""COMPUTED_VALUE"""),0)</f>
        <v>0</v>
      </c>
      <c r="D888" s="23">
        <f ca="1">IFERROR(__xludf.DUMMYFUNCTION("""COMPUTED_VALUE"""),0)</f>
        <v>0</v>
      </c>
      <c r="E888" s="23">
        <f ca="1">IFERROR(__xludf.DUMMYFUNCTION("""COMPUTED_VALUE"""),0)</f>
        <v>0</v>
      </c>
      <c r="F888" s="23">
        <f ca="1">IFERROR(__xludf.DUMMYFUNCTION("""COMPUTED_VALUE"""),0)</f>
        <v>0</v>
      </c>
      <c r="G888" s="23">
        <f ca="1">IFERROR(__xludf.DUMMYFUNCTION("""COMPUTED_VALUE"""),0)</f>
        <v>0</v>
      </c>
      <c r="H888" s="23">
        <f ca="1">IFERROR(__xludf.DUMMYFUNCTION("""COMPUTED_VALUE"""),0)</f>
        <v>0</v>
      </c>
      <c r="I888" s="23">
        <f ca="1">IFERROR(__xludf.DUMMYFUNCTION("""COMPUTED_VALUE"""),0)</f>
        <v>0</v>
      </c>
      <c r="J888" s="23">
        <f ca="1">IFERROR(__xludf.DUMMYFUNCTION("""COMPUTED_VALUE"""),0)</f>
        <v>0</v>
      </c>
      <c r="K888" s="23">
        <f ca="1">IFERROR(__xludf.DUMMYFUNCTION("""COMPUTED_VALUE"""),0)</f>
        <v>0</v>
      </c>
      <c r="L888" s="23">
        <f ca="1">IFERROR(__xludf.DUMMYFUNCTION("""COMPUTED_VALUE"""),0)</f>
        <v>0</v>
      </c>
      <c r="M888" s="23">
        <f ca="1">IFERROR(__xludf.DUMMYFUNCTION("""COMPUTED_VALUE"""),0)</f>
        <v>0</v>
      </c>
      <c r="N888" s="23">
        <f ca="1">IFERROR(__xludf.DUMMYFUNCTION("""COMPUTED_VALUE"""),0)</f>
        <v>0</v>
      </c>
      <c r="O888" s="23">
        <f ca="1">IFERROR(__xludf.DUMMYFUNCTION("""COMPUTED_VALUE"""),0)</f>
        <v>0</v>
      </c>
      <c r="P888" s="23">
        <f ca="1">IFERROR(__xludf.DUMMYFUNCTION("""COMPUTED_VALUE"""),0)</f>
        <v>0</v>
      </c>
      <c r="Q888" s="24">
        <f ca="1">IFERROR(__xludf.DUMMYFUNCTION("""COMPUTED_VALUE"""),0)</f>
        <v>0</v>
      </c>
      <c r="R888" s="20"/>
    </row>
    <row r="889" spans="1:18" ht="13.2" hidden="1" outlineLevel="1" x14ac:dyDescent="0.25">
      <c r="A889" s="1"/>
      <c r="B889" s="21" t="str">
        <f ca="1">IFERROR(__xludf.DUMMYFUNCTION("""COMPUTED_VALUE"""),"Leña")</f>
        <v>Leña</v>
      </c>
      <c r="C889" s="22">
        <f ca="1">IFERROR(__xludf.DUMMYFUNCTION("""COMPUTED_VALUE"""),0)</f>
        <v>0</v>
      </c>
      <c r="D889" s="23">
        <f ca="1">IFERROR(__xludf.DUMMYFUNCTION("""COMPUTED_VALUE"""),0)</f>
        <v>0</v>
      </c>
      <c r="E889" s="23">
        <f ca="1">IFERROR(__xludf.DUMMYFUNCTION("""COMPUTED_VALUE"""),0)</f>
        <v>0</v>
      </c>
      <c r="F889" s="23">
        <f ca="1">IFERROR(__xludf.DUMMYFUNCTION("""COMPUTED_VALUE"""),0)</f>
        <v>0</v>
      </c>
      <c r="G889" s="23">
        <f ca="1">IFERROR(__xludf.DUMMYFUNCTION("""COMPUTED_VALUE"""),0)</f>
        <v>0</v>
      </c>
      <c r="H889" s="23">
        <f ca="1">IFERROR(__xludf.DUMMYFUNCTION("""COMPUTED_VALUE"""),0)</f>
        <v>0</v>
      </c>
      <c r="I889" s="23">
        <f ca="1">IFERROR(__xludf.DUMMYFUNCTION("""COMPUTED_VALUE"""),0)</f>
        <v>0</v>
      </c>
      <c r="J889" s="23">
        <f ca="1">IFERROR(__xludf.DUMMYFUNCTION("""COMPUTED_VALUE"""),0)</f>
        <v>0</v>
      </c>
      <c r="K889" s="23">
        <f ca="1">IFERROR(__xludf.DUMMYFUNCTION("""COMPUTED_VALUE"""),0)</f>
        <v>0</v>
      </c>
      <c r="L889" s="23">
        <f ca="1">IFERROR(__xludf.DUMMYFUNCTION("""COMPUTED_VALUE"""),0)</f>
        <v>0</v>
      </c>
      <c r="M889" s="23">
        <f ca="1">IFERROR(__xludf.DUMMYFUNCTION("""COMPUTED_VALUE"""),0)</f>
        <v>0</v>
      </c>
      <c r="N889" s="23">
        <f ca="1">IFERROR(__xludf.DUMMYFUNCTION("""COMPUTED_VALUE"""),0)</f>
        <v>0</v>
      </c>
      <c r="O889" s="23">
        <f ca="1">IFERROR(__xludf.DUMMYFUNCTION("""COMPUTED_VALUE"""),0)</f>
        <v>0</v>
      </c>
      <c r="P889" s="23">
        <f ca="1">IFERROR(__xludf.DUMMYFUNCTION("""COMPUTED_VALUE"""),0)</f>
        <v>0</v>
      </c>
      <c r="Q889" s="24">
        <f ca="1">IFERROR(__xludf.DUMMYFUNCTION("""COMPUTED_VALUE"""),0)</f>
        <v>0</v>
      </c>
      <c r="R889" s="20"/>
    </row>
    <row r="890" spans="1:18" ht="13.2" hidden="1" outlineLevel="1" x14ac:dyDescent="0.25">
      <c r="A890" s="1"/>
      <c r="B890" s="21" t="str">
        <f ca="1">IFERROR(__xludf.DUMMYFUNCTION("""COMPUTED_VALUE"""),"Biogás")</f>
        <v>Biogás</v>
      </c>
      <c r="C890" s="22">
        <f ca="1">IFERROR(__xludf.DUMMYFUNCTION("""COMPUTED_VALUE"""),0)</f>
        <v>0</v>
      </c>
      <c r="D890" s="23">
        <f ca="1">IFERROR(__xludf.DUMMYFUNCTION("""COMPUTED_VALUE"""),0)</f>
        <v>0</v>
      </c>
      <c r="E890" s="23">
        <f ca="1">IFERROR(__xludf.DUMMYFUNCTION("""COMPUTED_VALUE"""),0)</f>
        <v>0</v>
      </c>
      <c r="F890" s="23">
        <f ca="1">IFERROR(__xludf.DUMMYFUNCTION("""COMPUTED_VALUE"""),0)</f>
        <v>0</v>
      </c>
      <c r="G890" s="23">
        <f ca="1">IFERROR(__xludf.DUMMYFUNCTION("""COMPUTED_VALUE"""),0)</f>
        <v>0</v>
      </c>
      <c r="H890" s="23">
        <f ca="1">IFERROR(__xludf.DUMMYFUNCTION("""COMPUTED_VALUE"""),0)</f>
        <v>0</v>
      </c>
      <c r="I890" s="23">
        <f ca="1">IFERROR(__xludf.DUMMYFUNCTION("""COMPUTED_VALUE"""),0)</f>
        <v>0</v>
      </c>
      <c r="J890" s="23">
        <f ca="1">IFERROR(__xludf.DUMMYFUNCTION("""COMPUTED_VALUE"""),0)</f>
        <v>0</v>
      </c>
      <c r="K890" s="23">
        <f ca="1">IFERROR(__xludf.DUMMYFUNCTION("""COMPUTED_VALUE"""),0)</f>
        <v>0</v>
      </c>
      <c r="L890" s="23">
        <f ca="1">IFERROR(__xludf.DUMMYFUNCTION("""COMPUTED_VALUE"""),0)</f>
        <v>0</v>
      </c>
      <c r="M890" s="23">
        <f ca="1">IFERROR(__xludf.DUMMYFUNCTION("""COMPUTED_VALUE"""),0)</f>
        <v>0</v>
      </c>
      <c r="N890" s="23">
        <f ca="1">IFERROR(__xludf.DUMMYFUNCTION("""COMPUTED_VALUE"""),0)</f>
        <v>0</v>
      </c>
      <c r="O890" s="23">
        <f ca="1">IFERROR(__xludf.DUMMYFUNCTION("""COMPUTED_VALUE"""),0)</f>
        <v>0</v>
      </c>
      <c r="P890" s="23">
        <f ca="1">IFERROR(__xludf.DUMMYFUNCTION("""COMPUTED_VALUE"""),0)</f>
        <v>0</v>
      </c>
      <c r="Q890" s="24">
        <f ca="1">IFERROR(__xludf.DUMMYFUNCTION("""COMPUTED_VALUE"""),0)</f>
        <v>0</v>
      </c>
      <c r="R890" s="20"/>
    </row>
    <row r="891" spans="1:18" ht="13.2" hidden="1" outlineLevel="1" x14ac:dyDescent="0.25">
      <c r="A891" s="1"/>
      <c r="B891" s="21" t="str">
        <f ca="1">IFERROR(__xludf.DUMMYFUNCTION("""COMPUTED_VALUE"""),"Coque de carbón")</f>
        <v>Coque de carbón</v>
      </c>
      <c r="C891" s="22">
        <f ca="1">IFERROR(__xludf.DUMMYFUNCTION("""COMPUTED_VALUE"""),0)</f>
        <v>0</v>
      </c>
      <c r="D891" s="23">
        <f ca="1">IFERROR(__xludf.DUMMYFUNCTION("""COMPUTED_VALUE"""),0)</f>
        <v>0</v>
      </c>
      <c r="E891" s="23">
        <f ca="1">IFERROR(__xludf.DUMMYFUNCTION("""COMPUTED_VALUE"""),0)</f>
        <v>0</v>
      </c>
      <c r="F891" s="23">
        <f ca="1">IFERROR(__xludf.DUMMYFUNCTION("""COMPUTED_VALUE"""),0)</f>
        <v>0</v>
      </c>
      <c r="G891" s="23">
        <f ca="1">IFERROR(__xludf.DUMMYFUNCTION("""COMPUTED_VALUE"""),0)</f>
        <v>0</v>
      </c>
      <c r="H891" s="23">
        <f ca="1">IFERROR(__xludf.DUMMYFUNCTION("""COMPUTED_VALUE"""),0)</f>
        <v>0</v>
      </c>
      <c r="I891" s="23">
        <f ca="1">IFERROR(__xludf.DUMMYFUNCTION("""COMPUTED_VALUE"""),0)</f>
        <v>0</v>
      </c>
      <c r="J891" s="23">
        <f ca="1">IFERROR(__xludf.DUMMYFUNCTION("""COMPUTED_VALUE"""),0)</f>
        <v>0</v>
      </c>
      <c r="K891" s="23">
        <f ca="1">IFERROR(__xludf.DUMMYFUNCTION("""COMPUTED_VALUE"""),0)</f>
        <v>0</v>
      </c>
      <c r="L891" s="23">
        <f ca="1">IFERROR(__xludf.DUMMYFUNCTION("""COMPUTED_VALUE"""),0)</f>
        <v>0</v>
      </c>
      <c r="M891" s="23">
        <f ca="1">IFERROR(__xludf.DUMMYFUNCTION("""COMPUTED_VALUE"""),0)</f>
        <v>0</v>
      </c>
      <c r="N891" s="23">
        <f ca="1">IFERROR(__xludf.DUMMYFUNCTION("""COMPUTED_VALUE"""),0)</f>
        <v>0</v>
      </c>
      <c r="O891" s="23">
        <f ca="1">IFERROR(__xludf.DUMMYFUNCTION("""COMPUTED_VALUE"""),0)</f>
        <v>0</v>
      </c>
      <c r="P891" s="23">
        <f ca="1">IFERROR(__xludf.DUMMYFUNCTION("""COMPUTED_VALUE"""),0)</f>
        <v>0</v>
      </c>
      <c r="Q891" s="24">
        <f ca="1">IFERROR(__xludf.DUMMYFUNCTION("""COMPUTED_VALUE"""),0)</f>
        <v>0</v>
      </c>
      <c r="R891" s="20"/>
    </row>
    <row r="892" spans="1:18" ht="13.2" hidden="1" outlineLevel="1" x14ac:dyDescent="0.25">
      <c r="A892" s="1"/>
      <c r="B892" s="21" t="str">
        <f ca="1">IFERROR(__xludf.DUMMYFUNCTION("""COMPUTED_VALUE"""),"Coque de petróleo")</f>
        <v>Coque de petróleo</v>
      </c>
      <c r="C892" s="22">
        <f ca="1">IFERROR(__xludf.DUMMYFUNCTION("""COMPUTED_VALUE"""),0)</f>
        <v>0</v>
      </c>
      <c r="D892" s="23">
        <f ca="1">IFERROR(__xludf.DUMMYFUNCTION("""COMPUTED_VALUE"""),0)</f>
        <v>0</v>
      </c>
      <c r="E892" s="23">
        <f ca="1">IFERROR(__xludf.DUMMYFUNCTION("""COMPUTED_VALUE"""),0)</f>
        <v>0</v>
      </c>
      <c r="F892" s="23">
        <f ca="1">IFERROR(__xludf.DUMMYFUNCTION("""COMPUTED_VALUE"""),0)</f>
        <v>0</v>
      </c>
      <c r="G892" s="23">
        <f ca="1">IFERROR(__xludf.DUMMYFUNCTION("""COMPUTED_VALUE"""),0)</f>
        <v>0</v>
      </c>
      <c r="H892" s="23">
        <f ca="1">IFERROR(__xludf.DUMMYFUNCTION("""COMPUTED_VALUE"""),0)</f>
        <v>0</v>
      </c>
      <c r="I892" s="23">
        <f ca="1">IFERROR(__xludf.DUMMYFUNCTION("""COMPUTED_VALUE"""),0)</f>
        <v>0</v>
      </c>
      <c r="J892" s="23">
        <f ca="1">IFERROR(__xludf.DUMMYFUNCTION("""COMPUTED_VALUE"""),0)</f>
        <v>0</v>
      </c>
      <c r="K892" s="23">
        <f ca="1">IFERROR(__xludf.DUMMYFUNCTION("""COMPUTED_VALUE"""),0)</f>
        <v>0</v>
      </c>
      <c r="L892" s="23">
        <f ca="1">IFERROR(__xludf.DUMMYFUNCTION("""COMPUTED_VALUE"""),0)</f>
        <v>0</v>
      </c>
      <c r="M892" s="23">
        <f ca="1">IFERROR(__xludf.DUMMYFUNCTION("""COMPUTED_VALUE"""),0)</f>
        <v>0</v>
      </c>
      <c r="N892" s="23">
        <f ca="1">IFERROR(__xludf.DUMMYFUNCTION("""COMPUTED_VALUE"""),0)</f>
        <v>0</v>
      </c>
      <c r="O892" s="23">
        <f ca="1">IFERROR(__xludf.DUMMYFUNCTION("""COMPUTED_VALUE"""),0)</f>
        <v>0</v>
      </c>
      <c r="P892" s="23">
        <f ca="1">IFERROR(__xludf.DUMMYFUNCTION("""COMPUTED_VALUE"""),0)</f>
        <v>0</v>
      </c>
      <c r="Q892" s="24">
        <f ca="1">IFERROR(__xludf.DUMMYFUNCTION("""COMPUTED_VALUE"""),0)</f>
        <v>0</v>
      </c>
      <c r="R892" s="20"/>
    </row>
    <row r="893" spans="1:18" ht="13.2" hidden="1" outlineLevel="1" x14ac:dyDescent="0.25">
      <c r="A893" s="1"/>
      <c r="B893" s="21" t="str">
        <f ca="1">IFERROR(__xludf.DUMMYFUNCTION("""COMPUTED_VALUE"""),"Gas licuado de petróleo")</f>
        <v>Gas licuado de petróleo</v>
      </c>
      <c r="C893" s="22">
        <f ca="1">IFERROR(__xludf.DUMMYFUNCTION("""COMPUTED_VALUE"""),6.82711330109892)</f>
        <v>6.8271133010989198</v>
      </c>
      <c r="D893" s="23">
        <f ca="1">IFERROR(__xludf.DUMMYFUNCTION("""COMPUTED_VALUE"""),7.18324865496499)</f>
        <v>7.1832486549649897</v>
      </c>
      <c r="E893" s="23">
        <f ca="1">IFERROR(__xludf.DUMMYFUNCTION("""COMPUTED_VALUE"""),6.15496225062739)</f>
        <v>6.1549622506273902</v>
      </c>
      <c r="F893" s="23">
        <f ca="1">IFERROR(__xludf.DUMMYFUNCTION("""COMPUTED_VALUE"""),5.92165684315535)</f>
        <v>5.9216568431553496</v>
      </c>
      <c r="G893" s="23">
        <f ca="1">IFERROR(__xludf.DUMMYFUNCTION("""COMPUTED_VALUE"""),6.20333931903582)</f>
        <v>6.2033393190358197</v>
      </c>
      <c r="H893" s="23">
        <f ca="1">IFERROR(__xludf.DUMMYFUNCTION("""COMPUTED_VALUE"""),4.94760225700582)</f>
        <v>4.94760225700582</v>
      </c>
      <c r="I893" s="23">
        <f ca="1">IFERROR(__xludf.DUMMYFUNCTION("""COMPUTED_VALUE"""),5.46381430994329)</f>
        <v>5.4638143099432899</v>
      </c>
      <c r="J893" s="23">
        <f ca="1">IFERROR(__xludf.DUMMYFUNCTION("""COMPUTED_VALUE"""),4.95947091640775)</f>
        <v>4.9594709164077502</v>
      </c>
      <c r="K893" s="23">
        <f ca="1">IFERROR(__xludf.DUMMYFUNCTION("""COMPUTED_VALUE"""),5.16453529188098)</f>
        <v>5.1645352918809797</v>
      </c>
      <c r="L893" s="23">
        <f ca="1">IFERROR(__xludf.DUMMYFUNCTION("""COMPUTED_VALUE"""),4.38596031508442)</f>
        <v>4.3859603150844197</v>
      </c>
      <c r="M893" s="23">
        <f ca="1">IFERROR(__xludf.DUMMYFUNCTION("""COMPUTED_VALUE"""),4.7999569180204)</f>
        <v>4.7999569180204</v>
      </c>
      <c r="N893" s="23">
        <f ca="1">IFERROR(__xludf.DUMMYFUNCTION("""COMPUTED_VALUE"""),4.82046333061206)</f>
        <v>4.8204633306120597</v>
      </c>
      <c r="O893" s="23">
        <f ca="1">IFERROR(__xludf.DUMMYFUNCTION("""COMPUTED_VALUE"""),5.15222291099488)</f>
        <v>5.1522229109948796</v>
      </c>
      <c r="P893" s="23">
        <f ca="1">IFERROR(__xludf.DUMMYFUNCTION("""COMPUTED_VALUE"""),5.36607986829459)</f>
        <v>5.36607986829459</v>
      </c>
      <c r="Q893" s="24">
        <f ca="1">IFERROR(__xludf.DUMMYFUNCTION("""COMPUTED_VALUE"""),4.9818104043258)</f>
        <v>4.9818104043257998</v>
      </c>
      <c r="R893" s="20"/>
    </row>
    <row r="894" spans="1:18" ht="13.2" hidden="1" outlineLevel="1" x14ac:dyDescent="0.25">
      <c r="A894" s="1"/>
      <c r="B894" s="21" t="str">
        <f ca="1">IFERROR(__xludf.DUMMYFUNCTION("""COMPUTED_VALUE"""),"Gasolinas y naftas")</f>
        <v>Gasolinas y naftas</v>
      </c>
      <c r="C894" s="22">
        <f ca="1">IFERROR(__xludf.DUMMYFUNCTION("""COMPUTED_VALUE"""),0)</f>
        <v>0</v>
      </c>
      <c r="D894" s="23">
        <f ca="1">IFERROR(__xludf.DUMMYFUNCTION("""COMPUTED_VALUE"""),0)</f>
        <v>0</v>
      </c>
      <c r="E894" s="23">
        <f ca="1">IFERROR(__xludf.DUMMYFUNCTION("""COMPUTED_VALUE"""),0)</f>
        <v>0</v>
      </c>
      <c r="F894" s="23">
        <f ca="1">IFERROR(__xludf.DUMMYFUNCTION("""COMPUTED_VALUE"""),0)</f>
        <v>0</v>
      </c>
      <c r="G894" s="23">
        <f ca="1">IFERROR(__xludf.DUMMYFUNCTION("""COMPUTED_VALUE"""),0)</f>
        <v>0</v>
      </c>
      <c r="H894" s="23">
        <f ca="1">IFERROR(__xludf.DUMMYFUNCTION("""COMPUTED_VALUE"""),0)</f>
        <v>0</v>
      </c>
      <c r="I894" s="23">
        <f ca="1">IFERROR(__xludf.DUMMYFUNCTION("""COMPUTED_VALUE"""),0)</f>
        <v>0</v>
      </c>
      <c r="J894" s="23">
        <f ca="1">IFERROR(__xludf.DUMMYFUNCTION("""COMPUTED_VALUE"""),0)</f>
        <v>0</v>
      </c>
      <c r="K894" s="23">
        <f ca="1">IFERROR(__xludf.DUMMYFUNCTION("""COMPUTED_VALUE"""),0)</f>
        <v>0</v>
      </c>
      <c r="L894" s="23">
        <f ca="1">IFERROR(__xludf.DUMMYFUNCTION("""COMPUTED_VALUE"""),0)</f>
        <v>0</v>
      </c>
      <c r="M894" s="23">
        <f ca="1">IFERROR(__xludf.DUMMYFUNCTION("""COMPUTED_VALUE"""),0)</f>
        <v>0</v>
      </c>
      <c r="N894" s="23">
        <f ca="1">IFERROR(__xludf.DUMMYFUNCTION("""COMPUTED_VALUE"""),0)</f>
        <v>0</v>
      </c>
      <c r="O894" s="23">
        <f ca="1">IFERROR(__xludf.DUMMYFUNCTION("""COMPUTED_VALUE"""),0)</f>
        <v>0</v>
      </c>
      <c r="P894" s="23">
        <f ca="1">IFERROR(__xludf.DUMMYFUNCTION("""COMPUTED_VALUE"""),0)</f>
        <v>0</v>
      </c>
      <c r="Q894" s="24">
        <f ca="1">IFERROR(__xludf.DUMMYFUNCTION("""COMPUTED_VALUE"""),0)</f>
        <v>0</v>
      </c>
      <c r="R894" s="20"/>
    </row>
    <row r="895" spans="1:18" ht="13.2" hidden="1" outlineLevel="1" x14ac:dyDescent="0.25">
      <c r="A895" s="1"/>
      <c r="B895" s="21" t="str">
        <f ca="1">IFERROR(__xludf.DUMMYFUNCTION("""COMPUTED_VALUE"""),"Querosenos")</f>
        <v>Querosenos</v>
      </c>
      <c r="C895" s="22">
        <f ca="1">IFERROR(__xludf.DUMMYFUNCTION("""COMPUTED_VALUE"""),0)</f>
        <v>0</v>
      </c>
      <c r="D895" s="23">
        <f ca="1">IFERROR(__xludf.DUMMYFUNCTION("""COMPUTED_VALUE"""),0)</f>
        <v>0</v>
      </c>
      <c r="E895" s="23">
        <f ca="1">IFERROR(__xludf.DUMMYFUNCTION("""COMPUTED_VALUE"""),0)</f>
        <v>0</v>
      </c>
      <c r="F895" s="23">
        <f ca="1">IFERROR(__xludf.DUMMYFUNCTION("""COMPUTED_VALUE"""),0)</f>
        <v>0</v>
      </c>
      <c r="G895" s="23">
        <f ca="1">IFERROR(__xludf.DUMMYFUNCTION("""COMPUTED_VALUE"""),0)</f>
        <v>0</v>
      </c>
      <c r="H895" s="23">
        <f ca="1">IFERROR(__xludf.DUMMYFUNCTION("""COMPUTED_VALUE"""),0)</f>
        <v>0</v>
      </c>
      <c r="I895" s="23">
        <f ca="1">IFERROR(__xludf.DUMMYFUNCTION("""COMPUTED_VALUE"""),0)</f>
        <v>0</v>
      </c>
      <c r="J895" s="23">
        <f ca="1">IFERROR(__xludf.DUMMYFUNCTION("""COMPUTED_VALUE"""),0)</f>
        <v>0</v>
      </c>
      <c r="K895" s="23">
        <f ca="1">IFERROR(__xludf.DUMMYFUNCTION("""COMPUTED_VALUE"""),0)</f>
        <v>0</v>
      </c>
      <c r="L895" s="23">
        <f ca="1">IFERROR(__xludf.DUMMYFUNCTION("""COMPUTED_VALUE"""),0)</f>
        <v>0</v>
      </c>
      <c r="M895" s="23">
        <f ca="1">IFERROR(__xludf.DUMMYFUNCTION("""COMPUTED_VALUE"""),0)</f>
        <v>0</v>
      </c>
      <c r="N895" s="23">
        <f ca="1">IFERROR(__xludf.DUMMYFUNCTION("""COMPUTED_VALUE"""),0)</f>
        <v>0</v>
      </c>
      <c r="O895" s="23">
        <f ca="1">IFERROR(__xludf.DUMMYFUNCTION("""COMPUTED_VALUE"""),0)</f>
        <v>0</v>
      </c>
      <c r="P895" s="23">
        <f ca="1">IFERROR(__xludf.DUMMYFUNCTION("""COMPUTED_VALUE"""),0)</f>
        <v>0</v>
      </c>
      <c r="Q895" s="24">
        <f ca="1">IFERROR(__xludf.DUMMYFUNCTION("""COMPUTED_VALUE"""),0)</f>
        <v>0</v>
      </c>
      <c r="R895" s="20"/>
    </row>
    <row r="896" spans="1:18" ht="13.2" hidden="1" outlineLevel="1" x14ac:dyDescent="0.25">
      <c r="A896" s="1"/>
      <c r="B896" s="21" t="str">
        <f ca="1">IFERROR(__xludf.DUMMYFUNCTION("""COMPUTED_VALUE"""),"Diesel")</f>
        <v>Diesel</v>
      </c>
      <c r="C896" s="22">
        <f ca="1">IFERROR(__xludf.DUMMYFUNCTION("""COMPUTED_VALUE"""),110.275727731179)</f>
        <v>110.275727731179</v>
      </c>
      <c r="D896" s="23">
        <f ca="1">IFERROR(__xludf.DUMMYFUNCTION("""COMPUTED_VALUE"""),105.652446715936)</f>
        <v>105.65244671593599</v>
      </c>
      <c r="E896" s="23">
        <f ca="1">IFERROR(__xludf.DUMMYFUNCTION("""COMPUTED_VALUE"""),116.378533528959)</f>
        <v>116.378533528959</v>
      </c>
      <c r="F896" s="23">
        <f ca="1">IFERROR(__xludf.DUMMYFUNCTION("""COMPUTED_VALUE"""),117.127310100601)</f>
        <v>117.12731010060099</v>
      </c>
      <c r="G896" s="23">
        <f ca="1">IFERROR(__xludf.DUMMYFUNCTION("""COMPUTED_VALUE"""),118.748575156838)</f>
        <v>118.748575156838</v>
      </c>
      <c r="H896" s="23">
        <f ca="1">IFERROR(__xludf.DUMMYFUNCTION("""COMPUTED_VALUE"""),137.064582560505)</f>
        <v>137.06458256050499</v>
      </c>
      <c r="I896" s="23">
        <f ca="1">IFERROR(__xludf.DUMMYFUNCTION("""COMPUTED_VALUE"""),128.300468227424)</f>
        <v>128.30046822742401</v>
      </c>
      <c r="J896" s="23">
        <f ca="1">IFERROR(__xludf.DUMMYFUNCTION("""COMPUTED_VALUE"""),134.987985832011)</f>
        <v>134.98798583201099</v>
      </c>
      <c r="K896" s="23">
        <f ca="1">IFERROR(__xludf.DUMMYFUNCTION("""COMPUTED_VALUE"""),152.328486610718)</f>
        <v>152.32848661071799</v>
      </c>
      <c r="L896" s="23">
        <f ca="1">IFERROR(__xludf.DUMMYFUNCTION("""COMPUTED_VALUE"""),152.874211954207)</f>
        <v>152.874211954207</v>
      </c>
      <c r="M896" s="23">
        <f ca="1">IFERROR(__xludf.DUMMYFUNCTION("""COMPUTED_VALUE"""),125.291554456786)</f>
        <v>125.291554456786</v>
      </c>
      <c r="N896" s="23">
        <f ca="1">IFERROR(__xludf.DUMMYFUNCTION("""COMPUTED_VALUE"""),124.326230747076)</f>
        <v>124.326230747076</v>
      </c>
      <c r="O896" s="23">
        <f ca="1">IFERROR(__xludf.DUMMYFUNCTION("""COMPUTED_VALUE"""),120.264273402892)</f>
        <v>120.264273402892</v>
      </c>
      <c r="P896" s="23">
        <f ca="1">IFERROR(__xludf.DUMMYFUNCTION("""COMPUTED_VALUE"""),121.933734589944)</f>
        <v>121.933734589944</v>
      </c>
      <c r="Q896" s="24">
        <f ca="1">IFERROR(__xludf.DUMMYFUNCTION("""COMPUTED_VALUE"""),142.589416861623)</f>
        <v>142.58941686162299</v>
      </c>
      <c r="R896" s="20"/>
    </row>
    <row r="897" spans="1:18" ht="13.2" hidden="1" outlineLevel="1" x14ac:dyDescent="0.25">
      <c r="A897" s="1"/>
      <c r="B897" s="21" t="str">
        <f ca="1">IFERROR(__xludf.DUMMYFUNCTION("""COMPUTED_VALUE"""),"Combustóleo")</f>
        <v>Combustóleo</v>
      </c>
      <c r="C897" s="22">
        <f ca="1">IFERROR(__xludf.DUMMYFUNCTION("""COMPUTED_VALUE"""),1.53566875233712)</f>
        <v>1.53566875233712</v>
      </c>
      <c r="D897" s="23">
        <f ca="1">IFERROR(__xludf.DUMMYFUNCTION("""COMPUTED_VALUE"""),2.08730495974374)</f>
        <v>2.0873049597437401</v>
      </c>
      <c r="E897" s="23">
        <f ca="1">IFERROR(__xludf.DUMMYFUNCTION("""COMPUTED_VALUE"""),1.39699817283709)</f>
        <v>1.3969981728370899</v>
      </c>
      <c r="F897" s="23">
        <f ca="1">IFERROR(__xludf.DUMMYFUNCTION("""COMPUTED_VALUE"""),2.2083597275231)</f>
        <v>2.2083597275231002</v>
      </c>
      <c r="G897" s="23">
        <f ca="1">IFERROR(__xludf.DUMMYFUNCTION("""COMPUTED_VALUE"""),2.39580791438578)</f>
        <v>2.39580791438578</v>
      </c>
      <c r="H897" s="23">
        <f ca="1">IFERROR(__xludf.DUMMYFUNCTION("""COMPUTED_VALUE"""),1.34666848471516)</f>
        <v>1.34666848471516</v>
      </c>
      <c r="I897" s="23">
        <f ca="1">IFERROR(__xludf.DUMMYFUNCTION("""COMPUTED_VALUE"""),1.19898295605754)</f>
        <v>1.19898295605754</v>
      </c>
      <c r="J897" s="23">
        <f ca="1">IFERROR(__xludf.DUMMYFUNCTION("""COMPUTED_VALUE"""),1.04848256707975)</f>
        <v>1.04848256707975</v>
      </c>
      <c r="K897" s="23">
        <f ca="1">IFERROR(__xludf.DUMMYFUNCTION("""COMPUTED_VALUE"""),0.819867249384025)</f>
        <v>0.819867249384025</v>
      </c>
      <c r="L897" s="23">
        <f ca="1">IFERROR(__xludf.DUMMYFUNCTION("""COMPUTED_VALUE"""),1.27837356970465)</f>
        <v>1.2783735697046501</v>
      </c>
      <c r="M897" s="23">
        <f ca="1">IFERROR(__xludf.DUMMYFUNCTION("""COMPUTED_VALUE"""),2.05478911743662)</f>
        <v>2.05478911743662</v>
      </c>
      <c r="N897" s="23">
        <f ca="1">IFERROR(__xludf.DUMMYFUNCTION("""COMPUTED_VALUE"""),1.49285551422624)</f>
        <v>1.4928555142262401</v>
      </c>
      <c r="O897" s="23">
        <f ca="1">IFERROR(__xludf.DUMMYFUNCTION("""COMPUTED_VALUE"""),1.45222194591227)</f>
        <v>1.4522219459122701</v>
      </c>
      <c r="P897" s="23">
        <f ca="1">IFERROR(__xludf.DUMMYFUNCTION("""COMPUTED_VALUE"""),1.24183135712813)</f>
        <v>1.2418313571281301</v>
      </c>
      <c r="Q897" s="24">
        <f ca="1">IFERROR(__xludf.DUMMYFUNCTION("""COMPUTED_VALUE"""),1.28699533649458)</f>
        <v>1.2869953364945801</v>
      </c>
      <c r="R897" s="20"/>
    </row>
    <row r="898" spans="1:18" ht="13.2" hidden="1" outlineLevel="1" x14ac:dyDescent="0.25">
      <c r="A898" s="1"/>
      <c r="B898" s="21" t="str">
        <f ca="1">IFERROR(__xludf.DUMMYFUNCTION("""COMPUTED_VALUE"""),"Otros energéticos")</f>
        <v>Otros energéticos</v>
      </c>
      <c r="C898" s="22">
        <f ca="1">IFERROR(__xludf.DUMMYFUNCTION("""COMPUTED_VALUE"""),0)</f>
        <v>0</v>
      </c>
      <c r="D898" s="23">
        <f ca="1">IFERROR(__xludf.DUMMYFUNCTION("""COMPUTED_VALUE"""),0)</f>
        <v>0</v>
      </c>
      <c r="E898" s="23">
        <f ca="1">IFERROR(__xludf.DUMMYFUNCTION("""COMPUTED_VALUE"""),0)</f>
        <v>0</v>
      </c>
      <c r="F898" s="23">
        <f ca="1">IFERROR(__xludf.DUMMYFUNCTION("""COMPUTED_VALUE"""),0)</f>
        <v>0</v>
      </c>
      <c r="G898" s="23">
        <f ca="1">IFERROR(__xludf.DUMMYFUNCTION("""COMPUTED_VALUE"""),0)</f>
        <v>0</v>
      </c>
      <c r="H898" s="23">
        <f ca="1">IFERROR(__xludf.DUMMYFUNCTION("""COMPUTED_VALUE"""),0)</f>
        <v>0</v>
      </c>
      <c r="I898" s="23">
        <f ca="1">IFERROR(__xludf.DUMMYFUNCTION("""COMPUTED_VALUE"""),0)</f>
        <v>0</v>
      </c>
      <c r="J898" s="23">
        <f ca="1">IFERROR(__xludf.DUMMYFUNCTION("""COMPUTED_VALUE"""),0)</f>
        <v>0</v>
      </c>
      <c r="K898" s="23">
        <f ca="1">IFERROR(__xludf.DUMMYFUNCTION("""COMPUTED_VALUE"""),0)</f>
        <v>0</v>
      </c>
      <c r="L898" s="23">
        <f ca="1">IFERROR(__xludf.DUMMYFUNCTION("""COMPUTED_VALUE"""),0)</f>
        <v>0</v>
      </c>
      <c r="M898" s="23">
        <f ca="1">IFERROR(__xludf.DUMMYFUNCTION("""COMPUTED_VALUE"""),0)</f>
        <v>0</v>
      </c>
      <c r="N898" s="23">
        <f ca="1">IFERROR(__xludf.DUMMYFUNCTION("""COMPUTED_VALUE"""),0)</f>
        <v>0</v>
      </c>
      <c r="O898" s="23">
        <f ca="1">IFERROR(__xludf.DUMMYFUNCTION("""COMPUTED_VALUE"""),0)</f>
        <v>0</v>
      </c>
      <c r="P898" s="23">
        <f ca="1">IFERROR(__xludf.DUMMYFUNCTION("""COMPUTED_VALUE"""),0)</f>
        <v>0</v>
      </c>
      <c r="Q898" s="24">
        <f ca="1">IFERROR(__xludf.DUMMYFUNCTION("""COMPUTED_VALUE"""),0)</f>
        <v>0</v>
      </c>
      <c r="R898" s="20"/>
    </row>
    <row r="899" spans="1:18" ht="13.2" hidden="1" outlineLevel="1" x14ac:dyDescent="0.25">
      <c r="A899" s="1"/>
      <c r="B899" s="21" t="str">
        <f ca="1">IFERROR(__xludf.DUMMYFUNCTION("""COMPUTED_VALUE"""),"Gas natural seco")</f>
        <v>Gas natural seco</v>
      </c>
      <c r="C899" s="22">
        <f ca="1">IFERROR(__xludf.DUMMYFUNCTION("""COMPUTED_VALUE"""),1.4207)</f>
        <v>1.4207000000000001</v>
      </c>
      <c r="D899" s="23">
        <f ca="1">IFERROR(__xludf.DUMMYFUNCTION("""COMPUTED_VALUE"""),1.5072)</f>
        <v>1.5072000000000001</v>
      </c>
      <c r="E899" s="23">
        <f ca="1">IFERROR(__xludf.DUMMYFUNCTION("""COMPUTED_VALUE"""),1.0034)</f>
        <v>1.0034000000000001</v>
      </c>
      <c r="F899" s="23">
        <f ca="1">IFERROR(__xludf.DUMMYFUNCTION("""COMPUTED_VALUE"""),1.3133)</f>
        <v>1.3132999999999999</v>
      </c>
      <c r="G899" s="23">
        <f ca="1">IFERROR(__xludf.DUMMYFUNCTION("""COMPUTED_VALUE"""),0.5533)</f>
        <v>0.55330000000000001</v>
      </c>
      <c r="H899" s="23">
        <f ca="1">IFERROR(__xludf.DUMMYFUNCTION("""COMPUTED_VALUE"""),0.6605)</f>
        <v>0.66049999999999998</v>
      </c>
      <c r="I899" s="23">
        <f ca="1">IFERROR(__xludf.DUMMYFUNCTION("""COMPUTED_VALUE"""),1.4733)</f>
        <v>1.4733000000000001</v>
      </c>
      <c r="J899" s="23">
        <f ca="1">IFERROR(__xludf.DUMMYFUNCTION("""COMPUTED_VALUE"""),0.91)</f>
        <v>0.91</v>
      </c>
      <c r="K899" s="23">
        <f ca="1">IFERROR(__xludf.DUMMYFUNCTION("""COMPUTED_VALUE"""),0.8371)</f>
        <v>0.83709999999999996</v>
      </c>
      <c r="L899" s="23">
        <f ca="1">IFERROR(__xludf.DUMMYFUNCTION("""COMPUTED_VALUE"""),0.9947)</f>
        <v>0.99470000000000003</v>
      </c>
      <c r="M899" s="23">
        <f ca="1">IFERROR(__xludf.DUMMYFUNCTION("""COMPUTED_VALUE"""),1.9586)</f>
        <v>1.9585999999999999</v>
      </c>
      <c r="N899" s="23">
        <f ca="1">IFERROR(__xludf.DUMMYFUNCTION("""COMPUTED_VALUE"""),0.9923)</f>
        <v>0.99229999999999996</v>
      </c>
      <c r="O899" s="23">
        <f ca="1">IFERROR(__xludf.DUMMYFUNCTION("""COMPUTED_VALUE"""),0.97512)</f>
        <v>0.97511999999999999</v>
      </c>
      <c r="P899" s="23">
        <f ca="1">IFERROR(__xludf.DUMMYFUNCTION("""COMPUTED_VALUE"""),0.7325)</f>
        <v>0.73250000000000004</v>
      </c>
      <c r="Q899" s="24">
        <f ca="1">IFERROR(__xludf.DUMMYFUNCTION("""COMPUTED_VALUE"""),0.4682)</f>
        <v>0.46820000000000001</v>
      </c>
      <c r="R899" s="20"/>
    </row>
    <row r="900" spans="1:18" ht="13.2" hidden="1" outlineLevel="1" x14ac:dyDescent="0.25">
      <c r="A900" s="1"/>
      <c r="B900" s="25" t="str">
        <f ca="1">IFERROR(__xludf.DUMMYFUNCTION("""COMPUTED_VALUE"""),"Energía eléctrica")</f>
        <v>Energía eléctrica</v>
      </c>
      <c r="C900" s="26">
        <f ca="1">IFERROR(__xludf.DUMMYFUNCTION("""COMPUTED_VALUE"""),34.5791300624915)</f>
        <v>34.579130062491501</v>
      </c>
      <c r="D900" s="27">
        <f ca="1">IFERROR(__xludf.DUMMYFUNCTION("""COMPUTED_VALUE"""),40.2157547098949)</f>
        <v>40.215754709894902</v>
      </c>
      <c r="E900" s="27">
        <f ca="1">IFERROR(__xludf.DUMMYFUNCTION("""COMPUTED_VALUE"""),39.6531480760649)</f>
        <v>39.653148076064902</v>
      </c>
      <c r="F900" s="27">
        <f ca="1">IFERROR(__xludf.DUMMYFUNCTION("""COMPUTED_VALUE"""),37.7580751446428)</f>
        <v>37.758075144642802</v>
      </c>
      <c r="G900" s="27">
        <f ca="1">IFERROR(__xludf.DUMMYFUNCTION("""COMPUTED_VALUE"""),36.9698317475356)</f>
        <v>36.969831747535601</v>
      </c>
      <c r="H900" s="27">
        <f ca="1">IFERROR(__xludf.DUMMYFUNCTION("""COMPUTED_VALUE"""),37.0247398921775)</f>
        <v>37.0247398921775</v>
      </c>
      <c r="I900" s="27">
        <f ca="1">IFERROR(__xludf.DUMMYFUNCTION("""COMPUTED_VALUE"""),41.9622140719674)</f>
        <v>41.962214071967402</v>
      </c>
      <c r="J900" s="27">
        <f ca="1">IFERROR(__xludf.DUMMYFUNCTION("""COMPUTED_VALUE"""),42.4413007555046)</f>
        <v>42.441300755504599</v>
      </c>
      <c r="K900" s="27">
        <f ca="1">IFERROR(__xludf.DUMMYFUNCTION("""COMPUTED_VALUE"""),41.4371681825081)</f>
        <v>41.437168182508103</v>
      </c>
      <c r="L900" s="27">
        <f ca="1">IFERROR(__xludf.DUMMYFUNCTION("""COMPUTED_VALUE"""),41.8236327832144)</f>
        <v>41.8236327832144</v>
      </c>
      <c r="M900" s="27">
        <f ca="1">IFERROR(__xludf.DUMMYFUNCTION("""COMPUTED_VALUE"""),52.5261131047778)</f>
        <v>52.526113104777799</v>
      </c>
      <c r="N900" s="27">
        <f ca="1">IFERROR(__xludf.DUMMYFUNCTION("""COMPUTED_VALUE"""),50.2529317851248)</f>
        <v>50.252931785124801</v>
      </c>
      <c r="O900" s="27">
        <f ca="1">IFERROR(__xludf.DUMMYFUNCTION("""COMPUTED_VALUE"""),49.8423562982051)</f>
        <v>49.842356298205097</v>
      </c>
      <c r="P900" s="27">
        <f ca="1">IFERROR(__xludf.DUMMYFUNCTION("""COMPUTED_VALUE"""),53.4489041222691)</f>
        <v>53.448904122269099</v>
      </c>
      <c r="Q900" s="28">
        <f ca="1">IFERROR(__xludf.DUMMYFUNCTION("""COMPUTED_VALUE"""),53.8753841842552)</f>
        <v>53.875384184255203</v>
      </c>
      <c r="R900" s="20"/>
    </row>
    <row r="901" spans="1:18" ht="13.2" hidden="1" outlineLevel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0"/>
    </row>
    <row r="902" spans="1:18" ht="13.2" collapsed="1" x14ac:dyDescent="0.25">
      <c r="A902" s="29"/>
      <c r="B902" s="5" t="str">
        <f ca="1">IFERROR(__xludf.DUMMYFUNCTION("""COMPUTED_VALUE"""),"Con.Fin.Ene.Ind")</f>
        <v>Con.Fin.Ene.Ind</v>
      </c>
      <c r="C902" s="6" t="str">
        <f ca="1">IFERROR(__xludf.DUMMYFUNCTION("""COMPUTED_VALUE"""),"/+")</f>
        <v>/+</v>
      </c>
      <c r="D902" s="7" t="str">
        <f ca="1">IFERROR(__xludf.DUMMYFUNCTION("""COMPUTED_VALUE"""),"Industrial")</f>
        <v>Industrial</v>
      </c>
      <c r="E902" s="6" t="str">
        <f ca="1">IFERROR(__xludf.DUMMYFUNCTION("""COMPUTED_VALUE"""),"cbne")</f>
        <v>cbne</v>
      </c>
      <c r="F902" s="6" t="str">
        <f ca="1">IFERROR(__xludf.DUMMYFUNCTION("""COMPUTED_VALUE"""),"a")</f>
        <v>a</v>
      </c>
      <c r="G902" s="8" t="str">
        <f ca="1">IFERROR(__xludf.DUMMYFUNCTION("""COMPUTED_VALUE"""),"PJ")</f>
        <v>PJ</v>
      </c>
      <c r="H902" s="9"/>
      <c r="I902" s="1"/>
      <c r="J902" s="1"/>
      <c r="K902" s="1"/>
      <c r="L902" s="1"/>
      <c r="M902" s="1"/>
      <c r="N902" s="1"/>
      <c r="O902" s="1"/>
      <c r="P902" s="1"/>
      <c r="Q902" s="1"/>
      <c r="R902" s="10"/>
    </row>
    <row r="903" spans="1:18" ht="13.2" hidden="1" outlineLevel="1" x14ac:dyDescent="0.25">
      <c r="A903" s="1"/>
      <c r="B903" s="11"/>
      <c r="C903" s="12">
        <f ca="1">IFERROR(__xludf.DUMMYFUNCTION("""COMPUTED_VALUE"""),2010)</f>
        <v>2010</v>
      </c>
      <c r="D903" s="13">
        <f ca="1">IFERROR(__xludf.DUMMYFUNCTION("""COMPUTED_VALUE"""),2011)</f>
        <v>2011</v>
      </c>
      <c r="E903" s="13">
        <f ca="1">IFERROR(__xludf.DUMMYFUNCTION("""COMPUTED_VALUE"""),2012)</f>
        <v>2012</v>
      </c>
      <c r="F903" s="13">
        <f ca="1">IFERROR(__xludf.DUMMYFUNCTION("""COMPUTED_VALUE"""),2013)</f>
        <v>2013</v>
      </c>
      <c r="G903" s="13">
        <f ca="1">IFERROR(__xludf.DUMMYFUNCTION("""COMPUTED_VALUE"""),2014)</f>
        <v>2014</v>
      </c>
      <c r="H903" s="13">
        <f ca="1">IFERROR(__xludf.DUMMYFUNCTION("""COMPUTED_VALUE"""),2015)</f>
        <v>2015</v>
      </c>
      <c r="I903" s="13">
        <f ca="1">IFERROR(__xludf.DUMMYFUNCTION("""COMPUTED_VALUE"""),2016)</f>
        <v>2016</v>
      </c>
      <c r="J903" s="13">
        <f ca="1">IFERROR(__xludf.DUMMYFUNCTION("""COMPUTED_VALUE"""),2017)</f>
        <v>2017</v>
      </c>
      <c r="K903" s="13">
        <f ca="1">IFERROR(__xludf.DUMMYFUNCTION("""COMPUTED_VALUE"""),2018)</f>
        <v>2018</v>
      </c>
      <c r="L903" s="13">
        <f ca="1">IFERROR(__xludf.DUMMYFUNCTION("""COMPUTED_VALUE"""),2019)</f>
        <v>2019</v>
      </c>
      <c r="M903" s="13">
        <f ca="1">IFERROR(__xludf.DUMMYFUNCTION("""COMPUTED_VALUE"""),2020)</f>
        <v>2020</v>
      </c>
      <c r="N903" s="13">
        <f ca="1">IFERROR(__xludf.DUMMYFUNCTION("""COMPUTED_VALUE"""),2021)</f>
        <v>2021</v>
      </c>
      <c r="O903" s="13">
        <f ca="1">IFERROR(__xludf.DUMMYFUNCTION("""COMPUTED_VALUE"""),2022)</f>
        <v>2022</v>
      </c>
      <c r="P903" s="13">
        <f ca="1">IFERROR(__xludf.DUMMYFUNCTION("""COMPUTED_VALUE"""),2023)</f>
        <v>2023</v>
      </c>
      <c r="Q903" s="14">
        <f ca="1">IFERROR(__xludf.DUMMYFUNCTION("""COMPUTED_VALUE"""),2024)</f>
        <v>2024</v>
      </c>
      <c r="R903" s="15"/>
    </row>
    <row r="904" spans="1:18" ht="13.2" hidden="1" outlineLevel="1" x14ac:dyDescent="0.25">
      <c r="A904" s="1"/>
      <c r="B904" s="16" t="str">
        <f ca="1">IFERROR(__xludf.DUMMYFUNCTION("""COMPUTED_VALUE"""),"Carbón mineral")</f>
        <v>Carbón mineral</v>
      </c>
      <c r="C904" s="17">
        <f ca="1">IFERROR(__xludf.DUMMYFUNCTION("""COMPUTED_VALUE"""),160.291749698468)</f>
        <v>160.29174969846801</v>
      </c>
      <c r="D904" s="18">
        <f ca="1">IFERROR(__xludf.DUMMYFUNCTION("""COMPUTED_VALUE"""),260.337551434822)</f>
        <v>260.33755143482199</v>
      </c>
      <c r="E904" s="18">
        <f ca="1">IFERROR(__xludf.DUMMYFUNCTION("""COMPUTED_VALUE"""),122.907581924372)</f>
        <v>122.907581924372</v>
      </c>
      <c r="F904" s="18">
        <f ca="1">IFERROR(__xludf.DUMMYFUNCTION("""COMPUTED_VALUE"""),129.827498372282)</f>
        <v>129.82749837228201</v>
      </c>
      <c r="G904" s="18">
        <f ca="1">IFERROR(__xludf.DUMMYFUNCTION("""COMPUTED_VALUE"""),110.957275451868)</f>
        <v>110.957275451868</v>
      </c>
      <c r="H904" s="18">
        <f ca="1">IFERROR(__xludf.DUMMYFUNCTION("""COMPUTED_VALUE"""),163.212954043836)</f>
        <v>163.21295404383599</v>
      </c>
      <c r="I904" s="18">
        <f ca="1">IFERROR(__xludf.DUMMYFUNCTION("""COMPUTED_VALUE"""),101.180613521828)</f>
        <v>101.18061352182799</v>
      </c>
      <c r="J904" s="18">
        <f ca="1">IFERROR(__xludf.DUMMYFUNCTION("""COMPUTED_VALUE"""),187.15045000421)</f>
        <v>187.15045000421</v>
      </c>
      <c r="K904" s="18">
        <f ca="1">IFERROR(__xludf.DUMMYFUNCTION("""COMPUTED_VALUE"""),139.52732809908)</f>
        <v>139.52732809907999</v>
      </c>
      <c r="L904" s="18">
        <f ca="1">IFERROR(__xludf.DUMMYFUNCTION("""COMPUTED_VALUE"""),148.013963601913)</f>
        <v>148.01396360191299</v>
      </c>
      <c r="M904" s="18">
        <f ca="1">IFERROR(__xludf.DUMMYFUNCTION("""COMPUTED_VALUE"""),186.537793198534)</f>
        <v>186.53779319853399</v>
      </c>
      <c r="N904" s="18">
        <f ca="1">IFERROR(__xludf.DUMMYFUNCTION("""COMPUTED_VALUE"""),221.302804799124)</f>
        <v>221.302804799124</v>
      </c>
      <c r="O904" s="18">
        <f ca="1">IFERROR(__xludf.DUMMYFUNCTION("""COMPUTED_VALUE"""),152.953381925078)</f>
        <v>152.95338192507799</v>
      </c>
      <c r="P904" s="18">
        <f ca="1">IFERROR(__xludf.DUMMYFUNCTION("""COMPUTED_VALUE"""),70.1848411731331)</f>
        <v>70.184841173133094</v>
      </c>
      <c r="Q904" s="19">
        <f ca="1">IFERROR(__xludf.DUMMYFUNCTION("""COMPUTED_VALUE"""),80.0278611914352)</f>
        <v>80.027861191435207</v>
      </c>
      <c r="R904" s="20"/>
    </row>
    <row r="905" spans="1:18" ht="13.2" hidden="1" outlineLevel="1" x14ac:dyDescent="0.25">
      <c r="A905" s="1"/>
      <c r="B905" s="21" t="str">
        <f ca="1">IFERROR(__xludf.DUMMYFUNCTION("""COMPUTED_VALUE"""),"Petróleo crudo")</f>
        <v>Petróleo crudo</v>
      </c>
      <c r="C905" s="22">
        <f ca="1">IFERROR(__xludf.DUMMYFUNCTION("""COMPUTED_VALUE"""),0)</f>
        <v>0</v>
      </c>
      <c r="D905" s="23">
        <f ca="1">IFERROR(__xludf.DUMMYFUNCTION("""COMPUTED_VALUE"""),0)</f>
        <v>0</v>
      </c>
      <c r="E905" s="23">
        <f ca="1">IFERROR(__xludf.DUMMYFUNCTION("""COMPUTED_VALUE"""),0)</f>
        <v>0</v>
      </c>
      <c r="F905" s="23">
        <f ca="1">IFERROR(__xludf.DUMMYFUNCTION("""COMPUTED_VALUE"""),0)</f>
        <v>0</v>
      </c>
      <c r="G905" s="23">
        <f ca="1">IFERROR(__xludf.DUMMYFUNCTION("""COMPUTED_VALUE"""),0)</f>
        <v>0</v>
      </c>
      <c r="H905" s="23">
        <f ca="1">IFERROR(__xludf.DUMMYFUNCTION("""COMPUTED_VALUE"""),0)</f>
        <v>0</v>
      </c>
      <c r="I905" s="23">
        <f ca="1">IFERROR(__xludf.DUMMYFUNCTION("""COMPUTED_VALUE"""),0)</f>
        <v>0</v>
      </c>
      <c r="J905" s="23">
        <f ca="1">IFERROR(__xludf.DUMMYFUNCTION("""COMPUTED_VALUE"""),0)</f>
        <v>0</v>
      </c>
      <c r="K905" s="23">
        <f ca="1">IFERROR(__xludf.DUMMYFUNCTION("""COMPUTED_VALUE"""),0)</f>
        <v>0</v>
      </c>
      <c r="L905" s="23">
        <f ca="1">IFERROR(__xludf.DUMMYFUNCTION("""COMPUTED_VALUE"""),0)</f>
        <v>0</v>
      </c>
      <c r="M905" s="23">
        <f ca="1">IFERROR(__xludf.DUMMYFUNCTION("""COMPUTED_VALUE"""),0)</f>
        <v>0</v>
      </c>
      <c r="N905" s="23">
        <f ca="1">IFERROR(__xludf.DUMMYFUNCTION("""COMPUTED_VALUE"""),0)</f>
        <v>0</v>
      </c>
      <c r="O905" s="23">
        <f ca="1">IFERROR(__xludf.DUMMYFUNCTION("""COMPUTED_VALUE"""),0)</f>
        <v>0</v>
      </c>
      <c r="P905" s="23">
        <f ca="1">IFERROR(__xludf.DUMMYFUNCTION("""COMPUTED_VALUE"""),0)</f>
        <v>0</v>
      </c>
      <c r="Q905" s="24">
        <f ca="1">IFERROR(__xludf.DUMMYFUNCTION("""COMPUTED_VALUE"""),0)</f>
        <v>0</v>
      </c>
      <c r="R905" s="20"/>
    </row>
    <row r="906" spans="1:18" ht="13.2" hidden="1" outlineLevel="1" x14ac:dyDescent="0.25">
      <c r="A906" s="1"/>
      <c r="B906" s="21" t="str">
        <f ca="1">IFERROR(__xludf.DUMMYFUNCTION("""COMPUTED_VALUE"""),"Condensados")</f>
        <v>Condensados</v>
      </c>
      <c r="C906" s="22">
        <f ca="1">IFERROR(__xludf.DUMMYFUNCTION("""COMPUTED_VALUE"""),0)</f>
        <v>0</v>
      </c>
      <c r="D906" s="23">
        <f ca="1">IFERROR(__xludf.DUMMYFUNCTION("""COMPUTED_VALUE"""),0)</f>
        <v>0</v>
      </c>
      <c r="E906" s="23">
        <f ca="1">IFERROR(__xludf.DUMMYFUNCTION("""COMPUTED_VALUE"""),0)</f>
        <v>0</v>
      </c>
      <c r="F906" s="23">
        <f ca="1">IFERROR(__xludf.DUMMYFUNCTION("""COMPUTED_VALUE"""),0)</f>
        <v>0</v>
      </c>
      <c r="G906" s="23">
        <f ca="1">IFERROR(__xludf.DUMMYFUNCTION("""COMPUTED_VALUE"""),0)</f>
        <v>0</v>
      </c>
      <c r="H906" s="23">
        <f ca="1">IFERROR(__xludf.DUMMYFUNCTION("""COMPUTED_VALUE"""),0)</f>
        <v>0</v>
      </c>
      <c r="I906" s="23">
        <f ca="1">IFERROR(__xludf.DUMMYFUNCTION("""COMPUTED_VALUE"""),0)</f>
        <v>0</v>
      </c>
      <c r="J906" s="23">
        <f ca="1">IFERROR(__xludf.DUMMYFUNCTION("""COMPUTED_VALUE"""),0)</f>
        <v>0</v>
      </c>
      <c r="K906" s="23">
        <f ca="1">IFERROR(__xludf.DUMMYFUNCTION("""COMPUTED_VALUE"""),0)</f>
        <v>0</v>
      </c>
      <c r="L906" s="23">
        <f ca="1">IFERROR(__xludf.DUMMYFUNCTION("""COMPUTED_VALUE"""),0)</f>
        <v>0</v>
      </c>
      <c r="M906" s="23">
        <f ca="1">IFERROR(__xludf.DUMMYFUNCTION("""COMPUTED_VALUE"""),0)</f>
        <v>0</v>
      </c>
      <c r="N906" s="23">
        <f ca="1">IFERROR(__xludf.DUMMYFUNCTION("""COMPUTED_VALUE"""),0)</f>
        <v>0</v>
      </c>
      <c r="O906" s="23">
        <f ca="1">IFERROR(__xludf.DUMMYFUNCTION("""COMPUTED_VALUE"""),0)</f>
        <v>0</v>
      </c>
      <c r="P906" s="23">
        <f ca="1">IFERROR(__xludf.DUMMYFUNCTION("""COMPUTED_VALUE"""),0)</f>
        <v>0</v>
      </c>
      <c r="Q906" s="24">
        <f ca="1">IFERROR(__xludf.DUMMYFUNCTION("""COMPUTED_VALUE"""),0)</f>
        <v>0</v>
      </c>
      <c r="R906" s="20"/>
    </row>
    <row r="907" spans="1:18" ht="13.2" hidden="1" outlineLevel="1" x14ac:dyDescent="0.25">
      <c r="A907" s="1"/>
      <c r="B907" s="21" t="str">
        <f ca="1">IFERROR(__xludf.DUMMYFUNCTION("""COMPUTED_VALUE"""),"Gas natural")</f>
        <v>Gas natural</v>
      </c>
      <c r="C907" s="22">
        <f ca="1">IFERROR(__xludf.DUMMYFUNCTION("""COMPUTED_VALUE"""),0)</f>
        <v>0</v>
      </c>
      <c r="D907" s="23">
        <f ca="1">IFERROR(__xludf.DUMMYFUNCTION("""COMPUTED_VALUE"""),0)</f>
        <v>0</v>
      </c>
      <c r="E907" s="23">
        <f ca="1">IFERROR(__xludf.DUMMYFUNCTION("""COMPUTED_VALUE"""),0)</f>
        <v>0</v>
      </c>
      <c r="F907" s="23">
        <f ca="1">IFERROR(__xludf.DUMMYFUNCTION("""COMPUTED_VALUE"""),0)</f>
        <v>0</v>
      </c>
      <c r="G907" s="23">
        <f ca="1">IFERROR(__xludf.DUMMYFUNCTION("""COMPUTED_VALUE"""),0)</f>
        <v>0</v>
      </c>
      <c r="H907" s="23">
        <f ca="1">IFERROR(__xludf.DUMMYFUNCTION("""COMPUTED_VALUE"""),0)</f>
        <v>0</v>
      </c>
      <c r="I907" s="23">
        <f ca="1">IFERROR(__xludf.DUMMYFUNCTION("""COMPUTED_VALUE"""),0)</f>
        <v>0</v>
      </c>
      <c r="J907" s="23">
        <f ca="1">IFERROR(__xludf.DUMMYFUNCTION("""COMPUTED_VALUE"""),0)</f>
        <v>0</v>
      </c>
      <c r="K907" s="23">
        <f ca="1">IFERROR(__xludf.DUMMYFUNCTION("""COMPUTED_VALUE"""),0)</f>
        <v>0</v>
      </c>
      <c r="L907" s="23">
        <f ca="1">IFERROR(__xludf.DUMMYFUNCTION("""COMPUTED_VALUE"""),0)</f>
        <v>0</v>
      </c>
      <c r="M907" s="23">
        <f ca="1">IFERROR(__xludf.DUMMYFUNCTION("""COMPUTED_VALUE"""),0)</f>
        <v>0</v>
      </c>
      <c r="N907" s="23">
        <f ca="1">IFERROR(__xludf.DUMMYFUNCTION("""COMPUTED_VALUE"""),0)</f>
        <v>0</v>
      </c>
      <c r="O907" s="23">
        <f ca="1">IFERROR(__xludf.DUMMYFUNCTION("""COMPUTED_VALUE"""),0)</f>
        <v>0</v>
      </c>
      <c r="P907" s="23">
        <f ca="1">IFERROR(__xludf.DUMMYFUNCTION("""COMPUTED_VALUE"""),0)</f>
        <v>0</v>
      </c>
      <c r="Q907" s="24">
        <f ca="1">IFERROR(__xludf.DUMMYFUNCTION("""COMPUTED_VALUE"""),0)</f>
        <v>0</v>
      </c>
      <c r="R907" s="20"/>
    </row>
    <row r="908" spans="1:18" ht="13.2" hidden="1" outlineLevel="1" x14ac:dyDescent="0.25">
      <c r="A908" s="1"/>
      <c r="B908" s="21" t="str">
        <f ca="1">IFERROR(__xludf.DUMMYFUNCTION("""COMPUTED_VALUE"""),"Energía Nuclear")</f>
        <v>Energía Nuclear</v>
      </c>
      <c r="C908" s="22">
        <f ca="1">IFERROR(__xludf.DUMMYFUNCTION("""COMPUTED_VALUE"""),0)</f>
        <v>0</v>
      </c>
      <c r="D908" s="23">
        <f ca="1">IFERROR(__xludf.DUMMYFUNCTION("""COMPUTED_VALUE"""),0)</f>
        <v>0</v>
      </c>
      <c r="E908" s="23">
        <f ca="1">IFERROR(__xludf.DUMMYFUNCTION("""COMPUTED_VALUE"""),0)</f>
        <v>0</v>
      </c>
      <c r="F908" s="23">
        <f ca="1">IFERROR(__xludf.DUMMYFUNCTION("""COMPUTED_VALUE"""),0)</f>
        <v>0</v>
      </c>
      <c r="G908" s="23">
        <f ca="1">IFERROR(__xludf.DUMMYFUNCTION("""COMPUTED_VALUE"""),0)</f>
        <v>0</v>
      </c>
      <c r="H908" s="23">
        <f ca="1">IFERROR(__xludf.DUMMYFUNCTION("""COMPUTED_VALUE"""),0)</f>
        <v>0</v>
      </c>
      <c r="I908" s="23">
        <f ca="1">IFERROR(__xludf.DUMMYFUNCTION("""COMPUTED_VALUE"""),0)</f>
        <v>0</v>
      </c>
      <c r="J908" s="23">
        <f ca="1">IFERROR(__xludf.DUMMYFUNCTION("""COMPUTED_VALUE"""),0)</f>
        <v>0</v>
      </c>
      <c r="K908" s="23">
        <f ca="1">IFERROR(__xludf.DUMMYFUNCTION("""COMPUTED_VALUE"""),0)</f>
        <v>0</v>
      </c>
      <c r="L908" s="23">
        <f ca="1">IFERROR(__xludf.DUMMYFUNCTION("""COMPUTED_VALUE"""),0)</f>
        <v>0</v>
      </c>
      <c r="M908" s="23">
        <f ca="1">IFERROR(__xludf.DUMMYFUNCTION("""COMPUTED_VALUE"""),0)</f>
        <v>0</v>
      </c>
      <c r="N908" s="23">
        <f ca="1">IFERROR(__xludf.DUMMYFUNCTION("""COMPUTED_VALUE"""),0)</f>
        <v>0</v>
      </c>
      <c r="O908" s="23">
        <f ca="1">IFERROR(__xludf.DUMMYFUNCTION("""COMPUTED_VALUE"""),0)</f>
        <v>0</v>
      </c>
      <c r="P908" s="23">
        <f ca="1">IFERROR(__xludf.DUMMYFUNCTION("""COMPUTED_VALUE"""),0)</f>
        <v>0</v>
      </c>
      <c r="Q908" s="24">
        <f ca="1">IFERROR(__xludf.DUMMYFUNCTION("""COMPUTED_VALUE"""),0)</f>
        <v>0</v>
      </c>
      <c r="R908" s="20"/>
    </row>
    <row r="909" spans="1:18" ht="13.2" hidden="1" outlineLevel="1" x14ac:dyDescent="0.25">
      <c r="A909" s="1"/>
      <c r="B909" s="21" t="str">
        <f ca="1">IFERROR(__xludf.DUMMYFUNCTION("""COMPUTED_VALUE"""),"Energia Hidraúlica")</f>
        <v>Energia Hidraúlica</v>
      </c>
      <c r="C909" s="22">
        <f ca="1">IFERROR(__xludf.DUMMYFUNCTION("""COMPUTED_VALUE"""),0)</f>
        <v>0</v>
      </c>
      <c r="D909" s="23">
        <f ca="1">IFERROR(__xludf.DUMMYFUNCTION("""COMPUTED_VALUE"""),0)</f>
        <v>0</v>
      </c>
      <c r="E909" s="23">
        <f ca="1">IFERROR(__xludf.DUMMYFUNCTION("""COMPUTED_VALUE"""),0)</f>
        <v>0</v>
      </c>
      <c r="F909" s="23">
        <f ca="1">IFERROR(__xludf.DUMMYFUNCTION("""COMPUTED_VALUE"""),0)</f>
        <v>0</v>
      </c>
      <c r="G909" s="23">
        <f ca="1">IFERROR(__xludf.DUMMYFUNCTION("""COMPUTED_VALUE"""),0)</f>
        <v>0</v>
      </c>
      <c r="H909" s="23">
        <f ca="1">IFERROR(__xludf.DUMMYFUNCTION("""COMPUTED_VALUE"""),0)</f>
        <v>0</v>
      </c>
      <c r="I909" s="23">
        <f ca="1">IFERROR(__xludf.DUMMYFUNCTION("""COMPUTED_VALUE"""),0)</f>
        <v>0</v>
      </c>
      <c r="J909" s="23">
        <f ca="1">IFERROR(__xludf.DUMMYFUNCTION("""COMPUTED_VALUE"""),0)</f>
        <v>0</v>
      </c>
      <c r="K909" s="23">
        <f ca="1">IFERROR(__xludf.DUMMYFUNCTION("""COMPUTED_VALUE"""),0)</f>
        <v>0</v>
      </c>
      <c r="L909" s="23">
        <f ca="1">IFERROR(__xludf.DUMMYFUNCTION("""COMPUTED_VALUE"""),0)</f>
        <v>0</v>
      </c>
      <c r="M909" s="23">
        <f ca="1">IFERROR(__xludf.DUMMYFUNCTION("""COMPUTED_VALUE"""),0)</f>
        <v>0</v>
      </c>
      <c r="N909" s="23">
        <f ca="1">IFERROR(__xludf.DUMMYFUNCTION("""COMPUTED_VALUE"""),0)</f>
        <v>0</v>
      </c>
      <c r="O909" s="23">
        <f ca="1">IFERROR(__xludf.DUMMYFUNCTION("""COMPUTED_VALUE"""),0)</f>
        <v>0</v>
      </c>
      <c r="P909" s="23">
        <f ca="1">IFERROR(__xludf.DUMMYFUNCTION("""COMPUTED_VALUE"""),0)</f>
        <v>0</v>
      </c>
      <c r="Q909" s="24">
        <f ca="1">IFERROR(__xludf.DUMMYFUNCTION("""COMPUTED_VALUE"""),0)</f>
        <v>0</v>
      </c>
      <c r="R909" s="20"/>
    </row>
    <row r="910" spans="1:18" ht="13.2" hidden="1" outlineLevel="1" x14ac:dyDescent="0.25">
      <c r="A910" s="1"/>
      <c r="B910" s="21" t="str">
        <f ca="1">IFERROR(__xludf.DUMMYFUNCTION("""COMPUTED_VALUE"""),"Geoenergía")</f>
        <v>Geoenergía</v>
      </c>
      <c r="C910" s="22">
        <f ca="1">IFERROR(__xludf.DUMMYFUNCTION("""COMPUTED_VALUE"""),0)</f>
        <v>0</v>
      </c>
      <c r="D910" s="23">
        <f ca="1">IFERROR(__xludf.DUMMYFUNCTION("""COMPUTED_VALUE"""),0)</f>
        <v>0</v>
      </c>
      <c r="E910" s="23">
        <f ca="1">IFERROR(__xludf.DUMMYFUNCTION("""COMPUTED_VALUE"""),0)</f>
        <v>0</v>
      </c>
      <c r="F910" s="23">
        <f ca="1">IFERROR(__xludf.DUMMYFUNCTION("""COMPUTED_VALUE"""),0)</f>
        <v>0</v>
      </c>
      <c r="G910" s="23">
        <f ca="1">IFERROR(__xludf.DUMMYFUNCTION("""COMPUTED_VALUE"""),0)</f>
        <v>0</v>
      </c>
      <c r="H910" s="23">
        <f ca="1">IFERROR(__xludf.DUMMYFUNCTION("""COMPUTED_VALUE"""),0)</f>
        <v>0</v>
      </c>
      <c r="I910" s="23">
        <f ca="1">IFERROR(__xludf.DUMMYFUNCTION("""COMPUTED_VALUE"""),0)</f>
        <v>0</v>
      </c>
      <c r="J910" s="23">
        <f ca="1">IFERROR(__xludf.DUMMYFUNCTION("""COMPUTED_VALUE"""),0)</f>
        <v>0</v>
      </c>
      <c r="K910" s="23">
        <f ca="1">IFERROR(__xludf.DUMMYFUNCTION("""COMPUTED_VALUE"""),0)</f>
        <v>0</v>
      </c>
      <c r="L910" s="23">
        <f ca="1">IFERROR(__xludf.DUMMYFUNCTION("""COMPUTED_VALUE"""),0)</f>
        <v>0</v>
      </c>
      <c r="M910" s="23">
        <f ca="1">IFERROR(__xludf.DUMMYFUNCTION("""COMPUTED_VALUE"""),0)</f>
        <v>0</v>
      </c>
      <c r="N910" s="23">
        <f ca="1">IFERROR(__xludf.DUMMYFUNCTION("""COMPUTED_VALUE"""),0)</f>
        <v>0</v>
      </c>
      <c r="O910" s="23">
        <f ca="1">IFERROR(__xludf.DUMMYFUNCTION("""COMPUTED_VALUE"""),0)</f>
        <v>0</v>
      </c>
      <c r="P910" s="23">
        <f ca="1">IFERROR(__xludf.DUMMYFUNCTION("""COMPUTED_VALUE"""),0)</f>
        <v>0</v>
      </c>
      <c r="Q910" s="24">
        <f ca="1">IFERROR(__xludf.DUMMYFUNCTION("""COMPUTED_VALUE"""),0)</f>
        <v>0</v>
      </c>
      <c r="R910" s="20"/>
    </row>
    <row r="911" spans="1:18" ht="13.2" hidden="1" outlineLevel="1" x14ac:dyDescent="0.25">
      <c r="A911" s="1"/>
      <c r="B911" s="21" t="str">
        <f ca="1">IFERROR(__xludf.DUMMYFUNCTION("""COMPUTED_VALUE"""),"Energía solar")</f>
        <v>Energía solar</v>
      </c>
      <c r="C911" s="22">
        <f ca="1">IFERROR(__xludf.DUMMYFUNCTION("""COMPUTED_VALUE"""),7.72)</f>
        <v>7.72</v>
      </c>
      <c r="D911" s="23">
        <f ca="1">IFERROR(__xludf.DUMMYFUNCTION("""COMPUTED_VALUE"""),8.98)</f>
        <v>8.98</v>
      </c>
      <c r="E911" s="23">
        <f ca="1">IFERROR(__xludf.DUMMYFUNCTION("""COMPUTED_VALUE"""),10.24)</f>
        <v>10.24</v>
      </c>
      <c r="F911" s="23">
        <f ca="1">IFERROR(__xludf.DUMMYFUNCTION("""COMPUTED_VALUE"""),11.49)</f>
        <v>11.49</v>
      </c>
      <c r="G911" s="23">
        <f ca="1">IFERROR(__xludf.DUMMYFUNCTION("""COMPUTED_VALUE"""),13.05)</f>
        <v>13.05</v>
      </c>
      <c r="H911" s="23">
        <f ca="1">IFERROR(__xludf.DUMMYFUNCTION("""COMPUTED_VALUE"""),14.67)</f>
        <v>14.67</v>
      </c>
      <c r="I911" s="23">
        <f ca="1">IFERROR(__xludf.DUMMYFUNCTION("""COMPUTED_VALUE"""),16.37)</f>
        <v>16.37</v>
      </c>
      <c r="J911" s="23">
        <f ca="1">IFERROR(__xludf.DUMMYFUNCTION("""COMPUTED_VALUE"""),18.27)</f>
        <v>18.27</v>
      </c>
      <c r="K911" s="23">
        <f ca="1">IFERROR(__xludf.DUMMYFUNCTION("""COMPUTED_VALUE"""),20.2)</f>
        <v>20.2</v>
      </c>
      <c r="L911" s="23">
        <f ca="1">IFERROR(__xludf.DUMMYFUNCTION("""COMPUTED_VALUE"""),22.06)</f>
        <v>22.06</v>
      </c>
      <c r="M911" s="23">
        <f ca="1">IFERROR(__xludf.DUMMYFUNCTION("""COMPUTED_VALUE"""),23.68)</f>
        <v>23.68</v>
      </c>
      <c r="N911" s="23">
        <f ca="1">IFERROR(__xludf.DUMMYFUNCTION("""COMPUTED_VALUE"""),25.52)</f>
        <v>25.52</v>
      </c>
      <c r="O911" s="23">
        <f ca="1">IFERROR(__xludf.DUMMYFUNCTION("""COMPUTED_VALUE"""),27.32)</f>
        <v>27.32</v>
      </c>
      <c r="P911" s="23">
        <f ca="1">IFERROR(__xludf.DUMMYFUNCTION("""COMPUTED_VALUE"""),29.25)</f>
        <v>29.25</v>
      </c>
      <c r="Q911" s="24">
        <f ca="1">IFERROR(__xludf.DUMMYFUNCTION("""COMPUTED_VALUE"""),31.49)</f>
        <v>31.49</v>
      </c>
      <c r="R911" s="20"/>
    </row>
    <row r="912" spans="1:18" ht="13.2" hidden="1" outlineLevel="1" x14ac:dyDescent="0.25">
      <c r="A912" s="1"/>
      <c r="B912" s="21" t="str">
        <f ca="1">IFERROR(__xludf.DUMMYFUNCTION("""COMPUTED_VALUE"""),"Energía eólica")</f>
        <v>Energía eólica</v>
      </c>
      <c r="C912" s="22">
        <f ca="1">IFERROR(__xludf.DUMMYFUNCTION("""COMPUTED_VALUE"""),0)</f>
        <v>0</v>
      </c>
      <c r="D912" s="23">
        <f ca="1">IFERROR(__xludf.DUMMYFUNCTION("""COMPUTED_VALUE"""),0)</f>
        <v>0</v>
      </c>
      <c r="E912" s="23">
        <f ca="1">IFERROR(__xludf.DUMMYFUNCTION("""COMPUTED_VALUE"""),0)</f>
        <v>0</v>
      </c>
      <c r="F912" s="23">
        <f ca="1">IFERROR(__xludf.DUMMYFUNCTION("""COMPUTED_VALUE"""),0)</f>
        <v>0</v>
      </c>
      <c r="G912" s="23">
        <f ca="1">IFERROR(__xludf.DUMMYFUNCTION("""COMPUTED_VALUE"""),0)</f>
        <v>0</v>
      </c>
      <c r="H912" s="23">
        <f ca="1">IFERROR(__xludf.DUMMYFUNCTION("""COMPUTED_VALUE"""),0)</f>
        <v>0</v>
      </c>
      <c r="I912" s="23">
        <f ca="1">IFERROR(__xludf.DUMMYFUNCTION("""COMPUTED_VALUE"""),0)</f>
        <v>0</v>
      </c>
      <c r="J912" s="23">
        <f ca="1">IFERROR(__xludf.DUMMYFUNCTION("""COMPUTED_VALUE"""),0)</f>
        <v>0</v>
      </c>
      <c r="K912" s="23">
        <f ca="1">IFERROR(__xludf.DUMMYFUNCTION("""COMPUTED_VALUE"""),0)</f>
        <v>0</v>
      </c>
      <c r="L912" s="23">
        <f ca="1">IFERROR(__xludf.DUMMYFUNCTION("""COMPUTED_VALUE"""),0)</f>
        <v>0</v>
      </c>
      <c r="M912" s="23">
        <f ca="1">IFERROR(__xludf.DUMMYFUNCTION("""COMPUTED_VALUE"""),0)</f>
        <v>0</v>
      </c>
      <c r="N912" s="23">
        <f ca="1">IFERROR(__xludf.DUMMYFUNCTION("""COMPUTED_VALUE"""),0)</f>
        <v>0</v>
      </c>
      <c r="O912" s="23">
        <f ca="1">IFERROR(__xludf.DUMMYFUNCTION("""COMPUTED_VALUE"""),0)</f>
        <v>0</v>
      </c>
      <c r="P912" s="23">
        <f ca="1">IFERROR(__xludf.DUMMYFUNCTION("""COMPUTED_VALUE"""),0)</f>
        <v>0</v>
      </c>
      <c r="Q912" s="24">
        <f ca="1">IFERROR(__xludf.DUMMYFUNCTION("""COMPUTED_VALUE"""),0)</f>
        <v>0</v>
      </c>
      <c r="R912" s="20"/>
    </row>
    <row r="913" spans="1:18" ht="13.2" hidden="1" outlineLevel="1" x14ac:dyDescent="0.25">
      <c r="A913" s="1"/>
      <c r="B913" s="21" t="str">
        <f ca="1">IFERROR(__xludf.DUMMYFUNCTION("""COMPUTED_VALUE"""),"Bagazo de caña")</f>
        <v>Bagazo de caña</v>
      </c>
      <c r="C913" s="22">
        <f ca="1">IFERROR(__xludf.DUMMYFUNCTION("""COMPUTED_VALUE"""),51.599896578)</f>
        <v>51.599896577999999</v>
      </c>
      <c r="D913" s="23">
        <f ca="1">IFERROR(__xludf.DUMMYFUNCTION("""COMPUTED_VALUE"""),50.117759172)</f>
        <v>50.117759172</v>
      </c>
      <c r="E913" s="23">
        <f ca="1">IFERROR(__xludf.DUMMYFUNCTION("""COMPUTED_VALUE"""),48.8985816299999)</f>
        <v>48.898581629999903</v>
      </c>
      <c r="F913" s="23">
        <f ca="1">IFERROR(__xludf.DUMMYFUNCTION("""COMPUTED_VALUE"""),76.246407306)</f>
        <v>76.246407305999995</v>
      </c>
      <c r="G913" s="23">
        <f ca="1">IFERROR(__xludf.DUMMYFUNCTION("""COMPUTED_VALUE"""),47.225200692)</f>
        <v>47.225200692000001</v>
      </c>
      <c r="H913" s="23">
        <f ca="1">IFERROR(__xludf.DUMMYFUNCTION("""COMPUTED_VALUE"""),42.2212320110364)</f>
        <v>42.221232011036399</v>
      </c>
      <c r="I913" s="23">
        <f ca="1">IFERROR(__xludf.DUMMYFUNCTION("""COMPUTED_VALUE"""),43.1530765253062)</f>
        <v>43.153076525306197</v>
      </c>
      <c r="J913" s="23">
        <f ca="1">IFERROR(__xludf.DUMMYFUNCTION("""COMPUTED_VALUE"""),42.0251810260395)</f>
        <v>42.025181026039498</v>
      </c>
      <c r="K913" s="23">
        <f ca="1">IFERROR(__xludf.DUMMYFUNCTION("""COMPUTED_VALUE"""),42.3945089159803)</f>
        <v>42.394508915980303</v>
      </c>
      <c r="L913" s="23">
        <f ca="1">IFERROR(__xludf.DUMMYFUNCTION("""COMPUTED_VALUE"""),45.3320196081777)</f>
        <v>45.332019608177703</v>
      </c>
      <c r="M913" s="23">
        <f ca="1">IFERROR(__xludf.DUMMYFUNCTION("""COMPUTED_VALUE"""),37.2361017274158)</f>
        <v>37.2361017274158</v>
      </c>
      <c r="N913" s="23">
        <f ca="1">IFERROR(__xludf.DUMMYFUNCTION("""COMPUTED_VALUE"""),40.3199340580347)</f>
        <v>40.319934058034697</v>
      </c>
      <c r="O913" s="23">
        <f ca="1">IFERROR(__xludf.DUMMYFUNCTION("""COMPUTED_VALUE"""),43.6328061329233)</f>
        <v>43.632806132923299</v>
      </c>
      <c r="P913" s="23">
        <f ca="1">IFERROR(__xludf.DUMMYFUNCTION("""COMPUTED_VALUE"""),36.8547022518483)</f>
        <v>36.854702251848302</v>
      </c>
      <c r="Q913" s="24">
        <f ca="1">IFERROR(__xludf.DUMMYFUNCTION("""COMPUTED_VALUE"""),33.1812298390588)</f>
        <v>33.181229839058801</v>
      </c>
      <c r="R913" s="20"/>
    </row>
    <row r="914" spans="1:18" ht="13.2" hidden="1" outlineLevel="1" x14ac:dyDescent="0.25">
      <c r="A914" s="1"/>
      <c r="B914" s="21" t="str">
        <f ca="1">IFERROR(__xludf.DUMMYFUNCTION("""COMPUTED_VALUE"""),"Leña")</f>
        <v>Leña</v>
      </c>
      <c r="C914" s="22">
        <f ca="1">IFERROR(__xludf.DUMMYFUNCTION("""COMPUTED_VALUE"""),10.5089302861532)</f>
        <v>10.5089302861532</v>
      </c>
      <c r="D914" s="23">
        <f ca="1">IFERROR(__xludf.DUMMYFUNCTION("""COMPUTED_VALUE"""),10.4575680839276)</f>
        <v>10.457568083927599</v>
      </c>
      <c r="E914" s="23">
        <f ca="1">IFERROR(__xludf.DUMMYFUNCTION("""COMPUTED_VALUE"""),10.4067601305934)</f>
        <v>10.406760130593399</v>
      </c>
      <c r="F914" s="23">
        <f ca="1">IFERROR(__xludf.DUMMYFUNCTION("""COMPUTED_VALUE"""),10.3556750528135)</f>
        <v>10.355675052813501</v>
      </c>
      <c r="G914" s="23">
        <f ca="1">IFERROR(__xludf.DUMMYFUNCTION("""COMPUTED_VALUE"""),10.3045899750336)</f>
        <v>10.304589975033601</v>
      </c>
      <c r="H914" s="23">
        <f ca="1">IFERROR(__xludf.DUMMYFUNCTION("""COMPUTED_VALUE"""),10.2535048972536)</f>
        <v>10.253504897253601</v>
      </c>
      <c r="I914" s="23">
        <f ca="1">IFERROR(__xludf.DUMMYFUNCTION("""COMPUTED_VALUE"""),10.2024198194737)</f>
        <v>10.2024198194737</v>
      </c>
      <c r="J914" s="23">
        <f ca="1">IFERROR(__xludf.DUMMYFUNCTION("""COMPUTED_VALUE"""),10.1513347416938)</f>
        <v>10.1513347416938</v>
      </c>
      <c r="K914" s="23">
        <f ca="1">IFERROR(__xludf.DUMMYFUNCTION("""COMPUTED_VALUE"""),10.1005267778753)</f>
        <v>10.100526777875301</v>
      </c>
      <c r="L914" s="23">
        <f ca="1">IFERROR(__xludf.DUMMYFUNCTION("""COMPUTED_VALUE"""),10.0488874824642)</f>
        <v>10.048887482464201</v>
      </c>
      <c r="M914" s="23">
        <f ca="1">IFERROR(__xludf.DUMMYFUNCTION("""COMPUTED_VALUE"""),9.99807950835413)</f>
        <v>9.9980795083541292</v>
      </c>
      <c r="N914" s="23">
        <f ca="1">IFERROR(__xludf.DUMMYFUNCTION("""COMPUTED_VALUE"""),9.95036640401986)</f>
        <v>9.9503664040198601</v>
      </c>
      <c r="O914" s="23">
        <f ca="1">IFERROR(__xludf.DUMMYFUNCTION("""COMPUTED_VALUE"""),9.90799141975135)</f>
        <v>9.9079914197513492</v>
      </c>
      <c r="P914" s="23">
        <f ca="1">IFERROR(__xludf.DUMMYFUNCTION("""COMPUTED_VALUE"""),9.86561643548283)</f>
        <v>9.8656164354828295</v>
      </c>
      <c r="Q914" s="24">
        <f ca="1">IFERROR(__xludf.DUMMYFUNCTION("""COMPUTED_VALUE"""),9.82324145121431)</f>
        <v>9.8232414512143098</v>
      </c>
      <c r="R914" s="20"/>
    </row>
    <row r="915" spans="1:18" ht="13.2" hidden="1" outlineLevel="1" x14ac:dyDescent="0.25">
      <c r="A915" s="1"/>
      <c r="B915" s="21" t="str">
        <f ca="1">IFERROR(__xludf.DUMMYFUNCTION("""COMPUTED_VALUE"""),"Biogás")</f>
        <v>Biogás</v>
      </c>
      <c r="C915" s="22">
        <f ca="1">IFERROR(__xludf.DUMMYFUNCTION("""COMPUTED_VALUE"""),0)</f>
        <v>0</v>
      </c>
      <c r="D915" s="23">
        <f ca="1">IFERROR(__xludf.DUMMYFUNCTION("""COMPUTED_VALUE"""),0)</f>
        <v>0</v>
      </c>
      <c r="E915" s="23">
        <f ca="1">IFERROR(__xludf.DUMMYFUNCTION("""COMPUTED_VALUE"""),0)</f>
        <v>0</v>
      </c>
      <c r="F915" s="23">
        <f ca="1">IFERROR(__xludf.DUMMYFUNCTION("""COMPUTED_VALUE"""),0)</f>
        <v>0</v>
      </c>
      <c r="G915" s="23">
        <f ca="1">IFERROR(__xludf.DUMMYFUNCTION("""COMPUTED_VALUE"""),0)</f>
        <v>0</v>
      </c>
      <c r="H915" s="23">
        <f ca="1">IFERROR(__xludf.DUMMYFUNCTION("""COMPUTED_VALUE"""),0)</f>
        <v>0</v>
      </c>
      <c r="I915" s="23">
        <f ca="1">IFERROR(__xludf.DUMMYFUNCTION("""COMPUTED_VALUE"""),0)</f>
        <v>0</v>
      </c>
      <c r="J915" s="23">
        <f ca="1">IFERROR(__xludf.DUMMYFUNCTION("""COMPUTED_VALUE"""),0)</f>
        <v>0</v>
      </c>
      <c r="K915" s="23">
        <f ca="1">IFERROR(__xludf.DUMMYFUNCTION("""COMPUTED_VALUE"""),0)</f>
        <v>0</v>
      </c>
      <c r="L915" s="23">
        <f ca="1">IFERROR(__xludf.DUMMYFUNCTION("""COMPUTED_VALUE"""),0)</f>
        <v>0</v>
      </c>
      <c r="M915" s="23">
        <f ca="1">IFERROR(__xludf.DUMMYFUNCTION("""COMPUTED_VALUE"""),0)</f>
        <v>0</v>
      </c>
      <c r="N915" s="23">
        <f ca="1">IFERROR(__xludf.DUMMYFUNCTION("""COMPUTED_VALUE"""),0)</f>
        <v>0</v>
      </c>
      <c r="O915" s="23">
        <f ca="1">IFERROR(__xludf.DUMMYFUNCTION("""COMPUTED_VALUE"""),0)</f>
        <v>0</v>
      </c>
      <c r="P915" s="23">
        <f ca="1">IFERROR(__xludf.DUMMYFUNCTION("""COMPUTED_VALUE"""),0)</f>
        <v>0</v>
      </c>
      <c r="Q915" s="24">
        <f ca="1">IFERROR(__xludf.DUMMYFUNCTION("""COMPUTED_VALUE"""),0)</f>
        <v>0</v>
      </c>
      <c r="R915" s="20"/>
    </row>
    <row r="916" spans="1:18" ht="13.2" hidden="1" outlineLevel="1" x14ac:dyDescent="0.25">
      <c r="A916" s="1"/>
      <c r="B916" s="21" t="str">
        <f ca="1">IFERROR(__xludf.DUMMYFUNCTION("""COMPUTED_VALUE"""),"Coque de carbón")</f>
        <v>Coque de carbón</v>
      </c>
      <c r="C916" s="22">
        <f ca="1">IFERROR(__xludf.DUMMYFUNCTION("""COMPUTED_VALUE"""),73.131705)</f>
        <v>73.131704999999997</v>
      </c>
      <c r="D916" s="23">
        <f ca="1">IFERROR(__xludf.DUMMYFUNCTION("""COMPUTED_VALUE"""),74.1615081859999)</f>
        <v>74.161508185999907</v>
      </c>
      <c r="E916" s="23">
        <f ca="1">IFERROR(__xludf.DUMMYFUNCTION("""COMPUTED_VALUE"""),79.630705966)</f>
        <v>79.630705965999994</v>
      </c>
      <c r="F916" s="23">
        <f ca="1">IFERROR(__xludf.DUMMYFUNCTION("""COMPUTED_VALUE"""),76.391363594)</f>
        <v>76.391363593999998</v>
      </c>
      <c r="G916" s="23">
        <f ca="1">IFERROR(__xludf.DUMMYFUNCTION("""COMPUTED_VALUE"""),68.8705257315879)</f>
        <v>68.870525731587904</v>
      </c>
      <c r="H916" s="23">
        <f ca="1">IFERROR(__xludf.DUMMYFUNCTION("""COMPUTED_VALUE"""),62.8905662974049)</f>
        <v>62.890566297404902</v>
      </c>
      <c r="I916" s="23">
        <f ca="1">IFERROR(__xludf.DUMMYFUNCTION("""COMPUTED_VALUE"""),63.5135855841319)</f>
        <v>63.513585584131903</v>
      </c>
      <c r="J916" s="23">
        <f ca="1">IFERROR(__xludf.DUMMYFUNCTION("""COMPUTED_VALUE"""),61.1908059182779)</f>
        <v>61.190805918277903</v>
      </c>
      <c r="K916" s="23">
        <f ca="1">IFERROR(__xludf.DUMMYFUNCTION("""COMPUTED_VALUE"""),61.407967010873)</f>
        <v>61.407967010873001</v>
      </c>
      <c r="L916" s="23">
        <f ca="1">IFERROR(__xludf.DUMMYFUNCTION("""COMPUTED_VALUE"""),57.029056340813)</f>
        <v>57.029056340813</v>
      </c>
      <c r="M916" s="23">
        <f ca="1">IFERROR(__xludf.DUMMYFUNCTION("""COMPUTED_VALUE"""),44.557250843698)</f>
        <v>44.557250843698</v>
      </c>
      <c r="N916" s="23">
        <f ca="1">IFERROR(__xludf.DUMMYFUNCTION("""COMPUTED_VALUE"""),48.408891971649)</f>
        <v>48.408891971648998</v>
      </c>
      <c r="O916" s="23">
        <f ca="1">IFERROR(__xludf.DUMMYFUNCTION("""COMPUTED_VALUE"""),42.87200044885)</f>
        <v>42.872000448850002</v>
      </c>
      <c r="P916" s="23">
        <f ca="1">IFERROR(__xludf.DUMMYFUNCTION("""COMPUTED_VALUE"""),18.4121022171549)</f>
        <v>18.412102217154899</v>
      </c>
      <c r="Q916" s="24">
        <f ca="1">IFERROR(__xludf.DUMMYFUNCTION("""COMPUTED_VALUE"""),16.460465758118)</f>
        <v>16.460465758118001</v>
      </c>
      <c r="R916" s="20"/>
    </row>
    <row r="917" spans="1:18" ht="13.2" hidden="1" outlineLevel="1" x14ac:dyDescent="0.25">
      <c r="A917" s="1"/>
      <c r="B917" s="21" t="str">
        <f ca="1">IFERROR(__xludf.DUMMYFUNCTION("""COMPUTED_VALUE"""),"Coque de petróleo")</f>
        <v>Coque de petróleo</v>
      </c>
      <c r="C917" s="22">
        <f ca="1">IFERROR(__xludf.DUMMYFUNCTION("""COMPUTED_VALUE"""),80.313791836)</f>
        <v>80.313791835999993</v>
      </c>
      <c r="D917" s="23">
        <f ca="1">IFERROR(__xludf.DUMMYFUNCTION("""COMPUTED_VALUE"""),109.042681333)</f>
        <v>109.042681333</v>
      </c>
      <c r="E917" s="23">
        <f ca="1">IFERROR(__xludf.DUMMYFUNCTION("""COMPUTED_VALUE"""),90.963662298)</f>
        <v>90.963662298000003</v>
      </c>
      <c r="F917" s="23">
        <f ca="1">IFERROR(__xludf.DUMMYFUNCTION("""COMPUTED_VALUE"""),110.191360187)</f>
        <v>110.191360187</v>
      </c>
      <c r="G917" s="23">
        <f ca="1">IFERROR(__xludf.DUMMYFUNCTION("""COMPUTED_VALUE"""),60.785065299)</f>
        <v>60.785065299000003</v>
      </c>
      <c r="H917" s="23">
        <f ca="1">IFERROR(__xludf.DUMMYFUNCTION("""COMPUTED_VALUE"""),69.694815274)</f>
        <v>69.694815274000007</v>
      </c>
      <c r="I917" s="23">
        <f ca="1">IFERROR(__xludf.DUMMYFUNCTION("""COMPUTED_VALUE"""),42.760435541)</f>
        <v>42.760435541</v>
      </c>
      <c r="J917" s="23">
        <f ca="1">IFERROR(__xludf.DUMMYFUNCTION("""COMPUTED_VALUE"""),55.058182943)</f>
        <v>55.058182942999998</v>
      </c>
      <c r="K917" s="23">
        <f ca="1">IFERROR(__xludf.DUMMYFUNCTION("""COMPUTED_VALUE"""),70.568958517)</f>
        <v>70.568958516999999</v>
      </c>
      <c r="L917" s="23">
        <f ca="1">IFERROR(__xludf.DUMMYFUNCTION("""COMPUTED_VALUE"""),107.453219453)</f>
        <v>107.453219453</v>
      </c>
      <c r="M917" s="23">
        <f ca="1">IFERROR(__xludf.DUMMYFUNCTION("""COMPUTED_VALUE"""),116.552493326)</f>
        <v>116.552493326</v>
      </c>
      <c r="N917" s="23">
        <f ca="1">IFERROR(__xludf.DUMMYFUNCTION("""COMPUTED_VALUE"""),133.005299835)</f>
        <v>133.00529983499999</v>
      </c>
      <c r="O917" s="23">
        <f ca="1">IFERROR(__xludf.DUMMYFUNCTION("""COMPUTED_VALUE"""),141.053466064)</f>
        <v>141.05346606399999</v>
      </c>
      <c r="P917" s="23">
        <f ca="1">IFERROR(__xludf.DUMMYFUNCTION("""COMPUTED_VALUE"""),127.000236626)</f>
        <v>127.000236626</v>
      </c>
      <c r="Q917" s="24">
        <f ca="1">IFERROR(__xludf.DUMMYFUNCTION("""COMPUTED_VALUE"""),126.422357065)</f>
        <v>126.422357065</v>
      </c>
      <c r="R917" s="20"/>
    </row>
    <row r="918" spans="1:18" ht="13.2" hidden="1" outlineLevel="1" x14ac:dyDescent="0.25">
      <c r="A918" s="1"/>
      <c r="B918" s="21" t="str">
        <f ca="1">IFERROR(__xludf.DUMMYFUNCTION("""COMPUTED_VALUE"""),"Gas licuado de petróleo")</f>
        <v>Gas licuado de petróleo</v>
      </c>
      <c r="C918" s="22">
        <f ca="1">IFERROR(__xludf.DUMMYFUNCTION("""COMPUTED_VALUE"""),45.6349629086859)</f>
        <v>45.6349629086859</v>
      </c>
      <c r="D918" s="23">
        <f ca="1">IFERROR(__xludf.DUMMYFUNCTION("""COMPUTED_VALUE"""),39.8667331928055)</f>
        <v>39.866733192805498</v>
      </c>
      <c r="E918" s="23">
        <f ca="1">IFERROR(__xludf.DUMMYFUNCTION("""COMPUTED_VALUE"""),40.5528234197675)</f>
        <v>40.552823419767499</v>
      </c>
      <c r="F918" s="23">
        <f ca="1">IFERROR(__xludf.DUMMYFUNCTION("""COMPUTED_VALUE"""),43.8614707010256)</f>
        <v>43.861470701025603</v>
      </c>
      <c r="G918" s="23">
        <f ca="1">IFERROR(__xludf.DUMMYFUNCTION("""COMPUTED_VALUE"""),43.3518756981884)</f>
        <v>43.351875698188401</v>
      </c>
      <c r="H918" s="23">
        <f ca="1">IFERROR(__xludf.DUMMYFUNCTION("""COMPUTED_VALUE"""),46.9174044664882)</f>
        <v>46.9174044664882</v>
      </c>
      <c r="I918" s="23">
        <f ca="1">IFERROR(__xludf.DUMMYFUNCTION("""COMPUTED_VALUE"""),51.1811340550336)</f>
        <v>51.181134055033603</v>
      </c>
      <c r="J918" s="23">
        <f ca="1">IFERROR(__xludf.DUMMYFUNCTION("""COMPUTED_VALUE"""),48.1420203388782)</f>
        <v>48.142020338878197</v>
      </c>
      <c r="K918" s="23">
        <f ca="1">IFERROR(__xludf.DUMMYFUNCTION("""COMPUTED_VALUE"""),50.6228645275829)</f>
        <v>50.622864527582898</v>
      </c>
      <c r="L918" s="23">
        <f ca="1">IFERROR(__xludf.DUMMYFUNCTION("""COMPUTED_VALUE"""),43.9952401894591)</f>
        <v>43.995240189459103</v>
      </c>
      <c r="M918" s="23">
        <f ca="1">IFERROR(__xludf.DUMMYFUNCTION("""COMPUTED_VALUE"""),48.1204597302599)</f>
        <v>48.120459730259903</v>
      </c>
      <c r="N918" s="23">
        <f ca="1">IFERROR(__xludf.DUMMYFUNCTION("""COMPUTED_VALUE"""),41.2902845304457)</f>
        <v>41.290284530445703</v>
      </c>
      <c r="O918" s="23">
        <f ca="1">IFERROR(__xludf.DUMMYFUNCTION("""COMPUTED_VALUE"""),46.5845915636345)</f>
        <v>46.584591563634497</v>
      </c>
      <c r="P918" s="23">
        <f ca="1">IFERROR(__xludf.DUMMYFUNCTION("""COMPUTED_VALUE"""),48.3509202191146)</f>
        <v>48.350920219114599</v>
      </c>
      <c r="Q918" s="24">
        <f ca="1">IFERROR(__xludf.DUMMYFUNCTION("""COMPUTED_VALUE"""),47.5784931767831)</f>
        <v>47.578493176783098</v>
      </c>
      <c r="R918" s="20"/>
    </row>
    <row r="919" spans="1:18" ht="13.2" hidden="1" outlineLevel="1" x14ac:dyDescent="0.25">
      <c r="A919" s="1"/>
      <c r="B919" s="21" t="str">
        <f ca="1">IFERROR(__xludf.DUMMYFUNCTION("""COMPUTED_VALUE"""),"Gasolinas y naftas")</f>
        <v>Gasolinas y naftas</v>
      </c>
      <c r="C919" s="22">
        <f ca="1">IFERROR(__xludf.DUMMYFUNCTION("""COMPUTED_VALUE"""),1.94)</f>
        <v>1.94</v>
      </c>
      <c r="D919" s="23">
        <f ca="1">IFERROR(__xludf.DUMMYFUNCTION("""COMPUTED_VALUE"""),2.23)</f>
        <v>2.23</v>
      </c>
      <c r="E919" s="23">
        <f ca="1">IFERROR(__xludf.DUMMYFUNCTION("""COMPUTED_VALUE"""),0.41)</f>
        <v>0.41</v>
      </c>
      <c r="F919" s="23">
        <f ca="1">IFERROR(__xludf.DUMMYFUNCTION("""COMPUTED_VALUE"""),0.85)</f>
        <v>0.85</v>
      </c>
      <c r="G919" s="23">
        <f ca="1">IFERROR(__xludf.DUMMYFUNCTION("""COMPUTED_VALUE"""),1.04733236419989)</f>
        <v>1.04733236419989</v>
      </c>
      <c r="H919" s="23">
        <f ca="1">IFERROR(__xludf.DUMMYFUNCTION("""COMPUTED_VALUE"""),0.99055768089287)</f>
        <v>0.99055768089287</v>
      </c>
      <c r="I919" s="23">
        <f ca="1">IFERROR(__xludf.DUMMYFUNCTION("""COMPUTED_VALUE"""),1.147)</f>
        <v>1.147</v>
      </c>
      <c r="J919" s="23">
        <f ca="1">IFERROR(__xludf.DUMMYFUNCTION("""COMPUTED_VALUE"""),1.16789542592596)</f>
        <v>1.16789542592596</v>
      </c>
      <c r="K919" s="23">
        <f ca="1">IFERROR(__xludf.DUMMYFUNCTION("""COMPUTED_VALUE"""),1.1779398279543)</f>
        <v>1.1779398279543001</v>
      </c>
      <c r="L919" s="23">
        <f ca="1">IFERROR(__xludf.DUMMYFUNCTION("""COMPUTED_VALUE"""),1.29224003577736)</f>
        <v>1.29224003577736</v>
      </c>
      <c r="M919" s="23">
        <f ca="1">IFERROR(__xludf.DUMMYFUNCTION("""COMPUTED_VALUE"""),1.47087311289568)</f>
        <v>1.47087311289568</v>
      </c>
      <c r="N919" s="23">
        <f ca="1">IFERROR(__xludf.DUMMYFUNCTION("""COMPUTED_VALUE"""),1.46508509295047)</f>
        <v>1.46508509295047</v>
      </c>
      <c r="O919" s="23">
        <f ca="1">IFERROR(__xludf.DUMMYFUNCTION("""COMPUTED_VALUE"""),1.38)</f>
        <v>1.38</v>
      </c>
      <c r="P919" s="23">
        <f ca="1">IFERROR(__xludf.DUMMYFUNCTION("""COMPUTED_VALUE"""),1.25)</f>
        <v>1.25</v>
      </c>
      <c r="Q919" s="24">
        <f ca="1">IFERROR(__xludf.DUMMYFUNCTION("""COMPUTED_VALUE"""),1.12)</f>
        <v>1.1200000000000001</v>
      </c>
      <c r="R919" s="20"/>
    </row>
    <row r="920" spans="1:18" ht="13.2" hidden="1" outlineLevel="1" x14ac:dyDescent="0.25">
      <c r="A920" s="1"/>
      <c r="B920" s="21" t="str">
        <f ca="1">IFERROR(__xludf.DUMMYFUNCTION("""COMPUTED_VALUE"""),"Querosenos")</f>
        <v>Querosenos</v>
      </c>
      <c r="C920" s="22">
        <f ca="1">IFERROR(__xludf.DUMMYFUNCTION("""COMPUTED_VALUE"""),0)</f>
        <v>0</v>
      </c>
      <c r="D920" s="23">
        <f ca="1">IFERROR(__xludf.DUMMYFUNCTION("""COMPUTED_VALUE"""),0)</f>
        <v>0</v>
      </c>
      <c r="E920" s="23">
        <f ca="1">IFERROR(__xludf.DUMMYFUNCTION("""COMPUTED_VALUE"""),0)</f>
        <v>0</v>
      </c>
      <c r="F920" s="23">
        <f ca="1">IFERROR(__xludf.DUMMYFUNCTION("""COMPUTED_VALUE"""),0)</f>
        <v>0</v>
      </c>
      <c r="G920" s="23">
        <f ca="1">IFERROR(__xludf.DUMMYFUNCTION("""COMPUTED_VALUE"""),0)</f>
        <v>0</v>
      </c>
      <c r="H920" s="23">
        <f ca="1">IFERROR(__xludf.DUMMYFUNCTION("""COMPUTED_VALUE"""),0)</f>
        <v>0</v>
      </c>
      <c r="I920" s="23">
        <f ca="1">IFERROR(__xludf.DUMMYFUNCTION("""COMPUTED_VALUE"""),0)</f>
        <v>0</v>
      </c>
      <c r="J920" s="23">
        <f ca="1">IFERROR(__xludf.DUMMYFUNCTION("""COMPUTED_VALUE"""),0)</f>
        <v>0</v>
      </c>
      <c r="K920" s="23">
        <f ca="1">IFERROR(__xludf.DUMMYFUNCTION("""COMPUTED_VALUE"""),0)</f>
        <v>0</v>
      </c>
      <c r="L920" s="23">
        <f ca="1">IFERROR(__xludf.DUMMYFUNCTION("""COMPUTED_VALUE"""),0)</f>
        <v>0</v>
      </c>
      <c r="M920" s="23">
        <f ca="1">IFERROR(__xludf.DUMMYFUNCTION("""COMPUTED_VALUE"""),0)</f>
        <v>0</v>
      </c>
      <c r="N920" s="23">
        <f ca="1">IFERROR(__xludf.DUMMYFUNCTION("""COMPUTED_VALUE"""),0)</f>
        <v>0</v>
      </c>
      <c r="O920" s="23">
        <f ca="1">IFERROR(__xludf.DUMMYFUNCTION("""COMPUTED_VALUE"""),0)</f>
        <v>0</v>
      </c>
      <c r="P920" s="23">
        <f ca="1">IFERROR(__xludf.DUMMYFUNCTION("""COMPUTED_VALUE"""),0)</f>
        <v>0</v>
      </c>
      <c r="Q920" s="24">
        <f ca="1">IFERROR(__xludf.DUMMYFUNCTION("""COMPUTED_VALUE"""),0)</f>
        <v>0</v>
      </c>
      <c r="R920" s="20"/>
    </row>
    <row r="921" spans="1:18" ht="13.2" hidden="1" outlineLevel="1" x14ac:dyDescent="0.25">
      <c r="A921" s="1"/>
      <c r="B921" s="21" t="str">
        <f ca="1">IFERROR(__xludf.DUMMYFUNCTION("""COMPUTED_VALUE"""),"Diesel")</f>
        <v>Diesel</v>
      </c>
      <c r="C921" s="22">
        <f ca="1">IFERROR(__xludf.DUMMYFUNCTION("""COMPUTED_VALUE"""),51.6837989551058)</f>
        <v>51.6837989551058</v>
      </c>
      <c r="D921" s="23">
        <f ca="1">IFERROR(__xludf.DUMMYFUNCTION("""COMPUTED_VALUE"""),56.6002215930678)</f>
        <v>56.600221593067801</v>
      </c>
      <c r="E921" s="23">
        <f ca="1">IFERROR(__xludf.DUMMYFUNCTION("""COMPUTED_VALUE"""),66.685248580912)</f>
        <v>66.685248580912003</v>
      </c>
      <c r="F921" s="23">
        <f ca="1">IFERROR(__xludf.DUMMYFUNCTION("""COMPUTED_VALUE"""),65.4108638753078)</f>
        <v>65.410863875307797</v>
      </c>
      <c r="G921" s="23">
        <f ca="1">IFERROR(__xludf.DUMMYFUNCTION("""COMPUTED_VALUE"""),61.1259505646173)</f>
        <v>61.125950564617298</v>
      </c>
      <c r="H921" s="23">
        <f ca="1">IFERROR(__xludf.DUMMYFUNCTION("""COMPUTED_VALUE"""),74.7524831664024)</f>
        <v>74.752483166402399</v>
      </c>
      <c r="I921" s="23">
        <f ca="1">IFERROR(__xludf.DUMMYFUNCTION("""COMPUTED_VALUE"""),79.4391105486757)</f>
        <v>79.4391105486757</v>
      </c>
      <c r="J921" s="23">
        <f ca="1">IFERROR(__xludf.DUMMYFUNCTION("""COMPUTED_VALUE"""),57.4157946834265)</f>
        <v>57.415794683426498</v>
      </c>
      <c r="K921" s="23">
        <f ca="1">IFERROR(__xludf.DUMMYFUNCTION("""COMPUTED_VALUE"""),66.4062948775986)</f>
        <v>66.406294877598597</v>
      </c>
      <c r="L921" s="23">
        <f ca="1">IFERROR(__xludf.DUMMYFUNCTION("""COMPUTED_VALUE"""),70.5648293733347)</f>
        <v>70.564829373334703</v>
      </c>
      <c r="M921" s="23">
        <f ca="1">IFERROR(__xludf.DUMMYFUNCTION("""COMPUTED_VALUE"""),50.9667231102682)</f>
        <v>50.966723110268198</v>
      </c>
      <c r="N921" s="23">
        <f ca="1">IFERROR(__xludf.DUMMYFUNCTION("""COMPUTED_VALUE"""),53.570822187662)</f>
        <v>53.570822187662003</v>
      </c>
      <c r="O921" s="23">
        <f ca="1">IFERROR(__xludf.DUMMYFUNCTION("""COMPUTED_VALUE"""),57.4099917074297)</f>
        <v>57.409991707429697</v>
      </c>
      <c r="P921" s="23">
        <f ca="1">IFERROR(__xludf.DUMMYFUNCTION("""COMPUTED_VALUE"""),56.8359462291667)</f>
        <v>56.835946229166701</v>
      </c>
      <c r="Q921" s="24">
        <f ca="1">IFERROR(__xludf.DUMMYFUNCTION("""COMPUTED_VALUE"""),71.1990298619152)</f>
        <v>71.199029861915193</v>
      </c>
      <c r="R921" s="20"/>
    </row>
    <row r="922" spans="1:18" ht="13.2" hidden="1" outlineLevel="1" x14ac:dyDescent="0.25">
      <c r="A922" s="1"/>
      <c r="B922" s="21" t="str">
        <f ca="1">IFERROR(__xludf.DUMMYFUNCTION("""COMPUTED_VALUE"""),"Combustóleo")</f>
        <v>Combustóleo</v>
      </c>
      <c r="C922" s="22">
        <f ca="1">IFERROR(__xludf.DUMMYFUNCTION("""COMPUTED_VALUE"""),49.3227115979311)</f>
        <v>49.322711597931097</v>
      </c>
      <c r="D922" s="23">
        <f ca="1">IFERROR(__xludf.DUMMYFUNCTION("""COMPUTED_VALUE"""),39.2740666402188)</f>
        <v>39.274066640218798</v>
      </c>
      <c r="E922" s="23">
        <f ca="1">IFERROR(__xludf.DUMMYFUNCTION("""COMPUTED_VALUE"""),33.4758489443036)</f>
        <v>33.4758489443036</v>
      </c>
      <c r="F922" s="23">
        <f ca="1">IFERROR(__xludf.DUMMYFUNCTION("""COMPUTED_VALUE"""),26.0920623788603)</f>
        <v>26.092062378860302</v>
      </c>
      <c r="G922" s="23">
        <f ca="1">IFERROR(__xludf.DUMMYFUNCTION("""COMPUTED_VALUE"""),14.6529892924418)</f>
        <v>14.6529892924418</v>
      </c>
      <c r="H922" s="23">
        <f ca="1">IFERROR(__xludf.DUMMYFUNCTION("""COMPUTED_VALUE"""),20.384458081945)</f>
        <v>20.384458081944999</v>
      </c>
      <c r="I922" s="23">
        <f ca="1">IFERROR(__xludf.DUMMYFUNCTION("""COMPUTED_VALUE"""),26.0304458597482)</f>
        <v>26.030445859748198</v>
      </c>
      <c r="J922" s="23">
        <f ca="1">IFERROR(__xludf.DUMMYFUNCTION("""COMPUTED_VALUE"""),24.9708483790698)</f>
        <v>24.9708483790698</v>
      </c>
      <c r="K922" s="23">
        <f ca="1">IFERROR(__xludf.DUMMYFUNCTION("""COMPUTED_VALUE"""),7.76691863366544)</f>
        <v>7.7669186336654397</v>
      </c>
      <c r="L922" s="23">
        <f ca="1">IFERROR(__xludf.DUMMYFUNCTION("""COMPUTED_VALUE"""),11.4529120176234)</f>
        <v>11.452912017623399</v>
      </c>
      <c r="M922" s="23">
        <f ca="1">IFERROR(__xludf.DUMMYFUNCTION("""COMPUTED_VALUE"""),10.1566206007043)</f>
        <v>10.156620600704301</v>
      </c>
      <c r="N922" s="23">
        <f ca="1">IFERROR(__xludf.DUMMYFUNCTION("""COMPUTED_VALUE"""),12.7774868631573)</f>
        <v>12.7774868631573</v>
      </c>
      <c r="O922" s="23">
        <f ca="1">IFERROR(__xludf.DUMMYFUNCTION("""COMPUTED_VALUE"""),12.3319899083933)</f>
        <v>12.3319899083933</v>
      </c>
      <c r="P922" s="23">
        <f ca="1">IFERROR(__xludf.DUMMYFUNCTION("""COMPUTED_VALUE"""),12.2030193820356)</f>
        <v>12.203019382035601</v>
      </c>
      <c r="Q922" s="24">
        <f ca="1">IFERROR(__xludf.DUMMYFUNCTION("""COMPUTED_VALUE"""),10.984717920749)</f>
        <v>10.984717920749</v>
      </c>
      <c r="R922" s="20"/>
    </row>
    <row r="923" spans="1:18" ht="13.2" hidden="1" outlineLevel="1" x14ac:dyDescent="0.25">
      <c r="A923" s="1"/>
      <c r="B923" s="21" t="str">
        <f ca="1">IFERROR(__xludf.DUMMYFUNCTION("""COMPUTED_VALUE"""),"Otros energéticos")</f>
        <v>Otros energéticos</v>
      </c>
      <c r="C923" s="22">
        <f ca="1">IFERROR(__xludf.DUMMYFUNCTION("""COMPUTED_VALUE"""),0)</f>
        <v>0</v>
      </c>
      <c r="D923" s="23">
        <f ca="1">IFERROR(__xludf.DUMMYFUNCTION("""COMPUTED_VALUE"""),0)</f>
        <v>0</v>
      </c>
      <c r="E923" s="23">
        <f ca="1">IFERROR(__xludf.DUMMYFUNCTION("""COMPUTED_VALUE"""),0)</f>
        <v>0</v>
      </c>
      <c r="F923" s="23">
        <f ca="1">IFERROR(__xludf.DUMMYFUNCTION("""COMPUTED_VALUE"""),0)</f>
        <v>0</v>
      </c>
      <c r="G923" s="23">
        <f ca="1">IFERROR(__xludf.DUMMYFUNCTION("""COMPUTED_VALUE"""),0)</f>
        <v>0</v>
      </c>
      <c r="H923" s="23">
        <f ca="1">IFERROR(__xludf.DUMMYFUNCTION("""COMPUTED_VALUE"""),0)</f>
        <v>0</v>
      </c>
      <c r="I923" s="23">
        <f ca="1">IFERROR(__xludf.DUMMYFUNCTION("""COMPUTED_VALUE"""),0)</f>
        <v>0</v>
      </c>
      <c r="J923" s="23">
        <f ca="1">IFERROR(__xludf.DUMMYFUNCTION("""COMPUTED_VALUE"""),0)</f>
        <v>0</v>
      </c>
      <c r="K923" s="23">
        <f ca="1">IFERROR(__xludf.DUMMYFUNCTION("""COMPUTED_VALUE"""),0)</f>
        <v>0</v>
      </c>
      <c r="L923" s="23">
        <f ca="1">IFERROR(__xludf.DUMMYFUNCTION("""COMPUTED_VALUE"""),0)</f>
        <v>0</v>
      </c>
      <c r="M923" s="23">
        <f ca="1">IFERROR(__xludf.DUMMYFUNCTION("""COMPUTED_VALUE"""),0)</f>
        <v>0</v>
      </c>
      <c r="N923" s="23">
        <f ca="1">IFERROR(__xludf.DUMMYFUNCTION("""COMPUTED_VALUE"""),0)</f>
        <v>0</v>
      </c>
      <c r="O923" s="23">
        <f ca="1">IFERROR(__xludf.DUMMYFUNCTION("""COMPUTED_VALUE"""),0)</f>
        <v>0</v>
      </c>
      <c r="P923" s="23">
        <f ca="1">IFERROR(__xludf.DUMMYFUNCTION("""COMPUTED_VALUE"""),0)</f>
        <v>0</v>
      </c>
      <c r="Q923" s="24">
        <f ca="1">IFERROR(__xludf.DUMMYFUNCTION("""COMPUTED_VALUE"""),0)</f>
        <v>0</v>
      </c>
      <c r="R923" s="20"/>
    </row>
    <row r="924" spans="1:18" ht="13.2" hidden="1" outlineLevel="1" x14ac:dyDescent="0.25">
      <c r="A924" s="1"/>
      <c r="B924" s="21" t="str">
        <f ca="1">IFERROR(__xludf.DUMMYFUNCTION("""COMPUTED_VALUE"""),"Gas natural seco")</f>
        <v>Gas natural seco</v>
      </c>
      <c r="C924" s="22">
        <f ca="1">IFERROR(__xludf.DUMMYFUNCTION("""COMPUTED_VALUE"""),432.756756756756)</f>
        <v>432.75675675675598</v>
      </c>
      <c r="D924" s="23">
        <f ca="1">IFERROR(__xludf.DUMMYFUNCTION("""COMPUTED_VALUE"""),442.853720050441)</f>
        <v>442.85372005044098</v>
      </c>
      <c r="E924" s="23">
        <f ca="1">IFERROR(__xludf.DUMMYFUNCTION("""COMPUTED_VALUE"""),452.128211920529)</f>
        <v>452.128211920529</v>
      </c>
      <c r="F924" s="23">
        <f ca="1">IFERROR(__xludf.DUMMYFUNCTION("""COMPUTED_VALUE"""),512.10385760988)</f>
        <v>512.10385760988004</v>
      </c>
      <c r="G924" s="23">
        <f ca="1">IFERROR(__xludf.DUMMYFUNCTION("""COMPUTED_VALUE"""),603)</f>
        <v>603</v>
      </c>
      <c r="H924" s="23">
        <f ca="1">IFERROR(__xludf.DUMMYFUNCTION("""COMPUTED_VALUE"""),609)</f>
        <v>609</v>
      </c>
      <c r="I924" s="23">
        <f ca="1">IFERROR(__xludf.DUMMYFUNCTION("""COMPUTED_VALUE"""),648)</f>
        <v>648</v>
      </c>
      <c r="J924" s="23">
        <f ca="1">IFERROR(__xludf.DUMMYFUNCTION("""COMPUTED_VALUE"""),649.666234086242)</f>
        <v>649.66623408624196</v>
      </c>
      <c r="K924" s="23">
        <f ca="1">IFERROR(__xludf.DUMMYFUNCTION("""COMPUTED_VALUE"""),604.24587854251)</f>
        <v>604.24587854251001</v>
      </c>
      <c r="L924" s="23">
        <f ca="1">IFERROR(__xludf.DUMMYFUNCTION("""COMPUTED_VALUE"""),601.706404264042)</f>
        <v>601.70640426404202</v>
      </c>
      <c r="M924" s="23">
        <f ca="1">IFERROR(__xludf.DUMMYFUNCTION("""COMPUTED_VALUE"""),480.981469465648)</f>
        <v>480.98146946564799</v>
      </c>
      <c r="N924" s="23">
        <f ca="1">IFERROR(__xludf.DUMMYFUNCTION("""COMPUTED_VALUE"""),507.994768846314)</f>
        <v>507.994768846314</v>
      </c>
      <c r="O924" s="23">
        <f ca="1">IFERROR(__xludf.DUMMYFUNCTION("""COMPUTED_VALUE"""),600.676211699164)</f>
        <v>600.67621169916401</v>
      </c>
      <c r="P924" s="23">
        <f ca="1">IFERROR(__xludf.DUMMYFUNCTION("""COMPUTED_VALUE"""),644.302603878116)</f>
        <v>644.30260387811597</v>
      </c>
      <c r="Q924" s="24">
        <f ca="1">IFERROR(__xludf.DUMMYFUNCTION("""COMPUTED_VALUE"""),634.051279069767)</f>
        <v>634.05127906976702</v>
      </c>
      <c r="R924" s="20"/>
    </row>
    <row r="925" spans="1:18" ht="13.2" hidden="1" outlineLevel="1" x14ac:dyDescent="0.25">
      <c r="A925" s="1"/>
      <c r="B925" s="25" t="str">
        <f ca="1">IFERROR(__xludf.DUMMYFUNCTION("""COMPUTED_VALUE"""),"Energía eléctrica")</f>
        <v>Energía eléctrica</v>
      </c>
      <c r="C925" s="26">
        <f ca="1">IFERROR(__xludf.DUMMYFUNCTION("""COMPUTED_VALUE"""),515.734949842841)</f>
        <v>515.73494984284105</v>
      </c>
      <c r="D925" s="27">
        <f ca="1">IFERROR(__xludf.DUMMYFUNCTION("""COMPUTED_VALUE"""),527.283407045478)</f>
        <v>527.28340704547804</v>
      </c>
      <c r="E925" s="27">
        <f ca="1">IFERROR(__xludf.DUMMYFUNCTION("""COMPUTED_VALUE"""),545.533656689092)</f>
        <v>545.53365668909203</v>
      </c>
      <c r="F925" s="27">
        <f ca="1">IFERROR(__xludf.DUMMYFUNCTION("""COMPUTED_VALUE"""),560.722200993534)</f>
        <v>560.72220099353399</v>
      </c>
      <c r="G925" s="27">
        <f ca="1">IFERROR(__xludf.DUMMYFUNCTION("""COMPUTED_VALUE"""),575.529800432981)</f>
        <v>575.52980043298101</v>
      </c>
      <c r="H925" s="27">
        <f ca="1">IFERROR(__xludf.DUMMYFUNCTION("""COMPUTED_VALUE"""),571.966280057615)</f>
        <v>571.96628005761499</v>
      </c>
      <c r="I925" s="27">
        <f ca="1">IFERROR(__xludf.DUMMYFUNCTION("""COMPUTED_VALUE"""),574.032387008037)</f>
        <v>574.03238700803695</v>
      </c>
      <c r="J925" s="27">
        <f ca="1">IFERROR(__xludf.DUMMYFUNCTION("""COMPUTED_VALUE"""),597.140444397306)</f>
        <v>597.14044439730606</v>
      </c>
      <c r="K925" s="27">
        <f ca="1">IFERROR(__xludf.DUMMYFUNCTION("""COMPUTED_VALUE"""),632.248976452046)</f>
        <v>632.24897645204601</v>
      </c>
      <c r="L925" s="27">
        <f ca="1">IFERROR(__xludf.DUMMYFUNCTION("""COMPUTED_VALUE"""),650.153127864236)</f>
        <v>650.15312786423601</v>
      </c>
      <c r="M925" s="27">
        <f ca="1">IFERROR(__xludf.DUMMYFUNCTION("""COMPUTED_VALUE"""),641.905973534473)</f>
        <v>641.90597353447299</v>
      </c>
      <c r="N925" s="27">
        <f ca="1">IFERROR(__xludf.DUMMYFUNCTION("""COMPUTED_VALUE"""),652.089400459949)</f>
        <v>652.08940045994905</v>
      </c>
      <c r="O925" s="27">
        <f ca="1">IFERROR(__xludf.DUMMYFUNCTION("""COMPUTED_VALUE"""),669.945493500459)</f>
        <v>669.94549350045895</v>
      </c>
      <c r="P925" s="27">
        <f ca="1">IFERROR(__xludf.DUMMYFUNCTION("""COMPUTED_VALUE"""),687.483389723876)</f>
        <v>687.48338972387603</v>
      </c>
      <c r="Q925" s="28">
        <f ca="1">IFERROR(__xludf.DUMMYFUNCTION("""COMPUTED_VALUE"""),705.122720663303)</f>
        <v>705.12272066330297</v>
      </c>
      <c r="R925" s="20"/>
    </row>
    <row r="926" spans="1:18" ht="13.2" hidden="1" outlineLevel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0"/>
    </row>
    <row r="927" spans="1:18" ht="13.2" collapsed="1" x14ac:dyDescent="0.25">
      <c r="A927" s="29"/>
      <c r="B927" s="5" t="str">
        <f ca="1">IFERROR(__xludf.DUMMYFUNCTION("""COMPUTED_VALUE"""),"Con.Fin.Ene.Com(e,a)")</f>
        <v>Con.Fin.Ene.Com(e,a)</v>
      </c>
      <c r="C927" s="6" t="str">
        <f ca="1">IFERROR(__xludf.DUMMYFUNCTION("""COMPUTED_VALUE"""),"/+")</f>
        <v>/+</v>
      </c>
      <c r="D927" s="7" t="str">
        <f ca="1">IFERROR(__xludf.DUMMYFUNCTION("""COMPUTED_VALUE"""),"Comercial")</f>
        <v>Comercial</v>
      </c>
      <c r="E927" s="6" t="str">
        <f ca="1">IFERROR(__xludf.DUMMYFUNCTION("""COMPUTED_VALUE"""),"cbne")</f>
        <v>cbne</v>
      </c>
      <c r="F927" s="6" t="str">
        <f ca="1">IFERROR(__xludf.DUMMYFUNCTION("""COMPUTED_VALUE"""),"a")</f>
        <v>a</v>
      </c>
      <c r="G927" s="8" t="str">
        <f ca="1">IFERROR(__xludf.DUMMYFUNCTION("""COMPUTED_VALUE"""),"PJ")</f>
        <v>PJ</v>
      </c>
      <c r="H927" s="9"/>
      <c r="I927" s="1"/>
      <c r="J927" s="1"/>
      <c r="K927" s="1"/>
      <c r="L927" s="1"/>
      <c r="M927" s="1"/>
      <c r="N927" s="1"/>
      <c r="O927" s="1"/>
      <c r="P927" s="1"/>
      <c r="Q927" s="1"/>
      <c r="R927" s="10"/>
    </row>
    <row r="928" spans="1:18" ht="13.2" hidden="1" outlineLevel="1" x14ac:dyDescent="0.25">
      <c r="A928" s="1"/>
      <c r="B928" s="11"/>
      <c r="C928" s="12">
        <f ca="1">IFERROR(__xludf.DUMMYFUNCTION("""COMPUTED_VALUE"""),2010)</f>
        <v>2010</v>
      </c>
      <c r="D928" s="13">
        <f ca="1">IFERROR(__xludf.DUMMYFUNCTION("""COMPUTED_VALUE"""),2011)</f>
        <v>2011</v>
      </c>
      <c r="E928" s="13">
        <f ca="1">IFERROR(__xludf.DUMMYFUNCTION("""COMPUTED_VALUE"""),2012)</f>
        <v>2012</v>
      </c>
      <c r="F928" s="13">
        <f ca="1">IFERROR(__xludf.DUMMYFUNCTION("""COMPUTED_VALUE"""),2013)</f>
        <v>2013</v>
      </c>
      <c r="G928" s="13">
        <f ca="1">IFERROR(__xludf.DUMMYFUNCTION("""COMPUTED_VALUE"""),2014)</f>
        <v>2014</v>
      </c>
      <c r="H928" s="13">
        <f ca="1">IFERROR(__xludf.DUMMYFUNCTION("""COMPUTED_VALUE"""),2015)</f>
        <v>2015</v>
      </c>
      <c r="I928" s="13">
        <f ca="1">IFERROR(__xludf.DUMMYFUNCTION("""COMPUTED_VALUE"""),2016)</f>
        <v>2016</v>
      </c>
      <c r="J928" s="13">
        <f ca="1">IFERROR(__xludf.DUMMYFUNCTION("""COMPUTED_VALUE"""),2017)</f>
        <v>2017</v>
      </c>
      <c r="K928" s="13">
        <f ca="1">IFERROR(__xludf.DUMMYFUNCTION("""COMPUTED_VALUE"""),2018)</f>
        <v>2018</v>
      </c>
      <c r="L928" s="13">
        <f ca="1">IFERROR(__xludf.DUMMYFUNCTION("""COMPUTED_VALUE"""),2019)</f>
        <v>2019</v>
      </c>
      <c r="M928" s="13">
        <f ca="1">IFERROR(__xludf.DUMMYFUNCTION("""COMPUTED_VALUE"""),2020)</f>
        <v>2020</v>
      </c>
      <c r="N928" s="13">
        <f ca="1">IFERROR(__xludf.DUMMYFUNCTION("""COMPUTED_VALUE"""),2021)</f>
        <v>2021</v>
      </c>
      <c r="O928" s="13">
        <f ca="1">IFERROR(__xludf.DUMMYFUNCTION("""COMPUTED_VALUE"""),2022)</f>
        <v>2022</v>
      </c>
      <c r="P928" s="13">
        <f ca="1">IFERROR(__xludf.DUMMYFUNCTION("""COMPUTED_VALUE"""),2023)</f>
        <v>2023</v>
      </c>
      <c r="Q928" s="14">
        <f ca="1">IFERROR(__xludf.DUMMYFUNCTION("""COMPUTED_VALUE"""),2024)</f>
        <v>2024</v>
      </c>
      <c r="R928" s="15"/>
    </row>
    <row r="929" spans="1:18" ht="13.2" hidden="1" outlineLevel="1" x14ac:dyDescent="0.25">
      <c r="A929" s="1"/>
      <c r="B929" s="16" t="str">
        <f ca="1">IFERROR(__xludf.DUMMYFUNCTION("""COMPUTED_VALUE"""),"Carbón mineral")</f>
        <v>Carbón mineral</v>
      </c>
      <c r="C929" s="17">
        <f ca="1">IFERROR(__xludf.DUMMYFUNCTION("""COMPUTED_VALUE"""),0)</f>
        <v>0</v>
      </c>
      <c r="D929" s="18">
        <f ca="1">IFERROR(__xludf.DUMMYFUNCTION("""COMPUTED_VALUE"""),0)</f>
        <v>0</v>
      </c>
      <c r="E929" s="18">
        <f ca="1">IFERROR(__xludf.DUMMYFUNCTION("""COMPUTED_VALUE"""),0)</f>
        <v>0</v>
      </c>
      <c r="F929" s="18">
        <f ca="1">IFERROR(__xludf.DUMMYFUNCTION("""COMPUTED_VALUE"""),0)</f>
        <v>0</v>
      </c>
      <c r="G929" s="18">
        <f ca="1">IFERROR(__xludf.DUMMYFUNCTION("""COMPUTED_VALUE"""),0)</f>
        <v>0</v>
      </c>
      <c r="H929" s="18">
        <f ca="1">IFERROR(__xludf.DUMMYFUNCTION("""COMPUTED_VALUE"""),0)</f>
        <v>0</v>
      </c>
      <c r="I929" s="18">
        <f ca="1">IFERROR(__xludf.DUMMYFUNCTION("""COMPUTED_VALUE"""),0)</f>
        <v>0</v>
      </c>
      <c r="J929" s="18">
        <f ca="1">IFERROR(__xludf.DUMMYFUNCTION("""COMPUTED_VALUE"""),0)</f>
        <v>0</v>
      </c>
      <c r="K929" s="18">
        <f ca="1">IFERROR(__xludf.DUMMYFUNCTION("""COMPUTED_VALUE"""),0)</f>
        <v>0</v>
      </c>
      <c r="L929" s="18">
        <f ca="1">IFERROR(__xludf.DUMMYFUNCTION("""COMPUTED_VALUE"""),0)</f>
        <v>0</v>
      </c>
      <c r="M929" s="18">
        <f ca="1">IFERROR(__xludf.DUMMYFUNCTION("""COMPUTED_VALUE"""),0)</f>
        <v>0</v>
      </c>
      <c r="N929" s="18">
        <f ca="1">IFERROR(__xludf.DUMMYFUNCTION("""COMPUTED_VALUE"""),0)</f>
        <v>0</v>
      </c>
      <c r="O929" s="18">
        <f ca="1">IFERROR(__xludf.DUMMYFUNCTION("""COMPUTED_VALUE"""),0)</f>
        <v>0</v>
      </c>
      <c r="P929" s="18">
        <f ca="1">IFERROR(__xludf.DUMMYFUNCTION("""COMPUTED_VALUE"""),0)</f>
        <v>0</v>
      </c>
      <c r="Q929" s="19">
        <f ca="1">IFERROR(__xludf.DUMMYFUNCTION("""COMPUTED_VALUE"""),0)</f>
        <v>0</v>
      </c>
      <c r="R929" s="20"/>
    </row>
    <row r="930" spans="1:18" ht="13.2" hidden="1" outlineLevel="1" x14ac:dyDescent="0.25">
      <c r="A930" s="1"/>
      <c r="B930" s="21" t="str">
        <f ca="1">IFERROR(__xludf.DUMMYFUNCTION("""COMPUTED_VALUE"""),"Petróleo crudo")</f>
        <v>Petróleo crudo</v>
      </c>
      <c r="C930" s="22">
        <f ca="1">IFERROR(__xludf.DUMMYFUNCTION("""COMPUTED_VALUE"""),0)</f>
        <v>0</v>
      </c>
      <c r="D930" s="23">
        <f ca="1">IFERROR(__xludf.DUMMYFUNCTION("""COMPUTED_VALUE"""),0)</f>
        <v>0</v>
      </c>
      <c r="E930" s="23">
        <f ca="1">IFERROR(__xludf.DUMMYFUNCTION("""COMPUTED_VALUE"""),0)</f>
        <v>0</v>
      </c>
      <c r="F930" s="23">
        <f ca="1">IFERROR(__xludf.DUMMYFUNCTION("""COMPUTED_VALUE"""),0)</f>
        <v>0</v>
      </c>
      <c r="G930" s="23">
        <f ca="1">IFERROR(__xludf.DUMMYFUNCTION("""COMPUTED_VALUE"""),0)</f>
        <v>0</v>
      </c>
      <c r="H930" s="23">
        <f ca="1">IFERROR(__xludf.DUMMYFUNCTION("""COMPUTED_VALUE"""),0)</f>
        <v>0</v>
      </c>
      <c r="I930" s="23">
        <f ca="1">IFERROR(__xludf.DUMMYFUNCTION("""COMPUTED_VALUE"""),0)</f>
        <v>0</v>
      </c>
      <c r="J930" s="23">
        <f ca="1">IFERROR(__xludf.DUMMYFUNCTION("""COMPUTED_VALUE"""),0)</f>
        <v>0</v>
      </c>
      <c r="K930" s="23">
        <f ca="1">IFERROR(__xludf.DUMMYFUNCTION("""COMPUTED_VALUE"""),0)</f>
        <v>0</v>
      </c>
      <c r="L930" s="23">
        <f ca="1">IFERROR(__xludf.DUMMYFUNCTION("""COMPUTED_VALUE"""),0)</f>
        <v>0</v>
      </c>
      <c r="M930" s="23">
        <f ca="1">IFERROR(__xludf.DUMMYFUNCTION("""COMPUTED_VALUE"""),0)</f>
        <v>0</v>
      </c>
      <c r="N930" s="23">
        <f ca="1">IFERROR(__xludf.DUMMYFUNCTION("""COMPUTED_VALUE"""),0)</f>
        <v>0</v>
      </c>
      <c r="O930" s="23">
        <f ca="1">IFERROR(__xludf.DUMMYFUNCTION("""COMPUTED_VALUE"""),0)</f>
        <v>0</v>
      </c>
      <c r="P930" s="23">
        <f ca="1">IFERROR(__xludf.DUMMYFUNCTION("""COMPUTED_VALUE"""),0)</f>
        <v>0</v>
      </c>
      <c r="Q930" s="24">
        <f ca="1">IFERROR(__xludf.DUMMYFUNCTION("""COMPUTED_VALUE"""),0)</f>
        <v>0</v>
      </c>
      <c r="R930" s="20"/>
    </row>
    <row r="931" spans="1:18" ht="13.2" hidden="1" outlineLevel="1" x14ac:dyDescent="0.25">
      <c r="A931" s="1"/>
      <c r="B931" s="21" t="str">
        <f ca="1">IFERROR(__xludf.DUMMYFUNCTION("""COMPUTED_VALUE"""),"Condensados")</f>
        <v>Condensados</v>
      </c>
      <c r="C931" s="22">
        <f ca="1">IFERROR(__xludf.DUMMYFUNCTION("""COMPUTED_VALUE"""),0)</f>
        <v>0</v>
      </c>
      <c r="D931" s="23">
        <f ca="1">IFERROR(__xludf.DUMMYFUNCTION("""COMPUTED_VALUE"""),0)</f>
        <v>0</v>
      </c>
      <c r="E931" s="23">
        <f ca="1">IFERROR(__xludf.DUMMYFUNCTION("""COMPUTED_VALUE"""),0)</f>
        <v>0</v>
      </c>
      <c r="F931" s="23">
        <f ca="1">IFERROR(__xludf.DUMMYFUNCTION("""COMPUTED_VALUE"""),0)</f>
        <v>0</v>
      </c>
      <c r="G931" s="23">
        <f ca="1">IFERROR(__xludf.DUMMYFUNCTION("""COMPUTED_VALUE"""),0)</f>
        <v>0</v>
      </c>
      <c r="H931" s="23">
        <f ca="1">IFERROR(__xludf.DUMMYFUNCTION("""COMPUTED_VALUE"""),0)</f>
        <v>0</v>
      </c>
      <c r="I931" s="23">
        <f ca="1">IFERROR(__xludf.DUMMYFUNCTION("""COMPUTED_VALUE"""),0)</f>
        <v>0</v>
      </c>
      <c r="J931" s="23">
        <f ca="1">IFERROR(__xludf.DUMMYFUNCTION("""COMPUTED_VALUE"""),0)</f>
        <v>0</v>
      </c>
      <c r="K931" s="23">
        <f ca="1">IFERROR(__xludf.DUMMYFUNCTION("""COMPUTED_VALUE"""),0)</f>
        <v>0</v>
      </c>
      <c r="L931" s="23">
        <f ca="1">IFERROR(__xludf.DUMMYFUNCTION("""COMPUTED_VALUE"""),0)</f>
        <v>0</v>
      </c>
      <c r="M931" s="23">
        <f ca="1">IFERROR(__xludf.DUMMYFUNCTION("""COMPUTED_VALUE"""),0)</f>
        <v>0</v>
      </c>
      <c r="N931" s="23">
        <f ca="1">IFERROR(__xludf.DUMMYFUNCTION("""COMPUTED_VALUE"""),0)</f>
        <v>0</v>
      </c>
      <c r="O931" s="23">
        <f ca="1">IFERROR(__xludf.DUMMYFUNCTION("""COMPUTED_VALUE"""),0)</f>
        <v>0</v>
      </c>
      <c r="P931" s="23">
        <f ca="1">IFERROR(__xludf.DUMMYFUNCTION("""COMPUTED_VALUE"""),0)</f>
        <v>0</v>
      </c>
      <c r="Q931" s="24">
        <f ca="1">IFERROR(__xludf.DUMMYFUNCTION("""COMPUTED_VALUE"""),0)</f>
        <v>0</v>
      </c>
      <c r="R931" s="20"/>
    </row>
    <row r="932" spans="1:18" ht="13.2" hidden="1" outlineLevel="1" x14ac:dyDescent="0.25">
      <c r="A932" s="1"/>
      <c r="B932" s="21" t="str">
        <f ca="1">IFERROR(__xludf.DUMMYFUNCTION("""COMPUTED_VALUE"""),"Gas natural")</f>
        <v>Gas natural</v>
      </c>
      <c r="C932" s="22">
        <f ca="1">IFERROR(__xludf.DUMMYFUNCTION("""COMPUTED_VALUE"""),0)</f>
        <v>0</v>
      </c>
      <c r="D932" s="23">
        <f ca="1">IFERROR(__xludf.DUMMYFUNCTION("""COMPUTED_VALUE"""),0)</f>
        <v>0</v>
      </c>
      <c r="E932" s="23">
        <f ca="1">IFERROR(__xludf.DUMMYFUNCTION("""COMPUTED_VALUE"""),0)</f>
        <v>0</v>
      </c>
      <c r="F932" s="23">
        <f ca="1">IFERROR(__xludf.DUMMYFUNCTION("""COMPUTED_VALUE"""),0)</f>
        <v>0</v>
      </c>
      <c r="G932" s="23">
        <f ca="1">IFERROR(__xludf.DUMMYFUNCTION("""COMPUTED_VALUE"""),0)</f>
        <v>0</v>
      </c>
      <c r="H932" s="23">
        <f ca="1">IFERROR(__xludf.DUMMYFUNCTION("""COMPUTED_VALUE"""),0)</f>
        <v>0</v>
      </c>
      <c r="I932" s="23">
        <f ca="1">IFERROR(__xludf.DUMMYFUNCTION("""COMPUTED_VALUE"""),0)</f>
        <v>0</v>
      </c>
      <c r="J932" s="23">
        <f ca="1">IFERROR(__xludf.DUMMYFUNCTION("""COMPUTED_VALUE"""),0)</f>
        <v>0</v>
      </c>
      <c r="K932" s="23">
        <f ca="1">IFERROR(__xludf.DUMMYFUNCTION("""COMPUTED_VALUE"""),0)</f>
        <v>0</v>
      </c>
      <c r="L932" s="23">
        <f ca="1">IFERROR(__xludf.DUMMYFUNCTION("""COMPUTED_VALUE"""),0)</f>
        <v>0</v>
      </c>
      <c r="M932" s="23">
        <f ca="1">IFERROR(__xludf.DUMMYFUNCTION("""COMPUTED_VALUE"""),0)</f>
        <v>0</v>
      </c>
      <c r="N932" s="23">
        <f ca="1">IFERROR(__xludf.DUMMYFUNCTION("""COMPUTED_VALUE"""),0)</f>
        <v>0</v>
      </c>
      <c r="O932" s="23">
        <f ca="1">IFERROR(__xludf.DUMMYFUNCTION("""COMPUTED_VALUE"""),0)</f>
        <v>0</v>
      </c>
      <c r="P932" s="23">
        <f ca="1">IFERROR(__xludf.DUMMYFUNCTION("""COMPUTED_VALUE"""),0)</f>
        <v>0</v>
      </c>
      <c r="Q932" s="24">
        <f ca="1">IFERROR(__xludf.DUMMYFUNCTION("""COMPUTED_VALUE"""),0)</f>
        <v>0</v>
      </c>
      <c r="R932" s="20"/>
    </row>
    <row r="933" spans="1:18" ht="13.2" hidden="1" outlineLevel="1" x14ac:dyDescent="0.25">
      <c r="A933" s="1"/>
      <c r="B933" s="21" t="str">
        <f ca="1">IFERROR(__xludf.DUMMYFUNCTION("""COMPUTED_VALUE"""),"Energía Nuclear")</f>
        <v>Energía Nuclear</v>
      </c>
      <c r="C933" s="22">
        <f ca="1">IFERROR(__xludf.DUMMYFUNCTION("""COMPUTED_VALUE"""),0)</f>
        <v>0</v>
      </c>
      <c r="D933" s="23">
        <f ca="1">IFERROR(__xludf.DUMMYFUNCTION("""COMPUTED_VALUE"""),0)</f>
        <v>0</v>
      </c>
      <c r="E933" s="23">
        <f ca="1">IFERROR(__xludf.DUMMYFUNCTION("""COMPUTED_VALUE"""),0)</f>
        <v>0</v>
      </c>
      <c r="F933" s="23">
        <f ca="1">IFERROR(__xludf.DUMMYFUNCTION("""COMPUTED_VALUE"""),0)</f>
        <v>0</v>
      </c>
      <c r="G933" s="23">
        <f ca="1">IFERROR(__xludf.DUMMYFUNCTION("""COMPUTED_VALUE"""),0)</f>
        <v>0</v>
      </c>
      <c r="H933" s="23">
        <f ca="1">IFERROR(__xludf.DUMMYFUNCTION("""COMPUTED_VALUE"""),0)</f>
        <v>0</v>
      </c>
      <c r="I933" s="23">
        <f ca="1">IFERROR(__xludf.DUMMYFUNCTION("""COMPUTED_VALUE"""),0)</f>
        <v>0</v>
      </c>
      <c r="J933" s="23">
        <f ca="1">IFERROR(__xludf.DUMMYFUNCTION("""COMPUTED_VALUE"""),0)</f>
        <v>0</v>
      </c>
      <c r="K933" s="23">
        <f ca="1">IFERROR(__xludf.DUMMYFUNCTION("""COMPUTED_VALUE"""),0)</f>
        <v>0</v>
      </c>
      <c r="L933" s="23">
        <f ca="1">IFERROR(__xludf.DUMMYFUNCTION("""COMPUTED_VALUE"""),0)</f>
        <v>0</v>
      </c>
      <c r="M933" s="23">
        <f ca="1">IFERROR(__xludf.DUMMYFUNCTION("""COMPUTED_VALUE"""),0)</f>
        <v>0</v>
      </c>
      <c r="N933" s="23">
        <f ca="1">IFERROR(__xludf.DUMMYFUNCTION("""COMPUTED_VALUE"""),0)</f>
        <v>0</v>
      </c>
      <c r="O933" s="23">
        <f ca="1">IFERROR(__xludf.DUMMYFUNCTION("""COMPUTED_VALUE"""),0)</f>
        <v>0</v>
      </c>
      <c r="P933" s="23">
        <f ca="1">IFERROR(__xludf.DUMMYFUNCTION("""COMPUTED_VALUE"""),0)</f>
        <v>0</v>
      </c>
      <c r="Q933" s="24">
        <f ca="1">IFERROR(__xludf.DUMMYFUNCTION("""COMPUTED_VALUE"""),0)</f>
        <v>0</v>
      </c>
      <c r="R933" s="20"/>
    </row>
    <row r="934" spans="1:18" ht="13.2" hidden="1" outlineLevel="1" x14ac:dyDescent="0.25">
      <c r="A934" s="1"/>
      <c r="B934" s="21" t="str">
        <f ca="1">IFERROR(__xludf.DUMMYFUNCTION("""COMPUTED_VALUE"""),"Energia Hidraúlica")</f>
        <v>Energia Hidraúlica</v>
      </c>
      <c r="C934" s="22">
        <f ca="1">IFERROR(__xludf.DUMMYFUNCTION("""COMPUTED_VALUE"""),0)</f>
        <v>0</v>
      </c>
      <c r="D934" s="23">
        <f ca="1">IFERROR(__xludf.DUMMYFUNCTION("""COMPUTED_VALUE"""),0)</f>
        <v>0</v>
      </c>
      <c r="E934" s="23">
        <f ca="1">IFERROR(__xludf.DUMMYFUNCTION("""COMPUTED_VALUE"""),0)</f>
        <v>0</v>
      </c>
      <c r="F934" s="23">
        <f ca="1">IFERROR(__xludf.DUMMYFUNCTION("""COMPUTED_VALUE"""),0)</f>
        <v>0</v>
      </c>
      <c r="G934" s="23">
        <f ca="1">IFERROR(__xludf.DUMMYFUNCTION("""COMPUTED_VALUE"""),0)</f>
        <v>0</v>
      </c>
      <c r="H934" s="23">
        <f ca="1">IFERROR(__xludf.DUMMYFUNCTION("""COMPUTED_VALUE"""),0)</f>
        <v>0</v>
      </c>
      <c r="I934" s="23">
        <f ca="1">IFERROR(__xludf.DUMMYFUNCTION("""COMPUTED_VALUE"""),0)</f>
        <v>0</v>
      </c>
      <c r="J934" s="23">
        <f ca="1">IFERROR(__xludf.DUMMYFUNCTION("""COMPUTED_VALUE"""),0)</f>
        <v>0</v>
      </c>
      <c r="K934" s="23">
        <f ca="1">IFERROR(__xludf.DUMMYFUNCTION("""COMPUTED_VALUE"""),0)</f>
        <v>0</v>
      </c>
      <c r="L934" s="23">
        <f ca="1">IFERROR(__xludf.DUMMYFUNCTION("""COMPUTED_VALUE"""),0)</f>
        <v>0</v>
      </c>
      <c r="M934" s="23">
        <f ca="1">IFERROR(__xludf.DUMMYFUNCTION("""COMPUTED_VALUE"""),0)</f>
        <v>0</v>
      </c>
      <c r="N934" s="23">
        <f ca="1">IFERROR(__xludf.DUMMYFUNCTION("""COMPUTED_VALUE"""),0)</f>
        <v>0</v>
      </c>
      <c r="O934" s="23">
        <f ca="1">IFERROR(__xludf.DUMMYFUNCTION("""COMPUTED_VALUE"""),0)</f>
        <v>0</v>
      </c>
      <c r="P934" s="23">
        <f ca="1">IFERROR(__xludf.DUMMYFUNCTION("""COMPUTED_VALUE"""),0)</f>
        <v>0</v>
      </c>
      <c r="Q934" s="24">
        <f ca="1">IFERROR(__xludf.DUMMYFUNCTION("""COMPUTED_VALUE"""),0)</f>
        <v>0</v>
      </c>
      <c r="R934" s="20"/>
    </row>
    <row r="935" spans="1:18" ht="13.2" hidden="1" outlineLevel="1" x14ac:dyDescent="0.25">
      <c r="A935" s="1"/>
      <c r="B935" s="21" t="str">
        <f ca="1">IFERROR(__xludf.DUMMYFUNCTION("""COMPUTED_VALUE"""),"Geoenergía")</f>
        <v>Geoenergía</v>
      </c>
      <c r="C935" s="22">
        <f ca="1">IFERROR(__xludf.DUMMYFUNCTION("""COMPUTED_VALUE"""),0)</f>
        <v>0</v>
      </c>
      <c r="D935" s="23">
        <f ca="1">IFERROR(__xludf.DUMMYFUNCTION("""COMPUTED_VALUE"""),0)</f>
        <v>0</v>
      </c>
      <c r="E935" s="23">
        <f ca="1">IFERROR(__xludf.DUMMYFUNCTION("""COMPUTED_VALUE"""),0)</f>
        <v>0</v>
      </c>
      <c r="F935" s="23">
        <f ca="1">IFERROR(__xludf.DUMMYFUNCTION("""COMPUTED_VALUE"""),0)</f>
        <v>0</v>
      </c>
      <c r="G935" s="23">
        <f ca="1">IFERROR(__xludf.DUMMYFUNCTION("""COMPUTED_VALUE"""),0)</f>
        <v>0</v>
      </c>
      <c r="H935" s="23">
        <f ca="1">IFERROR(__xludf.DUMMYFUNCTION("""COMPUTED_VALUE"""),0)</f>
        <v>0</v>
      </c>
      <c r="I935" s="23">
        <f ca="1">IFERROR(__xludf.DUMMYFUNCTION("""COMPUTED_VALUE"""),0)</f>
        <v>0</v>
      </c>
      <c r="J935" s="23">
        <f ca="1">IFERROR(__xludf.DUMMYFUNCTION("""COMPUTED_VALUE"""),0)</f>
        <v>0</v>
      </c>
      <c r="K935" s="23">
        <f ca="1">IFERROR(__xludf.DUMMYFUNCTION("""COMPUTED_VALUE"""),0)</f>
        <v>0</v>
      </c>
      <c r="L935" s="23">
        <f ca="1">IFERROR(__xludf.DUMMYFUNCTION("""COMPUTED_VALUE"""),0)</f>
        <v>0</v>
      </c>
      <c r="M935" s="23">
        <f ca="1">IFERROR(__xludf.DUMMYFUNCTION("""COMPUTED_VALUE"""),0)</f>
        <v>0</v>
      </c>
      <c r="N935" s="23">
        <f ca="1">IFERROR(__xludf.DUMMYFUNCTION("""COMPUTED_VALUE"""),0)</f>
        <v>0</v>
      </c>
      <c r="O935" s="23">
        <f ca="1">IFERROR(__xludf.DUMMYFUNCTION("""COMPUTED_VALUE"""),0)</f>
        <v>0</v>
      </c>
      <c r="P935" s="23">
        <f ca="1">IFERROR(__xludf.DUMMYFUNCTION("""COMPUTED_VALUE"""),0)</f>
        <v>0</v>
      </c>
      <c r="Q935" s="24">
        <f ca="1">IFERROR(__xludf.DUMMYFUNCTION("""COMPUTED_VALUE"""),0)</f>
        <v>0</v>
      </c>
      <c r="R935" s="20"/>
    </row>
    <row r="936" spans="1:18" ht="13.2" hidden="1" outlineLevel="1" x14ac:dyDescent="0.25">
      <c r="A936" s="1"/>
      <c r="B936" s="21" t="str">
        <f ca="1">IFERROR(__xludf.DUMMYFUNCTION("""COMPUTED_VALUE"""),"Energía solar")</f>
        <v>Energía solar</v>
      </c>
      <c r="C936" s="22">
        <f ca="1">IFERROR(__xludf.DUMMYFUNCTION("""COMPUTED_VALUE"""),2.8)</f>
        <v>2.8</v>
      </c>
      <c r="D936" s="23">
        <f ca="1">IFERROR(__xludf.DUMMYFUNCTION("""COMPUTED_VALUE"""),3.14)</f>
        <v>3.14</v>
      </c>
      <c r="E936" s="23">
        <f ca="1">IFERROR(__xludf.DUMMYFUNCTION("""COMPUTED_VALUE"""),3.27)</f>
        <v>3.27</v>
      </c>
      <c r="F936" s="23">
        <f ca="1">IFERROR(__xludf.DUMMYFUNCTION("""COMPUTED_VALUE"""),3.36)</f>
        <v>3.36</v>
      </c>
      <c r="G936" s="23">
        <f ca="1">IFERROR(__xludf.DUMMYFUNCTION("""COMPUTED_VALUE"""),3.81)</f>
        <v>3.81</v>
      </c>
      <c r="H936" s="23">
        <f ca="1">IFERROR(__xludf.DUMMYFUNCTION("""COMPUTED_VALUE"""),4.13)</f>
        <v>4.13</v>
      </c>
      <c r="I936" s="23">
        <f ca="1">IFERROR(__xludf.DUMMYFUNCTION("""COMPUTED_VALUE"""),4.29)</f>
        <v>4.29</v>
      </c>
      <c r="J936" s="23">
        <f ca="1">IFERROR(__xludf.DUMMYFUNCTION("""COMPUTED_VALUE"""),4.63)</f>
        <v>4.63</v>
      </c>
      <c r="K936" s="23">
        <f ca="1">IFERROR(__xludf.DUMMYFUNCTION("""COMPUTED_VALUE"""),4.89)</f>
        <v>4.8899999999999997</v>
      </c>
      <c r="L936" s="23">
        <f ca="1">IFERROR(__xludf.DUMMYFUNCTION("""COMPUTED_VALUE"""),4.87)</f>
        <v>4.87</v>
      </c>
      <c r="M936" s="23">
        <f ca="1">IFERROR(__xludf.DUMMYFUNCTION("""COMPUTED_VALUE"""),4.3)</f>
        <v>4.3</v>
      </c>
      <c r="N936" s="23">
        <f ca="1">IFERROR(__xludf.DUMMYFUNCTION("""COMPUTED_VALUE"""),4.47)</f>
        <v>4.47</v>
      </c>
      <c r="O936" s="23">
        <f ca="1">IFERROR(__xludf.DUMMYFUNCTION("""COMPUTED_VALUE"""),4.34)</f>
        <v>4.34</v>
      </c>
      <c r="P936" s="23">
        <f ca="1">IFERROR(__xludf.DUMMYFUNCTION("""COMPUTED_VALUE"""),4.49)</f>
        <v>4.49</v>
      </c>
      <c r="Q936" s="24">
        <f ca="1">IFERROR(__xludf.DUMMYFUNCTION("""COMPUTED_VALUE"""),4.41)</f>
        <v>4.41</v>
      </c>
      <c r="R936" s="20"/>
    </row>
    <row r="937" spans="1:18" ht="13.2" hidden="1" outlineLevel="1" x14ac:dyDescent="0.25">
      <c r="A937" s="1"/>
      <c r="B937" s="21" t="str">
        <f ca="1">IFERROR(__xludf.DUMMYFUNCTION("""COMPUTED_VALUE"""),"Energía eólica")</f>
        <v>Energía eólica</v>
      </c>
      <c r="C937" s="22">
        <f ca="1">IFERROR(__xludf.DUMMYFUNCTION("""COMPUTED_VALUE"""),0)</f>
        <v>0</v>
      </c>
      <c r="D937" s="23">
        <f ca="1">IFERROR(__xludf.DUMMYFUNCTION("""COMPUTED_VALUE"""),0)</f>
        <v>0</v>
      </c>
      <c r="E937" s="23">
        <f ca="1">IFERROR(__xludf.DUMMYFUNCTION("""COMPUTED_VALUE"""),0)</f>
        <v>0</v>
      </c>
      <c r="F937" s="23">
        <f ca="1">IFERROR(__xludf.DUMMYFUNCTION("""COMPUTED_VALUE"""),0)</f>
        <v>0</v>
      </c>
      <c r="G937" s="23">
        <f ca="1">IFERROR(__xludf.DUMMYFUNCTION("""COMPUTED_VALUE"""),0)</f>
        <v>0</v>
      </c>
      <c r="H937" s="23">
        <f ca="1">IFERROR(__xludf.DUMMYFUNCTION("""COMPUTED_VALUE"""),0)</f>
        <v>0</v>
      </c>
      <c r="I937" s="23">
        <f ca="1">IFERROR(__xludf.DUMMYFUNCTION("""COMPUTED_VALUE"""),0)</f>
        <v>0</v>
      </c>
      <c r="J937" s="23">
        <f ca="1">IFERROR(__xludf.DUMMYFUNCTION("""COMPUTED_VALUE"""),0)</f>
        <v>0</v>
      </c>
      <c r="K937" s="23">
        <f ca="1">IFERROR(__xludf.DUMMYFUNCTION("""COMPUTED_VALUE"""),0)</f>
        <v>0</v>
      </c>
      <c r="L937" s="23">
        <f ca="1">IFERROR(__xludf.DUMMYFUNCTION("""COMPUTED_VALUE"""),0)</f>
        <v>0</v>
      </c>
      <c r="M937" s="23">
        <f ca="1">IFERROR(__xludf.DUMMYFUNCTION("""COMPUTED_VALUE"""),0)</f>
        <v>0</v>
      </c>
      <c r="N937" s="23">
        <f ca="1">IFERROR(__xludf.DUMMYFUNCTION("""COMPUTED_VALUE"""),0)</f>
        <v>0</v>
      </c>
      <c r="O937" s="23">
        <f ca="1">IFERROR(__xludf.DUMMYFUNCTION("""COMPUTED_VALUE"""),0)</f>
        <v>0</v>
      </c>
      <c r="P937" s="23">
        <f ca="1">IFERROR(__xludf.DUMMYFUNCTION("""COMPUTED_VALUE"""),0)</f>
        <v>0</v>
      </c>
      <c r="Q937" s="24">
        <f ca="1">IFERROR(__xludf.DUMMYFUNCTION("""COMPUTED_VALUE"""),0)</f>
        <v>0</v>
      </c>
      <c r="R937" s="20"/>
    </row>
    <row r="938" spans="1:18" ht="13.2" hidden="1" outlineLevel="1" x14ac:dyDescent="0.25">
      <c r="A938" s="1"/>
      <c r="B938" s="21" t="str">
        <f ca="1">IFERROR(__xludf.DUMMYFUNCTION("""COMPUTED_VALUE"""),"Bagazo de caña")</f>
        <v>Bagazo de caña</v>
      </c>
      <c r="C938" s="22">
        <f ca="1">IFERROR(__xludf.DUMMYFUNCTION("""COMPUTED_VALUE"""),0)</f>
        <v>0</v>
      </c>
      <c r="D938" s="23">
        <f ca="1">IFERROR(__xludf.DUMMYFUNCTION("""COMPUTED_VALUE"""),0)</f>
        <v>0</v>
      </c>
      <c r="E938" s="23">
        <f ca="1">IFERROR(__xludf.DUMMYFUNCTION("""COMPUTED_VALUE"""),0)</f>
        <v>0</v>
      </c>
      <c r="F938" s="23">
        <f ca="1">IFERROR(__xludf.DUMMYFUNCTION("""COMPUTED_VALUE"""),0)</f>
        <v>0</v>
      </c>
      <c r="G938" s="23">
        <f ca="1">IFERROR(__xludf.DUMMYFUNCTION("""COMPUTED_VALUE"""),0)</f>
        <v>0</v>
      </c>
      <c r="H938" s="23">
        <f ca="1">IFERROR(__xludf.DUMMYFUNCTION("""COMPUTED_VALUE"""),0)</f>
        <v>0</v>
      </c>
      <c r="I938" s="23">
        <f ca="1">IFERROR(__xludf.DUMMYFUNCTION("""COMPUTED_VALUE"""),0)</f>
        <v>0</v>
      </c>
      <c r="J938" s="23">
        <f ca="1">IFERROR(__xludf.DUMMYFUNCTION("""COMPUTED_VALUE"""),0)</f>
        <v>0</v>
      </c>
      <c r="K938" s="23">
        <f ca="1">IFERROR(__xludf.DUMMYFUNCTION("""COMPUTED_VALUE"""),0)</f>
        <v>0</v>
      </c>
      <c r="L938" s="23">
        <f ca="1">IFERROR(__xludf.DUMMYFUNCTION("""COMPUTED_VALUE"""),0)</f>
        <v>0</v>
      </c>
      <c r="M938" s="23">
        <f ca="1">IFERROR(__xludf.DUMMYFUNCTION("""COMPUTED_VALUE"""),0)</f>
        <v>0</v>
      </c>
      <c r="N938" s="23">
        <f ca="1">IFERROR(__xludf.DUMMYFUNCTION("""COMPUTED_VALUE"""),0)</f>
        <v>0</v>
      </c>
      <c r="O938" s="23">
        <f ca="1">IFERROR(__xludf.DUMMYFUNCTION("""COMPUTED_VALUE"""),0)</f>
        <v>0</v>
      </c>
      <c r="P938" s="23">
        <f ca="1">IFERROR(__xludf.DUMMYFUNCTION("""COMPUTED_VALUE"""),0)</f>
        <v>0</v>
      </c>
      <c r="Q938" s="24">
        <f ca="1">IFERROR(__xludf.DUMMYFUNCTION("""COMPUTED_VALUE"""),0)</f>
        <v>0</v>
      </c>
      <c r="R938" s="20"/>
    </row>
    <row r="939" spans="1:18" ht="13.2" hidden="1" outlineLevel="1" x14ac:dyDescent="0.25">
      <c r="A939" s="1"/>
      <c r="B939" s="21" t="str">
        <f ca="1">IFERROR(__xludf.DUMMYFUNCTION("""COMPUTED_VALUE"""),"Leña")</f>
        <v>Leña</v>
      </c>
      <c r="C939" s="22">
        <f ca="1">IFERROR(__xludf.DUMMYFUNCTION("""COMPUTED_VALUE"""),4.98444401766852)</f>
        <v>4.9844440176685199</v>
      </c>
      <c r="D939" s="23">
        <f ca="1">IFERROR(__xludf.DUMMYFUNCTION("""COMPUTED_VALUE"""),4.96241890933062)</f>
        <v>4.9624189093306201</v>
      </c>
      <c r="E939" s="23">
        <f ca="1">IFERROR(__xludf.DUMMYFUNCTION("""COMPUTED_VALUE"""),4.93700787401574)</f>
        <v>4.9370078740157401</v>
      </c>
      <c r="F939" s="23">
        <f ca="1">IFERROR(__xludf.DUMMYFUNCTION("""COMPUTED_VALUE"""),4.91146533512579)</f>
        <v>4.91146533512579</v>
      </c>
      <c r="G939" s="23">
        <f ca="1">IFERROR(__xludf.DUMMYFUNCTION("""COMPUTED_VALUE"""),4.88957173036297)</f>
        <v>4.8895717303629702</v>
      </c>
      <c r="H939" s="23">
        <f ca="1">IFERROR(__xludf.DUMMYFUNCTION("""COMPUTED_VALUE"""),4.86402919147301)</f>
        <v>4.8640291914730103</v>
      </c>
      <c r="I939" s="23">
        <f ca="1">IFERROR(__xludf.DUMMYFUNCTION("""COMPUTED_VALUE"""),4.84213558671019)</f>
        <v>4.8421355867101896</v>
      </c>
      <c r="J939" s="23">
        <f ca="1">IFERROR(__xludf.DUMMYFUNCTION("""COMPUTED_VALUE"""),4.81659304782024)</f>
        <v>4.8165930478202403</v>
      </c>
      <c r="K939" s="23">
        <f ca="1">IFERROR(__xludf.DUMMYFUNCTION("""COMPUTED_VALUE"""),4.79118195785777)</f>
        <v>4.7911819578577699</v>
      </c>
      <c r="L939" s="23">
        <f ca="1">IFERROR(__xludf.DUMMYFUNCTION("""COMPUTED_VALUE"""),4.7690253956357)</f>
        <v>4.7690253956357003</v>
      </c>
      <c r="M939" s="23">
        <f ca="1">IFERROR(__xludf.DUMMYFUNCTION("""COMPUTED_VALUE"""),4.74361436527751)</f>
        <v>4.7436143652775096</v>
      </c>
      <c r="N939" s="23">
        <f ca="1">IFERROR(__xludf.DUMMYFUNCTION("""COMPUTED_VALUE"""),4.7252381713259)</f>
        <v>4.7252381713259002</v>
      </c>
      <c r="O939" s="23">
        <f ca="1">IFERROR(__xludf.DUMMYFUNCTION("""COMPUTED_VALUE"""),4.70511510398899)</f>
        <v>4.70511510398899</v>
      </c>
      <c r="P939" s="23">
        <f ca="1">IFERROR(__xludf.DUMMYFUNCTION("""COMPUTED_VALUE"""),4.68499203665209)</f>
        <v>4.6849920366520896</v>
      </c>
      <c r="Q939" s="24">
        <f ca="1">IFERROR(__xludf.DUMMYFUNCTION("""COMPUTED_VALUE"""),4.66486896931519)</f>
        <v>4.6648689693151901</v>
      </c>
      <c r="R939" s="20"/>
    </row>
    <row r="940" spans="1:18" ht="13.2" hidden="1" outlineLevel="1" x14ac:dyDescent="0.25">
      <c r="A940" s="1"/>
      <c r="B940" s="21" t="str">
        <f ca="1">IFERROR(__xludf.DUMMYFUNCTION("""COMPUTED_VALUE"""),"Biogás")</f>
        <v>Biogás</v>
      </c>
      <c r="C940" s="22">
        <f ca="1">IFERROR(__xludf.DUMMYFUNCTION("""COMPUTED_VALUE"""),0)</f>
        <v>0</v>
      </c>
      <c r="D940" s="23">
        <f ca="1">IFERROR(__xludf.DUMMYFUNCTION("""COMPUTED_VALUE"""),0)</f>
        <v>0</v>
      </c>
      <c r="E940" s="23">
        <f ca="1">IFERROR(__xludf.DUMMYFUNCTION("""COMPUTED_VALUE"""),0)</f>
        <v>0</v>
      </c>
      <c r="F940" s="23">
        <f ca="1">IFERROR(__xludf.DUMMYFUNCTION("""COMPUTED_VALUE"""),0)</f>
        <v>0</v>
      </c>
      <c r="G940" s="23">
        <f ca="1">IFERROR(__xludf.DUMMYFUNCTION("""COMPUTED_VALUE"""),0)</f>
        <v>0</v>
      </c>
      <c r="H940" s="23">
        <f ca="1">IFERROR(__xludf.DUMMYFUNCTION("""COMPUTED_VALUE"""),0)</f>
        <v>0</v>
      </c>
      <c r="I940" s="23">
        <f ca="1">IFERROR(__xludf.DUMMYFUNCTION("""COMPUTED_VALUE"""),0)</f>
        <v>0</v>
      </c>
      <c r="J940" s="23">
        <f ca="1">IFERROR(__xludf.DUMMYFUNCTION("""COMPUTED_VALUE"""),0)</f>
        <v>0</v>
      </c>
      <c r="K940" s="23">
        <f ca="1">IFERROR(__xludf.DUMMYFUNCTION("""COMPUTED_VALUE"""),0)</f>
        <v>0</v>
      </c>
      <c r="L940" s="23">
        <f ca="1">IFERROR(__xludf.DUMMYFUNCTION("""COMPUTED_VALUE"""),0)</f>
        <v>0</v>
      </c>
      <c r="M940" s="23">
        <f ca="1">IFERROR(__xludf.DUMMYFUNCTION("""COMPUTED_VALUE"""),0)</f>
        <v>0</v>
      </c>
      <c r="N940" s="23">
        <f ca="1">IFERROR(__xludf.DUMMYFUNCTION("""COMPUTED_VALUE"""),0)</f>
        <v>0</v>
      </c>
      <c r="O940" s="23">
        <f ca="1">IFERROR(__xludf.DUMMYFUNCTION("""COMPUTED_VALUE"""),0)</f>
        <v>0</v>
      </c>
      <c r="P940" s="23">
        <f ca="1">IFERROR(__xludf.DUMMYFUNCTION("""COMPUTED_VALUE"""),0)</f>
        <v>0</v>
      </c>
      <c r="Q940" s="24">
        <f ca="1">IFERROR(__xludf.DUMMYFUNCTION("""COMPUTED_VALUE"""),0)</f>
        <v>0</v>
      </c>
      <c r="R940" s="20"/>
    </row>
    <row r="941" spans="1:18" ht="13.2" hidden="1" outlineLevel="1" x14ac:dyDescent="0.25">
      <c r="A941" s="1"/>
      <c r="B941" s="21" t="str">
        <f ca="1">IFERROR(__xludf.DUMMYFUNCTION("""COMPUTED_VALUE"""),"Coque de carbón")</f>
        <v>Coque de carbón</v>
      </c>
      <c r="C941" s="22">
        <f ca="1">IFERROR(__xludf.DUMMYFUNCTION("""COMPUTED_VALUE"""),0)</f>
        <v>0</v>
      </c>
      <c r="D941" s="23">
        <f ca="1">IFERROR(__xludf.DUMMYFUNCTION("""COMPUTED_VALUE"""),0)</f>
        <v>0</v>
      </c>
      <c r="E941" s="23">
        <f ca="1">IFERROR(__xludf.DUMMYFUNCTION("""COMPUTED_VALUE"""),0)</f>
        <v>0</v>
      </c>
      <c r="F941" s="23">
        <f ca="1">IFERROR(__xludf.DUMMYFUNCTION("""COMPUTED_VALUE"""),0)</f>
        <v>0</v>
      </c>
      <c r="G941" s="23">
        <f ca="1">IFERROR(__xludf.DUMMYFUNCTION("""COMPUTED_VALUE"""),0)</f>
        <v>0</v>
      </c>
      <c r="H941" s="23">
        <f ca="1">IFERROR(__xludf.DUMMYFUNCTION("""COMPUTED_VALUE"""),0)</f>
        <v>0</v>
      </c>
      <c r="I941" s="23">
        <f ca="1">IFERROR(__xludf.DUMMYFUNCTION("""COMPUTED_VALUE"""),0)</f>
        <v>0</v>
      </c>
      <c r="J941" s="23">
        <f ca="1">IFERROR(__xludf.DUMMYFUNCTION("""COMPUTED_VALUE"""),0)</f>
        <v>0</v>
      </c>
      <c r="K941" s="23">
        <f ca="1">IFERROR(__xludf.DUMMYFUNCTION("""COMPUTED_VALUE"""),0)</f>
        <v>0</v>
      </c>
      <c r="L941" s="23">
        <f ca="1">IFERROR(__xludf.DUMMYFUNCTION("""COMPUTED_VALUE"""),0)</f>
        <v>0</v>
      </c>
      <c r="M941" s="23">
        <f ca="1">IFERROR(__xludf.DUMMYFUNCTION("""COMPUTED_VALUE"""),0)</f>
        <v>0</v>
      </c>
      <c r="N941" s="23">
        <f ca="1">IFERROR(__xludf.DUMMYFUNCTION("""COMPUTED_VALUE"""),0)</f>
        <v>0</v>
      </c>
      <c r="O941" s="23">
        <f ca="1">IFERROR(__xludf.DUMMYFUNCTION("""COMPUTED_VALUE"""),0)</f>
        <v>0</v>
      </c>
      <c r="P941" s="23">
        <f ca="1">IFERROR(__xludf.DUMMYFUNCTION("""COMPUTED_VALUE"""),0)</f>
        <v>0</v>
      </c>
      <c r="Q941" s="24">
        <f ca="1">IFERROR(__xludf.DUMMYFUNCTION("""COMPUTED_VALUE"""),0)</f>
        <v>0</v>
      </c>
      <c r="R941" s="20"/>
    </row>
    <row r="942" spans="1:18" ht="13.2" hidden="1" outlineLevel="1" x14ac:dyDescent="0.25">
      <c r="A942" s="1"/>
      <c r="B942" s="21" t="str">
        <f ca="1">IFERROR(__xludf.DUMMYFUNCTION("""COMPUTED_VALUE"""),"Coque de petróleo")</f>
        <v>Coque de petróleo</v>
      </c>
      <c r="C942" s="22">
        <f ca="1">IFERROR(__xludf.DUMMYFUNCTION("""COMPUTED_VALUE"""),0)</f>
        <v>0</v>
      </c>
      <c r="D942" s="23">
        <f ca="1">IFERROR(__xludf.DUMMYFUNCTION("""COMPUTED_VALUE"""),0)</f>
        <v>0</v>
      </c>
      <c r="E942" s="23">
        <f ca="1">IFERROR(__xludf.DUMMYFUNCTION("""COMPUTED_VALUE"""),0)</f>
        <v>0</v>
      </c>
      <c r="F942" s="23">
        <f ca="1">IFERROR(__xludf.DUMMYFUNCTION("""COMPUTED_VALUE"""),0)</f>
        <v>0</v>
      </c>
      <c r="G942" s="23">
        <f ca="1">IFERROR(__xludf.DUMMYFUNCTION("""COMPUTED_VALUE"""),0)</f>
        <v>0</v>
      </c>
      <c r="H942" s="23">
        <f ca="1">IFERROR(__xludf.DUMMYFUNCTION("""COMPUTED_VALUE"""),0)</f>
        <v>0</v>
      </c>
      <c r="I942" s="23">
        <f ca="1">IFERROR(__xludf.DUMMYFUNCTION("""COMPUTED_VALUE"""),0)</f>
        <v>0</v>
      </c>
      <c r="J942" s="23">
        <f ca="1">IFERROR(__xludf.DUMMYFUNCTION("""COMPUTED_VALUE"""),0)</f>
        <v>0</v>
      </c>
      <c r="K942" s="23">
        <f ca="1">IFERROR(__xludf.DUMMYFUNCTION("""COMPUTED_VALUE"""),0)</f>
        <v>0</v>
      </c>
      <c r="L942" s="23">
        <f ca="1">IFERROR(__xludf.DUMMYFUNCTION("""COMPUTED_VALUE"""),0)</f>
        <v>0</v>
      </c>
      <c r="M942" s="23">
        <f ca="1">IFERROR(__xludf.DUMMYFUNCTION("""COMPUTED_VALUE"""),0)</f>
        <v>0</v>
      </c>
      <c r="N942" s="23">
        <f ca="1">IFERROR(__xludf.DUMMYFUNCTION("""COMPUTED_VALUE"""),0)</f>
        <v>0</v>
      </c>
      <c r="O942" s="23">
        <f ca="1">IFERROR(__xludf.DUMMYFUNCTION("""COMPUTED_VALUE"""),0)</f>
        <v>0</v>
      </c>
      <c r="P942" s="23">
        <f ca="1">IFERROR(__xludf.DUMMYFUNCTION("""COMPUTED_VALUE"""),0)</f>
        <v>0</v>
      </c>
      <c r="Q942" s="24">
        <f ca="1">IFERROR(__xludf.DUMMYFUNCTION("""COMPUTED_VALUE"""),0)</f>
        <v>0</v>
      </c>
      <c r="R942" s="20"/>
    </row>
    <row r="943" spans="1:18" ht="13.2" hidden="1" outlineLevel="1" x14ac:dyDescent="0.25">
      <c r="A943" s="1"/>
      <c r="B943" s="21" t="str">
        <f ca="1">IFERROR(__xludf.DUMMYFUNCTION("""COMPUTED_VALUE"""),"Gas licuado de petróleo")</f>
        <v>Gas licuado de petróleo</v>
      </c>
      <c r="C943" s="22">
        <f ca="1">IFERROR(__xludf.DUMMYFUNCTION("""COMPUTED_VALUE"""),60.2113251618423)</f>
        <v>60.211325161842304</v>
      </c>
      <c r="D943" s="23">
        <f ca="1">IFERROR(__xludf.DUMMYFUNCTION("""COMPUTED_VALUE"""),61.4815125831086)</f>
        <v>61.481512583108596</v>
      </c>
      <c r="E943" s="23">
        <f ca="1">IFERROR(__xludf.DUMMYFUNCTION("""COMPUTED_VALUE"""),61.2346492076015)</f>
        <v>61.2346492076015</v>
      </c>
      <c r="F943" s="23">
        <f ca="1">IFERROR(__xludf.DUMMYFUNCTION("""COMPUTED_VALUE"""),61.8457701324786)</f>
        <v>61.845770132478599</v>
      </c>
      <c r="G943" s="23">
        <f ca="1">IFERROR(__xludf.DUMMYFUNCTION("""COMPUTED_VALUE"""),64.6047510692006)</f>
        <v>64.604751069200603</v>
      </c>
      <c r="H943" s="23">
        <f ca="1">IFERROR(__xludf.DUMMYFUNCTION("""COMPUTED_VALUE"""),61.841492027734)</f>
        <v>61.841492027733999</v>
      </c>
      <c r="I943" s="23">
        <f ca="1">IFERROR(__xludf.DUMMYFUNCTION("""COMPUTED_VALUE"""),64.7298265001243)</f>
        <v>64.729826500124304</v>
      </c>
      <c r="J943" s="23">
        <f ca="1">IFERROR(__xludf.DUMMYFUNCTION("""COMPUTED_VALUE"""),59.744853273236)</f>
        <v>59.744853273235996</v>
      </c>
      <c r="K943" s="23">
        <f ca="1">IFERROR(__xludf.DUMMYFUNCTION("""COMPUTED_VALUE"""),63.1341149799673)</f>
        <v>63.1341149799673</v>
      </c>
      <c r="L943" s="23">
        <f ca="1">IFERROR(__xludf.DUMMYFUNCTION("""COMPUTED_VALUE"""),50.0489150471802)</f>
        <v>50.048915047180202</v>
      </c>
      <c r="M943" s="23">
        <f ca="1">IFERROR(__xludf.DUMMYFUNCTION("""COMPUTED_VALUE"""),52.6107308394963)</f>
        <v>52.610730839496298</v>
      </c>
      <c r="N943" s="23">
        <f ca="1">IFERROR(__xludf.DUMMYFUNCTION("""COMPUTED_VALUE"""),72.8165701822496)</f>
        <v>72.816570182249606</v>
      </c>
      <c r="O943" s="23">
        <f ca="1">IFERROR(__xludf.DUMMYFUNCTION("""COMPUTED_VALUE"""),77.9629345467643)</f>
        <v>77.962934546764302</v>
      </c>
      <c r="P943" s="23">
        <f ca="1">IFERROR(__xludf.DUMMYFUNCTION("""COMPUTED_VALUE"""),80.8038622122368)</f>
        <v>80.803862212236794</v>
      </c>
      <c r="Q943" s="24">
        <f ca="1">IFERROR(__xludf.DUMMYFUNCTION("""COMPUTED_VALUE"""),73.6835217726839)</f>
        <v>73.683521772683903</v>
      </c>
      <c r="R943" s="20"/>
    </row>
    <row r="944" spans="1:18" ht="13.2" hidden="1" outlineLevel="1" x14ac:dyDescent="0.25">
      <c r="A944" s="1"/>
      <c r="B944" s="21" t="str">
        <f ca="1">IFERROR(__xludf.DUMMYFUNCTION("""COMPUTED_VALUE"""),"Gasolinas y naftas")</f>
        <v>Gasolinas y naftas</v>
      </c>
      <c r="C944" s="22">
        <f ca="1">IFERROR(__xludf.DUMMYFUNCTION("""COMPUTED_VALUE"""),0)</f>
        <v>0</v>
      </c>
      <c r="D944" s="23">
        <f ca="1">IFERROR(__xludf.DUMMYFUNCTION("""COMPUTED_VALUE"""),0)</f>
        <v>0</v>
      </c>
      <c r="E944" s="23">
        <f ca="1">IFERROR(__xludf.DUMMYFUNCTION("""COMPUTED_VALUE"""),0)</f>
        <v>0</v>
      </c>
      <c r="F944" s="23">
        <f ca="1">IFERROR(__xludf.DUMMYFUNCTION("""COMPUTED_VALUE"""),0)</f>
        <v>0</v>
      </c>
      <c r="G944" s="23">
        <f ca="1">IFERROR(__xludf.DUMMYFUNCTION("""COMPUTED_VALUE"""),0)</f>
        <v>0</v>
      </c>
      <c r="H944" s="23">
        <f ca="1">IFERROR(__xludf.DUMMYFUNCTION("""COMPUTED_VALUE"""),0)</f>
        <v>0</v>
      </c>
      <c r="I944" s="23">
        <f ca="1">IFERROR(__xludf.DUMMYFUNCTION("""COMPUTED_VALUE"""),0)</f>
        <v>0</v>
      </c>
      <c r="J944" s="23">
        <f ca="1">IFERROR(__xludf.DUMMYFUNCTION("""COMPUTED_VALUE"""),0)</f>
        <v>0</v>
      </c>
      <c r="K944" s="23">
        <f ca="1">IFERROR(__xludf.DUMMYFUNCTION("""COMPUTED_VALUE"""),0)</f>
        <v>0</v>
      </c>
      <c r="L944" s="23">
        <f ca="1">IFERROR(__xludf.DUMMYFUNCTION("""COMPUTED_VALUE"""),0)</f>
        <v>0</v>
      </c>
      <c r="M944" s="23">
        <f ca="1">IFERROR(__xludf.DUMMYFUNCTION("""COMPUTED_VALUE"""),0)</f>
        <v>0</v>
      </c>
      <c r="N944" s="23">
        <f ca="1">IFERROR(__xludf.DUMMYFUNCTION("""COMPUTED_VALUE"""),0)</f>
        <v>0</v>
      </c>
      <c r="O944" s="23">
        <f ca="1">IFERROR(__xludf.DUMMYFUNCTION("""COMPUTED_VALUE"""),0)</f>
        <v>0</v>
      </c>
      <c r="P944" s="23">
        <f ca="1">IFERROR(__xludf.DUMMYFUNCTION("""COMPUTED_VALUE"""),0)</f>
        <v>0</v>
      </c>
      <c r="Q944" s="24">
        <f ca="1">IFERROR(__xludf.DUMMYFUNCTION("""COMPUTED_VALUE"""),0)</f>
        <v>0</v>
      </c>
      <c r="R944" s="20"/>
    </row>
    <row r="945" spans="1:18" ht="13.2" hidden="1" outlineLevel="1" x14ac:dyDescent="0.25">
      <c r="A945" s="1"/>
      <c r="B945" s="21" t="str">
        <f ca="1">IFERROR(__xludf.DUMMYFUNCTION("""COMPUTED_VALUE"""),"Querosenos")</f>
        <v>Querosenos</v>
      </c>
      <c r="C945" s="22">
        <f ca="1">IFERROR(__xludf.DUMMYFUNCTION("""COMPUTED_VALUE"""),0)</f>
        <v>0</v>
      </c>
      <c r="D945" s="23">
        <f ca="1">IFERROR(__xludf.DUMMYFUNCTION("""COMPUTED_VALUE"""),0)</f>
        <v>0</v>
      </c>
      <c r="E945" s="23">
        <f ca="1">IFERROR(__xludf.DUMMYFUNCTION("""COMPUTED_VALUE"""),0)</f>
        <v>0</v>
      </c>
      <c r="F945" s="23">
        <f ca="1">IFERROR(__xludf.DUMMYFUNCTION("""COMPUTED_VALUE"""),0)</f>
        <v>0</v>
      </c>
      <c r="G945" s="23">
        <f ca="1">IFERROR(__xludf.DUMMYFUNCTION("""COMPUTED_VALUE"""),0)</f>
        <v>0</v>
      </c>
      <c r="H945" s="23">
        <f ca="1">IFERROR(__xludf.DUMMYFUNCTION("""COMPUTED_VALUE"""),0)</f>
        <v>0</v>
      </c>
      <c r="I945" s="23">
        <f ca="1">IFERROR(__xludf.DUMMYFUNCTION("""COMPUTED_VALUE"""),0)</f>
        <v>0</v>
      </c>
      <c r="J945" s="23">
        <f ca="1">IFERROR(__xludf.DUMMYFUNCTION("""COMPUTED_VALUE"""),0)</f>
        <v>0</v>
      </c>
      <c r="K945" s="23">
        <f ca="1">IFERROR(__xludf.DUMMYFUNCTION("""COMPUTED_VALUE"""),0)</f>
        <v>0</v>
      </c>
      <c r="L945" s="23">
        <f ca="1">IFERROR(__xludf.DUMMYFUNCTION("""COMPUTED_VALUE"""),0)</f>
        <v>0</v>
      </c>
      <c r="M945" s="23">
        <f ca="1">IFERROR(__xludf.DUMMYFUNCTION("""COMPUTED_VALUE"""),0)</f>
        <v>0</v>
      </c>
      <c r="N945" s="23">
        <f ca="1">IFERROR(__xludf.DUMMYFUNCTION("""COMPUTED_VALUE"""),0)</f>
        <v>0</v>
      </c>
      <c r="O945" s="23">
        <f ca="1">IFERROR(__xludf.DUMMYFUNCTION("""COMPUTED_VALUE"""),0)</f>
        <v>0</v>
      </c>
      <c r="P945" s="23">
        <f ca="1">IFERROR(__xludf.DUMMYFUNCTION("""COMPUTED_VALUE"""),0)</f>
        <v>0</v>
      </c>
      <c r="Q945" s="24">
        <f ca="1">IFERROR(__xludf.DUMMYFUNCTION("""COMPUTED_VALUE"""),0)</f>
        <v>0</v>
      </c>
      <c r="R945" s="20"/>
    </row>
    <row r="946" spans="1:18" ht="13.2" hidden="1" outlineLevel="1" x14ac:dyDescent="0.25">
      <c r="A946" s="1"/>
      <c r="B946" s="21" t="str">
        <f ca="1">IFERROR(__xludf.DUMMYFUNCTION("""COMPUTED_VALUE"""),"Diesel")</f>
        <v>Diesel</v>
      </c>
      <c r="C946" s="22">
        <f ca="1">IFERROR(__xludf.DUMMYFUNCTION("""COMPUTED_VALUE"""),3.78471913608255)</f>
        <v>3.7847191360825501</v>
      </c>
      <c r="D946" s="23">
        <f ca="1">IFERROR(__xludf.DUMMYFUNCTION("""COMPUTED_VALUE"""),4.07630817124437)</f>
        <v>4.0763081712443698</v>
      </c>
      <c r="E946" s="23">
        <f ca="1">IFERROR(__xludf.DUMMYFUNCTION("""COMPUTED_VALUE"""),4.35059938426015)</f>
        <v>4.3505993842601498</v>
      </c>
      <c r="F946" s="23">
        <f ca="1">IFERROR(__xludf.DUMMYFUNCTION("""COMPUTED_VALUE"""),4.46006200296535)</f>
        <v>4.4600620029653504</v>
      </c>
      <c r="G946" s="23">
        <f ca="1">IFERROR(__xludf.DUMMYFUNCTION("""COMPUTED_VALUE"""),4.51584792973651)</f>
        <v>4.5158479297365099</v>
      </c>
      <c r="H946" s="23">
        <f ca="1">IFERROR(__xludf.DUMMYFUNCTION("""COMPUTED_VALUE"""),5.22856709270562)</f>
        <v>5.22856709270562</v>
      </c>
      <c r="I946" s="23">
        <f ca="1">IFERROR(__xludf.DUMMYFUNCTION("""COMPUTED_VALUE"""),1.88185483142004)</f>
        <v>1.8818548314200401</v>
      </c>
      <c r="J946" s="23">
        <f ca="1">IFERROR(__xludf.DUMMYFUNCTION("""COMPUTED_VALUE"""),2.14535902970745)</f>
        <v>2.1453590297074498</v>
      </c>
      <c r="K946" s="23">
        <f ca="1">IFERROR(__xludf.DUMMYFUNCTION("""COMPUTED_VALUE"""),1.25171675314273)</f>
        <v>1.25171675314273</v>
      </c>
      <c r="L946" s="23">
        <f ca="1">IFERROR(__xludf.DUMMYFUNCTION("""COMPUTED_VALUE"""),0.682570896748056)</f>
        <v>0.68257089674805604</v>
      </c>
      <c r="M946" s="23">
        <f ca="1">IFERROR(__xludf.DUMMYFUNCTION("""COMPUTED_VALUE"""),0)</f>
        <v>0</v>
      </c>
      <c r="N946" s="23">
        <f ca="1">IFERROR(__xludf.DUMMYFUNCTION("""COMPUTED_VALUE"""),0)</f>
        <v>0</v>
      </c>
      <c r="O946" s="23">
        <f ca="1">IFERROR(__xludf.DUMMYFUNCTION("""COMPUTED_VALUE"""),0)</f>
        <v>0</v>
      </c>
      <c r="P946" s="23">
        <f ca="1">IFERROR(__xludf.DUMMYFUNCTION("""COMPUTED_VALUE"""),0)</f>
        <v>0</v>
      </c>
      <c r="Q946" s="24">
        <f ca="1">IFERROR(__xludf.DUMMYFUNCTION("""COMPUTED_VALUE"""),0)</f>
        <v>0</v>
      </c>
      <c r="R946" s="20"/>
    </row>
    <row r="947" spans="1:18" ht="13.2" hidden="1" outlineLevel="1" x14ac:dyDescent="0.25">
      <c r="A947" s="1"/>
      <c r="B947" s="21" t="str">
        <f ca="1">IFERROR(__xludf.DUMMYFUNCTION("""COMPUTED_VALUE"""),"Combustóleo")</f>
        <v>Combustóleo</v>
      </c>
      <c r="C947" s="22">
        <f ca="1">IFERROR(__xludf.DUMMYFUNCTION("""COMPUTED_VALUE"""),0)</f>
        <v>0</v>
      </c>
      <c r="D947" s="23">
        <f ca="1">IFERROR(__xludf.DUMMYFUNCTION("""COMPUTED_VALUE"""),0)</f>
        <v>0</v>
      </c>
      <c r="E947" s="23">
        <f ca="1">IFERROR(__xludf.DUMMYFUNCTION("""COMPUTED_VALUE"""),0)</f>
        <v>0</v>
      </c>
      <c r="F947" s="23">
        <f ca="1">IFERROR(__xludf.DUMMYFUNCTION("""COMPUTED_VALUE"""),0)</f>
        <v>0</v>
      </c>
      <c r="G947" s="23">
        <f ca="1">IFERROR(__xludf.DUMMYFUNCTION("""COMPUTED_VALUE"""),0)</f>
        <v>0</v>
      </c>
      <c r="H947" s="23">
        <f ca="1">IFERROR(__xludf.DUMMYFUNCTION("""COMPUTED_VALUE"""),0)</f>
        <v>0</v>
      </c>
      <c r="I947" s="23">
        <f ca="1">IFERROR(__xludf.DUMMYFUNCTION("""COMPUTED_VALUE"""),0)</f>
        <v>0</v>
      </c>
      <c r="J947" s="23">
        <f ca="1">IFERROR(__xludf.DUMMYFUNCTION("""COMPUTED_VALUE"""),0)</f>
        <v>0</v>
      </c>
      <c r="K947" s="23">
        <f ca="1">IFERROR(__xludf.DUMMYFUNCTION("""COMPUTED_VALUE"""),0)</f>
        <v>0</v>
      </c>
      <c r="L947" s="23">
        <f ca="1">IFERROR(__xludf.DUMMYFUNCTION("""COMPUTED_VALUE"""),0)</f>
        <v>0</v>
      </c>
      <c r="M947" s="23">
        <f ca="1">IFERROR(__xludf.DUMMYFUNCTION("""COMPUTED_VALUE"""),0)</f>
        <v>0</v>
      </c>
      <c r="N947" s="23">
        <f ca="1">IFERROR(__xludf.DUMMYFUNCTION("""COMPUTED_VALUE"""),0)</f>
        <v>0</v>
      </c>
      <c r="O947" s="23">
        <f ca="1">IFERROR(__xludf.DUMMYFUNCTION("""COMPUTED_VALUE"""),0)</f>
        <v>0</v>
      </c>
      <c r="P947" s="23">
        <f ca="1">IFERROR(__xludf.DUMMYFUNCTION("""COMPUTED_VALUE"""),0)</f>
        <v>0</v>
      </c>
      <c r="Q947" s="24">
        <f ca="1">IFERROR(__xludf.DUMMYFUNCTION("""COMPUTED_VALUE"""),0)</f>
        <v>0</v>
      </c>
      <c r="R947" s="20"/>
    </row>
    <row r="948" spans="1:18" ht="13.2" hidden="1" outlineLevel="1" x14ac:dyDescent="0.25">
      <c r="A948" s="1"/>
      <c r="B948" s="21" t="str">
        <f ca="1">IFERROR(__xludf.DUMMYFUNCTION("""COMPUTED_VALUE"""),"Otros energéticos")</f>
        <v>Otros energéticos</v>
      </c>
      <c r="C948" s="22">
        <f ca="1">IFERROR(__xludf.DUMMYFUNCTION("""COMPUTED_VALUE"""),0)</f>
        <v>0</v>
      </c>
      <c r="D948" s="23">
        <f ca="1">IFERROR(__xludf.DUMMYFUNCTION("""COMPUTED_VALUE"""),0)</f>
        <v>0</v>
      </c>
      <c r="E948" s="23">
        <f ca="1">IFERROR(__xludf.DUMMYFUNCTION("""COMPUTED_VALUE"""),0)</f>
        <v>0</v>
      </c>
      <c r="F948" s="23">
        <f ca="1">IFERROR(__xludf.DUMMYFUNCTION("""COMPUTED_VALUE"""),0)</f>
        <v>0</v>
      </c>
      <c r="G948" s="23">
        <f ca="1">IFERROR(__xludf.DUMMYFUNCTION("""COMPUTED_VALUE"""),0)</f>
        <v>0</v>
      </c>
      <c r="H948" s="23">
        <f ca="1">IFERROR(__xludf.DUMMYFUNCTION("""COMPUTED_VALUE"""),0)</f>
        <v>0</v>
      </c>
      <c r="I948" s="23">
        <f ca="1">IFERROR(__xludf.DUMMYFUNCTION("""COMPUTED_VALUE"""),0)</f>
        <v>0</v>
      </c>
      <c r="J948" s="23">
        <f ca="1">IFERROR(__xludf.DUMMYFUNCTION("""COMPUTED_VALUE"""),0)</f>
        <v>0</v>
      </c>
      <c r="K948" s="23">
        <f ca="1">IFERROR(__xludf.DUMMYFUNCTION("""COMPUTED_VALUE"""),0)</f>
        <v>0</v>
      </c>
      <c r="L948" s="23">
        <f ca="1">IFERROR(__xludf.DUMMYFUNCTION("""COMPUTED_VALUE"""),0)</f>
        <v>0</v>
      </c>
      <c r="M948" s="23">
        <f ca="1">IFERROR(__xludf.DUMMYFUNCTION("""COMPUTED_VALUE"""),0)</f>
        <v>0</v>
      </c>
      <c r="N948" s="23">
        <f ca="1">IFERROR(__xludf.DUMMYFUNCTION("""COMPUTED_VALUE"""),0)</f>
        <v>0</v>
      </c>
      <c r="O948" s="23">
        <f ca="1">IFERROR(__xludf.DUMMYFUNCTION("""COMPUTED_VALUE"""),0)</f>
        <v>0</v>
      </c>
      <c r="P948" s="23">
        <f ca="1">IFERROR(__xludf.DUMMYFUNCTION("""COMPUTED_VALUE"""),0)</f>
        <v>0</v>
      </c>
      <c r="Q948" s="24">
        <f ca="1">IFERROR(__xludf.DUMMYFUNCTION("""COMPUTED_VALUE"""),0)</f>
        <v>0</v>
      </c>
      <c r="R948" s="20"/>
    </row>
    <row r="949" spans="1:18" ht="13.2" hidden="1" outlineLevel="1" x14ac:dyDescent="0.25">
      <c r="A949" s="1"/>
      <c r="B949" s="21" t="str">
        <f ca="1">IFERROR(__xludf.DUMMYFUNCTION("""COMPUTED_VALUE"""),"Gas natural seco")</f>
        <v>Gas natural seco</v>
      </c>
      <c r="C949" s="22">
        <f ca="1">IFERROR(__xludf.DUMMYFUNCTION("""COMPUTED_VALUE"""),7.9)</f>
        <v>7.9</v>
      </c>
      <c r="D949" s="23">
        <f ca="1">IFERROR(__xludf.DUMMYFUNCTION("""COMPUTED_VALUE"""),7.78)</f>
        <v>7.78</v>
      </c>
      <c r="E949" s="23">
        <f ca="1">IFERROR(__xludf.DUMMYFUNCTION("""COMPUTED_VALUE"""),8.58)</f>
        <v>8.58</v>
      </c>
      <c r="F949" s="23">
        <f ca="1">IFERROR(__xludf.DUMMYFUNCTION("""COMPUTED_VALUE"""),10.01)</f>
        <v>10.01</v>
      </c>
      <c r="G949" s="23">
        <f ca="1">IFERROR(__xludf.DUMMYFUNCTION("""COMPUTED_VALUE"""),13.69)</f>
        <v>13.69</v>
      </c>
      <c r="H949" s="23">
        <f ca="1">IFERROR(__xludf.DUMMYFUNCTION("""COMPUTED_VALUE"""),13.48)</f>
        <v>13.48</v>
      </c>
      <c r="I949" s="23">
        <f ca="1">IFERROR(__xludf.DUMMYFUNCTION("""COMPUTED_VALUE"""),14.65)</f>
        <v>14.65</v>
      </c>
      <c r="J949" s="23">
        <f ca="1">IFERROR(__xludf.DUMMYFUNCTION("""COMPUTED_VALUE"""),13.88)</f>
        <v>13.88</v>
      </c>
      <c r="K949" s="23">
        <f ca="1">IFERROR(__xludf.DUMMYFUNCTION("""COMPUTED_VALUE"""),13.74)</f>
        <v>13.74</v>
      </c>
      <c r="L949" s="23">
        <f ca="1">IFERROR(__xludf.DUMMYFUNCTION("""COMPUTED_VALUE"""),13.5)</f>
        <v>13.5</v>
      </c>
      <c r="M949" s="23">
        <f ca="1">IFERROR(__xludf.DUMMYFUNCTION("""COMPUTED_VALUE"""),9.91)</f>
        <v>9.91</v>
      </c>
      <c r="N949" s="23">
        <f ca="1">IFERROR(__xludf.DUMMYFUNCTION("""COMPUTED_VALUE"""),15.66)</f>
        <v>15.66</v>
      </c>
      <c r="O949" s="23">
        <f ca="1">IFERROR(__xludf.DUMMYFUNCTION("""COMPUTED_VALUE"""),18.28)</f>
        <v>18.28</v>
      </c>
      <c r="P949" s="23">
        <f ca="1">IFERROR(__xludf.DUMMYFUNCTION("""COMPUTED_VALUE"""),19.69)</f>
        <v>19.690000000000001</v>
      </c>
      <c r="Q949" s="24">
        <f ca="1">IFERROR(__xludf.DUMMYFUNCTION("""COMPUTED_VALUE"""),18.01)</f>
        <v>18.010000000000002</v>
      </c>
      <c r="R949" s="20"/>
    </row>
    <row r="950" spans="1:18" ht="13.2" hidden="1" outlineLevel="1" x14ac:dyDescent="0.25">
      <c r="A950" s="1"/>
      <c r="B950" s="25" t="str">
        <f ca="1">IFERROR(__xludf.DUMMYFUNCTION("""COMPUTED_VALUE"""),"Energía eléctrica")</f>
        <v>Energía eléctrica</v>
      </c>
      <c r="C950" s="26">
        <f ca="1">IFERROR(__xludf.DUMMYFUNCTION("""COMPUTED_VALUE"""),57.0754142656432)</f>
        <v>57.075414265643197</v>
      </c>
      <c r="D950" s="27">
        <f ca="1">IFERROR(__xludf.DUMMYFUNCTION("""COMPUTED_VALUE"""),58.1403166041305)</f>
        <v>58.140316604130497</v>
      </c>
      <c r="E950" s="27">
        <f ca="1">IFERROR(__xludf.DUMMYFUNCTION("""COMPUTED_VALUE"""),61.4598343864452)</f>
        <v>61.459834386445202</v>
      </c>
      <c r="F950" s="27">
        <f ca="1">IFERROR(__xludf.DUMMYFUNCTION("""COMPUTED_VALUE"""),62.4236932312999)</f>
        <v>62.4236932312999</v>
      </c>
      <c r="G950" s="27">
        <f ca="1">IFERROR(__xludf.DUMMYFUNCTION("""COMPUTED_VALUE"""),65.0656756420498)</f>
        <v>65.065675642049797</v>
      </c>
      <c r="H950" s="27">
        <f ca="1">IFERROR(__xludf.DUMMYFUNCTION("""COMPUTED_VALUE"""),66.6772518190802)</f>
        <v>66.677251819080197</v>
      </c>
      <c r="I950" s="27">
        <f ca="1">IFERROR(__xludf.DUMMYFUNCTION("""COMPUTED_VALUE"""),68.6233461613415)</f>
        <v>68.623346161341502</v>
      </c>
      <c r="J950" s="27">
        <f ca="1">IFERROR(__xludf.DUMMYFUNCTION("""COMPUTED_VALUE"""),71.0623204834733)</f>
        <v>71.0623204834733</v>
      </c>
      <c r="K950" s="27">
        <f ca="1">IFERROR(__xludf.DUMMYFUNCTION("""COMPUTED_VALUE"""),68.6848050760662)</f>
        <v>68.684805076066198</v>
      </c>
      <c r="L950" s="27">
        <f ca="1">IFERROR(__xludf.DUMMYFUNCTION("""COMPUTED_VALUE"""),71.1869380789029)</f>
        <v>71.186938078902898</v>
      </c>
      <c r="M950" s="27">
        <f ca="1">IFERROR(__xludf.DUMMYFUNCTION("""COMPUTED_VALUE"""),68.5349641541618)</f>
        <v>68.534964154161798</v>
      </c>
      <c r="N950" s="27">
        <f ca="1">IFERROR(__xludf.DUMMYFUNCTION("""COMPUTED_VALUE"""),74.3925264077964)</f>
        <v>74.392526407796396</v>
      </c>
      <c r="O950" s="27">
        <f ca="1">IFERROR(__xludf.DUMMYFUNCTION("""COMPUTED_VALUE"""),73.79048492297)</f>
        <v>73.790484922969995</v>
      </c>
      <c r="P950" s="27">
        <f ca="1">IFERROR(__xludf.DUMMYFUNCTION("""COMPUTED_VALUE"""),75.871102273367)</f>
        <v>75.871102273367001</v>
      </c>
      <c r="Q950" s="28">
        <f ca="1">IFERROR(__xludf.DUMMYFUNCTION("""COMPUTED_VALUE"""),78.6493065189808)</f>
        <v>78.649306518980794</v>
      </c>
      <c r="R950" s="20"/>
    </row>
    <row r="951" spans="1:18" ht="13.2" hidden="1" outlineLevel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0"/>
    </row>
    <row r="952" spans="1:18" ht="13.2" collapsed="1" x14ac:dyDescent="0.25">
      <c r="A952" s="29"/>
      <c r="B952" s="5" t="str">
        <f ca="1">IFERROR(__xludf.DUMMYFUNCTION("""COMPUTED_VALUE"""),"Con.Fin.Ene.Res(e,a)")</f>
        <v>Con.Fin.Ene.Res(e,a)</v>
      </c>
      <c r="C952" s="6" t="str">
        <f ca="1">IFERROR(__xludf.DUMMYFUNCTION("""COMPUTED_VALUE"""),"/+")</f>
        <v>/+</v>
      </c>
      <c r="D952" s="7" t="str">
        <f ca="1">IFERROR(__xludf.DUMMYFUNCTION("""COMPUTED_VALUE"""),"Residencial")</f>
        <v>Residencial</v>
      </c>
      <c r="E952" s="6" t="str">
        <f ca="1">IFERROR(__xludf.DUMMYFUNCTION("""COMPUTED_VALUE"""),"cbne")</f>
        <v>cbne</v>
      </c>
      <c r="F952" s="6" t="str">
        <f ca="1">IFERROR(__xludf.DUMMYFUNCTION("""COMPUTED_VALUE"""),"a")</f>
        <v>a</v>
      </c>
      <c r="G952" s="8" t="str">
        <f ca="1">IFERROR(__xludf.DUMMYFUNCTION("""COMPUTED_VALUE"""),"PJ")</f>
        <v>PJ</v>
      </c>
      <c r="H952" s="9"/>
      <c r="I952" s="1"/>
      <c r="J952" s="1"/>
      <c r="K952" s="1"/>
      <c r="L952" s="1"/>
      <c r="M952" s="1"/>
      <c r="N952" s="1"/>
      <c r="O952" s="1"/>
      <c r="P952" s="1"/>
      <c r="Q952" s="1"/>
      <c r="R952" s="10"/>
    </row>
    <row r="953" spans="1:18" ht="13.2" hidden="1" outlineLevel="1" x14ac:dyDescent="0.25">
      <c r="A953" s="1"/>
      <c r="B953" s="11"/>
      <c r="C953" s="12">
        <f ca="1">IFERROR(__xludf.DUMMYFUNCTION("""COMPUTED_VALUE"""),2010)</f>
        <v>2010</v>
      </c>
      <c r="D953" s="13">
        <f ca="1">IFERROR(__xludf.DUMMYFUNCTION("""COMPUTED_VALUE"""),2011)</f>
        <v>2011</v>
      </c>
      <c r="E953" s="13">
        <f ca="1">IFERROR(__xludf.DUMMYFUNCTION("""COMPUTED_VALUE"""),2012)</f>
        <v>2012</v>
      </c>
      <c r="F953" s="13">
        <f ca="1">IFERROR(__xludf.DUMMYFUNCTION("""COMPUTED_VALUE"""),2013)</f>
        <v>2013</v>
      </c>
      <c r="G953" s="13">
        <f ca="1">IFERROR(__xludf.DUMMYFUNCTION("""COMPUTED_VALUE"""),2014)</f>
        <v>2014</v>
      </c>
      <c r="H953" s="13">
        <f ca="1">IFERROR(__xludf.DUMMYFUNCTION("""COMPUTED_VALUE"""),2015)</f>
        <v>2015</v>
      </c>
      <c r="I953" s="13">
        <f ca="1">IFERROR(__xludf.DUMMYFUNCTION("""COMPUTED_VALUE"""),2016)</f>
        <v>2016</v>
      </c>
      <c r="J953" s="13">
        <f ca="1">IFERROR(__xludf.DUMMYFUNCTION("""COMPUTED_VALUE"""),2017)</f>
        <v>2017</v>
      </c>
      <c r="K953" s="13">
        <f ca="1">IFERROR(__xludf.DUMMYFUNCTION("""COMPUTED_VALUE"""),2018)</f>
        <v>2018</v>
      </c>
      <c r="L953" s="13">
        <f ca="1">IFERROR(__xludf.DUMMYFUNCTION("""COMPUTED_VALUE"""),2019)</f>
        <v>2019</v>
      </c>
      <c r="M953" s="13">
        <f ca="1">IFERROR(__xludf.DUMMYFUNCTION("""COMPUTED_VALUE"""),2020)</f>
        <v>2020</v>
      </c>
      <c r="N953" s="13">
        <f ca="1">IFERROR(__xludf.DUMMYFUNCTION("""COMPUTED_VALUE"""),2021)</f>
        <v>2021</v>
      </c>
      <c r="O953" s="13">
        <f ca="1">IFERROR(__xludf.DUMMYFUNCTION("""COMPUTED_VALUE"""),2022)</f>
        <v>2022</v>
      </c>
      <c r="P953" s="13">
        <f ca="1">IFERROR(__xludf.DUMMYFUNCTION("""COMPUTED_VALUE"""),2023)</f>
        <v>2023</v>
      </c>
      <c r="Q953" s="14">
        <f ca="1">IFERROR(__xludf.DUMMYFUNCTION("""COMPUTED_VALUE"""),2024)</f>
        <v>2024</v>
      </c>
      <c r="R953" s="15"/>
    </row>
    <row r="954" spans="1:18" ht="13.2" hidden="1" outlineLevel="1" x14ac:dyDescent="0.25">
      <c r="A954" s="1"/>
      <c r="B954" s="16" t="str">
        <f ca="1">IFERROR(__xludf.DUMMYFUNCTION("""COMPUTED_VALUE"""),"Carbón mineral")</f>
        <v>Carbón mineral</v>
      </c>
      <c r="C954" s="17">
        <f ca="1">IFERROR(__xludf.DUMMYFUNCTION("""COMPUTED_VALUE"""),0)</f>
        <v>0</v>
      </c>
      <c r="D954" s="18">
        <f ca="1">IFERROR(__xludf.DUMMYFUNCTION("""COMPUTED_VALUE"""),0)</f>
        <v>0</v>
      </c>
      <c r="E954" s="18">
        <f ca="1">IFERROR(__xludf.DUMMYFUNCTION("""COMPUTED_VALUE"""),0)</f>
        <v>0</v>
      </c>
      <c r="F954" s="18">
        <f ca="1">IFERROR(__xludf.DUMMYFUNCTION("""COMPUTED_VALUE"""),0)</f>
        <v>0</v>
      </c>
      <c r="G954" s="18">
        <f ca="1">IFERROR(__xludf.DUMMYFUNCTION("""COMPUTED_VALUE"""),0)</f>
        <v>0</v>
      </c>
      <c r="H954" s="18">
        <f ca="1">IFERROR(__xludf.DUMMYFUNCTION("""COMPUTED_VALUE"""),0)</f>
        <v>0</v>
      </c>
      <c r="I954" s="18">
        <f ca="1">IFERROR(__xludf.DUMMYFUNCTION("""COMPUTED_VALUE"""),0)</f>
        <v>0</v>
      </c>
      <c r="J954" s="18">
        <f ca="1">IFERROR(__xludf.DUMMYFUNCTION("""COMPUTED_VALUE"""),0)</f>
        <v>0</v>
      </c>
      <c r="K954" s="18">
        <f ca="1">IFERROR(__xludf.DUMMYFUNCTION("""COMPUTED_VALUE"""),0)</f>
        <v>0</v>
      </c>
      <c r="L954" s="18">
        <f ca="1">IFERROR(__xludf.DUMMYFUNCTION("""COMPUTED_VALUE"""),0)</f>
        <v>0</v>
      </c>
      <c r="M954" s="18">
        <f ca="1">IFERROR(__xludf.DUMMYFUNCTION("""COMPUTED_VALUE"""),0)</f>
        <v>0</v>
      </c>
      <c r="N954" s="18">
        <f ca="1">IFERROR(__xludf.DUMMYFUNCTION("""COMPUTED_VALUE"""),0)</f>
        <v>0</v>
      </c>
      <c r="O954" s="18">
        <f ca="1">IFERROR(__xludf.DUMMYFUNCTION("""COMPUTED_VALUE"""),0)</f>
        <v>0</v>
      </c>
      <c r="P954" s="18">
        <f ca="1">IFERROR(__xludf.DUMMYFUNCTION("""COMPUTED_VALUE"""),0)</f>
        <v>0</v>
      </c>
      <c r="Q954" s="19">
        <f ca="1">IFERROR(__xludf.DUMMYFUNCTION("""COMPUTED_VALUE"""),0)</f>
        <v>0</v>
      </c>
      <c r="R954" s="20"/>
    </row>
    <row r="955" spans="1:18" ht="13.2" hidden="1" outlineLevel="1" x14ac:dyDescent="0.25">
      <c r="A955" s="1"/>
      <c r="B955" s="21" t="str">
        <f ca="1">IFERROR(__xludf.DUMMYFUNCTION("""COMPUTED_VALUE"""),"Petróleo crudo")</f>
        <v>Petróleo crudo</v>
      </c>
      <c r="C955" s="22">
        <f ca="1">IFERROR(__xludf.DUMMYFUNCTION("""COMPUTED_VALUE"""),0)</f>
        <v>0</v>
      </c>
      <c r="D955" s="23">
        <f ca="1">IFERROR(__xludf.DUMMYFUNCTION("""COMPUTED_VALUE"""),0)</f>
        <v>0</v>
      </c>
      <c r="E955" s="23">
        <f ca="1">IFERROR(__xludf.DUMMYFUNCTION("""COMPUTED_VALUE"""),0)</f>
        <v>0</v>
      </c>
      <c r="F955" s="23">
        <f ca="1">IFERROR(__xludf.DUMMYFUNCTION("""COMPUTED_VALUE"""),0)</f>
        <v>0</v>
      </c>
      <c r="G955" s="23">
        <f ca="1">IFERROR(__xludf.DUMMYFUNCTION("""COMPUTED_VALUE"""),0)</f>
        <v>0</v>
      </c>
      <c r="H955" s="23">
        <f ca="1">IFERROR(__xludf.DUMMYFUNCTION("""COMPUTED_VALUE"""),0)</f>
        <v>0</v>
      </c>
      <c r="I955" s="23">
        <f ca="1">IFERROR(__xludf.DUMMYFUNCTION("""COMPUTED_VALUE"""),0)</f>
        <v>0</v>
      </c>
      <c r="J955" s="23">
        <f ca="1">IFERROR(__xludf.DUMMYFUNCTION("""COMPUTED_VALUE"""),0)</f>
        <v>0</v>
      </c>
      <c r="K955" s="23">
        <f ca="1">IFERROR(__xludf.DUMMYFUNCTION("""COMPUTED_VALUE"""),0)</f>
        <v>0</v>
      </c>
      <c r="L955" s="23">
        <f ca="1">IFERROR(__xludf.DUMMYFUNCTION("""COMPUTED_VALUE"""),0)</f>
        <v>0</v>
      </c>
      <c r="M955" s="23">
        <f ca="1">IFERROR(__xludf.DUMMYFUNCTION("""COMPUTED_VALUE"""),0)</f>
        <v>0</v>
      </c>
      <c r="N955" s="23">
        <f ca="1">IFERROR(__xludf.DUMMYFUNCTION("""COMPUTED_VALUE"""),0)</f>
        <v>0</v>
      </c>
      <c r="O955" s="23">
        <f ca="1">IFERROR(__xludf.DUMMYFUNCTION("""COMPUTED_VALUE"""),0)</f>
        <v>0</v>
      </c>
      <c r="P955" s="23">
        <f ca="1">IFERROR(__xludf.DUMMYFUNCTION("""COMPUTED_VALUE"""),0)</f>
        <v>0</v>
      </c>
      <c r="Q955" s="24">
        <f ca="1">IFERROR(__xludf.DUMMYFUNCTION("""COMPUTED_VALUE"""),0)</f>
        <v>0</v>
      </c>
      <c r="R955" s="20"/>
    </row>
    <row r="956" spans="1:18" ht="13.2" hidden="1" outlineLevel="1" x14ac:dyDescent="0.25">
      <c r="A956" s="1"/>
      <c r="B956" s="21" t="str">
        <f ca="1">IFERROR(__xludf.DUMMYFUNCTION("""COMPUTED_VALUE"""),"Condensados")</f>
        <v>Condensados</v>
      </c>
      <c r="C956" s="22">
        <f ca="1">IFERROR(__xludf.DUMMYFUNCTION("""COMPUTED_VALUE"""),0)</f>
        <v>0</v>
      </c>
      <c r="D956" s="23">
        <f ca="1">IFERROR(__xludf.DUMMYFUNCTION("""COMPUTED_VALUE"""),0)</f>
        <v>0</v>
      </c>
      <c r="E956" s="23">
        <f ca="1">IFERROR(__xludf.DUMMYFUNCTION("""COMPUTED_VALUE"""),0)</f>
        <v>0</v>
      </c>
      <c r="F956" s="23">
        <f ca="1">IFERROR(__xludf.DUMMYFUNCTION("""COMPUTED_VALUE"""),0)</f>
        <v>0</v>
      </c>
      <c r="G956" s="23">
        <f ca="1">IFERROR(__xludf.DUMMYFUNCTION("""COMPUTED_VALUE"""),0)</f>
        <v>0</v>
      </c>
      <c r="H956" s="23">
        <f ca="1">IFERROR(__xludf.DUMMYFUNCTION("""COMPUTED_VALUE"""),0)</f>
        <v>0</v>
      </c>
      <c r="I956" s="23">
        <f ca="1">IFERROR(__xludf.DUMMYFUNCTION("""COMPUTED_VALUE"""),0)</f>
        <v>0</v>
      </c>
      <c r="J956" s="23">
        <f ca="1">IFERROR(__xludf.DUMMYFUNCTION("""COMPUTED_VALUE"""),0)</f>
        <v>0</v>
      </c>
      <c r="K956" s="23">
        <f ca="1">IFERROR(__xludf.DUMMYFUNCTION("""COMPUTED_VALUE"""),0)</f>
        <v>0</v>
      </c>
      <c r="L956" s="23">
        <f ca="1">IFERROR(__xludf.DUMMYFUNCTION("""COMPUTED_VALUE"""),0)</f>
        <v>0</v>
      </c>
      <c r="M956" s="23">
        <f ca="1">IFERROR(__xludf.DUMMYFUNCTION("""COMPUTED_VALUE"""),0)</f>
        <v>0</v>
      </c>
      <c r="N956" s="23">
        <f ca="1">IFERROR(__xludf.DUMMYFUNCTION("""COMPUTED_VALUE"""),0)</f>
        <v>0</v>
      </c>
      <c r="O956" s="23">
        <f ca="1">IFERROR(__xludf.DUMMYFUNCTION("""COMPUTED_VALUE"""),0)</f>
        <v>0</v>
      </c>
      <c r="P956" s="23">
        <f ca="1">IFERROR(__xludf.DUMMYFUNCTION("""COMPUTED_VALUE"""),0)</f>
        <v>0</v>
      </c>
      <c r="Q956" s="24">
        <f ca="1">IFERROR(__xludf.DUMMYFUNCTION("""COMPUTED_VALUE"""),0)</f>
        <v>0</v>
      </c>
      <c r="R956" s="20"/>
    </row>
    <row r="957" spans="1:18" ht="13.2" hidden="1" outlineLevel="1" x14ac:dyDescent="0.25">
      <c r="A957" s="1"/>
      <c r="B957" s="21" t="str">
        <f ca="1">IFERROR(__xludf.DUMMYFUNCTION("""COMPUTED_VALUE"""),"Gas natural")</f>
        <v>Gas natural</v>
      </c>
      <c r="C957" s="22">
        <f ca="1">IFERROR(__xludf.DUMMYFUNCTION("""COMPUTED_VALUE"""),0)</f>
        <v>0</v>
      </c>
      <c r="D957" s="23">
        <f ca="1">IFERROR(__xludf.DUMMYFUNCTION("""COMPUTED_VALUE"""),0)</f>
        <v>0</v>
      </c>
      <c r="E957" s="23">
        <f ca="1">IFERROR(__xludf.DUMMYFUNCTION("""COMPUTED_VALUE"""),0)</f>
        <v>0</v>
      </c>
      <c r="F957" s="23">
        <f ca="1">IFERROR(__xludf.DUMMYFUNCTION("""COMPUTED_VALUE"""),0)</f>
        <v>0</v>
      </c>
      <c r="G957" s="23">
        <f ca="1">IFERROR(__xludf.DUMMYFUNCTION("""COMPUTED_VALUE"""),0)</f>
        <v>0</v>
      </c>
      <c r="H957" s="23">
        <f ca="1">IFERROR(__xludf.DUMMYFUNCTION("""COMPUTED_VALUE"""),0)</f>
        <v>0</v>
      </c>
      <c r="I957" s="23">
        <f ca="1">IFERROR(__xludf.DUMMYFUNCTION("""COMPUTED_VALUE"""),0)</f>
        <v>0</v>
      </c>
      <c r="J957" s="23">
        <f ca="1">IFERROR(__xludf.DUMMYFUNCTION("""COMPUTED_VALUE"""),0)</f>
        <v>0</v>
      </c>
      <c r="K957" s="23">
        <f ca="1">IFERROR(__xludf.DUMMYFUNCTION("""COMPUTED_VALUE"""),0)</f>
        <v>0</v>
      </c>
      <c r="L957" s="23">
        <f ca="1">IFERROR(__xludf.DUMMYFUNCTION("""COMPUTED_VALUE"""),0)</f>
        <v>0</v>
      </c>
      <c r="M957" s="23">
        <f ca="1">IFERROR(__xludf.DUMMYFUNCTION("""COMPUTED_VALUE"""),0)</f>
        <v>0</v>
      </c>
      <c r="N957" s="23">
        <f ca="1">IFERROR(__xludf.DUMMYFUNCTION("""COMPUTED_VALUE"""),0)</f>
        <v>0</v>
      </c>
      <c r="O957" s="23">
        <f ca="1">IFERROR(__xludf.DUMMYFUNCTION("""COMPUTED_VALUE"""),0)</f>
        <v>0</v>
      </c>
      <c r="P957" s="23">
        <f ca="1">IFERROR(__xludf.DUMMYFUNCTION("""COMPUTED_VALUE"""),0)</f>
        <v>0</v>
      </c>
      <c r="Q957" s="24">
        <f ca="1">IFERROR(__xludf.DUMMYFUNCTION("""COMPUTED_VALUE"""),0)</f>
        <v>0</v>
      </c>
      <c r="R957" s="20"/>
    </row>
    <row r="958" spans="1:18" ht="13.2" hidden="1" outlineLevel="1" x14ac:dyDescent="0.25">
      <c r="A958" s="1"/>
      <c r="B958" s="21" t="str">
        <f ca="1">IFERROR(__xludf.DUMMYFUNCTION("""COMPUTED_VALUE"""),"Energía Nuclear")</f>
        <v>Energía Nuclear</v>
      </c>
      <c r="C958" s="22">
        <f ca="1">IFERROR(__xludf.DUMMYFUNCTION("""COMPUTED_VALUE"""),0)</f>
        <v>0</v>
      </c>
      <c r="D958" s="23">
        <f ca="1">IFERROR(__xludf.DUMMYFUNCTION("""COMPUTED_VALUE"""),0)</f>
        <v>0</v>
      </c>
      <c r="E958" s="23">
        <f ca="1">IFERROR(__xludf.DUMMYFUNCTION("""COMPUTED_VALUE"""),0)</f>
        <v>0</v>
      </c>
      <c r="F958" s="23">
        <f ca="1">IFERROR(__xludf.DUMMYFUNCTION("""COMPUTED_VALUE"""),0)</f>
        <v>0</v>
      </c>
      <c r="G958" s="23">
        <f ca="1">IFERROR(__xludf.DUMMYFUNCTION("""COMPUTED_VALUE"""),0)</f>
        <v>0</v>
      </c>
      <c r="H958" s="23">
        <f ca="1">IFERROR(__xludf.DUMMYFUNCTION("""COMPUTED_VALUE"""),0)</f>
        <v>0</v>
      </c>
      <c r="I958" s="23">
        <f ca="1">IFERROR(__xludf.DUMMYFUNCTION("""COMPUTED_VALUE"""),0)</f>
        <v>0</v>
      </c>
      <c r="J958" s="23">
        <f ca="1">IFERROR(__xludf.DUMMYFUNCTION("""COMPUTED_VALUE"""),0)</f>
        <v>0</v>
      </c>
      <c r="K958" s="23">
        <f ca="1">IFERROR(__xludf.DUMMYFUNCTION("""COMPUTED_VALUE"""),0)</f>
        <v>0</v>
      </c>
      <c r="L958" s="23">
        <f ca="1">IFERROR(__xludf.DUMMYFUNCTION("""COMPUTED_VALUE"""),0)</f>
        <v>0</v>
      </c>
      <c r="M958" s="23">
        <f ca="1">IFERROR(__xludf.DUMMYFUNCTION("""COMPUTED_VALUE"""),0)</f>
        <v>0</v>
      </c>
      <c r="N958" s="23">
        <f ca="1">IFERROR(__xludf.DUMMYFUNCTION("""COMPUTED_VALUE"""),0)</f>
        <v>0</v>
      </c>
      <c r="O958" s="23">
        <f ca="1">IFERROR(__xludf.DUMMYFUNCTION("""COMPUTED_VALUE"""),0)</f>
        <v>0</v>
      </c>
      <c r="P958" s="23">
        <f ca="1">IFERROR(__xludf.DUMMYFUNCTION("""COMPUTED_VALUE"""),0)</f>
        <v>0</v>
      </c>
      <c r="Q958" s="24">
        <f ca="1">IFERROR(__xludf.DUMMYFUNCTION("""COMPUTED_VALUE"""),0)</f>
        <v>0</v>
      </c>
      <c r="R958" s="20"/>
    </row>
    <row r="959" spans="1:18" ht="13.2" hidden="1" outlineLevel="1" x14ac:dyDescent="0.25">
      <c r="A959" s="1"/>
      <c r="B959" s="21" t="str">
        <f ca="1">IFERROR(__xludf.DUMMYFUNCTION("""COMPUTED_VALUE"""),"Energia Hidraúlica")</f>
        <v>Energia Hidraúlica</v>
      </c>
      <c r="C959" s="22">
        <f ca="1">IFERROR(__xludf.DUMMYFUNCTION("""COMPUTED_VALUE"""),0)</f>
        <v>0</v>
      </c>
      <c r="D959" s="23">
        <f ca="1">IFERROR(__xludf.DUMMYFUNCTION("""COMPUTED_VALUE"""),0)</f>
        <v>0</v>
      </c>
      <c r="E959" s="23">
        <f ca="1">IFERROR(__xludf.DUMMYFUNCTION("""COMPUTED_VALUE"""),0)</f>
        <v>0</v>
      </c>
      <c r="F959" s="23">
        <f ca="1">IFERROR(__xludf.DUMMYFUNCTION("""COMPUTED_VALUE"""),0)</f>
        <v>0</v>
      </c>
      <c r="G959" s="23">
        <f ca="1">IFERROR(__xludf.DUMMYFUNCTION("""COMPUTED_VALUE"""),0)</f>
        <v>0</v>
      </c>
      <c r="H959" s="23">
        <f ca="1">IFERROR(__xludf.DUMMYFUNCTION("""COMPUTED_VALUE"""),0)</f>
        <v>0</v>
      </c>
      <c r="I959" s="23">
        <f ca="1">IFERROR(__xludf.DUMMYFUNCTION("""COMPUTED_VALUE"""),0)</f>
        <v>0</v>
      </c>
      <c r="J959" s="23">
        <f ca="1">IFERROR(__xludf.DUMMYFUNCTION("""COMPUTED_VALUE"""),0)</f>
        <v>0</v>
      </c>
      <c r="K959" s="23">
        <f ca="1">IFERROR(__xludf.DUMMYFUNCTION("""COMPUTED_VALUE"""),0)</f>
        <v>0</v>
      </c>
      <c r="L959" s="23">
        <f ca="1">IFERROR(__xludf.DUMMYFUNCTION("""COMPUTED_VALUE"""),0)</f>
        <v>0</v>
      </c>
      <c r="M959" s="23">
        <f ca="1">IFERROR(__xludf.DUMMYFUNCTION("""COMPUTED_VALUE"""),0)</f>
        <v>0</v>
      </c>
      <c r="N959" s="23">
        <f ca="1">IFERROR(__xludf.DUMMYFUNCTION("""COMPUTED_VALUE"""),0)</f>
        <v>0</v>
      </c>
      <c r="O959" s="23">
        <f ca="1">IFERROR(__xludf.DUMMYFUNCTION("""COMPUTED_VALUE"""),0)</f>
        <v>0</v>
      </c>
      <c r="P959" s="23">
        <f ca="1">IFERROR(__xludf.DUMMYFUNCTION("""COMPUTED_VALUE"""),0)</f>
        <v>0</v>
      </c>
      <c r="Q959" s="24">
        <f ca="1">IFERROR(__xludf.DUMMYFUNCTION("""COMPUTED_VALUE"""),0)</f>
        <v>0</v>
      </c>
      <c r="R959" s="20"/>
    </row>
    <row r="960" spans="1:18" ht="13.2" hidden="1" outlineLevel="1" x14ac:dyDescent="0.25">
      <c r="A960" s="1"/>
      <c r="B960" s="21" t="str">
        <f ca="1">IFERROR(__xludf.DUMMYFUNCTION("""COMPUTED_VALUE"""),"Geoenergía")</f>
        <v>Geoenergía</v>
      </c>
      <c r="C960" s="22">
        <f ca="1">IFERROR(__xludf.DUMMYFUNCTION("""COMPUTED_VALUE"""),0)</f>
        <v>0</v>
      </c>
      <c r="D960" s="23">
        <f ca="1">IFERROR(__xludf.DUMMYFUNCTION("""COMPUTED_VALUE"""),0)</f>
        <v>0</v>
      </c>
      <c r="E960" s="23">
        <f ca="1">IFERROR(__xludf.DUMMYFUNCTION("""COMPUTED_VALUE"""),0)</f>
        <v>0</v>
      </c>
      <c r="F960" s="23">
        <f ca="1">IFERROR(__xludf.DUMMYFUNCTION("""COMPUTED_VALUE"""),0)</f>
        <v>0</v>
      </c>
      <c r="G960" s="23">
        <f ca="1">IFERROR(__xludf.DUMMYFUNCTION("""COMPUTED_VALUE"""),0)</f>
        <v>0</v>
      </c>
      <c r="H960" s="23">
        <f ca="1">IFERROR(__xludf.DUMMYFUNCTION("""COMPUTED_VALUE"""),0)</f>
        <v>0</v>
      </c>
      <c r="I960" s="23">
        <f ca="1">IFERROR(__xludf.DUMMYFUNCTION("""COMPUTED_VALUE"""),0)</f>
        <v>0</v>
      </c>
      <c r="J960" s="23">
        <f ca="1">IFERROR(__xludf.DUMMYFUNCTION("""COMPUTED_VALUE"""),0)</f>
        <v>0</v>
      </c>
      <c r="K960" s="23">
        <f ca="1">IFERROR(__xludf.DUMMYFUNCTION("""COMPUTED_VALUE"""),0)</f>
        <v>0</v>
      </c>
      <c r="L960" s="23">
        <f ca="1">IFERROR(__xludf.DUMMYFUNCTION("""COMPUTED_VALUE"""),0)</f>
        <v>0</v>
      </c>
      <c r="M960" s="23">
        <f ca="1">IFERROR(__xludf.DUMMYFUNCTION("""COMPUTED_VALUE"""),0)</f>
        <v>0</v>
      </c>
      <c r="N960" s="23">
        <f ca="1">IFERROR(__xludf.DUMMYFUNCTION("""COMPUTED_VALUE"""),0)</f>
        <v>0</v>
      </c>
      <c r="O960" s="23">
        <f ca="1">IFERROR(__xludf.DUMMYFUNCTION("""COMPUTED_VALUE"""),0)</f>
        <v>0</v>
      </c>
      <c r="P960" s="23">
        <f ca="1">IFERROR(__xludf.DUMMYFUNCTION("""COMPUTED_VALUE"""),0)</f>
        <v>0</v>
      </c>
      <c r="Q960" s="24">
        <f ca="1">IFERROR(__xludf.DUMMYFUNCTION("""COMPUTED_VALUE"""),0)</f>
        <v>0</v>
      </c>
      <c r="R960" s="20"/>
    </row>
    <row r="961" spans="1:18" ht="13.2" hidden="1" outlineLevel="1" x14ac:dyDescent="0.25">
      <c r="A961" s="1"/>
      <c r="B961" s="21" t="str">
        <f ca="1">IFERROR(__xludf.DUMMYFUNCTION("""COMPUTED_VALUE"""),"Energía solar")</f>
        <v>Energía solar</v>
      </c>
      <c r="C961" s="22">
        <f ca="1">IFERROR(__xludf.DUMMYFUNCTION("""COMPUTED_VALUE"""),4.19)</f>
        <v>4.1900000000000004</v>
      </c>
      <c r="D961" s="23">
        <f ca="1">IFERROR(__xludf.DUMMYFUNCTION("""COMPUTED_VALUE"""),5.03)</f>
        <v>5.03</v>
      </c>
      <c r="E961" s="23">
        <f ca="1">IFERROR(__xludf.DUMMYFUNCTION("""COMPUTED_VALUE"""),5.23)</f>
        <v>5.23</v>
      </c>
      <c r="F961" s="23">
        <f ca="1">IFERROR(__xludf.DUMMYFUNCTION("""COMPUTED_VALUE"""),4.76)</f>
        <v>4.76</v>
      </c>
      <c r="G961" s="23">
        <f ca="1">IFERROR(__xludf.DUMMYFUNCTION("""COMPUTED_VALUE"""),5.71)</f>
        <v>5.71</v>
      </c>
      <c r="H961" s="23">
        <f ca="1">IFERROR(__xludf.DUMMYFUNCTION("""COMPUTED_VALUE"""),6.11)</f>
        <v>6.11</v>
      </c>
      <c r="I961" s="23">
        <f ca="1">IFERROR(__xludf.DUMMYFUNCTION("""COMPUTED_VALUE"""),6.46)</f>
        <v>6.46</v>
      </c>
      <c r="J961" s="23">
        <f ca="1">IFERROR(__xludf.DUMMYFUNCTION("""COMPUTED_VALUE"""),6.85)</f>
        <v>6.85</v>
      </c>
      <c r="K961" s="23">
        <f ca="1">IFERROR(__xludf.DUMMYFUNCTION("""COMPUTED_VALUE"""),6.92)</f>
        <v>6.92</v>
      </c>
      <c r="L961" s="23">
        <f ca="1">IFERROR(__xludf.DUMMYFUNCTION("""COMPUTED_VALUE"""),6.99)</f>
        <v>6.99</v>
      </c>
      <c r="M961" s="23">
        <f ca="1">IFERROR(__xludf.DUMMYFUNCTION("""COMPUTED_VALUE"""),6.64)</f>
        <v>6.64</v>
      </c>
      <c r="N961" s="23">
        <f ca="1">IFERROR(__xludf.DUMMYFUNCTION("""COMPUTED_VALUE"""),7.17)</f>
        <v>7.17</v>
      </c>
      <c r="O961" s="23">
        <f ca="1">IFERROR(__xludf.DUMMYFUNCTION("""COMPUTED_VALUE"""),7.89)</f>
        <v>7.89</v>
      </c>
      <c r="P961" s="23">
        <f ca="1">IFERROR(__xludf.DUMMYFUNCTION("""COMPUTED_VALUE"""),8.52)</f>
        <v>8.52</v>
      </c>
      <c r="Q961" s="24">
        <f ca="1">IFERROR(__xludf.DUMMYFUNCTION("""COMPUTED_VALUE"""),10.58)</f>
        <v>10.58</v>
      </c>
      <c r="R961" s="20"/>
    </row>
    <row r="962" spans="1:18" ht="13.2" hidden="1" outlineLevel="1" x14ac:dyDescent="0.25">
      <c r="A962" s="1"/>
      <c r="B962" s="21" t="str">
        <f ca="1">IFERROR(__xludf.DUMMYFUNCTION("""COMPUTED_VALUE"""),"Energía eólica")</f>
        <v>Energía eólica</v>
      </c>
      <c r="C962" s="22">
        <f ca="1">IFERROR(__xludf.DUMMYFUNCTION("""COMPUTED_VALUE"""),0)</f>
        <v>0</v>
      </c>
      <c r="D962" s="23">
        <f ca="1">IFERROR(__xludf.DUMMYFUNCTION("""COMPUTED_VALUE"""),0)</f>
        <v>0</v>
      </c>
      <c r="E962" s="23">
        <f ca="1">IFERROR(__xludf.DUMMYFUNCTION("""COMPUTED_VALUE"""),0)</f>
        <v>0</v>
      </c>
      <c r="F962" s="23">
        <f ca="1">IFERROR(__xludf.DUMMYFUNCTION("""COMPUTED_VALUE"""),0)</f>
        <v>0</v>
      </c>
      <c r="G962" s="23">
        <f ca="1">IFERROR(__xludf.DUMMYFUNCTION("""COMPUTED_VALUE"""),0)</f>
        <v>0</v>
      </c>
      <c r="H962" s="23">
        <f ca="1">IFERROR(__xludf.DUMMYFUNCTION("""COMPUTED_VALUE"""),0)</f>
        <v>0</v>
      </c>
      <c r="I962" s="23">
        <f ca="1">IFERROR(__xludf.DUMMYFUNCTION("""COMPUTED_VALUE"""),0)</f>
        <v>0</v>
      </c>
      <c r="J962" s="23">
        <f ca="1">IFERROR(__xludf.DUMMYFUNCTION("""COMPUTED_VALUE"""),0)</f>
        <v>0</v>
      </c>
      <c r="K962" s="23">
        <f ca="1">IFERROR(__xludf.DUMMYFUNCTION("""COMPUTED_VALUE"""),0)</f>
        <v>0</v>
      </c>
      <c r="L962" s="23">
        <f ca="1">IFERROR(__xludf.DUMMYFUNCTION("""COMPUTED_VALUE"""),0)</f>
        <v>0</v>
      </c>
      <c r="M962" s="23">
        <f ca="1">IFERROR(__xludf.DUMMYFUNCTION("""COMPUTED_VALUE"""),0)</f>
        <v>0</v>
      </c>
      <c r="N962" s="23">
        <f ca="1">IFERROR(__xludf.DUMMYFUNCTION("""COMPUTED_VALUE"""),0)</f>
        <v>0</v>
      </c>
      <c r="O962" s="23">
        <f ca="1">IFERROR(__xludf.DUMMYFUNCTION("""COMPUTED_VALUE"""),0)</f>
        <v>0</v>
      </c>
      <c r="P962" s="23">
        <f ca="1">IFERROR(__xludf.DUMMYFUNCTION("""COMPUTED_VALUE"""),0)</f>
        <v>0</v>
      </c>
      <c r="Q962" s="24">
        <f ca="1">IFERROR(__xludf.DUMMYFUNCTION("""COMPUTED_VALUE"""),0)</f>
        <v>0</v>
      </c>
      <c r="R962" s="20"/>
    </row>
    <row r="963" spans="1:18" ht="13.2" hidden="1" outlineLevel="1" x14ac:dyDescent="0.25">
      <c r="A963" s="1"/>
      <c r="B963" s="21" t="str">
        <f ca="1">IFERROR(__xludf.DUMMYFUNCTION("""COMPUTED_VALUE"""),"Bagazo de caña")</f>
        <v>Bagazo de caña</v>
      </c>
      <c r="C963" s="22">
        <f ca="1">IFERROR(__xludf.DUMMYFUNCTION("""COMPUTED_VALUE"""),0)</f>
        <v>0</v>
      </c>
      <c r="D963" s="23">
        <f ca="1">IFERROR(__xludf.DUMMYFUNCTION("""COMPUTED_VALUE"""),0)</f>
        <v>0</v>
      </c>
      <c r="E963" s="23">
        <f ca="1">IFERROR(__xludf.DUMMYFUNCTION("""COMPUTED_VALUE"""),0)</f>
        <v>0</v>
      </c>
      <c r="F963" s="23">
        <f ca="1">IFERROR(__xludf.DUMMYFUNCTION("""COMPUTED_VALUE"""),0)</f>
        <v>0</v>
      </c>
      <c r="G963" s="23">
        <f ca="1">IFERROR(__xludf.DUMMYFUNCTION("""COMPUTED_VALUE"""),0)</f>
        <v>0</v>
      </c>
      <c r="H963" s="23">
        <f ca="1">IFERROR(__xludf.DUMMYFUNCTION("""COMPUTED_VALUE"""),0)</f>
        <v>0</v>
      </c>
      <c r="I963" s="23">
        <f ca="1">IFERROR(__xludf.DUMMYFUNCTION("""COMPUTED_VALUE"""),0)</f>
        <v>0</v>
      </c>
      <c r="J963" s="23">
        <f ca="1">IFERROR(__xludf.DUMMYFUNCTION("""COMPUTED_VALUE"""),0)</f>
        <v>0</v>
      </c>
      <c r="K963" s="23">
        <f ca="1">IFERROR(__xludf.DUMMYFUNCTION("""COMPUTED_VALUE"""),0)</f>
        <v>0</v>
      </c>
      <c r="L963" s="23">
        <f ca="1">IFERROR(__xludf.DUMMYFUNCTION("""COMPUTED_VALUE"""),0)</f>
        <v>0</v>
      </c>
      <c r="M963" s="23">
        <f ca="1">IFERROR(__xludf.DUMMYFUNCTION("""COMPUTED_VALUE"""),0)</f>
        <v>0</v>
      </c>
      <c r="N963" s="23">
        <f ca="1">IFERROR(__xludf.DUMMYFUNCTION("""COMPUTED_VALUE"""),0)</f>
        <v>0</v>
      </c>
      <c r="O963" s="23">
        <f ca="1">IFERROR(__xludf.DUMMYFUNCTION("""COMPUTED_VALUE"""),0)</f>
        <v>0</v>
      </c>
      <c r="P963" s="23">
        <f ca="1">IFERROR(__xludf.DUMMYFUNCTION("""COMPUTED_VALUE"""),0)</f>
        <v>0</v>
      </c>
      <c r="Q963" s="24">
        <f ca="1">IFERROR(__xludf.DUMMYFUNCTION("""COMPUTED_VALUE"""),0)</f>
        <v>0</v>
      </c>
      <c r="R963" s="20"/>
    </row>
    <row r="964" spans="1:18" ht="13.2" hidden="1" outlineLevel="1" x14ac:dyDescent="0.25">
      <c r="A964" s="1"/>
      <c r="B964" s="21" t="str">
        <f ca="1">IFERROR(__xludf.DUMMYFUNCTION("""COMPUTED_VALUE"""),"Leña")</f>
        <v>Leña</v>
      </c>
      <c r="C964" s="22">
        <f ca="1">IFERROR(__xludf.DUMMYFUNCTION("""COMPUTED_VALUE"""),122.874207797196)</f>
        <v>122.87420779719599</v>
      </c>
      <c r="D964" s="23">
        <f ca="1">IFERROR(__xludf.DUMMYFUNCTION("""COMPUTED_VALUE"""),122.276191228366)</f>
        <v>122.276191228366</v>
      </c>
      <c r="E964" s="23">
        <f ca="1">IFERROR(__xludf.DUMMYFUNCTION("""COMPUTED_VALUE"""),121.681006337622)</f>
        <v>121.68100633762199</v>
      </c>
      <c r="F964" s="23">
        <f ca="1">IFERROR(__xludf.DUMMYFUNCTION("""COMPUTED_VALUE"""),121.089879009026)</f>
        <v>121.08987900902601</v>
      </c>
      <c r="G964" s="23">
        <f ca="1">IFERROR(__xludf.DUMMYFUNCTION("""COMPUTED_VALUE"""),120.491453812175)</f>
        <v>120.491453812175</v>
      </c>
      <c r="H964" s="23">
        <f ca="1">IFERROR(__xludf.DUMMYFUNCTION("""COMPUTED_VALUE"""),119.893028615325)</f>
        <v>119.89302861532499</v>
      </c>
      <c r="I964" s="23">
        <f ca="1">IFERROR(__xludf.DUMMYFUNCTION("""COMPUTED_VALUE"""),119.294603418475)</f>
        <v>119.29460341847501</v>
      </c>
      <c r="J964" s="23">
        <f ca="1">IFERROR(__xludf.DUMMYFUNCTION("""COMPUTED_VALUE"""),118.699827155751)</f>
        <v>118.699827155751</v>
      </c>
      <c r="K964" s="23">
        <f ca="1">IFERROR(__xludf.DUMMYFUNCTION("""COMPUTED_VALUE"""),118.108291264266)</f>
        <v>118.108291264266</v>
      </c>
      <c r="L964" s="23">
        <f ca="1">IFERROR(__xludf.DUMMYFUNCTION("""COMPUTED_VALUE"""),117.507034308379)</f>
        <v>117.507034308379</v>
      </c>
      <c r="M964" s="23">
        <f ca="1">IFERROR(__xludf.DUMMYFUNCTION("""COMPUTED_VALUE"""),116.911849433454)</f>
        <v>116.91184943345399</v>
      </c>
      <c r="N964" s="23">
        <f ca="1">IFERROR(__xludf.DUMMYFUNCTION("""COMPUTED_VALUE"""),116.419651810288)</f>
        <v>116.419651810288</v>
      </c>
      <c r="O964" s="23">
        <f ca="1">IFERROR(__xludf.DUMMYFUNCTION("""COMPUTED_VALUE"""),115.923862940442)</f>
        <v>115.92386294044201</v>
      </c>
      <c r="P964" s="23">
        <f ca="1">IFERROR(__xludf.DUMMYFUNCTION("""COMPUTED_VALUE"""),115.428074070595)</f>
        <v>115.428074070595</v>
      </c>
      <c r="Q964" s="24">
        <f ca="1">IFERROR(__xludf.DUMMYFUNCTION("""COMPUTED_VALUE"""),114.932285200749)</f>
        <v>114.93228520074901</v>
      </c>
      <c r="R964" s="20"/>
    </row>
    <row r="965" spans="1:18" ht="13.2" hidden="1" outlineLevel="1" x14ac:dyDescent="0.25">
      <c r="A965" s="1"/>
      <c r="B965" s="21" t="str">
        <f ca="1">IFERROR(__xludf.DUMMYFUNCTION("""COMPUTED_VALUE"""),"Biogás")</f>
        <v>Biogás</v>
      </c>
      <c r="C965" s="22">
        <f ca="1">IFERROR(__xludf.DUMMYFUNCTION("""COMPUTED_VALUE"""),0)</f>
        <v>0</v>
      </c>
      <c r="D965" s="23">
        <f ca="1">IFERROR(__xludf.DUMMYFUNCTION("""COMPUTED_VALUE"""),0)</f>
        <v>0</v>
      </c>
      <c r="E965" s="23">
        <f ca="1">IFERROR(__xludf.DUMMYFUNCTION("""COMPUTED_VALUE"""),0)</f>
        <v>0</v>
      </c>
      <c r="F965" s="23">
        <f ca="1">IFERROR(__xludf.DUMMYFUNCTION("""COMPUTED_VALUE"""),0)</f>
        <v>0</v>
      </c>
      <c r="G965" s="23">
        <f ca="1">IFERROR(__xludf.DUMMYFUNCTION("""COMPUTED_VALUE"""),0)</f>
        <v>0</v>
      </c>
      <c r="H965" s="23">
        <f ca="1">IFERROR(__xludf.DUMMYFUNCTION("""COMPUTED_VALUE"""),0)</f>
        <v>0</v>
      </c>
      <c r="I965" s="23">
        <f ca="1">IFERROR(__xludf.DUMMYFUNCTION("""COMPUTED_VALUE"""),0)</f>
        <v>0</v>
      </c>
      <c r="J965" s="23">
        <f ca="1">IFERROR(__xludf.DUMMYFUNCTION("""COMPUTED_VALUE"""),0)</f>
        <v>0</v>
      </c>
      <c r="K965" s="23">
        <f ca="1">IFERROR(__xludf.DUMMYFUNCTION("""COMPUTED_VALUE"""),0)</f>
        <v>0</v>
      </c>
      <c r="L965" s="23">
        <f ca="1">IFERROR(__xludf.DUMMYFUNCTION("""COMPUTED_VALUE"""),0)</f>
        <v>0</v>
      </c>
      <c r="M965" s="23">
        <f ca="1">IFERROR(__xludf.DUMMYFUNCTION("""COMPUTED_VALUE"""),0)</f>
        <v>0</v>
      </c>
      <c r="N965" s="23">
        <f ca="1">IFERROR(__xludf.DUMMYFUNCTION("""COMPUTED_VALUE"""),0)</f>
        <v>0</v>
      </c>
      <c r="O965" s="23">
        <f ca="1">IFERROR(__xludf.DUMMYFUNCTION("""COMPUTED_VALUE"""),0)</f>
        <v>0</v>
      </c>
      <c r="P965" s="23">
        <f ca="1">IFERROR(__xludf.DUMMYFUNCTION("""COMPUTED_VALUE"""),0)</f>
        <v>0</v>
      </c>
      <c r="Q965" s="24">
        <f ca="1">IFERROR(__xludf.DUMMYFUNCTION("""COMPUTED_VALUE"""),0)</f>
        <v>0</v>
      </c>
      <c r="R965" s="20"/>
    </row>
    <row r="966" spans="1:18" ht="13.2" hidden="1" outlineLevel="1" x14ac:dyDescent="0.25">
      <c r="A966" s="1"/>
      <c r="B966" s="21" t="str">
        <f ca="1">IFERROR(__xludf.DUMMYFUNCTION("""COMPUTED_VALUE"""),"Coque de carbón")</f>
        <v>Coque de carbón</v>
      </c>
      <c r="C966" s="22">
        <f ca="1">IFERROR(__xludf.DUMMYFUNCTION("""COMPUTED_VALUE"""),0)</f>
        <v>0</v>
      </c>
      <c r="D966" s="23">
        <f ca="1">IFERROR(__xludf.DUMMYFUNCTION("""COMPUTED_VALUE"""),0)</f>
        <v>0</v>
      </c>
      <c r="E966" s="23">
        <f ca="1">IFERROR(__xludf.DUMMYFUNCTION("""COMPUTED_VALUE"""),0)</f>
        <v>0</v>
      </c>
      <c r="F966" s="23">
        <f ca="1">IFERROR(__xludf.DUMMYFUNCTION("""COMPUTED_VALUE"""),0)</f>
        <v>0</v>
      </c>
      <c r="G966" s="23">
        <f ca="1">IFERROR(__xludf.DUMMYFUNCTION("""COMPUTED_VALUE"""),0)</f>
        <v>0</v>
      </c>
      <c r="H966" s="23">
        <f ca="1">IFERROR(__xludf.DUMMYFUNCTION("""COMPUTED_VALUE"""),0)</f>
        <v>0</v>
      </c>
      <c r="I966" s="23">
        <f ca="1">IFERROR(__xludf.DUMMYFUNCTION("""COMPUTED_VALUE"""),0)</f>
        <v>0</v>
      </c>
      <c r="J966" s="23">
        <f ca="1">IFERROR(__xludf.DUMMYFUNCTION("""COMPUTED_VALUE"""),0)</f>
        <v>0</v>
      </c>
      <c r="K966" s="23">
        <f ca="1">IFERROR(__xludf.DUMMYFUNCTION("""COMPUTED_VALUE"""),0)</f>
        <v>0</v>
      </c>
      <c r="L966" s="23">
        <f ca="1">IFERROR(__xludf.DUMMYFUNCTION("""COMPUTED_VALUE"""),0)</f>
        <v>0</v>
      </c>
      <c r="M966" s="23">
        <f ca="1">IFERROR(__xludf.DUMMYFUNCTION("""COMPUTED_VALUE"""),0)</f>
        <v>0</v>
      </c>
      <c r="N966" s="23">
        <f ca="1">IFERROR(__xludf.DUMMYFUNCTION("""COMPUTED_VALUE"""),0)</f>
        <v>0</v>
      </c>
      <c r="O966" s="23">
        <f ca="1">IFERROR(__xludf.DUMMYFUNCTION("""COMPUTED_VALUE"""),0)</f>
        <v>0</v>
      </c>
      <c r="P966" s="23">
        <f ca="1">IFERROR(__xludf.DUMMYFUNCTION("""COMPUTED_VALUE"""),0)</f>
        <v>0</v>
      </c>
      <c r="Q966" s="24">
        <f ca="1">IFERROR(__xludf.DUMMYFUNCTION("""COMPUTED_VALUE"""),0)</f>
        <v>0</v>
      </c>
      <c r="R966" s="20"/>
    </row>
    <row r="967" spans="1:18" ht="13.2" hidden="1" outlineLevel="1" x14ac:dyDescent="0.25">
      <c r="A967" s="1"/>
      <c r="B967" s="21" t="str">
        <f ca="1">IFERROR(__xludf.DUMMYFUNCTION("""COMPUTED_VALUE"""),"Coque de petróleo")</f>
        <v>Coque de petróleo</v>
      </c>
      <c r="C967" s="22">
        <f ca="1">IFERROR(__xludf.DUMMYFUNCTION("""COMPUTED_VALUE"""),0)</f>
        <v>0</v>
      </c>
      <c r="D967" s="23">
        <f ca="1">IFERROR(__xludf.DUMMYFUNCTION("""COMPUTED_VALUE"""),0)</f>
        <v>0</v>
      </c>
      <c r="E967" s="23">
        <f ca="1">IFERROR(__xludf.DUMMYFUNCTION("""COMPUTED_VALUE"""),0)</f>
        <v>0</v>
      </c>
      <c r="F967" s="23">
        <f ca="1">IFERROR(__xludf.DUMMYFUNCTION("""COMPUTED_VALUE"""),0)</f>
        <v>0</v>
      </c>
      <c r="G967" s="23">
        <f ca="1">IFERROR(__xludf.DUMMYFUNCTION("""COMPUTED_VALUE"""),0)</f>
        <v>0</v>
      </c>
      <c r="H967" s="23">
        <f ca="1">IFERROR(__xludf.DUMMYFUNCTION("""COMPUTED_VALUE"""),0)</f>
        <v>0</v>
      </c>
      <c r="I967" s="23">
        <f ca="1">IFERROR(__xludf.DUMMYFUNCTION("""COMPUTED_VALUE"""),0)</f>
        <v>0</v>
      </c>
      <c r="J967" s="23">
        <f ca="1">IFERROR(__xludf.DUMMYFUNCTION("""COMPUTED_VALUE"""),0)</f>
        <v>0</v>
      </c>
      <c r="K967" s="23">
        <f ca="1">IFERROR(__xludf.DUMMYFUNCTION("""COMPUTED_VALUE"""),0)</f>
        <v>0</v>
      </c>
      <c r="L967" s="23">
        <f ca="1">IFERROR(__xludf.DUMMYFUNCTION("""COMPUTED_VALUE"""),0)</f>
        <v>0</v>
      </c>
      <c r="M967" s="23">
        <f ca="1">IFERROR(__xludf.DUMMYFUNCTION("""COMPUTED_VALUE"""),0)</f>
        <v>0</v>
      </c>
      <c r="N967" s="23">
        <f ca="1">IFERROR(__xludf.DUMMYFUNCTION("""COMPUTED_VALUE"""),0)</f>
        <v>0</v>
      </c>
      <c r="O967" s="23">
        <f ca="1">IFERROR(__xludf.DUMMYFUNCTION("""COMPUTED_VALUE"""),0)</f>
        <v>0</v>
      </c>
      <c r="P967" s="23">
        <f ca="1">IFERROR(__xludf.DUMMYFUNCTION("""COMPUTED_VALUE"""),0)</f>
        <v>0</v>
      </c>
      <c r="Q967" s="24">
        <f ca="1">IFERROR(__xludf.DUMMYFUNCTION("""COMPUTED_VALUE"""),0)</f>
        <v>0</v>
      </c>
      <c r="R967" s="20"/>
    </row>
    <row r="968" spans="1:18" ht="13.2" hidden="1" outlineLevel="1" x14ac:dyDescent="0.25">
      <c r="A968" s="1"/>
      <c r="B968" s="21" t="str">
        <f ca="1">IFERROR(__xludf.DUMMYFUNCTION("""COMPUTED_VALUE"""),"Gas licuado de petróleo")</f>
        <v>Gas licuado de petróleo</v>
      </c>
      <c r="C968" s="22">
        <f ca="1">IFERROR(__xludf.DUMMYFUNCTION("""COMPUTED_VALUE"""),289.860007833159)</f>
        <v>289.86000783315899</v>
      </c>
      <c r="D968" s="23">
        <f ca="1">IFERROR(__xludf.DUMMYFUNCTION("""COMPUTED_VALUE"""),278.380650222386)</f>
        <v>278.38065022238601</v>
      </c>
      <c r="E968" s="23">
        <f ca="1">IFERROR(__xludf.DUMMYFUNCTION("""COMPUTED_VALUE"""),270.207766772342)</f>
        <v>270.20776677234198</v>
      </c>
      <c r="F968" s="23">
        <f ca="1">IFERROR(__xludf.DUMMYFUNCTION("""COMPUTED_VALUE"""),252.343108195223)</f>
        <v>252.34310819522301</v>
      </c>
      <c r="G968" s="23">
        <f ca="1">IFERROR(__xludf.DUMMYFUNCTION("""COMPUTED_VALUE"""),262.325752025871)</f>
        <v>262.325752025871</v>
      </c>
      <c r="H968" s="23">
        <f ca="1">IFERROR(__xludf.DUMMYFUNCTION("""COMPUTED_VALUE"""),239.210124353752)</f>
        <v>239.21012435375201</v>
      </c>
      <c r="I968" s="23">
        <f ca="1">IFERROR(__xludf.DUMMYFUNCTION("""COMPUTED_VALUE"""),264.07720204109)</f>
        <v>264.07720204109</v>
      </c>
      <c r="J968" s="23">
        <f ca="1">IFERROR(__xludf.DUMMYFUNCTION("""COMPUTED_VALUE"""),246.203024763009)</f>
        <v>246.20302476300901</v>
      </c>
      <c r="K968" s="23">
        <f ca="1">IFERROR(__xludf.DUMMYFUNCTION("""COMPUTED_VALUE"""),259.660186634244)</f>
        <v>259.66018663424398</v>
      </c>
      <c r="L968" s="23">
        <f ca="1">IFERROR(__xludf.DUMMYFUNCTION("""COMPUTED_VALUE"""),220.405671719741)</f>
        <v>220.40567171974101</v>
      </c>
      <c r="M968" s="23">
        <f ca="1">IFERROR(__xludf.DUMMYFUNCTION("""COMPUTED_VALUE"""),235.237072304779)</f>
        <v>235.23707230477899</v>
      </c>
      <c r="N968" s="23">
        <f ca="1">IFERROR(__xludf.DUMMYFUNCTION("""COMPUTED_VALUE"""),266.183090611857)</f>
        <v>266.18309061185698</v>
      </c>
      <c r="O968" s="23">
        <f ca="1">IFERROR(__xludf.DUMMYFUNCTION("""COMPUTED_VALUE"""),271.900857811435)</f>
        <v>271.900857811435</v>
      </c>
      <c r="P968" s="23">
        <f ca="1">IFERROR(__xludf.DUMMYFUNCTION("""COMPUTED_VALUE"""),269.475777072546)</f>
        <v>269.47577707254601</v>
      </c>
      <c r="Q968" s="24">
        <f ca="1">IFERROR(__xludf.DUMMYFUNCTION("""COMPUTED_VALUE"""),240.708730659952)</f>
        <v>240.70873065995201</v>
      </c>
      <c r="R968" s="20"/>
    </row>
    <row r="969" spans="1:18" ht="13.2" hidden="1" outlineLevel="1" x14ac:dyDescent="0.25">
      <c r="A969" s="1"/>
      <c r="B969" s="21" t="str">
        <f ca="1">IFERROR(__xludf.DUMMYFUNCTION("""COMPUTED_VALUE"""),"Gasolinas y naftas")</f>
        <v>Gasolinas y naftas</v>
      </c>
      <c r="C969" s="22">
        <f ca="1">IFERROR(__xludf.DUMMYFUNCTION("""COMPUTED_VALUE"""),0)</f>
        <v>0</v>
      </c>
      <c r="D969" s="23">
        <f ca="1">IFERROR(__xludf.DUMMYFUNCTION("""COMPUTED_VALUE"""),0)</f>
        <v>0</v>
      </c>
      <c r="E969" s="23">
        <f ca="1">IFERROR(__xludf.DUMMYFUNCTION("""COMPUTED_VALUE"""),0)</f>
        <v>0</v>
      </c>
      <c r="F969" s="23">
        <f ca="1">IFERROR(__xludf.DUMMYFUNCTION("""COMPUTED_VALUE"""),0)</f>
        <v>0</v>
      </c>
      <c r="G969" s="23">
        <f ca="1">IFERROR(__xludf.DUMMYFUNCTION("""COMPUTED_VALUE"""),0)</f>
        <v>0</v>
      </c>
      <c r="H969" s="23">
        <f ca="1">IFERROR(__xludf.DUMMYFUNCTION("""COMPUTED_VALUE"""),0)</f>
        <v>0</v>
      </c>
      <c r="I969" s="23">
        <f ca="1">IFERROR(__xludf.DUMMYFUNCTION("""COMPUTED_VALUE"""),0)</f>
        <v>0</v>
      </c>
      <c r="J969" s="23">
        <f ca="1">IFERROR(__xludf.DUMMYFUNCTION("""COMPUTED_VALUE"""),0)</f>
        <v>0</v>
      </c>
      <c r="K969" s="23">
        <f ca="1">IFERROR(__xludf.DUMMYFUNCTION("""COMPUTED_VALUE"""),0)</f>
        <v>0</v>
      </c>
      <c r="L969" s="23">
        <f ca="1">IFERROR(__xludf.DUMMYFUNCTION("""COMPUTED_VALUE"""),0)</f>
        <v>0</v>
      </c>
      <c r="M969" s="23">
        <f ca="1">IFERROR(__xludf.DUMMYFUNCTION("""COMPUTED_VALUE"""),0)</f>
        <v>0</v>
      </c>
      <c r="N969" s="23">
        <f ca="1">IFERROR(__xludf.DUMMYFUNCTION("""COMPUTED_VALUE"""),0)</f>
        <v>0</v>
      </c>
      <c r="O969" s="23">
        <f ca="1">IFERROR(__xludf.DUMMYFUNCTION("""COMPUTED_VALUE"""),0)</f>
        <v>0</v>
      </c>
      <c r="P969" s="23">
        <f ca="1">IFERROR(__xludf.DUMMYFUNCTION("""COMPUTED_VALUE"""),0)</f>
        <v>0</v>
      </c>
      <c r="Q969" s="24">
        <f ca="1">IFERROR(__xludf.DUMMYFUNCTION("""COMPUTED_VALUE"""),0)</f>
        <v>0</v>
      </c>
      <c r="R969" s="20"/>
    </row>
    <row r="970" spans="1:18" ht="13.2" hidden="1" outlineLevel="1" x14ac:dyDescent="0.25">
      <c r="A970" s="1"/>
      <c r="B970" s="21" t="str">
        <f ca="1">IFERROR(__xludf.DUMMYFUNCTION("""COMPUTED_VALUE"""),"Querosenos")</f>
        <v>Querosenos</v>
      </c>
      <c r="C970" s="22">
        <f ca="1">IFERROR(__xludf.DUMMYFUNCTION("""COMPUTED_VALUE"""),0)</f>
        <v>0</v>
      </c>
      <c r="D970" s="23">
        <f ca="1">IFERROR(__xludf.DUMMYFUNCTION("""COMPUTED_VALUE"""),0)</f>
        <v>0</v>
      </c>
      <c r="E970" s="23">
        <f ca="1">IFERROR(__xludf.DUMMYFUNCTION("""COMPUTED_VALUE"""),0)</f>
        <v>0</v>
      </c>
      <c r="F970" s="23">
        <f ca="1">IFERROR(__xludf.DUMMYFUNCTION("""COMPUTED_VALUE"""),0)</f>
        <v>0</v>
      </c>
      <c r="G970" s="23">
        <f ca="1">IFERROR(__xludf.DUMMYFUNCTION("""COMPUTED_VALUE"""),0)</f>
        <v>0</v>
      </c>
      <c r="H970" s="23">
        <f ca="1">IFERROR(__xludf.DUMMYFUNCTION("""COMPUTED_VALUE"""),0)</f>
        <v>0</v>
      </c>
      <c r="I970" s="23">
        <f ca="1">IFERROR(__xludf.DUMMYFUNCTION("""COMPUTED_VALUE"""),0)</f>
        <v>0</v>
      </c>
      <c r="J970" s="23">
        <f ca="1">IFERROR(__xludf.DUMMYFUNCTION("""COMPUTED_VALUE"""),0)</f>
        <v>0</v>
      </c>
      <c r="K970" s="23">
        <f ca="1">IFERROR(__xludf.DUMMYFUNCTION("""COMPUTED_VALUE"""),0)</f>
        <v>0</v>
      </c>
      <c r="L970" s="23">
        <f ca="1">IFERROR(__xludf.DUMMYFUNCTION("""COMPUTED_VALUE"""),0)</f>
        <v>0</v>
      </c>
      <c r="M970" s="23">
        <f ca="1">IFERROR(__xludf.DUMMYFUNCTION("""COMPUTED_VALUE"""),0)</f>
        <v>0</v>
      </c>
      <c r="N970" s="23">
        <f ca="1">IFERROR(__xludf.DUMMYFUNCTION("""COMPUTED_VALUE"""),0)</f>
        <v>0</v>
      </c>
      <c r="O970" s="23">
        <f ca="1">IFERROR(__xludf.DUMMYFUNCTION("""COMPUTED_VALUE"""),0)</f>
        <v>0</v>
      </c>
      <c r="P970" s="23">
        <f ca="1">IFERROR(__xludf.DUMMYFUNCTION("""COMPUTED_VALUE"""),0)</f>
        <v>0</v>
      </c>
      <c r="Q970" s="24">
        <f ca="1">IFERROR(__xludf.DUMMYFUNCTION("""COMPUTED_VALUE"""),0)</f>
        <v>0</v>
      </c>
      <c r="R970" s="20"/>
    </row>
    <row r="971" spans="1:18" ht="13.2" hidden="1" outlineLevel="1" x14ac:dyDescent="0.25">
      <c r="A971" s="1"/>
      <c r="B971" s="21" t="str">
        <f ca="1">IFERROR(__xludf.DUMMYFUNCTION("""COMPUTED_VALUE"""),"Diesel")</f>
        <v>Diesel</v>
      </c>
      <c r="C971" s="22">
        <f ca="1">IFERROR(__xludf.DUMMYFUNCTION("""COMPUTED_VALUE"""),0)</f>
        <v>0</v>
      </c>
      <c r="D971" s="23">
        <f ca="1">IFERROR(__xludf.DUMMYFUNCTION("""COMPUTED_VALUE"""),0)</f>
        <v>0</v>
      </c>
      <c r="E971" s="23">
        <f ca="1">IFERROR(__xludf.DUMMYFUNCTION("""COMPUTED_VALUE"""),0)</f>
        <v>0</v>
      </c>
      <c r="F971" s="23">
        <f ca="1">IFERROR(__xludf.DUMMYFUNCTION("""COMPUTED_VALUE"""),0)</f>
        <v>0</v>
      </c>
      <c r="G971" s="23">
        <f ca="1">IFERROR(__xludf.DUMMYFUNCTION("""COMPUTED_VALUE"""),0)</f>
        <v>0</v>
      </c>
      <c r="H971" s="23">
        <f ca="1">IFERROR(__xludf.DUMMYFUNCTION("""COMPUTED_VALUE"""),0)</f>
        <v>0</v>
      </c>
      <c r="I971" s="23">
        <f ca="1">IFERROR(__xludf.DUMMYFUNCTION("""COMPUTED_VALUE"""),0)</f>
        <v>0</v>
      </c>
      <c r="J971" s="23">
        <f ca="1">IFERROR(__xludf.DUMMYFUNCTION("""COMPUTED_VALUE"""),0)</f>
        <v>0</v>
      </c>
      <c r="K971" s="23">
        <f ca="1">IFERROR(__xludf.DUMMYFUNCTION("""COMPUTED_VALUE"""),0)</f>
        <v>0</v>
      </c>
      <c r="L971" s="23">
        <f ca="1">IFERROR(__xludf.DUMMYFUNCTION("""COMPUTED_VALUE"""),0)</f>
        <v>0</v>
      </c>
      <c r="M971" s="23">
        <f ca="1">IFERROR(__xludf.DUMMYFUNCTION("""COMPUTED_VALUE"""),0)</f>
        <v>0</v>
      </c>
      <c r="N971" s="23">
        <f ca="1">IFERROR(__xludf.DUMMYFUNCTION("""COMPUTED_VALUE"""),0)</f>
        <v>0</v>
      </c>
      <c r="O971" s="23">
        <f ca="1">IFERROR(__xludf.DUMMYFUNCTION("""COMPUTED_VALUE"""),0)</f>
        <v>0</v>
      </c>
      <c r="P971" s="23">
        <f ca="1">IFERROR(__xludf.DUMMYFUNCTION("""COMPUTED_VALUE"""),0)</f>
        <v>0</v>
      </c>
      <c r="Q971" s="24">
        <f ca="1">IFERROR(__xludf.DUMMYFUNCTION("""COMPUTED_VALUE"""),0)</f>
        <v>0</v>
      </c>
      <c r="R971" s="20"/>
    </row>
    <row r="972" spans="1:18" ht="13.2" hidden="1" outlineLevel="1" x14ac:dyDescent="0.25">
      <c r="A972" s="1"/>
      <c r="B972" s="21" t="str">
        <f ca="1">IFERROR(__xludf.DUMMYFUNCTION("""COMPUTED_VALUE"""),"Combustóleo")</f>
        <v>Combustóleo</v>
      </c>
      <c r="C972" s="22">
        <f ca="1">IFERROR(__xludf.DUMMYFUNCTION("""COMPUTED_VALUE"""),0)</f>
        <v>0</v>
      </c>
      <c r="D972" s="23">
        <f ca="1">IFERROR(__xludf.DUMMYFUNCTION("""COMPUTED_VALUE"""),0)</f>
        <v>0</v>
      </c>
      <c r="E972" s="23">
        <f ca="1">IFERROR(__xludf.DUMMYFUNCTION("""COMPUTED_VALUE"""),0)</f>
        <v>0</v>
      </c>
      <c r="F972" s="23">
        <f ca="1">IFERROR(__xludf.DUMMYFUNCTION("""COMPUTED_VALUE"""),0)</f>
        <v>0</v>
      </c>
      <c r="G972" s="23">
        <f ca="1">IFERROR(__xludf.DUMMYFUNCTION("""COMPUTED_VALUE"""),0)</f>
        <v>0</v>
      </c>
      <c r="H972" s="23">
        <f ca="1">IFERROR(__xludf.DUMMYFUNCTION("""COMPUTED_VALUE"""),0)</f>
        <v>0</v>
      </c>
      <c r="I972" s="23">
        <f ca="1">IFERROR(__xludf.DUMMYFUNCTION("""COMPUTED_VALUE"""),0)</f>
        <v>0</v>
      </c>
      <c r="J972" s="23">
        <f ca="1">IFERROR(__xludf.DUMMYFUNCTION("""COMPUTED_VALUE"""),0)</f>
        <v>0</v>
      </c>
      <c r="K972" s="23">
        <f ca="1">IFERROR(__xludf.DUMMYFUNCTION("""COMPUTED_VALUE"""),0)</f>
        <v>0</v>
      </c>
      <c r="L972" s="23">
        <f ca="1">IFERROR(__xludf.DUMMYFUNCTION("""COMPUTED_VALUE"""),0)</f>
        <v>0</v>
      </c>
      <c r="M972" s="23">
        <f ca="1">IFERROR(__xludf.DUMMYFUNCTION("""COMPUTED_VALUE"""),0)</f>
        <v>0</v>
      </c>
      <c r="N972" s="23">
        <f ca="1">IFERROR(__xludf.DUMMYFUNCTION("""COMPUTED_VALUE"""),0)</f>
        <v>0</v>
      </c>
      <c r="O972" s="23">
        <f ca="1">IFERROR(__xludf.DUMMYFUNCTION("""COMPUTED_VALUE"""),0)</f>
        <v>0</v>
      </c>
      <c r="P972" s="23">
        <f ca="1">IFERROR(__xludf.DUMMYFUNCTION("""COMPUTED_VALUE"""),0)</f>
        <v>0</v>
      </c>
      <c r="Q972" s="24">
        <f ca="1">IFERROR(__xludf.DUMMYFUNCTION("""COMPUTED_VALUE"""),0)</f>
        <v>0</v>
      </c>
      <c r="R972" s="20"/>
    </row>
    <row r="973" spans="1:18" ht="13.2" hidden="1" outlineLevel="1" x14ac:dyDescent="0.25">
      <c r="A973" s="1"/>
      <c r="B973" s="21" t="str">
        <f ca="1">IFERROR(__xludf.DUMMYFUNCTION("""COMPUTED_VALUE"""),"Otros energéticos")</f>
        <v>Otros energéticos</v>
      </c>
      <c r="C973" s="22">
        <f ca="1">IFERROR(__xludf.DUMMYFUNCTION("""COMPUTED_VALUE"""),0)</f>
        <v>0</v>
      </c>
      <c r="D973" s="23">
        <f ca="1">IFERROR(__xludf.DUMMYFUNCTION("""COMPUTED_VALUE"""),0)</f>
        <v>0</v>
      </c>
      <c r="E973" s="23">
        <f ca="1">IFERROR(__xludf.DUMMYFUNCTION("""COMPUTED_VALUE"""),0)</f>
        <v>0</v>
      </c>
      <c r="F973" s="23">
        <f ca="1">IFERROR(__xludf.DUMMYFUNCTION("""COMPUTED_VALUE"""),0)</f>
        <v>0</v>
      </c>
      <c r="G973" s="23">
        <f ca="1">IFERROR(__xludf.DUMMYFUNCTION("""COMPUTED_VALUE"""),0)</f>
        <v>0</v>
      </c>
      <c r="H973" s="23">
        <f ca="1">IFERROR(__xludf.DUMMYFUNCTION("""COMPUTED_VALUE"""),0)</f>
        <v>0</v>
      </c>
      <c r="I973" s="23">
        <f ca="1">IFERROR(__xludf.DUMMYFUNCTION("""COMPUTED_VALUE"""),0)</f>
        <v>0</v>
      </c>
      <c r="J973" s="23">
        <f ca="1">IFERROR(__xludf.DUMMYFUNCTION("""COMPUTED_VALUE"""),0)</f>
        <v>0</v>
      </c>
      <c r="K973" s="23">
        <f ca="1">IFERROR(__xludf.DUMMYFUNCTION("""COMPUTED_VALUE"""),0)</f>
        <v>0</v>
      </c>
      <c r="L973" s="23">
        <f ca="1">IFERROR(__xludf.DUMMYFUNCTION("""COMPUTED_VALUE"""),0)</f>
        <v>0</v>
      </c>
      <c r="M973" s="23">
        <f ca="1">IFERROR(__xludf.DUMMYFUNCTION("""COMPUTED_VALUE"""),0)</f>
        <v>0</v>
      </c>
      <c r="N973" s="23">
        <f ca="1">IFERROR(__xludf.DUMMYFUNCTION("""COMPUTED_VALUE"""),0)</f>
        <v>0</v>
      </c>
      <c r="O973" s="23">
        <f ca="1">IFERROR(__xludf.DUMMYFUNCTION("""COMPUTED_VALUE"""),0)</f>
        <v>0</v>
      </c>
      <c r="P973" s="23">
        <f ca="1">IFERROR(__xludf.DUMMYFUNCTION("""COMPUTED_VALUE"""),0)</f>
        <v>0</v>
      </c>
      <c r="Q973" s="24">
        <f ca="1">IFERROR(__xludf.DUMMYFUNCTION("""COMPUTED_VALUE"""),0)</f>
        <v>0</v>
      </c>
      <c r="R973" s="20"/>
    </row>
    <row r="974" spans="1:18" ht="13.2" hidden="1" outlineLevel="1" x14ac:dyDescent="0.25">
      <c r="A974" s="1"/>
      <c r="B974" s="21" t="str">
        <f ca="1">IFERROR(__xludf.DUMMYFUNCTION("""COMPUTED_VALUE"""),"Gas natural seco")</f>
        <v>Gas natural seco</v>
      </c>
      <c r="C974" s="22">
        <f ca="1">IFERROR(__xludf.DUMMYFUNCTION("""COMPUTED_VALUE"""),30.1887461231723)</f>
        <v>30.188746123172301</v>
      </c>
      <c r="D974" s="23">
        <f ca="1">IFERROR(__xludf.DUMMYFUNCTION("""COMPUTED_VALUE"""),28.5747288776796)</f>
        <v>28.5747288776796</v>
      </c>
      <c r="E974" s="23">
        <f ca="1">IFERROR(__xludf.DUMMYFUNCTION("""COMPUTED_VALUE"""),29.1051655629139)</f>
        <v>29.1051655629139</v>
      </c>
      <c r="F974" s="23">
        <f ca="1">IFERROR(__xludf.DUMMYFUNCTION("""COMPUTED_VALUE"""),31.6808863058481)</f>
        <v>31.680886305848102</v>
      </c>
      <c r="G974" s="23">
        <f ca="1">IFERROR(__xludf.DUMMYFUNCTION("""COMPUTED_VALUE"""),40)</f>
        <v>40</v>
      </c>
      <c r="H974" s="23">
        <f ca="1">IFERROR(__xludf.DUMMYFUNCTION("""COMPUTED_VALUE"""),37)</f>
        <v>37</v>
      </c>
      <c r="I974" s="23">
        <f ca="1">IFERROR(__xludf.DUMMYFUNCTION("""COMPUTED_VALUE"""),37)</f>
        <v>37</v>
      </c>
      <c r="J974" s="23">
        <f ca="1">IFERROR(__xludf.DUMMYFUNCTION("""COMPUTED_VALUE"""),34.1459137577002)</f>
        <v>34.1459137577002</v>
      </c>
      <c r="K974" s="23">
        <f ca="1">IFERROR(__xludf.DUMMYFUNCTION("""COMPUTED_VALUE"""),31.8470040485829)</f>
        <v>31.8470040485829</v>
      </c>
      <c r="L974" s="23">
        <f ca="1">IFERROR(__xludf.DUMMYFUNCTION("""COMPUTED_VALUE"""),32.8371463714637)</f>
        <v>32.837146371463703</v>
      </c>
      <c r="M974" s="23">
        <f ca="1">IFERROR(__xludf.DUMMYFUNCTION("""COMPUTED_VALUE"""),27.2431870229007)</f>
        <v>27.243187022900699</v>
      </c>
      <c r="N974" s="23">
        <f ca="1">IFERROR(__xludf.DUMMYFUNCTION("""COMPUTED_VALUE"""),32.617609329446)</f>
        <v>32.617609329445997</v>
      </c>
      <c r="O974" s="23">
        <f ca="1">IFERROR(__xludf.DUMMYFUNCTION("""COMPUTED_VALUE"""),31.9519498607242)</f>
        <v>31.951949860724199</v>
      </c>
      <c r="P974" s="23">
        <f ca="1">IFERROR(__xludf.DUMMYFUNCTION("""COMPUTED_VALUE"""),31.5243213296398)</f>
        <v>31.5243213296398</v>
      </c>
      <c r="Q974" s="24">
        <f ca="1">IFERROR(__xludf.DUMMYFUNCTION("""COMPUTED_VALUE"""),29.459580564784)</f>
        <v>29.459580564784002</v>
      </c>
      <c r="R974" s="20"/>
    </row>
    <row r="975" spans="1:18" ht="13.2" hidden="1" outlineLevel="1" x14ac:dyDescent="0.25">
      <c r="A975" s="1"/>
      <c r="B975" s="25" t="str">
        <f ca="1">IFERROR(__xludf.DUMMYFUNCTION("""COMPUTED_VALUE"""),"Energía eléctrica")</f>
        <v>Energía eléctrica</v>
      </c>
      <c r="C975" s="26">
        <f ca="1">IFERROR(__xludf.DUMMYFUNCTION("""COMPUTED_VALUE"""),191.238774355027)</f>
        <v>191.238774355027</v>
      </c>
      <c r="D975" s="27">
        <f ca="1">IFERROR(__xludf.DUMMYFUNCTION("""COMPUTED_VALUE"""),192.396404840909)</f>
        <v>192.39640484090901</v>
      </c>
      <c r="E975" s="27">
        <f ca="1">IFERROR(__xludf.DUMMYFUNCTION("""COMPUTED_VALUE"""),193.409629563307)</f>
        <v>193.40962956330699</v>
      </c>
      <c r="F975" s="27">
        <f ca="1">IFERROR(__xludf.DUMMYFUNCTION("""COMPUTED_VALUE"""),194.898149693411)</f>
        <v>194.898149693411</v>
      </c>
      <c r="G975" s="27">
        <f ca="1">IFERROR(__xludf.DUMMYFUNCTION("""COMPUTED_VALUE"""),201.246077469558)</f>
        <v>201.246077469558</v>
      </c>
      <c r="H975" s="27">
        <f ca="1">IFERROR(__xludf.DUMMYFUNCTION("""COMPUTED_VALUE"""),206.084957891974)</f>
        <v>206.084957891974</v>
      </c>
      <c r="I975" s="27">
        <f ca="1">IFERROR(__xludf.DUMMYFUNCTION("""COMPUTED_VALUE"""),216.221678345819)</f>
        <v>216.22167834581899</v>
      </c>
      <c r="J975" s="27">
        <f ca="1">IFERROR(__xludf.DUMMYFUNCTION("""COMPUTED_VALUE"""),222.115384514246)</f>
        <v>222.11538451424599</v>
      </c>
      <c r="K975" s="27">
        <f ca="1">IFERROR(__xludf.DUMMYFUNCTION("""COMPUTED_VALUE"""),231.662003882068)</f>
        <v>231.66200388206801</v>
      </c>
      <c r="L975" s="27">
        <f ca="1">IFERROR(__xludf.DUMMYFUNCTION("""COMPUTED_VALUE"""),250.795450571077)</f>
        <v>250.795450571077</v>
      </c>
      <c r="M975" s="27">
        <f ca="1">IFERROR(__xludf.DUMMYFUNCTION("""COMPUTED_VALUE"""),264.890761150249)</f>
        <v>264.89076115024898</v>
      </c>
      <c r="N975" s="27">
        <f ca="1">IFERROR(__xludf.DUMMYFUNCTION("""COMPUTED_VALUE"""),258.322596908194)</f>
        <v>258.32259690819399</v>
      </c>
      <c r="O975" s="27">
        <f ca="1">IFERROR(__xludf.DUMMYFUNCTION("""COMPUTED_VALUE"""),266.726672929101)</f>
        <v>266.72667292910103</v>
      </c>
      <c r="P975" s="27">
        <f ca="1">IFERROR(__xludf.DUMMYFUNCTION("""COMPUTED_VALUE"""),276.540035466947)</f>
        <v>276.54003546694702</v>
      </c>
      <c r="Q975" s="28">
        <f ca="1">IFERROR(__xludf.DUMMYFUNCTION("""COMPUTED_VALUE"""),281.225391128861)</f>
        <v>281.22539112886102</v>
      </c>
      <c r="R975" s="20"/>
    </row>
    <row r="976" spans="1:18" ht="13.2" hidden="1" outlineLevel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0"/>
    </row>
    <row r="977" spans="1:18" ht="13.2" collapsed="1" x14ac:dyDescent="0.25">
      <c r="A977" s="29"/>
      <c r="B977" s="5" t="str">
        <f ca="1">IFERROR(__xludf.DUMMYFUNCTION("""COMPUTED_VALUE"""),"Con.Fin.Ene.Pub(e,a)")</f>
        <v>Con.Fin.Ene.Pub(e,a)</v>
      </c>
      <c r="C977" s="6" t="str">
        <f ca="1">IFERROR(__xludf.DUMMYFUNCTION("""COMPUTED_VALUE"""),"/+")</f>
        <v>/+</v>
      </c>
      <c r="D977" s="7" t="str">
        <f ca="1">IFERROR(__xludf.DUMMYFUNCTION("""COMPUTED_VALUE"""),"Público")</f>
        <v>Público</v>
      </c>
      <c r="E977" s="6" t="str">
        <f ca="1">IFERROR(__xludf.DUMMYFUNCTION("""COMPUTED_VALUE"""),"cbne")</f>
        <v>cbne</v>
      </c>
      <c r="F977" s="6" t="str">
        <f ca="1">IFERROR(__xludf.DUMMYFUNCTION("""COMPUTED_VALUE"""),"a")</f>
        <v>a</v>
      </c>
      <c r="G977" s="8" t="str">
        <f ca="1">IFERROR(__xludf.DUMMYFUNCTION("""COMPUTED_VALUE"""),"PJ")</f>
        <v>PJ</v>
      </c>
      <c r="H977" s="9"/>
      <c r="I977" s="1"/>
      <c r="J977" s="1"/>
      <c r="K977" s="1"/>
      <c r="L977" s="1"/>
      <c r="M977" s="1"/>
      <c r="N977" s="1"/>
      <c r="O977" s="1"/>
      <c r="P977" s="1"/>
      <c r="Q977" s="1"/>
      <c r="R977" s="10"/>
    </row>
    <row r="978" spans="1:18" ht="13.2" hidden="1" outlineLevel="1" x14ac:dyDescent="0.25">
      <c r="A978" s="1"/>
      <c r="B978" s="11"/>
      <c r="C978" s="12">
        <f ca="1">IFERROR(__xludf.DUMMYFUNCTION("""COMPUTED_VALUE"""),2010)</f>
        <v>2010</v>
      </c>
      <c r="D978" s="13">
        <f ca="1">IFERROR(__xludf.DUMMYFUNCTION("""COMPUTED_VALUE"""),2011)</f>
        <v>2011</v>
      </c>
      <c r="E978" s="13">
        <f ca="1">IFERROR(__xludf.DUMMYFUNCTION("""COMPUTED_VALUE"""),2012)</f>
        <v>2012</v>
      </c>
      <c r="F978" s="13">
        <f ca="1">IFERROR(__xludf.DUMMYFUNCTION("""COMPUTED_VALUE"""),2013)</f>
        <v>2013</v>
      </c>
      <c r="G978" s="13">
        <f ca="1">IFERROR(__xludf.DUMMYFUNCTION("""COMPUTED_VALUE"""),2014)</f>
        <v>2014</v>
      </c>
      <c r="H978" s="13">
        <f ca="1">IFERROR(__xludf.DUMMYFUNCTION("""COMPUTED_VALUE"""),2015)</f>
        <v>2015</v>
      </c>
      <c r="I978" s="13">
        <f ca="1">IFERROR(__xludf.DUMMYFUNCTION("""COMPUTED_VALUE"""),2016)</f>
        <v>2016</v>
      </c>
      <c r="J978" s="13">
        <f ca="1">IFERROR(__xludf.DUMMYFUNCTION("""COMPUTED_VALUE"""),2017)</f>
        <v>2017</v>
      </c>
      <c r="K978" s="13">
        <f ca="1">IFERROR(__xludf.DUMMYFUNCTION("""COMPUTED_VALUE"""),2018)</f>
        <v>2018</v>
      </c>
      <c r="L978" s="13">
        <f ca="1">IFERROR(__xludf.DUMMYFUNCTION("""COMPUTED_VALUE"""),2019)</f>
        <v>2019</v>
      </c>
      <c r="M978" s="13">
        <f ca="1">IFERROR(__xludf.DUMMYFUNCTION("""COMPUTED_VALUE"""),2020)</f>
        <v>2020</v>
      </c>
      <c r="N978" s="13">
        <f ca="1">IFERROR(__xludf.DUMMYFUNCTION("""COMPUTED_VALUE"""),2021)</f>
        <v>2021</v>
      </c>
      <c r="O978" s="13">
        <f ca="1">IFERROR(__xludf.DUMMYFUNCTION("""COMPUTED_VALUE"""),2022)</f>
        <v>2022</v>
      </c>
      <c r="P978" s="13">
        <f ca="1">IFERROR(__xludf.DUMMYFUNCTION("""COMPUTED_VALUE"""),2023)</f>
        <v>2023</v>
      </c>
      <c r="Q978" s="14">
        <f ca="1">IFERROR(__xludf.DUMMYFUNCTION("""COMPUTED_VALUE"""),2024)</f>
        <v>2024</v>
      </c>
      <c r="R978" s="15"/>
    </row>
    <row r="979" spans="1:18" ht="13.2" hidden="1" outlineLevel="1" x14ac:dyDescent="0.25">
      <c r="A979" s="1"/>
      <c r="B979" s="16" t="str">
        <f ca="1">IFERROR(__xludf.DUMMYFUNCTION("""COMPUTED_VALUE"""),"Carbón mineral")</f>
        <v>Carbón mineral</v>
      </c>
      <c r="C979" s="17">
        <f ca="1">IFERROR(__xludf.DUMMYFUNCTION("""COMPUTED_VALUE"""),0)</f>
        <v>0</v>
      </c>
      <c r="D979" s="18">
        <f ca="1">IFERROR(__xludf.DUMMYFUNCTION("""COMPUTED_VALUE"""),0)</f>
        <v>0</v>
      </c>
      <c r="E979" s="18">
        <f ca="1">IFERROR(__xludf.DUMMYFUNCTION("""COMPUTED_VALUE"""),0)</f>
        <v>0</v>
      </c>
      <c r="F979" s="18">
        <f ca="1">IFERROR(__xludf.DUMMYFUNCTION("""COMPUTED_VALUE"""),0)</f>
        <v>0</v>
      </c>
      <c r="G979" s="18">
        <f ca="1">IFERROR(__xludf.DUMMYFUNCTION("""COMPUTED_VALUE"""),0)</f>
        <v>0</v>
      </c>
      <c r="H979" s="18">
        <f ca="1">IFERROR(__xludf.DUMMYFUNCTION("""COMPUTED_VALUE"""),0)</f>
        <v>0</v>
      </c>
      <c r="I979" s="18">
        <f ca="1">IFERROR(__xludf.DUMMYFUNCTION("""COMPUTED_VALUE"""),0)</f>
        <v>0</v>
      </c>
      <c r="J979" s="18">
        <f ca="1">IFERROR(__xludf.DUMMYFUNCTION("""COMPUTED_VALUE"""),0)</f>
        <v>0</v>
      </c>
      <c r="K979" s="18">
        <f ca="1">IFERROR(__xludf.DUMMYFUNCTION("""COMPUTED_VALUE"""),0)</f>
        <v>0</v>
      </c>
      <c r="L979" s="18">
        <f ca="1">IFERROR(__xludf.DUMMYFUNCTION("""COMPUTED_VALUE"""),0)</f>
        <v>0</v>
      </c>
      <c r="M979" s="18">
        <f ca="1">IFERROR(__xludf.DUMMYFUNCTION("""COMPUTED_VALUE"""),0)</f>
        <v>0</v>
      </c>
      <c r="N979" s="18">
        <f ca="1">IFERROR(__xludf.DUMMYFUNCTION("""COMPUTED_VALUE"""),0)</f>
        <v>0</v>
      </c>
      <c r="O979" s="18">
        <f ca="1">IFERROR(__xludf.DUMMYFUNCTION("""COMPUTED_VALUE"""),0)</f>
        <v>0</v>
      </c>
      <c r="P979" s="18">
        <f ca="1">IFERROR(__xludf.DUMMYFUNCTION("""COMPUTED_VALUE"""),0)</f>
        <v>0</v>
      </c>
      <c r="Q979" s="19">
        <f ca="1">IFERROR(__xludf.DUMMYFUNCTION("""COMPUTED_VALUE"""),0)</f>
        <v>0</v>
      </c>
      <c r="R979" s="20"/>
    </row>
    <row r="980" spans="1:18" ht="13.2" hidden="1" outlineLevel="1" x14ac:dyDescent="0.25">
      <c r="A980" s="1"/>
      <c r="B980" s="21" t="str">
        <f ca="1">IFERROR(__xludf.DUMMYFUNCTION("""COMPUTED_VALUE"""),"Petróleo crudo")</f>
        <v>Petróleo crudo</v>
      </c>
      <c r="C980" s="22">
        <f ca="1">IFERROR(__xludf.DUMMYFUNCTION("""COMPUTED_VALUE"""),0)</f>
        <v>0</v>
      </c>
      <c r="D980" s="23">
        <f ca="1">IFERROR(__xludf.DUMMYFUNCTION("""COMPUTED_VALUE"""),0)</f>
        <v>0</v>
      </c>
      <c r="E980" s="23">
        <f ca="1">IFERROR(__xludf.DUMMYFUNCTION("""COMPUTED_VALUE"""),0)</f>
        <v>0</v>
      </c>
      <c r="F980" s="23">
        <f ca="1">IFERROR(__xludf.DUMMYFUNCTION("""COMPUTED_VALUE"""),0)</f>
        <v>0</v>
      </c>
      <c r="G980" s="23">
        <f ca="1">IFERROR(__xludf.DUMMYFUNCTION("""COMPUTED_VALUE"""),0)</f>
        <v>0</v>
      </c>
      <c r="H980" s="23">
        <f ca="1">IFERROR(__xludf.DUMMYFUNCTION("""COMPUTED_VALUE"""),0)</f>
        <v>0</v>
      </c>
      <c r="I980" s="23">
        <f ca="1">IFERROR(__xludf.DUMMYFUNCTION("""COMPUTED_VALUE"""),0)</f>
        <v>0</v>
      </c>
      <c r="J980" s="23">
        <f ca="1">IFERROR(__xludf.DUMMYFUNCTION("""COMPUTED_VALUE"""),0)</f>
        <v>0</v>
      </c>
      <c r="K980" s="23">
        <f ca="1">IFERROR(__xludf.DUMMYFUNCTION("""COMPUTED_VALUE"""),0)</f>
        <v>0</v>
      </c>
      <c r="L980" s="23">
        <f ca="1">IFERROR(__xludf.DUMMYFUNCTION("""COMPUTED_VALUE"""),0)</f>
        <v>0</v>
      </c>
      <c r="M980" s="23">
        <f ca="1">IFERROR(__xludf.DUMMYFUNCTION("""COMPUTED_VALUE"""),0)</f>
        <v>0</v>
      </c>
      <c r="N980" s="23">
        <f ca="1">IFERROR(__xludf.DUMMYFUNCTION("""COMPUTED_VALUE"""),0)</f>
        <v>0</v>
      </c>
      <c r="O980" s="23">
        <f ca="1">IFERROR(__xludf.DUMMYFUNCTION("""COMPUTED_VALUE"""),0)</f>
        <v>0</v>
      </c>
      <c r="P980" s="23">
        <f ca="1">IFERROR(__xludf.DUMMYFUNCTION("""COMPUTED_VALUE"""),0)</f>
        <v>0</v>
      </c>
      <c r="Q980" s="24">
        <f ca="1">IFERROR(__xludf.DUMMYFUNCTION("""COMPUTED_VALUE"""),0)</f>
        <v>0</v>
      </c>
      <c r="R980" s="20"/>
    </row>
    <row r="981" spans="1:18" ht="13.2" hidden="1" outlineLevel="1" x14ac:dyDescent="0.25">
      <c r="A981" s="1"/>
      <c r="B981" s="21" t="str">
        <f ca="1">IFERROR(__xludf.DUMMYFUNCTION("""COMPUTED_VALUE"""),"Condensados")</f>
        <v>Condensados</v>
      </c>
      <c r="C981" s="22">
        <f ca="1">IFERROR(__xludf.DUMMYFUNCTION("""COMPUTED_VALUE"""),0)</f>
        <v>0</v>
      </c>
      <c r="D981" s="23">
        <f ca="1">IFERROR(__xludf.DUMMYFUNCTION("""COMPUTED_VALUE"""),0)</f>
        <v>0</v>
      </c>
      <c r="E981" s="23">
        <f ca="1">IFERROR(__xludf.DUMMYFUNCTION("""COMPUTED_VALUE"""),0)</f>
        <v>0</v>
      </c>
      <c r="F981" s="23">
        <f ca="1">IFERROR(__xludf.DUMMYFUNCTION("""COMPUTED_VALUE"""),0)</f>
        <v>0</v>
      </c>
      <c r="G981" s="23">
        <f ca="1">IFERROR(__xludf.DUMMYFUNCTION("""COMPUTED_VALUE"""),0)</f>
        <v>0</v>
      </c>
      <c r="H981" s="23">
        <f ca="1">IFERROR(__xludf.DUMMYFUNCTION("""COMPUTED_VALUE"""),0)</f>
        <v>0</v>
      </c>
      <c r="I981" s="23">
        <f ca="1">IFERROR(__xludf.DUMMYFUNCTION("""COMPUTED_VALUE"""),0)</f>
        <v>0</v>
      </c>
      <c r="J981" s="23">
        <f ca="1">IFERROR(__xludf.DUMMYFUNCTION("""COMPUTED_VALUE"""),0)</f>
        <v>0</v>
      </c>
      <c r="K981" s="23">
        <f ca="1">IFERROR(__xludf.DUMMYFUNCTION("""COMPUTED_VALUE"""),0)</f>
        <v>0</v>
      </c>
      <c r="L981" s="23">
        <f ca="1">IFERROR(__xludf.DUMMYFUNCTION("""COMPUTED_VALUE"""),0)</f>
        <v>0</v>
      </c>
      <c r="M981" s="23">
        <f ca="1">IFERROR(__xludf.DUMMYFUNCTION("""COMPUTED_VALUE"""),0)</f>
        <v>0</v>
      </c>
      <c r="N981" s="23">
        <f ca="1">IFERROR(__xludf.DUMMYFUNCTION("""COMPUTED_VALUE"""),0)</f>
        <v>0</v>
      </c>
      <c r="O981" s="23">
        <f ca="1">IFERROR(__xludf.DUMMYFUNCTION("""COMPUTED_VALUE"""),0)</f>
        <v>0</v>
      </c>
      <c r="P981" s="23">
        <f ca="1">IFERROR(__xludf.DUMMYFUNCTION("""COMPUTED_VALUE"""),0)</f>
        <v>0</v>
      </c>
      <c r="Q981" s="24">
        <f ca="1">IFERROR(__xludf.DUMMYFUNCTION("""COMPUTED_VALUE"""),0)</f>
        <v>0</v>
      </c>
      <c r="R981" s="20"/>
    </row>
    <row r="982" spans="1:18" ht="13.2" hidden="1" outlineLevel="1" x14ac:dyDescent="0.25">
      <c r="A982" s="1"/>
      <c r="B982" s="21" t="str">
        <f ca="1">IFERROR(__xludf.DUMMYFUNCTION("""COMPUTED_VALUE"""),"Gas natural")</f>
        <v>Gas natural</v>
      </c>
      <c r="C982" s="22">
        <f ca="1">IFERROR(__xludf.DUMMYFUNCTION("""COMPUTED_VALUE"""),0)</f>
        <v>0</v>
      </c>
      <c r="D982" s="23">
        <f ca="1">IFERROR(__xludf.DUMMYFUNCTION("""COMPUTED_VALUE"""),0)</f>
        <v>0</v>
      </c>
      <c r="E982" s="23">
        <f ca="1">IFERROR(__xludf.DUMMYFUNCTION("""COMPUTED_VALUE"""),0)</f>
        <v>0</v>
      </c>
      <c r="F982" s="23">
        <f ca="1">IFERROR(__xludf.DUMMYFUNCTION("""COMPUTED_VALUE"""),0)</f>
        <v>0</v>
      </c>
      <c r="G982" s="23">
        <f ca="1">IFERROR(__xludf.DUMMYFUNCTION("""COMPUTED_VALUE"""),0)</f>
        <v>0</v>
      </c>
      <c r="H982" s="23">
        <f ca="1">IFERROR(__xludf.DUMMYFUNCTION("""COMPUTED_VALUE"""),0)</f>
        <v>0</v>
      </c>
      <c r="I982" s="23">
        <f ca="1">IFERROR(__xludf.DUMMYFUNCTION("""COMPUTED_VALUE"""),0)</f>
        <v>0</v>
      </c>
      <c r="J982" s="23">
        <f ca="1">IFERROR(__xludf.DUMMYFUNCTION("""COMPUTED_VALUE"""),0)</f>
        <v>0</v>
      </c>
      <c r="K982" s="23">
        <f ca="1">IFERROR(__xludf.DUMMYFUNCTION("""COMPUTED_VALUE"""),0)</f>
        <v>0</v>
      </c>
      <c r="L982" s="23">
        <f ca="1">IFERROR(__xludf.DUMMYFUNCTION("""COMPUTED_VALUE"""),0)</f>
        <v>0</v>
      </c>
      <c r="M982" s="23">
        <f ca="1">IFERROR(__xludf.DUMMYFUNCTION("""COMPUTED_VALUE"""),0)</f>
        <v>0</v>
      </c>
      <c r="N982" s="23">
        <f ca="1">IFERROR(__xludf.DUMMYFUNCTION("""COMPUTED_VALUE"""),0)</f>
        <v>0</v>
      </c>
      <c r="O982" s="23">
        <f ca="1">IFERROR(__xludf.DUMMYFUNCTION("""COMPUTED_VALUE"""),0)</f>
        <v>0</v>
      </c>
      <c r="P982" s="23">
        <f ca="1">IFERROR(__xludf.DUMMYFUNCTION("""COMPUTED_VALUE"""),0)</f>
        <v>0</v>
      </c>
      <c r="Q982" s="24">
        <f ca="1">IFERROR(__xludf.DUMMYFUNCTION("""COMPUTED_VALUE"""),0)</f>
        <v>0</v>
      </c>
      <c r="R982" s="20"/>
    </row>
    <row r="983" spans="1:18" ht="13.2" hidden="1" outlineLevel="1" x14ac:dyDescent="0.25">
      <c r="A983" s="1"/>
      <c r="B983" s="21" t="str">
        <f ca="1">IFERROR(__xludf.DUMMYFUNCTION("""COMPUTED_VALUE"""),"Energía Nuclear")</f>
        <v>Energía Nuclear</v>
      </c>
      <c r="C983" s="22">
        <f ca="1">IFERROR(__xludf.DUMMYFUNCTION("""COMPUTED_VALUE"""),0)</f>
        <v>0</v>
      </c>
      <c r="D983" s="23">
        <f ca="1">IFERROR(__xludf.DUMMYFUNCTION("""COMPUTED_VALUE"""),0)</f>
        <v>0</v>
      </c>
      <c r="E983" s="23">
        <f ca="1">IFERROR(__xludf.DUMMYFUNCTION("""COMPUTED_VALUE"""),0)</f>
        <v>0</v>
      </c>
      <c r="F983" s="23">
        <f ca="1">IFERROR(__xludf.DUMMYFUNCTION("""COMPUTED_VALUE"""),0)</f>
        <v>0</v>
      </c>
      <c r="G983" s="23">
        <f ca="1">IFERROR(__xludf.DUMMYFUNCTION("""COMPUTED_VALUE"""),0)</f>
        <v>0</v>
      </c>
      <c r="H983" s="23">
        <f ca="1">IFERROR(__xludf.DUMMYFUNCTION("""COMPUTED_VALUE"""),0)</f>
        <v>0</v>
      </c>
      <c r="I983" s="23">
        <f ca="1">IFERROR(__xludf.DUMMYFUNCTION("""COMPUTED_VALUE"""),0)</f>
        <v>0</v>
      </c>
      <c r="J983" s="23">
        <f ca="1">IFERROR(__xludf.DUMMYFUNCTION("""COMPUTED_VALUE"""),0)</f>
        <v>0</v>
      </c>
      <c r="K983" s="23">
        <f ca="1">IFERROR(__xludf.DUMMYFUNCTION("""COMPUTED_VALUE"""),0)</f>
        <v>0</v>
      </c>
      <c r="L983" s="23">
        <f ca="1">IFERROR(__xludf.DUMMYFUNCTION("""COMPUTED_VALUE"""),0)</f>
        <v>0</v>
      </c>
      <c r="M983" s="23">
        <f ca="1">IFERROR(__xludf.DUMMYFUNCTION("""COMPUTED_VALUE"""),0)</f>
        <v>0</v>
      </c>
      <c r="N983" s="23">
        <f ca="1">IFERROR(__xludf.DUMMYFUNCTION("""COMPUTED_VALUE"""),0)</f>
        <v>0</v>
      </c>
      <c r="O983" s="23">
        <f ca="1">IFERROR(__xludf.DUMMYFUNCTION("""COMPUTED_VALUE"""),0)</f>
        <v>0</v>
      </c>
      <c r="P983" s="23">
        <f ca="1">IFERROR(__xludf.DUMMYFUNCTION("""COMPUTED_VALUE"""),0)</f>
        <v>0</v>
      </c>
      <c r="Q983" s="24">
        <f ca="1">IFERROR(__xludf.DUMMYFUNCTION("""COMPUTED_VALUE"""),0)</f>
        <v>0</v>
      </c>
      <c r="R983" s="20"/>
    </row>
    <row r="984" spans="1:18" ht="13.2" hidden="1" outlineLevel="1" x14ac:dyDescent="0.25">
      <c r="A984" s="1"/>
      <c r="B984" s="21" t="str">
        <f ca="1">IFERROR(__xludf.DUMMYFUNCTION("""COMPUTED_VALUE"""),"Energia Hidraúlica")</f>
        <v>Energia Hidraúlica</v>
      </c>
      <c r="C984" s="22">
        <f ca="1">IFERROR(__xludf.DUMMYFUNCTION("""COMPUTED_VALUE"""),0)</f>
        <v>0</v>
      </c>
      <c r="D984" s="23">
        <f ca="1">IFERROR(__xludf.DUMMYFUNCTION("""COMPUTED_VALUE"""),0)</f>
        <v>0</v>
      </c>
      <c r="E984" s="23">
        <f ca="1">IFERROR(__xludf.DUMMYFUNCTION("""COMPUTED_VALUE"""),0)</f>
        <v>0</v>
      </c>
      <c r="F984" s="23">
        <f ca="1">IFERROR(__xludf.DUMMYFUNCTION("""COMPUTED_VALUE"""),0)</f>
        <v>0</v>
      </c>
      <c r="G984" s="23">
        <f ca="1">IFERROR(__xludf.DUMMYFUNCTION("""COMPUTED_VALUE"""),0)</f>
        <v>0</v>
      </c>
      <c r="H984" s="23">
        <f ca="1">IFERROR(__xludf.DUMMYFUNCTION("""COMPUTED_VALUE"""),0)</f>
        <v>0</v>
      </c>
      <c r="I984" s="23">
        <f ca="1">IFERROR(__xludf.DUMMYFUNCTION("""COMPUTED_VALUE"""),0)</f>
        <v>0</v>
      </c>
      <c r="J984" s="23">
        <f ca="1">IFERROR(__xludf.DUMMYFUNCTION("""COMPUTED_VALUE"""),0)</f>
        <v>0</v>
      </c>
      <c r="K984" s="23">
        <f ca="1">IFERROR(__xludf.DUMMYFUNCTION("""COMPUTED_VALUE"""),0)</f>
        <v>0</v>
      </c>
      <c r="L984" s="23">
        <f ca="1">IFERROR(__xludf.DUMMYFUNCTION("""COMPUTED_VALUE"""),0)</f>
        <v>0</v>
      </c>
      <c r="M984" s="23">
        <f ca="1">IFERROR(__xludf.DUMMYFUNCTION("""COMPUTED_VALUE"""),0)</f>
        <v>0</v>
      </c>
      <c r="N984" s="23">
        <f ca="1">IFERROR(__xludf.DUMMYFUNCTION("""COMPUTED_VALUE"""),0)</f>
        <v>0</v>
      </c>
      <c r="O984" s="23">
        <f ca="1">IFERROR(__xludf.DUMMYFUNCTION("""COMPUTED_VALUE"""),0)</f>
        <v>0</v>
      </c>
      <c r="P984" s="23">
        <f ca="1">IFERROR(__xludf.DUMMYFUNCTION("""COMPUTED_VALUE"""),0)</f>
        <v>0</v>
      </c>
      <c r="Q984" s="24">
        <f ca="1">IFERROR(__xludf.DUMMYFUNCTION("""COMPUTED_VALUE"""),0)</f>
        <v>0</v>
      </c>
      <c r="R984" s="20"/>
    </row>
    <row r="985" spans="1:18" ht="13.2" hidden="1" outlineLevel="1" x14ac:dyDescent="0.25">
      <c r="A985" s="1"/>
      <c r="B985" s="21" t="str">
        <f ca="1">IFERROR(__xludf.DUMMYFUNCTION("""COMPUTED_VALUE"""),"Geoenergía")</f>
        <v>Geoenergía</v>
      </c>
      <c r="C985" s="22">
        <f ca="1">IFERROR(__xludf.DUMMYFUNCTION("""COMPUTED_VALUE"""),0)</f>
        <v>0</v>
      </c>
      <c r="D985" s="23">
        <f ca="1">IFERROR(__xludf.DUMMYFUNCTION("""COMPUTED_VALUE"""),0)</f>
        <v>0</v>
      </c>
      <c r="E985" s="23">
        <f ca="1">IFERROR(__xludf.DUMMYFUNCTION("""COMPUTED_VALUE"""),0)</f>
        <v>0</v>
      </c>
      <c r="F985" s="23">
        <f ca="1">IFERROR(__xludf.DUMMYFUNCTION("""COMPUTED_VALUE"""),0)</f>
        <v>0</v>
      </c>
      <c r="G985" s="23">
        <f ca="1">IFERROR(__xludf.DUMMYFUNCTION("""COMPUTED_VALUE"""),0)</f>
        <v>0</v>
      </c>
      <c r="H985" s="23">
        <f ca="1">IFERROR(__xludf.DUMMYFUNCTION("""COMPUTED_VALUE"""),0)</f>
        <v>0</v>
      </c>
      <c r="I985" s="23">
        <f ca="1">IFERROR(__xludf.DUMMYFUNCTION("""COMPUTED_VALUE"""),0)</f>
        <v>0</v>
      </c>
      <c r="J985" s="23">
        <f ca="1">IFERROR(__xludf.DUMMYFUNCTION("""COMPUTED_VALUE"""),0)</f>
        <v>0</v>
      </c>
      <c r="K985" s="23">
        <f ca="1">IFERROR(__xludf.DUMMYFUNCTION("""COMPUTED_VALUE"""),0)</f>
        <v>0</v>
      </c>
      <c r="L985" s="23">
        <f ca="1">IFERROR(__xludf.DUMMYFUNCTION("""COMPUTED_VALUE"""),0)</f>
        <v>0</v>
      </c>
      <c r="M985" s="23">
        <f ca="1">IFERROR(__xludf.DUMMYFUNCTION("""COMPUTED_VALUE"""),0)</f>
        <v>0</v>
      </c>
      <c r="N985" s="23">
        <f ca="1">IFERROR(__xludf.DUMMYFUNCTION("""COMPUTED_VALUE"""),0)</f>
        <v>0</v>
      </c>
      <c r="O985" s="23">
        <f ca="1">IFERROR(__xludf.DUMMYFUNCTION("""COMPUTED_VALUE"""),0)</f>
        <v>0</v>
      </c>
      <c r="P985" s="23">
        <f ca="1">IFERROR(__xludf.DUMMYFUNCTION("""COMPUTED_VALUE"""),0)</f>
        <v>0</v>
      </c>
      <c r="Q985" s="24">
        <f ca="1">IFERROR(__xludf.DUMMYFUNCTION("""COMPUTED_VALUE"""),0)</f>
        <v>0</v>
      </c>
      <c r="R985" s="20"/>
    </row>
    <row r="986" spans="1:18" ht="13.2" hidden="1" outlineLevel="1" x14ac:dyDescent="0.25">
      <c r="A986" s="1"/>
      <c r="B986" s="21" t="str">
        <f ca="1">IFERROR(__xludf.DUMMYFUNCTION("""COMPUTED_VALUE"""),"Energía solar")</f>
        <v>Energía solar</v>
      </c>
      <c r="C986" s="22">
        <f ca="1">IFERROR(__xludf.DUMMYFUNCTION("""COMPUTED_VALUE"""),0)</f>
        <v>0</v>
      </c>
      <c r="D986" s="23">
        <f ca="1">IFERROR(__xludf.DUMMYFUNCTION("""COMPUTED_VALUE"""),0)</f>
        <v>0</v>
      </c>
      <c r="E986" s="23">
        <f ca="1">IFERROR(__xludf.DUMMYFUNCTION("""COMPUTED_VALUE"""),0)</f>
        <v>0</v>
      </c>
      <c r="F986" s="23">
        <f ca="1">IFERROR(__xludf.DUMMYFUNCTION("""COMPUTED_VALUE"""),0)</f>
        <v>0</v>
      </c>
      <c r="G986" s="23">
        <f ca="1">IFERROR(__xludf.DUMMYFUNCTION("""COMPUTED_VALUE"""),0)</f>
        <v>0</v>
      </c>
      <c r="H986" s="23">
        <f ca="1">IFERROR(__xludf.DUMMYFUNCTION("""COMPUTED_VALUE"""),0)</f>
        <v>0</v>
      </c>
      <c r="I986" s="23">
        <f ca="1">IFERROR(__xludf.DUMMYFUNCTION("""COMPUTED_VALUE"""),0)</f>
        <v>0</v>
      </c>
      <c r="J986" s="23">
        <f ca="1">IFERROR(__xludf.DUMMYFUNCTION("""COMPUTED_VALUE"""),0)</f>
        <v>0</v>
      </c>
      <c r="K986" s="23">
        <f ca="1">IFERROR(__xludf.DUMMYFUNCTION("""COMPUTED_VALUE"""),0)</f>
        <v>0</v>
      </c>
      <c r="L986" s="23">
        <f ca="1">IFERROR(__xludf.DUMMYFUNCTION("""COMPUTED_VALUE"""),0)</f>
        <v>0</v>
      </c>
      <c r="M986" s="23">
        <f ca="1">IFERROR(__xludf.DUMMYFUNCTION("""COMPUTED_VALUE"""),0)</f>
        <v>0</v>
      </c>
      <c r="N986" s="23">
        <f ca="1">IFERROR(__xludf.DUMMYFUNCTION("""COMPUTED_VALUE"""),0)</f>
        <v>0</v>
      </c>
      <c r="O986" s="23">
        <f ca="1">IFERROR(__xludf.DUMMYFUNCTION("""COMPUTED_VALUE"""),0)</f>
        <v>0</v>
      </c>
      <c r="P986" s="23">
        <f ca="1">IFERROR(__xludf.DUMMYFUNCTION("""COMPUTED_VALUE"""),0)</f>
        <v>0</v>
      </c>
      <c r="Q986" s="24">
        <f ca="1">IFERROR(__xludf.DUMMYFUNCTION("""COMPUTED_VALUE"""),0)</f>
        <v>0</v>
      </c>
      <c r="R986" s="20"/>
    </row>
    <row r="987" spans="1:18" ht="13.2" hidden="1" outlineLevel="1" x14ac:dyDescent="0.25">
      <c r="A987" s="1"/>
      <c r="B987" s="21" t="str">
        <f ca="1">IFERROR(__xludf.DUMMYFUNCTION("""COMPUTED_VALUE"""),"Energía eólica")</f>
        <v>Energía eólica</v>
      </c>
      <c r="C987" s="22">
        <f ca="1">IFERROR(__xludf.DUMMYFUNCTION("""COMPUTED_VALUE"""),0)</f>
        <v>0</v>
      </c>
      <c r="D987" s="23">
        <f ca="1">IFERROR(__xludf.DUMMYFUNCTION("""COMPUTED_VALUE"""),0)</f>
        <v>0</v>
      </c>
      <c r="E987" s="23">
        <f ca="1">IFERROR(__xludf.DUMMYFUNCTION("""COMPUTED_VALUE"""),0)</f>
        <v>0</v>
      </c>
      <c r="F987" s="23">
        <f ca="1">IFERROR(__xludf.DUMMYFUNCTION("""COMPUTED_VALUE"""),0)</f>
        <v>0</v>
      </c>
      <c r="G987" s="23">
        <f ca="1">IFERROR(__xludf.DUMMYFUNCTION("""COMPUTED_VALUE"""),0)</f>
        <v>0</v>
      </c>
      <c r="H987" s="23">
        <f ca="1">IFERROR(__xludf.DUMMYFUNCTION("""COMPUTED_VALUE"""),0)</f>
        <v>0</v>
      </c>
      <c r="I987" s="23">
        <f ca="1">IFERROR(__xludf.DUMMYFUNCTION("""COMPUTED_VALUE"""),0)</f>
        <v>0</v>
      </c>
      <c r="J987" s="23">
        <f ca="1">IFERROR(__xludf.DUMMYFUNCTION("""COMPUTED_VALUE"""),0)</f>
        <v>0</v>
      </c>
      <c r="K987" s="23">
        <f ca="1">IFERROR(__xludf.DUMMYFUNCTION("""COMPUTED_VALUE"""),0)</f>
        <v>0</v>
      </c>
      <c r="L987" s="23">
        <f ca="1">IFERROR(__xludf.DUMMYFUNCTION("""COMPUTED_VALUE"""),0)</f>
        <v>0</v>
      </c>
      <c r="M987" s="23">
        <f ca="1">IFERROR(__xludf.DUMMYFUNCTION("""COMPUTED_VALUE"""),0)</f>
        <v>0</v>
      </c>
      <c r="N987" s="23">
        <f ca="1">IFERROR(__xludf.DUMMYFUNCTION("""COMPUTED_VALUE"""),0)</f>
        <v>0</v>
      </c>
      <c r="O987" s="23">
        <f ca="1">IFERROR(__xludf.DUMMYFUNCTION("""COMPUTED_VALUE"""),0)</f>
        <v>0</v>
      </c>
      <c r="P987" s="23">
        <f ca="1">IFERROR(__xludf.DUMMYFUNCTION("""COMPUTED_VALUE"""),0)</f>
        <v>0</v>
      </c>
      <c r="Q987" s="24">
        <f ca="1">IFERROR(__xludf.DUMMYFUNCTION("""COMPUTED_VALUE"""),0)</f>
        <v>0</v>
      </c>
      <c r="R987" s="20"/>
    </row>
    <row r="988" spans="1:18" ht="13.2" hidden="1" outlineLevel="1" x14ac:dyDescent="0.25">
      <c r="A988" s="1"/>
      <c r="B988" s="21" t="str">
        <f ca="1">IFERROR(__xludf.DUMMYFUNCTION("""COMPUTED_VALUE"""),"Bagazo de caña")</f>
        <v>Bagazo de caña</v>
      </c>
      <c r="C988" s="22">
        <f ca="1">IFERROR(__xludf.DUMMYFUNCTION("""COMPUTED_VALUE"""),0)</f>
        <v>0</v>
      </c>
      <c r="D988" s="23">
        <f ca="1">IFERROR(__xludf.DUMMYFUNCTION("""COMPUTED_VALUE"""),0)</f>
        <v>0</v>
      </c>
      <c r="E988" s="23">
        <f ca="1">IFERROR(__xludf.DUMMYFUNCTION("""COMPUTED_VALUE"""),0)</f>
        <v>0</v>
      </c>
      <c r="F988" s="23">
        <f ca="1">IFERROR(__xludf.DUMMYFUNCTION("""COMPUTED_VALUE"""),0)</f>
        <v>0</v>
      </c>
      <c r="G988" s="23">
        <f ca="1">IFERROR(__xludf.DUMMYFUNCTION("""COMPUTED_VALUE"""),0)</f>
        <v>0</v>
      </c>
      <c r="H988" s="23">
        <f ca="1">IFERROR(__xludf.DUMMYFUNCTION("""COMPUTED_VALUE"""),0)</f>
        <v>0</v>
      </c>
      <c r="I988" s="23">
        <f ca="1">IFERROR(__xludf.DUMMYFUNCTION("""COMPUTED_VALUE"""),0)</f>
        <v>0</v>
      </c>
      <c r="J988" s="23">
        <f ca="1">IFERROR(__xludf.DUMMYFUNCTION("""COMPUTED_VALUE"""),0)</f>
        <v>0</v>
      </c>
      <c r="K988" s="23">
        <f ca="1">IFERROR(__xludf.DUMMYFUNCTION("""COMPUTED_VALUE"""),0)</f>
        <v>0</v>
      </c>
      <c r="L988" s="23">
        <f ca="1">IFERROR(__xludf.DUMMYFUNCTION("""COMPUTED_VALUE"""),0)</f>
        <v>0</v>
      </c>
      <c r="M988" s="23">
        <f ca="1">IFERROR(__xludf.DUMMYFUNCTION("""COMPUTED_VALUE"""),0)</f>
        <v>0</v>
      </c>
      <c r="N988" s="23">
        <f ca="1">IFERROR(__xludf.DUMMYFUNCTION("""COMPUTED_VALUE"""),0)</f>
        <v>0</v>
      </c>
      <c r="O988" s="23">
        <f ca="1">IFERROR(__xludf.DUMMYFUNCTION("""COMPUTED_VALUE"""),0)</f>
        <v>0</v>
      </c>
      <c r="P988" s="23">
        <f ca="1">IFERROR(__xludf.DUMMYFUNCTION("""COMPUTED_VALUE"""),0)</f>
        <v>0</v>
      </c>
      <c r="Q988" s="24">
        <f ca="1">IFERROR(__xludf.DUMMYFUNCTION("""COMPUTED_VALUE"""),0)</f>
        <v>0</v>
      </c>
      <c r="R988" s="20"/>
    </row>
    <row r="989" spans="1:18" ht="13.2" hidden="1" outlineLevel="1" x14ac:dyDescent="0.25">
      <c r="A989" s="1"/>
      <c r="B989" s="21" t="str">
        <f ca="1">IFERROR(__xludf.DUMMYFUNCTION("""COMPUTED_VALUE"""),"Leña")</f>
        <v>Leña</v>
      </c>
      <c r="C989" s="22">
        <f ca="1">IFERROR(__xludf.DUMMYFUNCTION("""COMPUTED_VALUE"""),0)</f>
        <v>0</v>
      </c>
      <c r="D989" s="23">
        <f ca="1">IFERROR(__xludf.DUMMYFUNCTION("""COMPUTED_VALUE"""),0)</f>
        <v>0</v>
      </c>
      <c r="E989" s="23">
        <f ca="1">IFERROR(__xludf.DUMMYFUNCTION("""COMPUTED_VALUE"""),0)</f>
        <v>0</v>
      </c>
      <c r="F989" s="23">
        <f ca="1">IFERROR(__xludf.DUMMYFUNCTION("""COMPUTED_VALUE"""),0)</f>
        <v>0</v>
      </c>
      <c r="G989" s="23">
        <f ca="1">IFERROR(__xludf.DUMMYFUNCTION("""COMPUTED_VALUE"""),0)</f>
        <v>0</v>
      </c>
      <c r="H989" s="23">
        <f ca="1">IFERROR(__xludf.DUMMYFUNCTION("""COMPUTED_VALUE"""),0)</f>
        <v>0</v>
      </c>
      <c r="I989" s="23">
        <f ca="1">IFERROR(__xludf.DUMMYFUNCTION("""COMPUTED_VALUE"""),0)</f>
        <v>0</v>
      </c>
      <c r="J989" s="23">
        <f ca="1">IFERROR(__xludf.DUMMYFUNCTION("""COMPUTED_VALUE"""),0)</f>
        <v>0</v>
      </c>
      <c r="K989" s="23">
        <f ca="1">IFERROR(__xludf.DUMMYFUNCTION("""COMPUTED_VALUE"""),0)</f>
        <v>0</v>
      </c>
      <c r="L989" s="23">
        <f ca="1">IFERROR(__xludf.DUMMYFUNCTION("""COMPUTED_VALUE"""),0)</f>
        <v>0</v>
      </c>
      <c r="M989" s="23">
        <f ca="1">IFERROR(__xludf.DUMMYFUNCTION("""COMPUTED_VALUE"""),0)</f>
        <v>0</v>
      </c>
      <c r="N989" s="23">
        <f ca="1">IFERROR(__xludf.DUMMYFUNCTION("""COMPUTED_VALUE"""),0)</f>
        <v>0</v>
      </c>
      <c r="O989" s="23">
        <f ca="1">IFERROR(__xludf.DUMMYFUNCTION("""COMPUTED_VALUE"""),0)</f>
        <v>0</v>
      </c>
      <c r="P989" s="23">
        <f ca="1">IFERROR(__xludf.DUMMYFUNCTION("""COMPUTED_VALUE"""),0)</f>
        <v>0</v>
      </c>
      <c r="Q989" s="24">
        <f ca="1">IFERROR(__xludf.DUMMYFUNCTION("""COMPUTED_VALUE"""),0)</f>
        <v>0</v>
      </c>
      <c r="R989" s="20"/>
    </row>
    <row r="990" spans="1:18" ht="13.2" hidden="1" outlineLevel="1" x14ac:dyDescent="0.25">
      <c r="A990" s="1"/>
      <c r="B990" s="21" t="str">
        <f ca="1">IFERROR(__xludf.DUMMYFUNCTION("""COMPUTED_VALUE"""),"Biogás")</f>
        <v>Biogás</v>
      </c>
      <c r="C990" s="22">
        <f ca="1">IFERROR(__xludf.DUMMYFUNCTION("""COMPUTED_VALUE"""),0)</f>
        <v>0</v>
      </c>
      <c r="D990" s="23">
        <f ca="1">IFERROR(__xludf.DUMMYFUNCTION("""COMPUTED_VALUE"""),0)</f>
        <v>0</v>
      </c>
      <c r="E990" s="23">
        <f ca="1">IFERROR(__xludf.DUMMYFUNCTION("""COMPUTED_VALUE"""),0)</f>
        <v>0</v>
      </c>
      <c r="F990" s="23">
        <f ca="1">IFERROR(__xludf.DUMMYFUNCTION("""COMPUTED_VALUE"""),0)</f>
        <v>0</v>
      </c>
      <c r="G990" s="23">
        <f ca="1">IFERROR(__xludf.DUMMYFUNCTION("""COMPUTED_VALUE"""),0)</f>
        <v>0</v>
      </c>
      <c r="H990" s="23">
        <f ca="1">IFERROR(__xludf.DUMMYFUNCTION("""COMPUTED_VALUE"""),0)</f>
        <v>0</v>
      </c>
      <c r="I990" s="23">
        <f ca="1">IFERROR(__xludf.DUMMYFUNCTION("""COMPUTED_VALUE"""),0)</f>
        <v>0</v>
      </c>
      <c r="J990" s="23">
        <f ca="1">IFERROR(__xludf.DUMMYFUNCTION("""COMPUTED_VALUE"""),0)</f>
        <v>0</v>
      </c>
      <c r="K990" s="23">
        <f ca="1">IFERROR(__xludf.DUMMYFUNCTION("""COMPUTED_VALUE"""),0)</f>
        <v>0</v>
      </c>
      <c r="L990" s="23">
        <f ca="1">IFERROR(__xludf.DUMMYFUNCTION("""COMPUTED_VALUE"""),0)</f>
        <v>0</v>
      </c>
      <c r="M990" s="23">
        <f ca="1">IFERROR(__xludf.DUMMYFUNCTION("""COMPUTED_VALUE"""),0)</f>
        <v>0</v>
      </c>
      <c r="N990" s="23">
        <f ca="1">IFERROR(__xludf.DUMMYFUNCTION("""COMPUTED_VALUE"""),0)</f>
        <v>0</v>
      </c>
      <c r="O990" s="23">
        <f ca="1">IFERROR(__xludf.DUMMYFUNCTION("""COMPUTED_VALUE"""),0)</f>
        <v>0</v>
      </c>
      <c r="P990" s="23">
        <f ca="1">IFERROR(__xludf.DUMMYFUNCTION("""COMPUTED_VALUE"""),0)</f>
        <v>0</v>
      </c>
      <c r="Q990" s="24">
        <f ca="1">IFERROR(__xludf.DUMMYFUNCTION("""COMPUTED_VALUE"""),0)</f>
        <v>0</v>
      </c>
      <c r="R990" s="20"/>
    </row>
    <row r="991" spans="1:18" ht="13.2" hidden="1" outlineLevel="1" x14ac:dyDescent="0.25">
      <c r="A991" s="1"/>
      <c r="B991" s="21" t="str">
        <f ca="1">IFERROR(__xludf.DUMMYFUNCTION("""COMPUTED_VALUE"""),"Coque de carbón")</f>
        <v>Coque de carbón</v>
      </c>
      <c r="C991" s="22">
        <f ca="1">IFERROR(__xludf.DUMMYFUNCTION("""COMPUTED_VALUE"""),0)</f>
        <v>0</v>
      </c>
      <c r="D991" s="23">
        <f ca="1">IFERROR(__xludf.DUMMYFUNCTION("""COMPUTED_VALUE"""),0)</f>
        <v>0</v>
      </c>
      <c r="E991" s="23">
        <f ca="1">IFERROR(__xludf.DUMMYFUNCTION("""COMPUTED_VALUE"""),0)</f>
        <v>0</v>
      </c>
      <c r="F991" s="23">
        <f ca="1">IFERROR(__xludf.DUMMYFUNCTION("""COMPUTED_VALUE"""),0)</f>
        <v>0</v>
      </c>
      <c r="G991" s="23">
        <f ca="1">IFERROR(__xludf.DUMMYFUNCTION("""COMPUTED_VALUE"""),0)</f>
        <v>0</v>
      </c>
      <c r="H991" s="23">
        <f ca="1">IFERROR(__xludf.DUMMYFUNCTION("""COMPUTED_VALUE"""),0)</f>
        <v>0</v>
      </c>
      <c r="I991" s="23">
        <f ca="1">IFERROR(__xludf.DUMMYFUNCTION("""COMPUTED_VALUE"""),0)</f>
        <v>0</v>
      </c>
      <c r="J991" s="23">
        <f ca="1">IFERROR(__xludf.DUMMYFUNCTION("""COMPUTED_VALUE"""),0)</f>
        <v>0</v>
      </c>
      <c r="K991" s="23">
        <f ca="1">IFERROR(__xludf.DUMMYFUNCTION("""COMPUTED_VALUE"""),0)</f>
        <v>0</v>
      </c>
      <c r="L991" s="23">
        <f ca="1">IFERROR(__xludf.DUMMYFUNCTION("""COMPUTED_VALUE"""),0)</f>
        <v>0</v>
      </c>
      <c r="M991" s="23">
        <f ca="1">IFERROR(__xludf.DUMMYFUNCTION("""COMPUTED_VALUE"""),0)</f>
        <v>0</v>
      </c>
      <c r="N991" s="23">
        <f ca="1">IFERROR(__xludf.DUMMYFUNCTION("""COMPUTED_VALUE"""),0)</f>
        <v>0</v>
      </c>
      <c r="O991" s="23">
        <f ca="1">IFERROR(__xludf.DUMMYFUNCTION("""COMPUTED_VALUE"""),0)</f>
        <v>0</v>
      </c>
      <c r="P991" s="23">
        <f ca="1">IFERROR(__xludf.DUMMYFUNCTION("""COMPUTED_VALUE"""),0)</f>
        <v>0</v>
      </c>
      <c r="Q991" s="24">
        <f ca="1">IFERROR(__xludf.DUMMYFUNCTION("""COMPUTED_VALUE"""),0)</f>
        <v>0</v>
      </c>
      <c r="R991" s="20"/>
    </row>
    <row r="992" spans="1:18" ht="13.2" hidden="1" outlineLevel="1" x14ac:dyDescent="0.25">
      <c r="A992" s="1"/>
      <c r="B992" s="21" t="str">
        <f ca="1">IFERROR(__xludf.DUMMYFUNCTION("""COMPUTED_VALUE"""),"Coque de petróleo")</f>
        <v>Coque de petróleo</v>
      </c>
      <c r="C992" s="22">
        <f ca="1">IFERROR(__xludf.DUMMYFUNCTION("""COMPUTED_VALUE"""),0)</f>
        <v>0</v>
      </c>
      <c r="D992" s="23">
        <f ca="1">IFERROR(__xludf.DUMMYFUNCTION("""COMPUTED_VALUE"""),0)</f>
        <v>0</v>
      </c>
      <c r="E992" s="23">
        <f ca="1">IFERROR(__xludf.DUMMYFUNCTION("""COMPUTED_VALUE"""),0)</f>
        <v>0</v>
      </c>
      <c r="F992" s="23">
        <f ca="1">IFERROR(__xludf.DUMMYFUNCTION("""COMPUTED_VALUE"""),0)</f>
        <v>0</v>
      </c>
      <c r="G992" s="23">
        <f ca="1">IFERROR(__xludf.DUMMYFUNCTION("""COMPUTED_VALUE"""),0)</f>
        <v>0</v>
      </c>
      <c r="H992" s="23">
        <f ca="1">IFERROR(__xludf.DUMMYFUNCTION("""COMPUTED_VALUE"""),0)</f>
        <v>0</v>
      </c>
      <c r="I992" s="23">
        <f ca="1">IFERROR(__xludf.DUMMYFUNCTION("""COMPUTED_VALUE"""),0)</f>
        <v>0</v>
      </c>
      <c r="J992" s="23">
        <f ca="1">IFERROR(__xludf.DUMMYFUNCTION("""COMPUTED_VALUE"""),0)</f>
        <v>0</v>
      </c>
      <c r="K992" s="23">
        <f ca="1">IFERROR(__xludf.DUMMYFUNCTION("""COMPUTED_VALUE"""),0)</f>
        <v>0</v>
      </c>
      <c r="L992" s="23">
        <f ca="1">IFERROR(__xludf.DUMMYFUNCTION("""COMPUTED_VALUE"""),0)</f>
        <v>0</v>
      </c>
      <c r="M992" s="23">
        <f ca="1">IFERROR(__xludf.DUMMYFUNCTION("""COMPUTED_VALUE"""),0)</f>
        <v>0</v>
      </c>
      <c r="N992" s="23">
        <f ca="1">IFERROR(__xludf.DUMMYFUNCTION("""COMPUTED_VALUE"""),0)</f>
        <v>0</v>
      </c>
      <c r="O992" s="23">
        <f ca="1">IFERROR(__xludf.DUMMYFUNCTION("""COMPUTED_VALUE"""),0)</f>
        <v>0</v>
      </c>
      <c r="P992" s="23">
        <f ca="1">IFERROR(__xludf.DUMMYFUNCTION("""COMPUTED_VALUE"""),0)</f>
        <v>0</v>
      </c>
      <c r="Q992" s="24">
        <f ca="1">IFERROR(__xludf.DUMMYFUNCTION("""COMPUTED_VALUE"""),0)</f>
        <v>0</v>
      </c>
      <c r="R992" s="20"/>
    </row>
    <row r="993" spans="1:18" ht="13.2" hidden="1" outlineLevel="1" x14ac:dyDescent="0.25">
      <c r="A993" s="1"/>
      <c r="B993" s="21" t="str">
        <f ca="1">IFERROR(__xludf.DUMMYFUNCTION("""COMPUTED_VALUE"""),"Gas licuado de petróleo")</f>
        <v>Gas licuado de petróleo</v>
      </c>
      <c r="C993" s="22">
        <f ca="1">IFERROR(__xludf.DUMMYFUNCTION("""COMPUTED_VALUE"""),0)</f>
        <v>0</v>
      </c>
      <c r="D993" s="23">
        <f ca="1">IFERROR(__xludf.DUMMYFUNCTION("""COMPUTED_VALUE"""),0)</f>
        <v>0</v>
      </c>
      <c r="E993" s="23">
        <f ca="1">IFERROR(__xludf.DUMMYFUNCTION("""COMPUTED_VALUE"""),0)</f>
        <v>0</v>
      </c>
      <c r="F993" s="23">
        <f ca="1">IFERROR(__xludf.DUMMYFUNCTION("""COMPUTED_VALUE"""),0)</f>
        <v>0</v>
      </c>
      <c r="G993" s="23">
        <f ca="1">IFERROR(__xludf.DUMMYFUNCTION("""COMPUTED_VALUE"""),0)</f>
        <v>0</v>
      </c>
      <c r="H993" s="23">
        <f ca="1">IFERROR(__xludf.DUMMYFUNCTION("""COMPUTED_VALUE"""),0)</f>
        <v>0</v>
      </c>
      <c r="I993" s="23">
        <f ca="1">IFERROR(__xludf.DUMMYFUNCTION("""COMPUTED_VALUE"""),0)</f>
        <v>0</v>
      </c>
      <c r="J993" s="23">
        <f ca="1">IFERROR(__xludf.DUMMYFUNCTION("""COMPUTED_VALUE"""),0)</f>
        <v>0</v>
      </c>
      <c r="K993" s="23">
        <f ca="1">IFERROR(__xludf.DUMMYFUNCTION("""COMPUTED_VALUE"""),0)</f>
        <v>0</v>
      </c>
      <c r="L993" s="23">
        <f ca="1">IFERROR(__xludf.DUMMYFUNCTION("""COMPUTED_VALUE"""),0)</f>
        <v>0</v>
      </c>
      <c r="M993" s="23">
        <f ca="1">IFERROR(__xludf.DUMMYFUNCTION("""COMPUTED_VALUE"""),0)</f>
        <v>0</v>
      </c>
      <c r="N993" s="23">
        <f ca="1">IFERROR(__xludf.DUMMYFUNCTION("""COMPUTED_VALUE"""),0)</f>
        <v>0</v>
      </c>
      <c r="O993" s="23">
        <f ca="1">IFERROR(__xludf.DUMMYFUNCTION("""COMPUTED_VALUE"""),0)</f>
        <v>0</v>
      </c>
      <c r="P993" s="23">
        <f ca="1">IFERROR(__xludf.DUMMYFUNCTION("""COMPUTED_VALUE"""),0)</f>
        <v>0</v>
      </c>
      <c r="Q993" s="24">
        <f ca="1">IFERROR(__xludf.DUMMYFUNCTION("""COMPUTED_VALUE"""),0)</f>
        <v>0</v>
      </c>
      <c r="R993" s="20"/>
    </row>
    <row r="994" spans="1:18" ht="13.2" hidden="1" outlineLevel="1" x14ac:dyDescent="0.25">
      <c r="A994" s="1"/>
      <c r="B994" s="21" t="str">
        <f ca="1">IFERROR(__xludf.DUMMYFUNCTION("""COMPUTED_VALUE"""),"Gasolinas y naftas")</f>
        <v>Gasolinas y naftas</v>
      </c>
      <c r="C994" s="22">
        <f ca="1">IFERROR(__xludf.DUMMYFUNCTION("""COMPUTED_VALUE"""),0)</f>
        <v>0</v>
      </c>
      <c r="D994" s="23">
        <f ca="1">IFERROR(__xludf.DUMMYFUNCTION("""COMPUTED_VALUE"""),0)</f>
        <v>0</v>
      </c>
      <c r="E994" s="23">
        <f ca="1">IFERROR(__xludf.DUMMYFUNCTION("""COMPUTED_VALUE"""),0)</f>
        <v>0</v>
      </c>
      <c r="F994" s="23">
        <f ca="1">IFERROR(__xludf.DUMMYFUNCTION("""COMPUTED_VALUE"""),0)</f>
        <v>0</v>
      </c>
      <c r="G994" s="23">
        <f ca="1">IFERROR(__xludf.DUMMYFUNCTION("""COMPUTED_VALUE"""),0)</f>
        <v>0</v>
      </c>
      <c r="H994" s="23">
        <f ca="1">IFERROR(__xludf.DUMMYFUNCTION("""COMPUTED_VALUE"""),0)</f>
        <v>0</v>
      </c>
      <c r="I994" s="23">
        <f ca="1">IFERROR(__xludf.DUMMYFUNCTION("""COMPUTED_VALUE"""),0)</f>
        <v>0</v>
      </c>
      <c r="J994" s="23">
        <f ca="1">IFERROR(__xludf.DUMMYFUNCTION("""COMPUTED_VALUE"""),0)</f>
        <v>0</v>
      </c>
      <c r="K994" s="23">
        <f ca="1">IFERROR(__xludf.DUMMYFUNCTION("""COMPUTED_VALUE"""),0)</f>
        <v>0</v>
      </c>
      <c r="L994" s="23">
        <f ca="1">IFERROR(__xludf.DUMMYFUNCTION("""COMPUTED_VALUE"""),0)</f>
        <v>0</v>
      </c>
      <c r="M994" s="23">
        <f ca="1">IFERROR(__xludf.DUMMYFUNCTION("""COMPUTED_VALUE"""),0)</f>
        <v>0</v>
      </c>
      <c r="N994" s="23">
        <f ca="1">IFERROR(__xludf.DUMMYFUNCTION("""COMPUTED_VALUE"""),0)</f>
        <v>0</v>
      </c>
      <c r="O994" s="23">
        <f ca="1">IFERROR(__xludf.DUMMYFUNCTION("""COMPUTED_VALUE"""),0)</f>
        <v>0</v>
      </c>
      <c r="P994" s="23">
        <f ca="1">IFERROR(__xludf.DUMMYFUNCTION("""COMPUTED_VALUE"""),0)</f>
        <v>0</v>
      </c>
      <c r="Q994" s="24">
        <f ca="1">IFERROR(__xludf.DUMMYFUNCTION("""COMPUTED_VALUE"""),0)</f>
        <v>0</v>
      </c>
      <c r="R994" s="20"/>
    </row>
    <row r="995" spans="1:18" ht="13.2" hidden="1" outlineLevel="1" x14ac:dyDescent="0.25">
      <c r="A995" s="1"/>
      <c r="B995" s="21" t="str">
        <f ca="1">IFERROR(__xludf.DUMMYFUNCTION("""COMPUTED_VALUE"""),"Querosenos")</f>
        <v>Querosenos</v>
      </c>
      <c r="C995" s="22">
        <f ca="1">IFERROR(__xludf.DUMMYFUNCTION("""COMPUTED_VALUE"""),0)</f>
        <v>0</v>
      </c>
      <c r="D995" s="23">
        <f ca="1">IFERROR(__xludf.DUMMYFUNCTION("""COMPUTED_VALUE"""),0)</f>
        <v>0</v>
      </c>
      <c r="E995" s="23">
        <f ca="1">IFERROR(__xludf.DUMMYFUNCTION("""COMPUTED_VALUE"""),0)</f>
        <v>0</v>
      </c>
      <c r="F995" s="23">
        <f ca="1">IFERROR(__xludf.DUMMYFUNCTION("""COMPUTED_VALUE"""),0)</f>
        <v>0</v>
      </c>
      <c r="G995" s="23">
        <f ca="1">IFERROR(__xludf.DUMMYFUNCTION("""COMPUTED_VALUE"""),0)</f>
        <v>0</v>
      </c>
      <c r="H995" s="23">
        <f ca="1">IFERROR(__xludf.DUMMYFUNCTION("""COMPUTED_VALUE"""),0)</f>
        <v>0</v>
      </c>
      <c r="I995" s="23">
        <f ca="1">IFERROR(__xludf.DUMMYFUNCTION("""COMPUTED_VALUE"""),0)</f>
        <v>0</v>
      </c>
      <c r="J995" s="23">
        <f ca="1">IFERROR(__xludf.DUMMYFUNCTION("""COMPUTED_VALUE"""),0)</f>
        <v>0</v>
      </c>
      <c r="K995" s="23">
        <f ca="1">IFERROR(__xludf.DUMMYFUNCTION("""COMPUTED_VALUE"""),0)</f>
        <v>0</v>
      </c>
      <c r="L995" s="23">
        <f ca="1">IFERROR(__xludf.DUMMYFUNCTION("""COMPUTED_VALUE"""),0)</f>
        <v>0</v>
      </c>
      <c r="M995" s="23">
        <f ca="1">IFERROR(__xludf.DUMMYFUNCTION("""COMPUTED_VALUE"""),0)</f>
        <v>0</v>
      </c>
      <c r="N995" s="23">
        <f ca="1">IFERROR(__xludf.DUMMYFUNCTION("""COMPUTED_VALUE"""),0)</f>
        <v>0</v>
      </c>
      <c r="O995" s="23">
        <f ca="1">IFERROR(__xludf.DUMMYFUNCTION("""COMPUTED_VALUE"""),0)</f>
        <v>0</v>
      </c>
      <c r="P995" s="23">
        <f ca="1">IFERROR(__xludf.DUMMYFUNCTION("""COMPUTED_VALUE"""),0)</f>
        <v>0</v>
      </c>
      <c r="Q995" s="24">
        <f ca="1">IFERROR(__xludf.DUMMYFUNCTION("""COMPUTED_VALUE"""),0)</f>
        <v>0</v>
      </c>
      <c r="R995" s="20"/>
    </row>
    <row r="996" spans="1:18" ht="13.2" hidden="1" outlineLevel="1" x14ac:dyDescent="0.25">
      <c r="A996" s="1"/>
      <c r="B996" s="21" t="str">
        <f ca="1">IFERROR(__xludf.DUMMYFUNCTION("""COMPUTED_VALUE"""),"Diesel")</f>
        <v>Diesel</v>
      </c>
      <c r="C996" s="22">
        <f ca="1">IFERROR(__xludf.DUMMYFUNCTION("""COMPUTED_VALUE"""),0)</f>
        <v>0</v>
      </c>
      <c r="D996" s="23">
        <f ca="1">IFERROR(__xludf.DUMMYFUNCTION("""COMPUTED_VALUE"""),0)</f>
        <v>0</v>
      </c>
      <c r="E996" s="23">
        <f ca="1">IFERROR(__xludf.DUMMYFUNCTION("""COMPUTED_VALUE"""),0)</f>
        <v>0</v>
      </c>
      <c r="F996" s="23">
        <f ca="1">IFERROR(__xludf.DUMMYFUNCTION("""COMPUTED_VALUE"""),0)</f>
        <v>0</v>
      </c>
      <c r="G996" s="23">
        <f ca="1">IFERROR(__xludf.DUMMYFUNCTION("""COMPUTED_VALUE"""),0)</f>
        <v>0</v>
      </c>
      <c r="H996" s="23">
        <f ca="1">IFERROR(__xludf.DUMMYFUNCTION("""COMPUTED_VALUE"""),0)</f>
        <v>0</v>
      </c>
      <c r="I996" s="23">
        <f ca="1">IFERROR(__xludf.DUMMYFUNCTION("""COMPUTED_VALUE"""),0)</f>
        <v>0</v>
      </c>
      <c r="J996" s="23">
        <f ca="1">IFERROR(__xludf.DUMMYFUNCTION("""COMPUTED_VALUE"""),0)</f>
        <v>0</v>
      </c>
      <c r="K996" s="23">
        <f ca="1">IFERROR(__xludf.DUMMYFUNCTION("""COMPUTED_VALUE"""),0)</f>
        <v>0</v>
      </c>
      <c r="L996" s="23">
        <f ca="1">IFERROR(__xludf.DUMMYFUNCTION("""COMPUTED_VALUE"""),0)</f>
        <v>0</v>
      </c>
      <c r="M996" s="23">
        <f ca="1">IFERROR(__xludf.DUMMYFUNCTION("""COMPUTED_VALUE"""),0)</f>
        <v>0</v>
      </c>
      <c r="N996" s="23">
        <f ca="1">IFERROR(__xludf.DUMMYFUNCTION("""COMPUTED_VALUE"""),0)</f>
        <v>0</v>
      </c>
      <c r="O996" s="23">
        <f ca="1">IFERROR(__xludf.DUMMYFUNCTION("""COMPUTED_VALUE"""),0)</f>
        <v>0</v>
      </c>
      <c r="P996" s="23">
        <f ca="1">IFERROR(__xludf.DUMMYFUNCTION("""COMPUTED_VALUE"""),0)</f>
        <v>0</v>
      </c>
      <c r="Q996" s="24">
        <f ca="1">IFERROR(__xludf.DUMMYFUNCTION("""COMPUTED_VALUE"""),0)</f>
        <v>0</v>
      </c>
      <c r="R996" s="20"/>
    </row>
    <row r="997" spans="1:18" ht="13.2" hidden="1" outlineLevel="1" x14ac:dyDescent="0.25">
      <c r="A997" s="1"/>
      <c r="B997" s="21" t="str">
        <f ca="1">IFERROR(__xludf.DUMMYFUNCTION("""COMPUTED_VALUE"""),"Combustóleo")</f>
        <v>Combustóleo</v>
      </c>
      <c r="C997" s="22">
        <f ca="1">IFERROR(__xludf.DUMMYFUNCTION("""COMPUTED_VALUE"""),0)</f>
        <v>0</v>
      </c>
      <c r="D997" s="23">
        <f ca="1">IFERROR(__xludf.DUMMYFUNCTION("""COMPUTED_VALUE"""),0)</f>
        <v>0</v>
      </c>
      <c r="E997" s="23">
        <f ca="1">IFERROR(__xludf.DUMMYFUNCTION("""COMPUTED_VALUE"""),0)</f>
        <v>0</v>
      </c>
      <c r="F997" s="23">
        <f ca="1">IFERROR(__xludf.DUMMYFUNCTION("""COMPUTED_VALUE"""),0)</f>
        <v>0</v>
      </c>
      <c r="G997" s="23">
        <f ca="1">IFERROR(__xludf.DUMMYFUNCTION("""COMPUTED_VALUE"""),0)</f>
        <v>0</v>
      </c>
      <c r="H997" s="23">
        <f ca="1">IFERROR(__xludf.DUMMYFUNCTION("""COMPUTED_VALUE"""),0)</f>
        <v>0</v>
      </c>
      <c r="I997" s="23">
        <f ca="1">IFERROR(__xludf.DUMMYFUNCTION("""COMPUTED_VALUE"""),0)</f>
        <v>0</v>
      </c>
      <c r="J997" s="23">
        <f ca="1">IFERROR(__xludf.DUMMYFUNCTION("""COMPUTED_VALUE"""),0)</f>
        <v>0</v>
      </c>
      <c r="K997" s="23">
        <f ca="1">IFERROR(__xludf.DUMMYFUNCTION("""COMPUTED_VALUE"""),0)</f>
        <v>0</v>
      </c>
      <c r="L997" s="23">
        <f ca="1">IFERROR(__xludf.DUMMYFUNCTION("""COMPUTED_VALUE"""),0)</f>
        <v>0</v>
      </c>
      <c r="M997" s="23">
        <f ca="1">IFERROR(__xludf.DUMMYFUNCTION("""COMPUTED_VALUE"""),0)</f>
        <v>0</v>
      </c>
      <c r="N997" s="23">
        <f ca="1">IFERROR(__xludf.DUMMYFUNCTION("""COMPUTED_VALUE"""),0)</f>
        <v>0</v>
      </c>
      <c r="O997" s="23">
        <f ca="1">IFERROR(__xludf.DUMMYFUNCTION("""COMPUTED_VALUE"""),0)</f>
        <v>0</v>
      </c>
      <c r="P997" s="23">
        <f ca="1">IFERROR(__xludf.DUMMYFUNCTION("""COMPUTED_VALUE"""),0)</f>
        <v>0</v>
      </c>
      <c r="Q997" s="24">
        <f ca="1">IFERROR(__xludf.DUMMYFUNCTION("""COMPUTED_VALUE"""),0)</f>
        <v>0</v>
      </c>
      <c r="R997" s="20"/>
    </row>
    <row r="998" spans="1:18" ht="13.2" hidden="1" outlineLevel="1" x14ac:dyDescent="0.25">
      <c r="A998" s="1"/>
      <c r="B998" s="21" t="str">
        <f ca="1">IFERROR(__xludf.DUMMYFUNCTION("""COMPUTED_VALUE"""),"Otros energéticos")</f>
        <v>Otros energéticos</v>
      </c>
      <c r="C998" s="22">
        <f ca="1">IFERROR(__xludf.DUMMYFUNCTION("""COMPUTED_VALUE"""),0)</f>
        <v>0</v>
      </c>
      <c r="D998" s="23">
        <f ca="1">IFERROR(__xludf.DUMMYFUNCTION("""COMPUTED_VALUE"""),0)</f>
        <v>0</v>
      </c>
      <c r="E998" s="23">
        <f ca="1">IFERROR(__xludf.DUMMYFUNCTION("""COMPUTED_VALUE"""),0)</f>
        <v>0</v>
      </c>
      <c r="F998" s="23">
        <f ca="1">IFERROR(__xludf.DUMMYFUNCTION("""COMPUTED_VALUE"""),0)</f>
        <v>0</v>
      </c>
      <c r="G998" s="23">
        <f ca="1">IFERROR(__xludf.DUMMYFUNCTION("""COMPUTED_VALUE"""),0)</f>
        <v>0</v>
      </c>
      <c r="H998" s="23">
        <f ca="1">IFERROR(__xludf.DUMMYFUNCTION("""COMPUTED_VALUE"""),0)</f>
        <v>0</v>
      </c>
      <c r="I998" s="23">
        <f ca="1">IFERROR(__xludf.DUMMYFUNCTION("""COMPUTED_VALUE"""),0)</f>
        <v>0</v>
      </c>
      <c r="J998" s="23">
        <f ca="1">IFERROR(__xludf.DUMMYFUNCTION("""COMPUTED_VALUE"""),0)</f>
        <v>0</v>
      </c>
      <c r="K998" s="23">
        <f ca="1">IFERROR(__xludf.DUMMYFUNCTION("""COMPUTED_VALUE"""),0)</f>
        <v>0</v>
      </c>
      <c r="L998" s="23">
        <f ca="1">IFERROR(__xludf.DUMMYFUNCTION("""COMPUTED_VALUE"""),0)</f>
        <v>0</v>
      </c>
      <c r="M998" s="23">
        <f ca="1">IFERROR(__xludf.DUMMYFUNCTION("""COMPUTED_VALUE"""),0)</f>
        <v>0</v>
      </c>
      <c r="N998" s="23">
        <f ca="1">IFERROR(__xludf.DUMMYFUNCTION("""COMPUTED_VALUE"""),0)</f>
        <v>0</v>
      </c>
      <c r="O998" s="23">
        <f ca="1">IFERROR(__xludf.DUMMYFUNCTION("""COMPUTED_VALUE"""),0)</f>
        <v>0</v>
      </c>
      <c r="P998" s="23">
        <f ca="1">IFERROR(__xludf.DUMMYFUNCTION("""COMPUTED_VALUE"""),0)</f>
        <v>0</v>
      </c>
      <c r="Q998" s="24">
        <f ca="1">IFERROR(__xludf.DUMMYFUNCTION("""COMPUTED_VALUE"""),0)</f>
        <v>0</v>
      </c>
      <c r="R998" s="20"/>
    </row>
    <row r="999" spans="1:18" ht="13.2" hidden="1" outlineLevel="1" x14ac:dyDescent="0.25">
      <c r="A999" s="1"/>
      <c r="B999" s="21" t="str">
        <f ca="1">IFERROR(__xludf.DUMMYFUNCTION("""COMPUTED_VALUE"""),"Gas natural seco")</f>
        <v>Gas natural seco</v>
      </c>
      <c r="C999" s="22">
        <f ca="1">IFERROR(__xludf.DUMMYFUNCTION("""COMPUTED_VALUE"""),0)</f>
        <v>0</v>
      </c>
      <c r="D999" s="23">
        <f ca="1">IFERROR(__xludf.DUMMYFUNCTION("""COMPUTED_VALUE"""),0)</f>
        <v>0</v>
      </c>
      <c r="E999" s="23">
        <f ca="1">IFERROR(__xludf.DUMMYFUNCTION("""COMPUTED_VALUE"""),0)</f>
        <v>0</v>
      </c>
      <c r="F999" s="23">
        <f ca="1">IFERROR(__xludf.DUMMYFUNCTION("""COMPUTED_VALUE"""),0)</f>
        <v>0</v>
      </c>
      <c r="G999" s="23">
        <f ca="1">IFERROR(__xludf.DUMMYFUNCTION("""COMPUTED_VALUE"""),0)</f>
        <v>0</v>
      </c>
      <c r="H999" s="23">
        <f ca="1">IFERROR(__xludf.DUMMYFUNCTION("""COMPUTED_VALUE"""),0)</f>
        <v>0</v>
      </c>
      <c r="I999" s="23">
        <f ca="1">IFERROR(__xludf.DUMMYFUNCTION("""COMPUTED_VALUE"""),0)</f>
        <v>0</v>
      </c>
      <c r="J999" s="23">
        <f ca="1">IFERROR(__xludf.DUMMYFUNCTION("""COMPUTED_VALUE"""),0)</f>
        <v>0</v>
      </c>
      <c r="K999" s="23">
        <f ca="1">IFERROR(__xludf.DUMMYFUNCTION("""COMPUTED_VALUE"""),0)</f>
        <v>0</v>
      </c>
      <c r="L999" s="23">
        <f ca="1">IFERROR(__xludf.DUMMYFUNCTION("""COMPUTED_VALUE"""),0)</f>
        <v>0</v>
      </c>
      <c r="M999" s="23">
        <f ca="1">IFERROR(__xludf.DUMMYFUNCTION("""COMPUTED_VALUE"""),0)</f>
        <v>0</v>
      </c>
      <c r="N999" s="23">
        <f ca="1">IFERROR(__xludf.DUMMYFUNCTION("""COMPUTED_VALUE"""),0)</f>
        <v>0</v>
      </c>
      <c r="O999" s="23">
        <f ca="1">IFERROR(__xludf.DUMMYFUNCTION("""COMPUTED_VALUE"""),0)</f>
        <v>0</v>
      </c>
      <c r="P999" s="23">
        <f ca="1">IFERROR(__xludf.DUMMYFUNCTION("""COMPUTED_VALUE"""),0)</f>
        <v>0</v>
      </c>
      <c r="Q999" s="24">
        <f ca="1">IFERROR(__xludf.DUMMYFUNCTION("""COMPUTED_VALUE"""),0)</f>
        <v>0</v>
      </c>
      <c r="R999" s="20"/>
    </row>
    <row r="1000" spans="1:18" ht="13.2" hidden="1" outlineLevel="1" x14ac:dyDescent="0.25">
      <c r="A1000" s="1"/>
      <c r="B1000" s="25" t="str">
        <f ca="1">IFERROR(__xludf.DUMMYFUNCTION("""COMPUTED_VALUE"""),"Energía eléctrica")</f>
        <v>Energía eléctrica</v>
      </c>
      <c r="C1000" s="26">
        <f ca="1">IFERROR(__xludf.DUMMYFUNCTION("""COMPUTED_VALUE"""),23.4734983585827)</f>
        <v>23.473498358582699</v>
      </c>
      <c r="D1000" s="27">
        <f ca="1">IFERROR(__xludf.DUMMYFUNCTION("""COMPUTED_VALUE"""),23.5940570532868)</f>
        <v>23.5940570532868</v>
      </c>
      <c r="E1000" s="27">
        <f ca="1">IFERROR(__xludf.DUMMYFUNCTION("""COMPUTED_VALUE"""),24.8099414278229)</f>
        <v>24.809941427822899</v>
      </c>
      <c r="F1000" s="27">
        <f ca="1">IFERROR(__xludf.DUMMYFUNCTION("""COMPUTED_VALUE"""),26.9904469100377)</f>
        <v>26.990446910037701</v>
      </c>
      <c r="G1000" s="27">
        <f ca="1">IFERROR(__xludf.DUMMYFUNCTION("""COMPUTED_VALUE"""),25.7519647499445)</f>
        <v>25.751964749944499</v>
      </c>
      <c r="H1000" s="27">
        <f ca="1">IFERROR(__xludf.DUMMYFUNCTION("""COMPUTED_VALUE"""),26.257810561478)</f>
        <v>26.257810561477999</v>
      </c>
      <c r="I1000" s="27">
        <f ca="1">IFERROR(__xludf.DUMMYFUNCTION("""COMPUTED_VALUE"""),25.5704026407158)</f>
        <v>25.570402640715798</v>
      </c>
      <c r="J1000" s="27">
        <f ca="1">IFERROR(__xludf.DUMMYFUNCTION("""COMPUTED_VALUE"""),25.2207090751561)</f>
        <v>25.220709075156101</v>
      </c>
      <c r="K1000" s="27">
        <f ca="1">IFERROR(__xludf.DUMMYFUNCTION("""COMPUTED_VALUE"""),25.7736694882684)</f>
        <v>25.7736694882684</v>
      </c>
      <c r="L1000" s="27">
        <f ca="1">IFERROR(__xludf.DUMMYFUNCTION("""COMPUTED_VALUE"""),25.8823581032839)</f>
        <v>25.882358103283899</v>
      </c>
      <c r="M1000" s="27">
        <f ca="1">IFERROR(__xludf.DUMMYFUNCTION("""COMPUTED_VALUE"""),24.705917169251)</f>
        <v>24.705917169250998</v>
      </c>
      <c r="N1000" s="27">
        <f ca="1">IFERROR(__xludf.DUMMYFUNCTION("""COMPUTED_VALUE"""),23.3748985601382)</f>
        <v>23.374898560138199</v>
      </c>
      <c r="O1000" s="27">
        <f ca="1">IFERROR(__xludf.DUMMYFUNCTION("""COMPUTED_VALUE"""),25.4820704163542)</f>
        <v>25.482070416354201</v>
      </c>
      <c r="P1000" s="27">
        <f ca="1">IFERROR(__xludf.DUMMYFUNCTION("""COMPUTED_VALUE"""),25.7436876427992)</f>
        <v>25.743687642799198</v>
      </c>
      <c r="Q1000" s="28">
        <f ca="1">IFERROR(__xludf.DUMMYFUNCTION("""COMPUTED_VALUE"""),26.1630245471238)</f>
        <v>26.163024547123801</v>
      </c>
      <c r="R1000" s="20"/>
    </row>
    <row r="1001" spans="1:18" ht="13.2" hidden="1" outlineLevel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0"/>
    </row>
    <row r="1002" spans="1:18" ht="13.2" collapsed="1" x14ac:dyDescent="0.25">
      <c r="A1002" s="29"/>
      <c r="B1002" s="5" t="str">
        <f ca="1">IFERROR(__xludf.DUMMYFUNCTION("""COMPUTED_VALUE"""),"Con.Fin.Ene.Tra(e,a)")</f>
        <v>Con.Fin.Ene.Tra(e,a)</v>
      </c>
      <c r="C1002" s="6" t="str">
        <f ca="1">IFERROR(__xludf.DUMMYFUNCTION("""COMPUTED_VALUE"""),"/+")</f>
        <v>/+</v>
      </c>
      <c r="D1002" s="7" t="str">
        <f ca="1">IFERROR(__xludf.DUMMYFUNCTION("""COMPUTED_VALUE"""),"Transporte")</f>
        <v>Transporte</v>
      </c>
      <c r="E1002" s="6" t="str">
        <f ca="1">IFERROR(__xludf.DUMMYFUNCTION("""COMPUTED_VALUE"""),"cbne")</f>
        <v>cbne</v>
      </c>
      <c r="F1002" s="6" t="str">
        <f ca="1">IFERROR(__xludf.DUMMYFUNCTION("""COMPUTED_VALUE"""),"a")</f>
        <v>a</v>
      </c>
      <c r="G1002" s="8" t="str">
        <f ca="1">IFERROR(__xludf.DUMMYFUNCTION("""COMPUTED_VALUE"""),"PJ")</f>
        <v>PJ</v>
      </c>
      <c r="H1002" s="9"/>
      <c r="I1002" s="1"/>
      <c r="J1002" s="1"/>
      <c r="K1002" s="1"/>
      <c r="L1002" s="1"/>
      <c r="M1002" s="1"/>
      <c r="N1002" s="1"/>
      <c r="O1002" s="1"/>
      <c r="P1002" s="1"/>
      <c r="Q1002" s="1"/>
      <c r="R1002" s="10"/>
    </row>
    <row r="1003" spans="1:18" ht="13.2" hidden="1" outlineLevel="1" x14ac:dyDescent="0.25">
      <c r="A1003" s="1"/>
      <c r="B1003" s="11"/>
      <c r="C1003" s="12">
        <f ca="1">IFERROR(__xludf.DUMMYFUNCTION("""COMPUTED_VALUE"""),2010)</f>
        <v>2010</v>
      </c>
      <c r="D1003" s="13">
        <f ca="1">IFERROR(__xludf.DUMMYFUNCTION("""COMPUTED_VALUE"""),2011)</f>
        <v>2011</v>
      </c>
      <c r="E1003" s="13">
        <f ca="1">IFERROR(__xludf.DUMMYFUNCTION("""COMPUTED_VALUE"""),2012)</f>
        <v>2012</v>
      </c>
      <c r="F1003" s="13">
        <f ca="1">IFERROR(__xludf.DUMMYFUNCTION("""COMPUTED_VALUE"""),2013)</f>
        <v>2013</v>
      </c>
      <c r="G1003" s="13">
        <f ca="1">IFERROR(__xludf.DUMMYFUNCTION("""COMPUTED_VALUE"""),2014)</f>
        <v>2014</v>
      </c>
      <c r="H1003" s="13">
        <f ca="1">IFERROR(__xludf.DUMMYFUNCTION("""COMPUTED_VALUE"""),2015)</f>
        <v>2015</v>
      </c>
      <c r="I1003" s="13">
        <f ca="1">IFERROR(__xludf.DUMMYFUNCTION("""COMPUTED_VALUE"""),2016)</f>
        <v>2016</v>
      </c>
      <c r="J1003" s="13">
        <f ca="1">IFERROR(__xludf.DUMMYFUNCTION("""COMPUTED_VALUE"""),2017)</f>
        <v>2017</v>
      </c>
      <c r="K1003" s="13">
        <f ca="1">IFERROR(__xludf.DUMMYFUNCTION("""COMPUTED_VALUE"""),2018)</f>
        <v>2018</v>
      </c>
      <c r="L1003" s="13">
        <f ca="1">IFERROR(__xludf.DUMMYFUNCTION("""COMPUTED_VALUE"""),2019)</f>
        <v>2019</v>
      </c>
      <c r="M1003" s="13">
        <f ca="1">IFERROR(__xludf.DUMMYFUNCTION("""COMPUTED_VALUE"""),2020)</f>
        <v>2020</v>
      </c>
      <c r="N1003" s="13">
        <f ca="1">IFERROR(__xludf.DUMMYFUNCTION("""COMPUTED_VALUE"""),2021)</f>
        <v>2021</v>
      </c>
      <c r="O1003" s="13">
        <f ca="1">IFERROR(__xludf.DUMMYFUNCTION("""COMPUTED_VALUE"""),2022)</f>
        <v>2022</v>
      </c>
      <c r="P1003" s="13">
        <f ca="1">IFERROR(__xludf.DUMMYFUNCTION("""COMPUTED_VALUE"""),2023)</f>
        <v>2023</v>
      </c>
      <c r="Q1003" s="14">
        <f ca="1">IFERROR(__xludf.DUMMYFUNCTION("""COMPUTED_VALUE"""),2024)</f>
        <v>2024</v>
      </c>
      <c r="R1003" s="15"/>
    </row>
    <row r="1004" spans="1:18" ht="13.2" hidden="1" outlineLevel="1" x14ac:dyDescent="0.25">
      <c r="A1004" s="1"/>
      <c r="B1004" s="16" t="str">
        <f ca="1">IFERROR(__xludf.DUMMYFUNCTION("""COMPUTED_VALUE"""),"Carbón mineral")</f>
        <v>Carbón mineral</v>
      </c>
      <c r="C1004" s="17">
        <f ca="1">IFERROR(__xludf.DUMMYFUNCTION("""COMPUTED_VALUE"""),0)</f>
        <v>0</v>
      </c>
      <c r="D1004" s="18">
        <f ca="1">IFERROR(__xludf.DUMMYFUNCTION("""COMPUTED_VALUE"""),0)</f>
        <v>0</v>
      </c>
      <c r="E1004" s="18">
        <f ca="1">IFERROR(__xludf.DUMMYFUNCTION("""COMPUTED_VALUE"""),0)</f>
        <v>0</v>
      </c>
      <c r="F1004" s="18">
        <f ca="1">IFERROR(__xludf.DUMMYFUNCTION("""COMPUTED_VALUE"""),0)</f>
        <v>0</v>
      </c>
      <c r="G1004" s="18">
        <f ca="1">IFERROR(__xludf.DUMMYFUNCTION("""COMPUTED_VALUE"""),0)</f>
        <v>0</v>
      </c>
      <c r="H1004" s="18">
        <f ca="1">IFERROR(__xludf.DUMMYFUNCTION("""COMPUTED_VALUE"""),0)</f>
        <v>0</v>
      </c>
      <c r="I1004" s="18">
        <f ca="1">IFERROR(__xludf.DUMMYFUNCTION("""COMPUTED_VALUE"""),0)</f>
        <v>0</v>
      </c>
      <c r="J1004" s="18">
        <f ca="1">IFERROR(__xludf.DUMMYFUNCTION("""COMPUTED_VALUE"""),0)</f>
        <v>0</v>
      </c>
      <c r="K1004" s="18">
        <f ca="1">IFERROR(__xludf.DUMMYFUNCTION("""COMPUTED_VALUE"""),0)</f>
        <v>0</v>
      </c>
      <c r="L1004" s="18">
        <f ca="1">IFERROR(__xludf.DUMMYFUNCTION("""COMPUTED_VALUE"""),0)</f>
        <v>0</v>
      </c>
      <c r="M1004" s="18">
        <f ca="1">IFERROR(__xludf.DUMMYFUNCTION("""COMPUTED_VALUE"""),0)</f>
        <v>0</v>
      </c>
      <c r="N1004" s="18">
        <f ca="1">IFERROR(__xludf.DUMMYFUNCTION("""COMPUTED_VALUE"""),0)</f>
        <v>0</v>
      </c>
      <c r="O1004" s="18">
        <f ca="1">IFERROR(__xludf.DUMMYFUNCTION("""COMPUTED_VALUE"""),0)</f>
        <v>0</v>
      </c>
      <c r="P1004" s="18">
        <f ca="1">IFERROR(__xludf.DUMMYFUNCTION("""COMPUTED_VALUE"""),0)</f>
        <v>0</v>
      </c>
      <c r="Q1004" s="19">
        <f ca="1">IFERROR(__xludf.DUMMYFUNCTION("""COMPUTED_VALUE"""),0)</f>
        <v>0</v>
      </c>
      <c r="R1004" s="20"/>
    </row>
    <row r="1005" spans="1:18" ht="13.2" hidden="1" outlineLevel="1" x14ac:dyDescent="0.25">
      <c r="A1005" s="1"/>
      <c r="B1005" s="21" t="str">
        <f ca="1">IFERROR(__xludf.DUMMYFUNCTION("""COMPUTED_VALUE"""),"Petróleo crudo")</f>
        <v>Petróleo crudo</v>
      </c>
      <c r="C1005" s="22">
        <f ca="1">IFERROR(__xludf.DUMMYFUNCTION("""COMPUTED_VALUE"""),0)</f>
        <v>0</v>
      </c>
      <c r="D1005" s="23">
        <f ca="1">IFERROR(__xludf.DUMMYFUNCTION("""COMPUTED_VALUE"""),0)</f>
        <v>0</v>
      </c>
      <c r="E1005" s="23">
        <f ca="1">IFERROR(__xludf.DUMMYFUNCTION("""COMPUTED_VALUE"""),0)</f>
        <v>0</v>
      </c>
      <c r="F1005" s="23">
        <f ca="1">IFERROR(__xludf.DUMMYFUNCTION("""COMPUTED_VALUE"""),0)</f>
        <v>0</v>
      </c>
      <c r="G1005" s="23">
        <f ca="1">IFERROR(__xludf.DUMMYFUNCTION("""COMPUTED_VALUE"""),0)</f>
        <v>0</v>
      </c>
      <c r="H1005" s="23">
        <f ca="1">IFERROR(__xludf.DUMMYFUNCTION("""COMPUTED_VALUE"""),0)</f>
        <v>0</v>
      </c>
      <c r="I1005" s="23">
        <f ca="1">IFERROR(__xludf.DUMMYFUNCTION("""COMPUTED_VALUE"""),0)</f>
        <v>0</v>
      </c>
      <c r="J1005" s="23">
        <f ca="1">IFERROR(__xludf.DUMMYFUNCTION("""COMPUTED_VALUE"""),0)</f>
        <v>0</v>
      </c>
      <c r="K1005" s="23">
        <f ca="1">IFERROR(__xludf.DUMMYFUNCTION("""COMPUTED_VALUE"""),0)</f>
        <v>0</v>
      </c>
      <c r="L1005" s="23">
        <f ca="1">IFERROR(__xludf.DUMMYFUNCTION("""COMPUTED_VALUE"""),0)</f>
        <v>0</v>
      </c>
      <c r="M1005" s="23">
        <f ca="1">IFERROR(__xludf.DUMMYFUNCTION("""COMPUTED_VALUE"""),0)</f>
        <v>0</v>
      </c>
      <c r="N1005" s="23">
        <f ca="1">IFERROR(__xludf.DUMMYFUNCTION("""COMPUTED_VALUE"""),0)</f>
        <v>0</v>
      </c>
      <c r="O1005" s="23">
        <f ca="1">IFERROR(__xludf.DUMMYFUNCTION("""COMPUTED_VALUE"""),0)</f>
        <v>0</v>
      </c>
      <c r="P1005" s="23">
        <f ca="1">IFERROR(__xludf.DUMMYFUNCTION("""COMPUTED_VALUE"""),0)</f>
        <v>0</v>
      </c>
      <c r="Q1005" s="24">
        <f ca="1">IFERROR(__xludf.DUMMYFUNCTION("""COMPUTED_VALUE"""),0)</f>
        <v>0</v>
      </c>
      <c r="R1005" s="20"/>
    </row>
    <row r="1006" spans="1:18" ht="13.2" hidden="1" outlineLevel="1" x14ac:dyDescent="0.25">
      <c r="A1006" s="1"/>
      <c r="B1006" s="21" t="str">
        <f ca="1">IFERROR(__xludf.DUMMYFUNCTION("""COMPUTED_VALUE"""),"Condensados")</f>
        <v>Condensados</v>
      </c>
      <c r="C1006" s="22">
        <f ca="1">IFERROR(__xludf.DUMMYFUNCTION("""COMPUTED_VALUE"""),0)</f>
        <v>0</v>
      </c>
      <c r="D1006" s="23">
        <f ca="1">IFERROR(__xludf.DUMMYFUNCTION("""COMPUTED_VALUE"""),0)</f>
        <v>0</v>
      </c>
      <c r="E1006" s="23">
        <f ca="1">IFERROR(__xludf.DUMMYFUNCTION("""COMPUTED_VALUE"""),0)</f>
        <v>0</v>
      </c>
      <c r="F1006" s="23">
        <f ca="1">IFERROR(__xludf.DUMMYFUNCTION("""COMPUTED_VALUE"""),0)</f>
        <v>0</v>
      </c>
      <c r="G1006" s="23">
        <f ca="1">IFERROR(__xludf.DUMMYFUNCTION("""COMPUTED_VALUE"""),0)</f>
        <v>0</v>
      </c>
      <c r="H1006" s="23">
        <f ca="1">IFERROR(__xludf.DUMMYFUNCTION("""COMPUTED_VALUE"""),0)</f>
        <v>0</v>
      </c>
      <c r="I1006" s="23">
        <f ca="1">IFERROR(__xludf.DUMMYFUNCTION("""COMPUTED_VALUE"""),0)</f>
        <v>0</v>
      </c>
      <c r="J1006" s="23">
        <f ca="1">IFERROR(__xludf.DUMMYFUNCTION("""COMPUTED_VALUE"""),0)</f>
        <v>0</v>
      </c>
      <c r="K1006" s="23">
        <f ca="1">IFERROR(__xludf.DUMMYFUNCTION("""COMPUTED_VALUE"""),0)</f>
        <v>0</v>
      </c>
      <c r="L1006" s="23">
        <f ca="1">IFERROR(__xludf.DUMMYFUNCTION("""COMPUTED_VALUE"""),0)</f>
        <v>0</v>
      </c>
      <c r="M1006" s="23">
        <f ca="1">IFERROR(__xludf.DUMMYFUNCTION("""COMPUTED_VALUE"""),0)</f>
        <v>0</v>
      </c>
      <c r="N1006" s="23">
        <f ca="1">IFERROR(__xludf.DUMMYFUNCTION("""COMPUTED_VALUE"""),0)</f>
        <v>0</v>
      </c>
      <c r="O1006" s="23">
        <f ca="1">IFERROR(__xludf.DUMMYFUNCTION("""COMPUTED_VALUE"""),0)</f>
        <v>0</v>
      </c>
      <c r="P1006" s="23">
        <f ca="1">IFERROR(__xludf.DUMMYFUNCTION("""COMPUTED_VALUE"""),0)</f>
        <v>0</v>
      </c>
      <c r="Q1006" s="24">
        <f ca="1">IFERROR(__xludf.DUMMYFUNCTION("""COMPUTED_VALUE"""),0)</f>
        <v>0</v>
      </c>
      <c r="R1006" s="20"/>
    </row>
    <row r="1007" spans="1:18" ht="13.2" hidden="1" outlineLevel="1" x14ac:dyDescent="0.25">
      <c r="A1007" s="1"/>
      <c r="B1007" s="21" t="str">
        <f ca="1">IFERROR(__xludf.DUMMYFUNCTION("""COMPUTED_VALUE"""),"Gas natural")</f>
        <v>Gas natural</v>
      </c>
      <c r="C1007" s="22">
        <f ca="1">IFERROR(__xludf.DUMMYFUNCTION("""COMPUTED_VALUE"""),0)</f>
        <v>0</v>
      </c>
      <c r="D1007" s="23">
        <f ca="1">IFERROR(__xludf.DUMMYFUNCTION("""COMPUTED_VALUE"""),0)</f>
        <v>0</v>
      </c>
      <c r="E1007" s="23">
        <f ca="1">IFERROR(__xludf.DUMMYFUNCTION("""COMPUTED_VALUE"""),0)</f>
        <v>0</v>
      </c>
      <c r="F1007" s="23">
        <f ca="1">IFERROR(__xludf.DUMMYFUNCTION("""COMPUTED_VALUE"""),0)</f>
        <v>0</v>
      </c>
      <c r="G1007" s="23">
        <f ca="1">IFERROR(__xludf.DUMMYFUNCTION("""COMPUTED_VALUE"""),0)</f>
        <v>0</v>
      </c>
      <c r="H1007" s="23">
        <f ca="1">IFERROR(__xludf.DUMMYFUNCTION("""COMPUTED_VALUE"""),0)</f>
        <v>0</v>
      </c>
      <c r="I1007" s="23">
        <f ca="1">IFERROR(__xludf.DUMMYFUNCTION("""COMPUTED_VALUE"""),0)</f>
        <v>0</v>
      </c>
      <c r="J1007" s="23">
        <f ca="1">IFERROR(__xludf.DUMMYFUNCTION("""COMPUTED_VALUE"""),0)</f>
        <v>0</v>
      </c>
      <c r="K1007" s="23">
        <f ca="1">IFERROR(__xludf.DUMMYFUNCTION("""COMPUTED_VALUE"""),0)</f>
        <v>0</v>
      </c>
      <c r="L1007" s="23">
        <f ca="1">IFERROR(__xludf.DUMMYFUNCTION("""COMPUTED_VALUE"""),0)</f>
        <v>0</v>
      </c>
      <c r="M1007" s="23">
        <f ca="1">IFERROR(__xludf.DUMMYFUNCTION("""COMPUTED_VALUE"""),0)</f>
        <v>0</v>
      </c>
      <c r="N1007" s="23">
        <f ca="1">IFERROR(__xludf.DUMMYFUNCTION("""COMPUTED_VALUE"""),0)</f>
        <v>0</v>
      </c>
      <c r="O1007" s="23">
        <f ca="1">IFERROR(__xludf.DUMMYFUNCTION("""COMPUTED_VALUE"""),0)</f>
        <v>0</v>
      </c>
      <c r="P1007" s="23">
        <f ca="1">IFERROR(__xludf.DUMMYFUNCTION("""COMPUTED_VALUE"""),0)</f>
        <v>0</v>
      </c>
      <c r="Q1007" s="24">
        <f ca="1">IFERROR(__xludf.DUMMYFUNCTION("""COMPUTED_VALUE"""),0)</f>
        <v>0</v>
      </c>
      <c r="R1007" s="20"/>
    </row>
    <row r="1008" spans="1:18" ht="13.2" hidden="1" outlineLevel="1" x14ac:dyDescent="0.25">
      <c r="A1008" s="1"/>
      <c r="B1008" s="21" t="str">
        <f ca="1">IFERROR(__xludf.DUMMYFUNCTION("""COMPUTED_VALUE"""),"Energía Nuclear")</f>
        <v>Energía Nuclear</v>
      </c>
      <c r="C1008" s="22">
        <f ca="1">IFERROR(__xludf.DUMMYFUNCTION("""COMPUTED_VALUE"""),0)</f>
        <v>0</v>
      </c>
      <c r="D1008" s="23">
        <f ca="1">IFERROR(__xludf.DUMMYFUNCTION("""COMPUTED_VALUE"""),0)</f>
        <v>0</v>
      </c>
      <c r="E1008" s="23">
        <f ca="1">IFERROR(__xludf.DUMMYFUNCTION("""COMPUTED_VALUE"""),0)</f>
        <v>0</v>
      </c>
      <c r="F1008" s="23">
        <f ca="1">IFERROR(__xludf.DUMMYFUNCTION("""COMPUTED_VALUE"""),0)</f>
        <v>0</v>
      </c>
      <c r="G1008" s="23">
        <f ca="1">IFERROR(__xludf.DUMMYFUNCTION("""COMPUTED_VALUE"""),0)</f>
        <v>0</v>
      </c>
      <c r="H1008" s="23">
        <f ca="1">IFERROR(__xludf.DUMMYFUNCTION("""COMPUTED_VALUE"""),0)</f>
        <v>0</v>
      </c>
      <c r="I1008" s="23">
        <f ca="1">IFERROR(__xludf.DUMMYFUNCTION("""COMPUTED_VALUE"""),0)</f>
        <v>0</v>
      </c>
      <c r="J1008" s="23">
        <f ca="1">IFERROR(__xludf.DUMMYFUNCTION("""COMPUTED_VALUE"""),0)</f>
        <v>0</v>
      </c>
      <c r="K1008" s="23">
        <f ca="1">IFERROR(__xludf.DUMMYFUNCTION("""COMPUTED_VALUE"""),0)</f>
        <v>0</v>
      </c>
      <c r="L1008" s="23">
        <f ca="1">IFERROR(__xludf.DUMMYFUNCTION("""COMPUTED_VALUE"""),0)</f>
        <v>0</v>
      </c>
      <c r="M1008" s="23">
        <f ca="1">IFERROR(__xludf.DUMMYFUNCTION("""COMPUTED_VALUE"""),0)</f>
        <v>0</v>
      </c>
      <c r="N1008" s="23">
        <f ca="1">IFERROR(__xludf.DUMMYFUNCTION("""COMPUTED_VALUE"""),0)</f>
        <v>0</v>
      </c>
      <c r="O1008" s="23">
        <f ca="1">IFERROR(__xludf.DUMMYFUNCTION("""COMPUTED_VALUE"""),0)</f>
        <v>0</v>
      </c>
      <c r="P1008" s="23">
        <f ca="1">IFERROR(__xludf.DUMMYFUNCTION("""COMPUTED_VALUE"""),0)</f>
        <v>0</v>
      </c>
      <c r="Q1008" s="24">
        <f ca="1">IFERROR(__xludf.DUMMYFUNCTION("""COMPUTED_VALUE"""),0)</f>
        <v>0</v>
      </c>
      <c r="R1008" s="20"/>
    </row>
    <row r="1009" spans="1:18" ht="13.2" hidden="1" outlineLevel="1" x14ac:dyDescent="0.25">
      <c r="A1009" s="1"/>
      <c r="B1009" s="21" t="str">
        <f ca="1">IFERROR(__xludf.DUMMYFUNCTION("""COMPUTED_VALUE"""),"Energia Hidraúlica")</f>
        <v>Energia Hidraúlica</v>
      </c>
      <c r="C1009" s="22">
        <f ca="1">IFERROR(__xludf.DUMMYFUNCTION("""COMPUTED_VALUE"""),0)</f>
        <v>0</v>
      </c>
      <c r="D1009" s="23">
        <f ca="1">IFERROR(__xludf.DUMMYFUNCTION("""COMPUTED_VALUE"""),0)</f>
        <v>0</v>
      </c>
      <c r="E1009" s="23">
        <f ca="1">IFERROR(__xludf.DUMMYFUNCTION("""COMPUTED_VALUE"""),0)</f>
        <v>0</v>
      </c>
      <c r="F1009" s="23">
        <f ca="1">IFERROR(__xludf.DUMMYFUNCTION("""COMPUTED_VALUE"""),0)</f>
        <v>0</v>
      </c>
      <c r="G1009" s="23">
        <f ca="1">IFERROR(__xludf.DUMMYFUNCTION("""COMPUTED_VALUE"""),0)</f>
        <v>0</v>
      </c>
      <c r="H1009" s="23">
        <f ca="1">IFERROR(__xludf.DUMMYFUNCTION("""COMPUTED_VALUE"""),0)</f>
        <v>0</v>
      </c>
      <c r="I1009" s="23">
        <f ca="1">IFERROR(__xludf.DUMMYFUNCTION("""COMPUTED_VALUE"""),0)</f>
        <v>0</v>
      </c>
      <c r="J1009" s="23">
        <f ca="1">IFERROR(__xludf.DUMMYFUNCTION("""COMPUTED_VALUE"""),0)</f>
        <v>0</v>
      </c>
      <c r="K1009" s="23">
        <f ca="1">IFERROR(__xludf.DUMMYFUNCTION("""COMPUTED_VALUE"""),0)</f>
        <v>0</v>
      </c>
      <c r="L1009" s="23">
        <f ca="1">IFERROR(__xludf.DUMMYFUNCTION("""COMPUTED_VALUE"""),0)</f>
        <v>0</v>
      </c>
      <c r="M1009" s="23">
        <f ca="1">IFERROR(__xludf.DUMMYFUNCTION("""COMPUTED_VALUE"""),0)</f>
        <v>0</v>
      </c>
      <c r="N1009" s="23">
        <f ca="1">IFERROR(__xludf.DUMMYFUNCTION("""COMPUTED_VALUE"""),0)</f>
        <v>0</v>
      </c>
      <c r="O1009" s="23">
        <f ca="1">IFERROR(__xludf.DUMMYFUNCTION("""COMPUTED_VALUE"""),0)</f>
        <v>0</v>
      </c>
      <c r="P1009" s="23">
        <f ca="1">IFERROR(__xludf.DUMMYFUNCTION("""COMPUTED_VALUE"""),0)</f>
        <v>0</v>
      </c>
      <c r="Q1009" s="24">
        <f ca="1">IFERROR(__xludf.DUMMYFUNCTION("""COMPUTED_VALUE"""),0)</f>
        <v>0</v>
      </c>
      <c r="R1009" s="20"/>
    </row>
    <row r="1010" spans="1:18" ht="13.2" hidden="1" outlineLevel="1" x14ac:dyDescent="0.25">
      <c r="A1010" s="1"/>
      <c r="B1010" s="21" t="str">
        <f ca="1">IFERROR(__xludf.DUMMYFUNCTION("""COMPUTED_VALUE"""),"Geoenergía")</f>
        <v>Geoenergía</v>
      </c>
      <c r="C1010" s="22">
        <f ca="1">IFERROR(__xludf.DUMMYFUNCTION("""COMPUTED_VALUE"""),0)</f>
        <v>0</v>
      </c>
      <c r="D1010" s="23">
        <f ca="1">IFERROR(__xludf.DUMMYFUNCTION("""COMPUTED_VALUE"""),0)</f>
        <v>0</v>
      </c>
      <c r="E1010" s="23">
        <f ca="1">IFERROR(__xludf.DUMMYFUNCTION("""COMPUTED_VALUE"""),0)</f>
        <v>0</v>
      </c>
      <c r="F1010" s="23">
        <f ca="1">IFERROR(__xludf.DUMMYFUNCTION("""COMPUTED_VALUE"""),0)</f>
        <v>0</v>
      </c>
      <c r="G1010" s="23">
        <f ca="1">IFERROR(__xludf.DUMMYFUNCTION("""COMPUTED_VALUE"""),0)</f>
        <v>0</v>
      </c>
      <c r="H1010" s="23">
        <f ca="1">IFERROR(__xludf.DUMMYFUNCTION("""COMPUTED_VALUE"""),0)</f>
        <v>0</v>
      </c>
      <c r="I1010" s="23">
        <f ca="1">IFERROR(__xludf.DUMMYFUNCTION("""COMPUTED_VALUE"""),0)</f>
        <v>0</v>
      </c>
      <c r="J1010" s="23">
        <f ca="1">IFERROR(__xludf.DUMMYFUNCTION("""COMPUTED_VALUE"""),0)</f>
        <v>0</v>
      </c>
      <c r="K1010" s="23">
        <f ca="1">IFERROR(__xludf.DUMMYFUNCTION("""COMPUTED_VALUE"""),0)</f>
        <v>0</v>
      </c>
      <c r="L1010" s="23">
        <f ca="1">IFERROR(__xludf.DUMMYFUNCTION("""COMPUTED_VALUE"""),0)</f>
        <v>0</v>
      </c>
      <c r="M1010" s="23">
        <f ca="1">IFERROR(__xludf.DUMMYFUNCTION("""COMPUTED_VALUE"""),0)</f>
        <v>0</v>
      </c>
      <c r="N1010" s="23">
        <f ca="1">IFERROR(__xludf.DUMMYFUNCTION("""COMPUTED_VALUE"""),0)</f>
        <v>0</v>
      </c>
      <c r="O1010" s="23">
        <f ca="1">IFERROR(__xludf.DUMMYFUNCTION("""COMPUTED_VALUE"""),0)</f>
        <v>0</v>
      </c>
      <c r="P1010" s="23">
        <f ca="1">IFERROR(__xludf.DUMMYFUNCTION("""COMPUTED_VALUE"""),0)</f>
        <v>0</v>
      </c>
      <c r="Q1010" s="24">
        <f ca="1">IFERROR(__xludf.DUMMYFUNCTION("""COMPUTED_VALUE"""),0)</f>
        <v>0</v>
      </c>
      <c r="R1010" s="20"/>
    </row>
    <row r="1011" spans="1:18" ht="13.2" hidden="1" outlineLevel="1" x14ac:dyDescent="0.25">
      <c r="A1011" s="1"/>
      <c r="B1011" s="21" t="str">
        <f ca="1">IFERROR(__xludf.DUMMYFUNCTION("""COMPUTED_VALUE"""),"Energía solar")</f>
        <v>Energía solar</v>
      </c>
      <c r="C1011" s="22">
        <f ca="1">IFERROR(__xludf.DUMMYFUNCTION("""COMPUTED_VALUE"""),0)</f>
        <v>0</v>
      </c>
      <c r="D1011" s="23">
        <f ca="1">IFERROR(__xludf.DUMMYFUNCTION("""COMPUTED_VALUE"""),0)</f>
        <v>0</v>
      </c>
      <c r="E1011" s="23">
        <f ca="1">IFERROR(__xludf.DUMMYFUNCTION("""COMPUTED_VALUE"""),0)</f>
        <v>0</v>
      </c>
      <c r="F1011" s="23">
        <f ca="1">IFERROR(__xludf.DUMMYFUNCTION("""COMPUTED_VALUE"""),0)</f>
        <v>0</v>
      </c>
      <c r="G1011" s="23">
        <f ca="1">IFERROR(__xludf.DUMMYFUNCTION("""COMPUTED_VALUE"""),0)</f>
        <v>0</v>
      </c>
      <c r="H1011" s="23">
        <f ca="1">IFERROR(__xludf.DUMMYFUNCTION("""COMPUTED_VALUE"""),0)</f>
        <v>0</v>
      </c>
      <c r="I1011" s="23">
        <f ca="1">IFERROR(__xludf.DUMMYFUNCTION("""COMPUTED_VALUE"""),0)</f>
        <v>0</v>
      </c>
      <c r="J1011" s="23">
        <f ca="1">IFERROR(__xludf.DUMMYFUNCTION("""COMPUTED_VALUE"""),0)</f>
        <v>0</v>
      </c>
      <c r="K1011" s="23">
        <f ca="1">IFERROR(__xludf.DUMMYFUNCTION("""COMPUTED_VALUE"""),0)</f>
        <v>0</v>
      </c>
      <c r="L1011" s="23">
        <f ca="1">IFERROR(__xludf.DUMMYFUNCTION("""COMPUTED_VALUE"""),0)</f>
        <v>0</v>
      </c>
      <c r="M1011" s="23">
        <f ca="1">IFERROR(__xludf.DUMMYFUNCTION("""COMPUTED_VALUE"""),0)</f>
        <v>0</v>
      </c>
      <c r="N1011" s="23">
        <f ca="1">IFERROR(__xludf.DUMMYFUNCTION("""COMPUTED_VALUE"""),0)</f>
        <v>0</v>
      </c>
      <c r="O1011" s="23">
        <f ca="1">IFERROR(__xludf.DUMMYFUNCTION("""COMPUTED_VALUE"""),0)</f>
        <v>0</v>
      </c>
      <c r="P1011" s="23">
        <f ca="1">IFERROR(__xludf.DUMMYFUNCTION("""COMPUTED_VALUE"""),0)</f>
        <v>0</v>
      </c>
      <c r="Q1011" s="24">
        <f ca="1">IFERROR(__xludf.DUMMYFUNCTION("""COMPUTED_VALUE"""),0)</f>
        <v>0</v>
      </c>
      <c r="R1011" s="20"/>
    </row>
    <row r="1012" spans="1:18" ht="13.2" hidden="1" outlineLevel="1" x14ac:dyDescent="0.25">
      <c r="A1012" s="1"/>
      <c r="B1012" s="21" t="str">
        <f ca="1">IFERROR(__xludf.DUMMYFUNCTION("""COMPUTED_VALUE"""),"Energía eólica")</f>
        <v>Energía eólica</v>
      </c>
      <c r="C1012" s="22">
        <f ca="1">IFERROR(__xludf.DUMMYFUNCTION("""COMPUTED_VALUE"""),0)</f>
        <v>0</v>
      </c>
      <c r="D1012" s="23">
        <f ca="1">IFERROR(__xludf.DUMMYFUNCTION("""COMPUTED_VALUE"""),0)</f>
        <v>0</v>
      </c>
      <c r="E1012" s="23">
        <f ca="1">IFERROR(__xludf.DUMMYFUNCTION("""COMPUTED_VALUE"""),0)</f>
        <v>0</v>
      </c>
      <c r="F1012" s="23">
        <f ca="1">IFERROR(__xludf.DUMMYFUNCTION("""COMPUTED_VALUE"""),0)</f>
        <v>0</v>
      </c>
      <c r="G1012" s="23">
        <f ca="1">IFERROR(__xludf.DUMMYFUNCTION("""COMPUTED_VALUE"""),0)</f>
        <v>0</v>
      </c>
      <c r="H1012" s="23">
        <f ca="1">IFERROR(__xludf.DUMMYFUNCTION("""COMPUTED_VALUE"""),0)</f>
        <v>0</v>
      </c>
      <c r="I1012" s="23">
        <f ca="1">IFERROR(__xludf.DUMMYFUNCTION("""COMPUTED_VALUE"""),0)</f>
        <v>0</v>
      </c>
      <c r="J1012" s="23">
        <f ca="1">IFERROR(__xludf.DUMMYFUNCTION("""COMPUTED_VALUE"""),0)</f>
        <v>0</v>
      </c>
      <c r="K1012" s="23">
        <f ca="1">IFERROR(__xludf.DUMMYFUNCTION("""COMPUTED_VALUE"""),0)</f>
        <v>0</v>
      </c>
      <c r="L1012" s="23">
        <f ca="1">IFERROR(__xludf.DUMMYFUNCTION("""COMPUTED_VALUE"""),0)</f>
        <v>0</v>
      </c>
      <c r="M1012" s="23">
        <f ca="1">IFERROR(__xludf.DUMMYFUNCTION("""COMPUTED_VALUE"""),0)</f>
        <v>0</v>
      </c>
      <c r="N1012" s="23">
        <f ca="1">IFERROR(__xludf.DUMMYFUNCTION("""COMPUTED_VALUE"""),0)</f>
        <v>0</v>
      </c>
      <c r="O1012" s="23">
        <f ca="1">IFERROR(__xludf.DUMMYFUNCTION("""COMPUTED_VALUE"""),0)</f>
        <v>0</v>
      </c>
      <c r="P1012" s="23">
        <f ca="1">IFERROR(__xludf.DUMMYFUNCTION("""COMPUTED_VALUE"""),0)</f>
        <v>0</v>
      </c>
      <c r="Q1012" s="24">
        <f ca="1">IFERROR(__xludf.DUMMYFUNCTION("""COMPUTED_VALUE"""),0)</f>
        <v>0</v>
      </c>
      <c r="R1012" s="20"/>
    </row>
    <row r="1013" spans="1:18" ht="13.2" hidden="1" outlineLevel="1" x14ac:dyDescent="0.25">
      <c r="A1013" s="1"/>
      <c r="B1013" s="21" t="str">
        <f ca="1">IFERROR(__xludf.DUMMYFUNCTION("""COMPUTED_VALUE"""),"Bagazo de caña")</f>
        <v>Bagazo de caña</v>
      </c>
      <c r="C1013" s="22">
        <f ca="1">IFERROR(__xludf.DUMMYFUNCTION("""COMPUTED_VALUE"""),0)</f>
        <v>0</v>
      </c>
      <c r="D1013" s="23">
        <f ca="1">IFERROR(__xludf.DUMMYFUNCTION("""COMPUTED_VALUE"""),0)</f>
        <v>0</v>
      </c>
      <c r="E1013" s="23">
        <f ca="1">IFERROR(__xludf.DUMMYFUNCTION("""COMPUTED_VALUE"""),0)</f>
        <v>0</v>
      </c>
      <c r="F1013" s="23">
        <f ca="1">IFERROR(__xludf.DUMMYFUNCTION("""COMPUTED_VALUE"""),0)</f>
        <v>0</v>
      </c>
      <c r="G1013" s="23">
        <f ca="1">IFERROR(__xludf.DUMMYFUNCTION("""COMPUTED_VALUE"""),0)</f>
        <v>0</v>
      </c>
      <c r="H1013" s="23">
        <f ca="1">IFERROR(__xludf.DUMMYFUNCTION("""COMPUTED_VALUE"""),0)</f>
        <v>0</v>
      </c>
      <c r="I1013" s="23">
        <f ca="1">IFERROR(__xludf.DUMMYFUNCTION("""COMPUTED_VALUE"""),0)</f>
        <v>0</v>
      </c>
      <c r="J1013" s="23">
        <f ca="1">IFERROR(__xludf.DUMMYFUNCTION("""COMPUTED_VALUE"""),0)</f>
        <v>0</v>
      </c>
      <c r="K1013" s="23">
        <f ca="1">IFERROR(__xludf.DUMMYFUNCTION("""COMPUTED_VALUE"""),0)</f>
        <v>0</v>
      </c>
      <c r="L1013" s="23">
        <f ca="1">IFERROR(__xludf.DUMMYFUNCTION("""COMPUTED_VALUE"""),0)</f>
        <v>0</v>
      </c>
      <c r="M1013" s="23">
        <f ca="1">IFERROR(__xludf.DUMMYFUNCTION("""COMPUTED_VALUE"""),0)</f>
        <v>0</v>
      </c>
      <c r="N1013" s="23">
        <f ca="1">IFERROR(__xludf.DUMMYFUNCTION("""COMPUTED_VALUE"""),0)</f>
        <v>0</v>
      </c>
      <c r="O1013" s="23">
        <f ca="1">IFERROR(__xludf.DUMMYFUNCTION("""COMPUTED_VALUE"""),0)</f>
        <v>0</v>
      </c>
      <c r="P1013" s="23">
        <f ca="1">IFERROR(__xludf.DUMMYFUNCTION("""COMPUTED_VALUE"""),0)</f>
        <v>0</v>
      </c>
      <c r="Q1013" s="24">
        <f ca="1">IFERROR(__xludf.DUMMYFUNCTION("""COMPUTED_VALUE"""),0)</f>
        <v>0</v>
      </c>
      <c r="R1013" s="20"/>
    </row>
    <row r="1014" spans="1:18" ht="13.2" hidden="1" outlineLevel="1" x14ac:dyDescent="0.25">
      <c r="A1014" s="1"/>
      <c r="B1014" s="21" t="str">
        <f ca="1">IFERROR(__xludf.DUMMYFUNCTION("""COMPUTED_VALUE"""),"Leña")</f>
        <v>Leña</v>
      </c>
      <c r="C1014" s="22">
        <f ca="1">IFERROR(__xludf.DUMMYFUNCTION("""COMPUTED_VALUE"""),0)</f>
        <v>0</v>
      </c>
      <c r="D1014" s="23">
        <f ca="1">IFERROR(__xludf.DUMMYFUNCTION("""COMPUTED_VALUE"""),0)</f>
        <v>0</v>
      </c>
      <c r="E1014" s="23">
        <f ca="1">IFERROR(__xludf.DUMMYFUNCTION("""COMPUTED_VALUE"""),0)</f>
        <v>0</v>
      </c>
      <c r="F1014" s="23">
        <f ca="1">IFERROR(__xludf.DUMMYFUNCTION("""COMPUTED_VALUE"""),0)</f>
        <v>0</v>
      </c>
      <c r="G1014" s="23">
        <f ca="1">IFERROR(__xludf.DUMMYFUNCTION("""COMPUTED_VALUE"""),0)</f>
        <v>0</v>
      </c>
      <c r="H1014" s="23">
        <f ca="1">IFERROR(__xludf.DUMMYFUNCTION("""COMPUTED_VALUE"""),0)</f>
        <v>0</v>
      </c>
      <c r="I1014" s="23">
        <f ca="1">IFERROR(__xludf.DUMMYFUNCTION("""COMPUTED_VALUE"""),0)</f>
        <v>0</v>
      </c>
      <c r="J1014" s="23">
        <f ca="1">IFERROR(__xludf.DUMMYFUNCTION("""COMPUTED_VALUE"""),0)</f>
        <v>0</v>
      </c>
      <c r="K1014" s="23">
        <f ca="1">IFERROR(__xludf.DUMMYFUNCTION("""COMPUTED_VALUE"""),0)</f>
        <v>0</v>
      </c>
      <c r="L1014" s="23">
        <f ca="1">IFERROR(__xludf.DUMMYFUNCTION("""COMPUTED_VALUE"""),0)</f>
        <v>0</v>
      </c>
      <c r="M1014" s="23">
        <f ca="1">IFERROR(__xludf.DUMMYFUNCTION("""COMPUTED_VALUE"""),0)</f>
        <v>0</v>
      </c>
      <c r="N1014" s="23">
        <f ca="1">IFERROR(__xludf.DUMMYFUNCTION("""COMPUTED_VALUE"""),0)</f>
        <v>0</v>
      </c>
      <c r="O1014" s="23">
        <f ca="1">IFERROR(__xludf.DUMMYFUNCTION("""COMPUTED_VALUE"""),0)</f>
        <v>0</v>
      </c>
      <c r="P1014" s="23">
        <f ca="1">IFERROR(__xludf.DUMMYFUNCTION("""COMPUTED_VALUE"""),0)</f>
        <v>0</v>
      </c>
      <c r="Q1014" s="24">
        <f ca="1">IFERROR(__xludf.DUMMYFUNCTION("""COMPUTED_VALUE"""),0)</f>
        <v>0</v>
      </c>
      <c r="R1014" s="20"/>
    </row>
    <row r="1015" spans="1:18" ht="13.2" hidden="1" outlineLevel="1" x14ac:dyDescent="0.25">
      <c r="A1015" s="1"/>
      <c r="B1015" s="21" t="str">
        <f ca="1">IFERROR(__xludf.DUMMYFUNCTION("""COMPUTED_VALUE"""),"Biogás")</f>
        <v>Biogás</v>
      </c>
      <c r="C1015" s="22">
        <f ca="1">IFERROR(__xludf.DUMMYFUNCTION("""COMPUTED_VALUE"""),0)</f>
        <v>0</v>
      </c>
      <c r="D1015" s="23">
        <f ca="1">IFERROR(__xludf.DUMMYFUNCTION("""COMPUTED_VALUE"""),0)</f>
        <v>0</v>
      </c>
      <c r="E1015" s="23">
        <f ca="1">IFERROR(__xludf.DUMMYFUNCTION("""COMPUTED_VALUE"""),0)</f>
        <v>0</v>
      </c>
      <c r="F1015" s="23">
        <f ca="1">IFERROR(__xludf.DUMMYFUNCTION("""COMPUTED_VALUE"""),0)</f>
        <v>0</v>
      </c>
      <c r="G1015" s="23">
        <f ca="1">IFERROR(__xludf.DUMMYFUNCTION("""COMPUTED_VALUE"""),0)</f>
        <v>0</v>
      </c>
      <c r="H1015" s="23">
        <f ca="1">IFERROR(__xludf.DUMMYFUNCTION("""COMPUTED_VALUE"""),0)</f>
        <v>0</v>
      </c>
      <c r="I1015" s="23">
        <f ca="1">IFERROR(__xludf.DUMMYFUNCTION("""COMPUTED_VALUE"""),0)</f>
        <v>0</v>
      </c>
      <c r="J1015" s="23">
        <f ca="1">IFERROR(__xludf.DUMMYFUNCTION("""COMPUTED_VALUE"""),0)</f>
        <v>0</v>
      </c>
      <c r="K1015" s="23">
        <f ca="1">IFERROR(__xludf.DUMMYFUNCTION("""COMPUTED_VALUE"""),0)</f>
        <v>0</v>
      </c>
      <c r="L1015" s="23">
        <f ca="1">IFERROR(__xludf.DUMMYFUNCTION("""COMPUTED_VALUE"""),0)</f>
        <v>0</v>
      </c>
      <c r="M1015" s="23">
        <f ca="1">IFERROR(__xludf.DUMMYFUNCTION("""COMPUTED_VALUE"""),0)</f>
        <v>0</v>
      </c>
      <c r="N1015" s="23">
        <f ca="1">IFERROR(__xludf.DUMMYFUNCTION("""COMPUTED_VALUE"""),0)</f>
        <v>0</v>
      </c>
      <c r="O1015" s="23">
        <f ca="1">IFERROR(__xludf.DUMMYFUNCTION("""COMPUTED_VALUE"""),0)</f>
        <v>0</v>
      </c>
      <c r="P1015" s="23">
        <f ca="1">IFERROR(__xludf.DUMMYFUNCTION("""COMPUTED_VALUE"""),0)</f>
        <v>0</v>
      </c>
      <c r="Q1015" s="24">
        <f ca="1">IFERROR(__xludf.DUMMYFUNCTION("""COMPUTED_VALUE"""),0)</f>
        <v>0</v>
      </c>
      <c r="R1015" s="20"/>
    </row>
    <row r="1016" spans="1:18" ht="13.2" hidden="1" outlineLevel="1" x14ac:dyDescent="0.25">
      <c r="A1016" s="1"/>
      <c r="B1016" s="21" t="str">
        <f ca="1">IFERROR(__xludf.DUMMYFUNCTION("""COMPUTED_VALUE"""),"Coque de carbón")</f>
        <v>Coque de carbón</v>
      </c>
      <c r="C1016" s="22">
        <f ca="1">IFERROR(__xludf.DUMMYFUNCTION("""COMPUTED_VALUE"""),0)</f>
        <v>0</v>
      </c>
      <c r="D1016" s="23">
        <f ca="1">IFERROR(__xludf.DUMMYFUNCTION("""COMPUTED_VALUE"""),0)</f>
        <v>0</v>
      </c>
      <c r="E1016" s="23">
        <f ca="1">IFERROR(__xludf.DUMMYFUNCTION("""COMPUTED_VALUE"""),0)</f>
        <v>0</v>
      </c>
      <c r="F1016" s="23">
        <f ca="1">IFERROR(__xludf.DUMMYFUNCTION("""COMPUTED_VALUE"""),0)</f>
        <v>0</v>
      </c>
      <c r="G1016" s="23">
        <f ca="1">IFERROR(__xludf.DUMMYFUNCTION("""COMPUTED_VALUE"""),0)</f>
        <v>0</v>
      </c>
      <c r="H1016" s="23">
        <f ca="1">IFERROR(__xludf.DUMMYFUNCTION("""COMPUTED_VALUE"""),0)</f>
        <v>0</v>
      </c>
      <c r="I1016" s="23">
        <f ca="1">IFERROR(__xludf.DUMMYFUNCTION("""COMPUTED_VALUE"""),0)</f>
        <v>0</v>
      </c>
      <c r="J1016" s="23">
        <f ca="1">IFERROR(__xludf.DUMMYFUNCTION("""COMPUTED_VALUE"""),0)</f>
        <v>0</v>
      </c>
      <c r="K1016" s="23">
        <f ca="1">IFERROR(__xludf.DUMMYFUNCTION("""COMPUTED_VALUE"""),0)</f>
        <v>0</v>
      </c>
      <c r="L1016" s="23">
        <f ca="1">IFERROR(__xludf.DUMMYFUNCTION("""COMPUTED_VALUE"""),0)</f>
        <v>0</v>
      </c>
      <c r="M1016" s="23">
        <f ca="1">IFERROR(__xludf.DUMMYFUNCTION("""COMPUTED_VALUE"""),0)</f>
        <v>0</v>
      </c>
      <c r="N1016" s="23">
        <f ca="1">IFERROR(__xludf.DUMMYFUNCTION("""COMPUTED_VALUE"""),0)</f>
        <v>0</v>
      </c>
      <c r="O1016" s="23">
        <f ca="1">IFERROR(__xludf.DUMMYFUNCTION("""COMPUTED_VALUE"""),0)</f>
        <v>0</v>
      </c>
      <c r="P1016" s="23">
        <f ca="1">IFERROR(__xludf.DUMMYFUNCTION("""COMPUTED_VALUE"""),0)</f>
        <v>0</v>
      </c>
      <c r="Q1016" s="24">
        <f ca="1">IFERROR(__xludf.DUMMYFUNCTION("""COMPUTED_VALUE"""),0)</f>
        <v>0</v>
      </c>
      <c r="R1016" s="20"/>
    </row>
    <row r="1017" spans="1:18" ht="13.2" hidden="1" outlineLevel="1" x14ac:dyDescent="0.25">
      <c r="A1017" s="1"/>
      <c r="B1017" s="21" t="str">
        <f ca="1">IFERROR(__xludf.DUMMYFUNCTION("""COMPUTED_VALUE"""),"Coque de petróleo")</f>
        <v>Coque de petróleo</v>
      </c>
      <c r="C1017" s="22">
        <f ca="1">IFERROR(__xludf.DUMMYFUNCTION("""COMPUTED_VALUE"""),0)</f>
        <v>0</v>
      </c>
      <c r="D1017" s="23">
        <f ca="1">IFERROR(__xludf.DUMMYFUNCTION("""COMPUTED_VALUE"""),0)</f>
        <v>0</v>
      </c>
      <c r="E1017" s="23">
        <f ca="1">IFERROR(__xludf.DUMMYFUNCTION("""COMPUTED_VALUE"""),0)</f>
        <v>0</v>
      </c>
      <c r="F1017" s="23">
        <f ca="1">IFERROR(__xludf.DUMMYFUNCTION("""COMPUTED_VALUE"""),0)</f>
        <v>0</v>
      </c>
      <c r="G1017" s="23">
        <f ca="1">IFERROR(__xludf.DUMMYFUNCTION("""COMPUTED_VALUE"""),0)</f>
        <v>0</v>
      </c>
      <c r="H1017" s="23">
        <f ca="1">IFERROR(__xludf.DUMMYFUNCTION("""COMPUTED_VALUE"""),0)</f>
        <v>0</v>
      </c>
      <c r="I1017" s="23">
        <f ca="1">IFERROR(__xludf.DUMMYFUNCTION("""COMPUTED_VALUE"""),0)</f>
        <v>0</v>
      </c>
      <c r="J1017" s="23">
        <f ca="1">IFERROR(__xludf.DUMMYFUNCTION("""COMPUTED_VALUE"""),0)</f>
        <v>0</v>
      </c>
      <c r="K1017" s="23">
        <f ca="1">IFERROR(__xludf.DUMMYFUNCTION("""COMPUTED_VALUE"""),0)</f>
        <v>0</v>
      </c>
      <c r="L1017" s="23">
        <f ca="1">IFERROR(__xludf.DUMMYFUNCTION("""COMPUTED_VALUE"""),0)</f>
        <v>0</v>
      </c>
      <c r="M1017" s="23">
        <f ca="1">IFERROR(__xludf.DUMMYFUNCTION("""COMPUTED_VALUE"""),0)</f>
        <v>0</v>
      </c>
      <c r="N1017" s="23">
        <f ca="1">IFERROR(__xludf.DUMMYFUNCTION("""COMPUTED_VALUE"""),0)</f>
        <v>0</v>
      </c>
      <c r="O1017" s="23">
        <f ca="1">IFERROR(__xludf.DUMMYFUNCTION("""COMPUTED_VALUE"""),0)</f>
        <v>0</v>
      </c>
      <c r="P1017" s="23">
        <f ca="1">IFERROR(__xludf.DUMMYFUNCTION("""COMPUTED_VALUE"""),0)</f>
        <v>0</v>
      </c>
      <c r="Q1017" s="24">
        <f ca="1">IFERROR(__xludf.DUMMYFUNCTION("""COMPUTED_VALUE"""),0)</f>
        <v>0</v>
      </c>
      <c r="R1017" s="20"/>
    </row>
    <row r="1018" spans="1:18" ht="13.2" hidden="1" outlineLevel="1" x14ac:dyDescent="0.25">
      <c r="A1018" s="1"/>
      <c r="B1018" s="21" t="str">
        <f ca="1">IFERROR(__xludf.DUMMYFUNCTION("""COMPUTED_VALUE"""),"Gas licuado de petróleo")</f>
        <v>Gas licuado de petróleo</v>
      </c>
      <c r="C1018" s="22">
        <f ca="1">IFERROR(__xludf.DUMMYFUNCTION("""COMPUTED_VALUE"""),40.2715537038991)</f>
        <v>40.271553703899102</v>
      </c>
      <c r="D1018" s="23">
        <f ca="1">IFERROR(__xludf.DUMMYFUNCTION("""COMPUTED_VALUE"""),43.6845885395398)</f>
        <v>43.684588539539803</v>
      </c>
      <c r="E1018" s="23">
        <f ca="1">IFERROR(__xludf.DUMMYFUNCTION("""COMPUTED_VALUE"""),48.2726217694281)</f>
        <v>48.272621769428099</v>
      </c>
      <c r="F1018" s="23">
        <f ca="1">IFERROR(__xludf.DUMMYFUNCTION("""COMPUTED_VALUE"""),52.2894648291422)</f>
        <v>52.289464829142197</v>
      </c>
      <c r="G1018" s="23">
        <f ca="1">IFERROR(__xludf.DUMMYFUNCTION("""COMPUTED_VALUE"""),55.1261575858918)</f>
        <v>55.126157585891796</v>
      </c>
      <c r="H1018" s="23">
        <f ca="1">IFERROR(__xludf.DUMMYFUNCTION("""COMPUTED_VALUE"""),61.8407813615076)</f>
        <v>61.840781361507602</v>
      </c>
      <c r="I1018" s="23">
        <f ca="1">IFERROR(__xludf.DUMMYFUNCTION("""COMPUTED_VALUE"""),64.7291571488421)</f>
        <v>64.729157148842106</v>
      </c>
      <c r="J1018" s="23">
        <f ca="1">IFERROR(__xludf.DUMMYFUNCTION("""COMPUTED_VALUE"""),61.0426510473471)</f>
        <v>61.0426510473471</v>
      </c>
      <c r="K1018" s="23">
        <f ca="1">IFERROR(__xludf.DUMMYFUNCTION("""COMPUTED_VALUE"""),64.6411630939071)</f>
        <v>64.641163093907096</v>
      </c>
      <c r="L1018" s="23">
        <f ca="1">IFERROR(__xludf.DUMMYFUNCTION("""COMPUTED_VALUE"""),52.7694529179938)</f>
        <v>52.769452917993803</v>
      </c>
      <c r="M1018" s="23">
        <f ca="1">IFERROR(__xludf.DUMMYFUNCTION("""COMPUTED_VALUE"""),56.2022399377038)</f>
        <v>56.202239937703801</v>
      </c>
      <c r="N1018" s="23">
        <f ca="1">IFERROR(__xludf.DUMMYFUNCTION("""COMPUTED_VALUE"""),69.6398758752805)</f>
        <v>69.639875875280495</v>
      </c>
      <c r="O1018" s="23">
        <f ca="1">IFERROR(__xludf.DUMMYFUNCTION("""COMPUTED_VALUE"""),72.7539847308057)</f>
        <v>72.753984730805698</v>
      </c>
      <c r="P1018" s="23">
        <f ca="1">IFERROR(__xludf.DUMMYFUNCTION("""COMPUTED_VALUE"""),74.9842808469222)</f>
        <v>74.984280846922204</v>
      </c>
      <c r="Q1018" s="24">
        <f ca="1">IFERROR(__xludf.DUMMYFUNCTION("""COMPUTED_VALUE"""),63.5359371630379)</f>
        <v>63.5359371630379</v>
      </c>
      <c r="R1018" s="20"/>
    </row>
    <row r="1019" spans="1:18" ht="13.2" hidden="1" outlineLevel="1" x14ac:dyDescent="0.25">
      <c r="A1019" s="1"/>
      <c r="B1019" s="21" t="str">
        <f ca="1">IFERROR(__xludf.DUMMYFUNCTION("""COMPUTED_VALUE"""),"Gasolinas y naftas")</f>
        <v>Gasolinas y naftas</v>
      </c>
      <c r="C1019" s="22">
        <f ca="1">IFERROR(__xludf.DUMMYFUNCTION("""COMPUTED_VALUE"""),1328.8)</f>
        <v>1328.8</v>
      </c>
      <c r="D1019" s="23">
        <f ca="1">IFERROR(__xludf.DUMMYFUNCTION("""COMPUTED_VALUE"""),1327.22)</f>
        <v>1327.22</v>
      </c>
      <c r="E1019" s="23">
        <f ca="1">IFERROR(__xludf.DUMMYFUNCTION("""COMPUTED_VALUE"""),1317.69)</f>
        <v>1317.69</v>
      </c>
      <c r="F1019" s="23">
        <f ca="1">IFERROR(__xludf.DUMMYFUNCTION("""COMPUTED_VALUE"""),1324.11)</f>
        <v>1324.11</v>
      </c>
      <c r="G1019" s="23">
        <f ca="1">IFERROR(__xludf.DUMMYFUNCTION("""COMPUTED_VALUE"""),1464.04)</f>
        <v>1464.04</v>
      </c>
      <c r="H1019" s="23">
        <f ca="1">IFERROR(__xludf.DUMMYFUNCTION("""COMPUTED_VALUE"""),1524.87)</f>
        <v>1524.87</v>
      </c>
      <c r="I1019" s="23">
        <f ca="1">IFERROR(__xludf.DUMMYFUNCTION("""COMPUTED_VALUE"""),1627.38)</f>
        <v>1627.38</v>
      </c>
      <c r="J1019" s="23">
        <f ca="1">IFERROR(__xludf.DUMMYFUNCTION("""COMPUTED_VALUE"""),1575.09)</f>
        <v>1575.09</v>
      </c>
      <c r="K1019" s="23">
        <f ca="1">IFERROR(__xludf.DUMMYFUNCTION("""COMPUTED_VALUE"""),1616.81)</f>
        <v>1616.81</v>
      </c>
      <c r="L1019" s="23">
        <f ca="1">IFERROR(__xludf.DUMMYFUNCTION("""COMPUTED_VALUE"""),1515.98)</f>
        <v>1515.98</v>
      </c>
      <c r="M1019" s="23">
        <f ca="1">IFERROR(__xludf.DUMMYFUNCTION("""COMPUTED_VALUE"""),1121.52)</f>
        <v>1121.52</v>
      </c>
      <c r="N1019" s="23">
        <f ca="1">IFERROR(__xludf.DUMMYFUNCTION("""COMPUTED_VALUE"""),1293.7)</f>
        <v>1293.7</v>
      </c>
      <c r="O1019" s="23">
        <f ca="1">IFERROR(__xludf.DUMMYFUNCTION("""COMPUTED_VALUE"""),1389.17)</f>
        <v>1389.17</v>
      </c>
      <c r="P1019" s="23">
        <f ca="1">IFERROR(__xludf.DUMMYFUNCTION("""COMPUTED_VALUE"""),1409.9)</f>
        <v>1409.9</v>
      </c>
      <c r="Q1019" s="24">
        <f ca="1">IFERROR(__xludf.DUMMYFUNCTION("""COMPUTED_VALUE"""),1460)</f>
        <v>1460</v>
      </c>
      <c r="R1019" s="20"/>
    </row>
    <row r="1020" spans="1:18" ht="13.2" hidden="1" outlineLevel="1" x14ac:dyDescent="0.25">
      <c r="A1020" s="1"/>
      <c r="B1020" s="21" t="str">
        <f ca="1">IFERROR(__xludf.DUMMYFUNCTION("""COMPUTED_VALUE"""),"Querosenos")</f>
        <v>Querosenos</v>
      </c>
      <c r="C1020" s="22">
        <f ca="1">IFERROR(__xludf.DUMMYFUNCTION("""COMPUTED_VALUE"""),90.12)</f>
        <v>90.12</v>
      </c>
      <c r="D1020" s="23">
        <f ca="1">IFERROR(__xludf.DUMMYFUNCTION("""COMPUTED_VALUE"""),78.26)</f>
        <v>78.260000000000005</v>
      </c>
      <c r="E1020" s="23">
        <f ca="1">IFERROR(__xludf.DUMMYFUNCTION("""COMPUTED_VALUE"""),91.97)</f>
        <v>91.97</v>
      </c>
      <c r="F1020" s="23">
        <f ca="1">IFERROR(__xludf.DUMMYFUNCTION("""COMPUTED_VALUE"""),102.94)</f>
        <v>102.94</v>
      </c>
      <c r="G1020" s="23">
        <f ca="1">IFERROR(__xludf.DUMMYFUNCTION("""COMPUTED_VALUE"""),130.91)</f>
        <v>130.91</v>
      </c>
      <c r="H1020" s="23">
        <f ca="1">IFERROR(__xludf.DUMMYFUNCTION("""COMPUTED_VALUE"""),147.79)</f>
        <v>147.79</v>
      </c>
      <c r="I1020" s="23">
        <f ca="1">IFERROR(__xludf.DUMMYFUNCTION("""COMPUTED_VALUE"""),166.86)</f>
        <v>166.86</v>
      </c>
      <c r="J1020" s="23">
        <f ca="1">IFERROR(__xludf.DUMMYFUNCTION("""COMPUTED_VALUE"""),182.04)</f>
        <v>182.04</v>
      </c>
      <c r="K1020" s="23">
        <f ca="1">IFERROR(__xludf.DUMMYFUNCTION("""COMPUTED_VALUE"""),209.18)</f>
        <v>209.18</v>
      </c>
      <c r="L1020" s="23">
        <f ca="1">IFERROR(__xludf.DUMMYFUNCTION("""COMPUTED_VALUE"""),214.53)</f>
        <v>214.53</v>
      </c>
      <c r="M1020" s="23">
        <f ca="1">IFERROR(__xludf.DUMMYFUNCTION("""COMPUTED_VALUE"""),87.55)</f>
        <v>87.55</v>
      </c>
      <c r="N1020" s="23">
        <f ca="1">IFERROR(__xludf.DUMMYFUNCTION("""COMPUTED_VALUE"""),140.82)</f>
        <v>140.82</v>
      </c>
      <c r="O1020" s="23">
        <f ca="1">IFERROR(__xludf.DUMMYFUNCTION("""COMPUTED_VALUE"""),183.35)</f>
        <v>183.35</v>
      </c>
      <c r="P1020" s="23">
        <f ca="1">IFERROR(__xludf.DUMMYFUNCTION("""COMPUTED_VALUE"""),197.27)</f>
        <v>197.27</v>
      </c>
      <c r="Q1020" s="24">
        <f ca="1">IFERROR(__xludf.DUMMYFUNCTION("""COMPUTED_VALUE"""),203.23)</f>
        <v>203.23</v>
      </c>
      <c r="R1020" s="20"/>
    </row>
    <row r="1021" spans="1:18" ht="13.2" hidden="1" outlineLevel="1" x14ac:dyDescent="0.25">
      <c r="A1021" s="1"/>
      <c r="B1021" s="21" t="str">
        <f ca="1">IFERROR(__xludf.DUMMYFUNCTION("""COMPUTED_VALUE"""),"Diesel")</f>
        <v>Diesel</v>
      </c>
      <c r="C1021" s="22">
        <f ca="1">IFERROR(__xludf.DUMMYFUNCTION("""COMPUTED_VALUE"""),600.234072235114)</f>
        <v>600.23407223511401</v>
      </c>
      <c r="D1021" s="23">
        <f ca="1">IFERROR(__xludf.DUMMYFUNCTION("""COMPUTED_VALUE"""),607.750242918949)</f>
        <v>607.75024291894897</v>
      </c>
      <c r="E1021" s="23">
        <f ca="1">IFERROR(__xludf.DUMMYFUNCTION("""COMPUTED_VALUE"""),632.570993962863)</f>
        <v>632.57099396286299</v>
      </c>
      <c r="F1021" s="23">
        <f ca="1">IFERROR(__xludf.DUMMYFUNCTION("""COMPUTED_VALUE"""),611.940779815951)</f>
        <v>611.94077981595103</v>
      </c>
      <c r="G1021" s="23">
        <f ca="1">IFERROR(__xludf.DUMMYFUNCTION("""COMPUTED_VALUE"""),604.566735508155)</f>
        <v>604.56673550815503</v>
      </c>
      <c r="H1021" s="23">
        <f ca="1">IFERROR(__xludf.DUMMYFUNCTION("""COMPUTED_VALUE"""),653.270394226553)</f>
        <v>653.27039422655298</v>
      </c>
      <c r="I1021" s="23">
        <f ca="1">IFERROR(__xludf.DUMMYFUNCTION("""COMPUTED_VALUE"""),608.402711741842)</f>
        <v>608.40271174184204</v>
      </c>
      <c r="J1021" s="23">
        <f ca="1">IFERROR(__xludf.DUMMYFUNCTION("""COMPUTED_VALUE"""),611.437301880717)</f>
        <v>611.43730188071697</v>
      </c>
      <c r="K1021" s="23">
        <f ca="1">IFERROR(__xludf.DUMMYFUNCTION("""COMPUTED_VALUE"""),673.956953372566)</f>
        <v>673.95695337256598</v>
      </c>
      <c r="L1021" s="23">
        <f ca="1">IFERROR(__xludf.DUMMYFUNCTION("""COMPUTED_VALUE"""),611.735205907758)</f>
        <v>611.73520590775797</v>
      </c>
      <c r="M1021" s="23">
        <f ca="1">IFERROR(__xludf.DUMMYFUNCTION("""COMPUTED_VALUE"""),371.033808588458)</f>
        <v>371.03380858845799</v>
      </c>
      <c r="N1021" s="23">
        <f ca="1">IFERROR(__xludf.DUMMYFUNCTION("""COMPUTED_VALUE"""),648.485777777777)</f>
        <v>648.485777777777</v>
      </c>
      <c r="O1021" s="23">
        <f ca="1">IFERROR(__xludf.DUMMYFUNCTION("""COMPUTED_VALUE"""),674.297036718241)</f>
        <v>674.29703671824097</v>
      </c>
      <c r="P1021" s="23">
        <f ca="1">IFERROR(__xludf.DUMMYFUNCTION("""COMPUTED_VALUE"""),675.427803512191)</f>
        <v>675.42780351219096</v>
      </c>
      <c r="Q1021" s="24">
        <f ca="1">IFERROR(__xludf.DUMMYFUNCTION("""COMPUTED_VALUE"""),652.520752573827)</f>
        <v>652.52075257382705</v>
      </c>
      <c r="R1021" s="20"/>
    </row>
    <row r="1022" spans="1:18" ht="13.2" hidden="1" outlineLevel="1" x14ac:dyDescent="0.25">
      <c r="A1022" s="1"/>
      <c r="B1022" s="21" t="str">
        <f ca="1">IFERROR(__xludf.DUMMYFUNCTION("""COMPUTED_VALUE"""),"Combustóleo")</f>
        <v>Combustóleo</v>
      </c>
      <c r="C1022" s="22">
        <f ca="1">IFERROR(__xludf.DUMMYFUNCTION("""COMPUTED_VALUE"""),1.9)</f>
        <v>1.9</v>
      </c>
      <c r="D1022" s="23">
        <f ca="1">IFERROR(__xludf.DUMMYFUNCTION("""COMPUTED_VALUE"""),1.55)</f>
        <v>1.55</v>
      </c>
      <c r="E1022" s="23">
        <f ca="1">IFERROR(__xludf.DUMMYFUNCTION("""COMPUTED_VALUE"""),0.37)</f>
        <v>0.37</v>
      </c>
      <c r="F1022" s="23">
        <f ca="1">IFERROR(__xludf.DUMMYFUNCTION("""COMPUTED_VALUE"""),0.08)</f>
        <v>0.08</v>
      </c>
      <c r="G1022" s="23">
        <f ca="1">IFERROR(__xludf.DUMMYFUNCTION("""COMPUTED_VALUE"""),0.539999999999992)</f>
        <v>0.53999999999999204</v>
      </c>
      <c r="H1022" s="23">
        <f ca="1">IFERROR(__xludf.DUMMYFUNCTION("""COMPUTED_VALUE"""),1.73259615448884)</f>
        <v>1.73259615448884</v>
      </c>
      <c r="I1022" s="23">
        <f ca="1">IFERROR(__xludf.DUMMYFUNCTION("""COMPUTED_VALUE"""),0.99)</f>
        <v>0.99</v>
      </c>
      <c r="J1022" s="23">
        <f ca="1">IFERROR(__xludf.DUMMYFUNCTION("""COMPUTED_VALUE"""),2.44482509993834)</f>
        <v>2.4448250999383401</v>
      </c>
      <c r="K1022" s="23">
        <f ca="1">IFERROR(__xludf.DUMMYFUNCTION("""COMPUTED_VALUE"""),2.9)</f>
        <v>2.9</v>
      </c>
      <c r="L1022" s="23">
        <f ca="1">IFERROR(__xludf.DUMMYFUNCTION("""COMPUTED_VALUE"""),2.38)</f>
        <v>2.38</v>
      </c>
      <c r="M1022" s="23">
        <f ca="1">IFERROR(__xludf.DUMMYFUNCTION("""COMPUTED_VALUE"""),2.09)</f>
        <v>2.09</v>
      </c>
      <c r="N1022" s="23">
        <f ca="1">IFERROR(__xludf.DUMMYFUNCTION("""COMPUTED_VALUE"""),3.88)</f>
        <v>3.88</v>
      </c>
      <c r="O1022" s="23">
        <f ca="1">IFERROR(__xludf.DUMMYFUNCTION("""COMPUTED_VALUE"""),3.9)</f>
        <v>3.9</v>
      </c>
      <c r="P1022" s="23">
        <f ca="1">IFERROR(__xludf.DUMMYFUNCTION("""COMPUTED_VALUE"""),3.95)</f>
        <v>3.95</v>
      </c>
      <c r="Q1022" s="24">
        <f ca="1">IFERROR(__xludf.DUMMYFUNCTION("""COMPUTED_VALUE"""),4.03142)</f>
        <v>4.0314199999999998</v>
      </c>
      <c r="R1022" s="20"/>
    </row>
    <row r="1023" spans="1:18" ht="13.2" hidden="1" outlineLevel="1" x14ac:dyDescent="0.25">
      <c r="A1023" s="1"/>
      <c r="B1023" s="21" t="str">
        <f ca="1">IFERROR(__xludf.DUMMYFUNCTION("""COMPUTED_VALUE"""),"Otros energéticos")</f>
        <v>Otros energéticos</v>
      </c>
      <c r="C1023" s="22">
        <f ca="1">IFERROR(__xludf.DUMMYFUNCTION("""COMPUTED_VALUE"""),0)</f>
        <v>0</v>
      </c>
      <c r="D1023" s="23">
        <f ca="1">IFERROR(__xludf.DUMMYFUNCTION("""COMPUTED_VALUE"""),0)</f>
        <v>0</v>
      </c>
      <c r="E1023" s="23">
        <f ca="1">IFERROR(__xludf.DUMMYFUNCTION("""COMPUTED_VALUE"""),0)</f>
        <v>0</v>
      </c>
      <c r="F1023" s="23">
        <f ca="1">IFERROR(__xludf.DUMMYFUNCTION("""COMPUTED_VALUE"""),0)</f>
        <v>0</v>
      </c>
      <c r="G1023" s="23">
        <f ca="1">IFERROR(__xludf.DUMMYFUNCTION("""COMPUTED_VALUE"""),0)</f>
        <v>0</v>
      </c>
      <c r="H1023" s="23">
        <f ca="1">IFERROR(__xludf.DUMMYFUNCTION("""COMPUTED_VALUE"""),0)</f>
        <v>0</v>
      </c>
      <c r="I1023" s="23">
        <f ca="1">IFERROR(__xludf.DUMMYFUNCTION("""COMPUTED_VALUE"""),0)</f>
        <v>0</v>
      </c>
      <c r="J1023" s="23">
        <f ca="1">IFERROR(__xludf.DUMMYFUNCTION("""COMPUTED_VALUE"""),0)</f>
        <v>0</v>
      </c>
      <c r="K1023" s="23">
        <f ca="1">IFERROR(__xludf.DUMMYFUNCTION("""COMPUTED_VALUE"""),0)</f>
        <v>0</v>
      </c>
      <c r="L1023" s="23">
        <f ca="1">IFERROR(__xludf.DUMMYFUNCTION("""COMPUTED_VALUE"""),0)</f>
        <v>0</v>
      </c>
      <c r="M1023" s="23">
        <f ca="1">IFERROR(__xludf.DUMMYFUNCTION("""COMPUTED_VALUE"""),0)</f>
        <v>0</v>
      </c>
      <c r="N1023" s="23">
        <f ca="1">IFERROR(__xludf.DUMMYFUNCTION("""COMPUTED_VALUE"""),0)</f>
        <v>0</v>
      </c>
      <c r="O1023" s="23">
        <f ca="1">IFERROR(__xludf.DUMMYFUNCTION("""COMPUTED_VALUE"""),0)</f>
        <v>0</v>
      </c>
      <c r="P1023" s="23">
        <f ca="1">IFERROR(__xludf.DUMMYFUNCTION("""COMPUTED_VALUE"""),0)</f>
        <v>0</v>
      </c>
      <c r="Q1023" s="24">
        <f ca="1">IFERROR(__xludf.DUMMYFUNCTION("""COMPUTED_VALUE"""),0)</f>
        <v>0</v>
      </c>
      <c r="R1023" s="20"/>
    </row>
    <row r="1024" spans="1:18" ht="13.2" hidden="1" outlineLevel="1" x14ac:dyDescent="0.25">
      <c r="A1024" s="1"/>
      <c r="B1024" s="21" t="str">
        <f ca="1">IFERROR(__xludf.DUMMYFUNCTION("""COMPUTED_VALUE"""),"Gas natural seco")</f>
        <v>Gas natural seco</v>
      </c>
      <c r="C1024" s="22">
        <f ca="1">IFERROR(__xludf.DUMMYFUNCTION("""COMPUTED_VALUE"""),0.5)</f>
        <v>0.5</v>
      </c>
      <c r="D1024" s="23">
        <f ca="1">IFERROR(__xludf.DUMMYFUNCTION("""COMPUTED_VALUE"""),0.56)</f>
        <v>0.56000000000000005</v>
      </c>
      <c r="E1024" s="23">
        <f ca="1">IFERROR(__xludf.DUMMYFUNCTION("""COMPUTED_VALUE"""),0.69)</f>
        <v>0.69</v>
      </c>
      <c r="F1024" s="23">
        <f ca="1">IFERROR(__xludf.DUMMYFUNCTION("""COMPUTED_VALUE"""),0.87)</f>
        <v>0.87</v>
      </c>
      <c r="G1024" s="23">
        <f ca="1">IFERROR(__xludf.DUMMYFUNCTION("""COMPUTED_VALUE"""),0.82)</f>
        <v>0.82</v>
      </c>
      <c r="H1024" s="23">
        <f ca="1">IFERROR(__xludf.DUMMYFUNCTION("""COMPUTED_VALUE"""),0.83)</f>
        <v>0.83</v>
      </c>
      <c r="I1024" s="23">
        <f ca="1">IFERROR(__xludf.DUMMYFUNCTION("""COMPUTED_VALUE"""),1.12)</f>
        <v>1.1200000000000001</v>
      </c>
      <c r="J1024" s="23">
        <f ca="1">IFERROR(__xludf.DUMMYFUNCTION("""COMPUTED_VALUE"""),2.21)</f>
        <v>2.21</v>
      </c>
      <c r="K1024" s="23">
        <f ca="1">IFERROR(__xludf.DUMMYFUNCTION("""COMPUTED_VALUE"""),2.73)</f>
        <v>2.73</v>
      </c>
      <c r="L1024" s="23">
        <f ca="1">IFERROR(__xludf.DUMMYFUNCTION("""COMPUTED_VALUE"""),2.09)</f>
        <v>2.09</v>
      </c>
      <c r="M1024" s="23">
        <f ca="1">IFERROR(__xludf.DUMMYFUNCTION("""COMPUTED_VALUE"""),1.81)</f>
        <v>1.81</v>
      </c>
      <c r="N1024" s="23">
        <f ca="1">IFERROR(__xludf.DUMMYFUNCTION("""COMPUTED_VALUE"""),1.75)</f>
        <v>1.75</v>
      </c>
      <c r="O1024" s="23">
        <f ca="1">IFERROR(__xludf.DUMMYFUNCTION("""COMPUTED_VALUE"""),1.64)</f>
        <v>1.64</v>
      </c>
      <c r="P1024" s="23">
        <f ca="1">IFERROR(__xludf.DUMMYFUNCTION("""COMPUTED_VALUE"""),1.57)</f>
        <v>1.57</v>
      </c>
      <c r="Q1024" s="24">
        <f ca="1">IFERROR(__xludf.DUMMYFUNCTION("""COMPUTED_VALUE"""),1.53)</f>
        <v>1.53</v>
      </c>
      <c r="R1024" s="20"/>
    </row>
    <row r="1025" spans="1:18" ht="13.2" hidden="1" outlineLevel="1" x14ac:dyDescent="0.25">
      <c r="A1025" s="1"/>
      <c r="B1025" s="25" t="str">
        <f ca="1">IFERROR(__xludf.DUMMYFUNCTION("""COMPUTED_VALUE"""),"Energía eléctrica")</f>
        <v>Energía eléctrica</v>
      </c>
      <c r="C1025" s="26">
        <f ca="1">IFERROR(__xludf.DUMMYFUNCTION("""COMPUTED_VALUE"""),4.08190496174833)</f>
        <v>4.0819049617483296</v>
      </c>
      <c r="D1025" s="27">
        <f ca="1">IFERROR(__xludf.DUMMYFUNCTION("""COMPUTED_VALUE"""),4.12234387686849)</f>
        <v>4.1223438768684897</v>
      </c>
      <c r="E1025" s="27">
        <f ca="1">IFERROR(__xludf.DUMMYFUNCTION("""COMPUTED_VALUE"""),4.14347400948868)</f>
        <v>4.1434740094886804</v>
      </c>
      <c r="F1025" s="27">
        <f ca="1">IFERROR(__xludf.DUMMYFUNCTION("""COMPUTED_VALUE"""),4.3131692644299)</f>
        <v>4.3131692644298996</v>
      </c>
      <c r="G1025" s="27">
        <f ca="1">IFERROR(__xludf.DUMMYFUNCTION("""COMPUTED_VALUE"""),4.21693540420395)</f>
        <v>4.2169354042039497</v>
      </c>
      <c r="H1025" s="27">
        <f ca="1">IFERROR(__xludf.DUMMYFUNCTION("""COMPUTED_VALUE"""),4.18202668210455)</f>
        <v>4.1820266821045502</v>
      </c>
      <c r="I1025" s="27">
        <f ca="1">IFERROR(__xludf.DUMMYFUNCTION("""COMPUTED_VALUE"""),4.21885918820663)</f>
        <v>4.21885918820663</v>
      </c>
      <c r="J1025" s="27">
        <f ca="1">IFERROR(__xludf.DUMMYFUNCTION("""COMPUTED_VALUE"""),4.04699550089353)</f>
        <v>4.0469955008935301</v>
      </c>
      <c r="K1025" s="27">
        <f ca="1">IFERROR(__xludf.DUMMYFUNCTION("""COMPUTED_VALUE"""),4.00670012987177)</f>
        <v>4.0067001298717697</v>
      </c>
      <c r="L1025" s="27">
        <f ca="1">IFERROR(__xludf.DUMMYFUNCTION("""COMPUTED_VALUE"""),4.16041135909006)</f>
        <v>4.1604113590900598</v>
      </c>
      <c r="M1025" s="27">
        <f ca="1">IFERROR(__xludf.DUMMYFUNCTION("""COMPUTED_VALUE"""),3.55173598428103)</f>
        <v>3.5517359842810299</v>
      </c>
      <c r="N1025" s="27">
        <f ca="1">IFERROR(__xludf.DUMMYFUNCTION("""COMPUTED_VALUE"""),5.87989269704628)</f>
        <v>5.8798926970462801</v>
      </c>
      <c r="O1025" s="27">
        <f ca="1">IFERROR(__xludf.DUMMYFUNCTION("""COMPUTED_VALUE"""),4.68784080233352)</f>
        <v>4.6878408023335201</v>
      </c>
      <c r="P1025" s="27">
        <f ca="1">IFERROR(__xludf.DUMMYFUNCTION("""COMPUTED_VALUE"""),4.94731632884178)</f>
        <v>4.9473163288417803</v>
      </c>
      <c r="Q1025" s="28">
        <f ca="1">IFERROR(__xludf.DUMMYFUNCTION("""COMPUTED_VALUE"""),5.45918421291901)</f>
        <v>5.45918421291901</v>
      </c>
      <c r="R1025" s="20"/>
    </row>
    <row r="1026" spans="1:18" ht="13.2" hidden="1" outlineLevel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0"/>
    </row>
    <row r="1027" spans="1:18" ht="13.2" collapsed="1" x14ac:dyDescent="0.25">
      <c r="A1027" s="4"/>
      <c r="B1027" s="5" t="str">
        <f ca="1">IFERROR(__xludf.DUMMYFUNCTION("""COMPUTED_VALUE"""),"Prod.Bru.Ene.Sec(e,a)")</f>
        <v>Prod.Bru.Ene.Sec(e,a)</v>
      </c>
      <c r="C1027" s="6" t="str">
        <f ca="1">IFERROR(__xludf.DUMMYFUNCTION("""COMPUTED_VALUE"""),"/+")</f>
        <v>/+</v>
      </c>
      <c r="D1027" s="7" t="str">
        <f ca="1">IFERROR(__xludf.DUMMYFUNCTION("""COMPUTED_VALUE"""),"Prod. bruta energía secundaria")</f>
        <v>Prod. bruta energía secundaria</v>
      </c>
      <c r="E1027" s="6" t="str">
        <f ca="1">IFERROR(__xludf.DUMMYFUNCTION("""COMPUTED_VALUE"""),"cbne")</f>
        <v>cbne</v>
      </c>
      <c r="F1027" s="6" t="str">
        <f ca="1">IFERROR(__xludf.DUMMYFUNCTION("""COMPUTED_VALUE"""),"a")</f>
        <v>a</v>
      </c>
      <c r="G1027" s="8" t="str">
        <f ca="1">IFERROR(__xludf.DUMMYFUNCTION("""COMPUTED_VALUE"""),"PJ")</f>
        <v>PJ</v>
      </c>
      <c r="H1027" s="9"/>
      <c r="I1027" s="1"/>
      <c r="J1027" s="1"/>
      <c r="K1027" s="1"/>
      <c r="L1027" s="1"/>
      <c r="M1027" s="1"/>
      <c r="N1027" s="1"/>
      <c r="O1027" s="1"/>
      <c r="P1027" s="1"/>
      <c r="Q1027" s="1"/>
      <c r="R1027" s="10"/>
    </row>
    <row r="1028" spans="1:18" ht="13.2" hidden="1" outlineLevel="1" x14ac:dyDescent="0.25">
      <c r="A1028" s="1"/>
      <c r="B1028" s="11"/>
      <c r="C1028" s="12">
        <f ca="1">IFERROR(__xludf.DUMMYFUNCTION("""COMPUTED_VALUE"""),2010)</f>
        <v>2010</v>
      </c>
      <c r="D1028" s="13">
        <f ca="1">IFERROR(__xludf.DUMMYFUNCTION("""COMPUTED_VALUE"""),2011)</f>
        <v>2011</v>
      </c>
      <c r="E1028" s="13">
        <f ca="1">IFERROR(__xludf.DUMMYFUNCTION("""COMPUTED_VALUE"""),2012)</f>
        <v>2012</v>
      </c>
      <c r="F1028" s="13">
        <f ca="1">IFERROR(__xludf.DUMMYFUNCTION("""COMPUTED_VALUE"""),2013)</f>
        <v>2013</v>
      </c>
      <c r="G1028" s="13">
        <f ca="1">IFERROR(__xludf.DUMMYFUNCTION("""COMPUTED_VALUE"""),2014)</f>
        <v>2014</v>
      </c>
      <c r="H1028" s="13">
        <f ca="1">IFERROR(__xludf.DUMMYFUNCTION("""COMPUTED_VALUE"""),2015)</f>
        <v>2015</v>
      </c>
      <c r="I1028" s="13">
        <f ca="1">IFERROR(__xludf.DUMMYFUNCTION("""COMPUTED_VALUE"""),2016)</f>
        <v>2016</v>
      </c>
      <c r="J1028" s="13">
        <f ca="1">IFERROR(__xludf.DUMMYFUNCTION("""COMPUTED_VALUE"""),2017)</f>
        <v>2017</v>
      </c>
      <c r="K1028" s="13">
        <f ca="1">IFERROR(__xludf.DUMMYFUNCTION("""COMPUTED_VALUE"""),2018)</f>
        <v>2018</v>
      </c>
      <c r="L1028" s="13">
        <f ca="1">IFERROR(__xludf.DUMMYFUNCTION("""COMPUTED_VALUE"""),2019)</f>
        <v>2019</v>
      </c>
      <c r="M1028" s="13">
        <f ca="1">IFERROR(__xludf.DUMMYFUNCTION("""COMPUTED_VALUE"""),2020)</f>
        <v>2020</v>
      </c>
      <c r="N1028" s="13">
        <f ca="1">IFERROR(__xludf.DUMMYFUNCTION("""COMPUTED_VALUE"""),2021)</f>
        <v>2021</v>
      </c>
      <c r="O1028" s="13">
        <f ca="1">IFERROR(__xludf.DUMMYFUNCTION("""COMPUTED_VALUE"""),2022)</f>
        <v>2022</v>
      </c>
      <c r="P1028" s="13">
        <f ca="1">IFERROR(__xludf.DUMMYFUNCTION("""COMPUTED_VALUE"""),2023)</f>
        <v>2023</v>
      </c>
      <c r="Q1028" s="14">
        <f ca="1">IFERROR(__xludf.DUMMYFUNCTION("""COMPUTED_VALUE"""),2024)</f>
        <v>2024</v>
      </c>
      <c r="R1028" s="15"/>
    </row>
    <row r="1029" spans="1:18" ht="13.2" hidden="1" outlineLevel="1" x14ac:dyDescent="0.25">
      <c r="A1029" s="1"/>
      <c r="B1029" s="16" t="str">
        <f ca="1">IFERROR(__xludf.DUMMYFUNCTION("""COMPUTED_VALUE"""),"Carbón mineral")</f>
        <v>Carbón mineral</v>
      </c>
      <c r="C1029" s="17">
        <f ca="1">IFERROR(__xludf.DUMMYFUNCTION("""COMPUTED_VALUE"""),0)</f>
        <v>0</v>
      </c>
      <c r="D1029" s="18">
        <f ca="1">IFERROR(__xludf.DUMMYFUNCTION("""COMPUTED_VALUE"""),0)</f>
        <v>0</v>
      </c>
      <c r="E1029" s="18">
        <f ca="1">IFERROR(__xludf.DUMMYFUNCTION("""COMPUTED_VALUE"""),0)</f>
        <v>0</v>
      </c>
      <c r="F1029" s="18">
        <f ca="1">IFERROR(__xludf.DUMMYFUNCTION("""COMPUTED_VALUE"""),0)</f>
        <v>0</v>
      </c>
      <c r="G1029" s="18">
        <f ca="1">IFERROR(__xludf.DUMMYFUNCTION("""COMPUTED_VALUE"""),0)</f>
        <v>0</v>
      </c>
      <c r="H1029" s="18">
        <f ca="1">IFERROR(__xludf.DUMMYFUNCTION("""COMPUTED_VALUE"""),0)</f>
        <v>0</v>
      </c>
      <c r="I1029" s="18">
        <f ca="1">IFERROR(__xludf.DUMMYFUNCTION("""COMPUTED_VALUE"""),0)</f>
        <v>0</v>
      </c>
      <c r="J1029" s="18">
        <f ca="1">IFERROR(__xludf.DUMMYFUNCTION("""COMPUTED_VALUE"""),0)</f>
        <v>0</v>
      </c>
      <c r="K1029" s="18">
        <f ca="1">IFERROR(__xludf.DUMMYFUNCTION("""COMPUTED_VALUE"""),0)</f>
        <v>0</v>
      </c>
      <c r="L1029" s="18">
        <f ca="1">IFERROR(__xludf.DUMMYFUNCTION("""COMPUTED_VALUE"""),0)</f>
        <v>0</v>
      </c>
      <c r="M1029" s="18">
        <f ca="1">IFERROR(__xludf.DUMMYFUNCTION("""COMPUTED_VALUE"""),0)</f>
        <v>0</v>
      </c>
      <c r="N1029" s="18">
        <f ca="1">IFERROR(__xludf.DUMMYFUNCTION("""COMPUTED_VALUE"""),0)</f>
        <v>0</v>
      </c>
      <c r="O1029" s="18">
        <f ca="1">IFERROR(__xludf.DUMMYFUNCTION("""COMPUTED_VALUE"""),0)</f>
        <v>0</v>
      </c>
      <c r="P1029" s="18">
        <f ca="1">IFERROR(__xludf.DUMMYFUNCTION("""COMPUTED_VALUE"""),0)</f>
        <v>0</v>
      </c>
      <c r="Q1029" s="19">
        <f ca="1">IFERROR(__xludf.DUMMYFUNCTION("""COMPUTED_VALUE"""),0)</f>
        <v>0</v>
      </c>
      <c r="R1029" s="20"/>
    </row>
    <row r="1030" spans="1:18" ht="13.2" hidden="1" outlineLevel="1" x14ac:dyDescent="0.25">
      <c r="A1030" s="1"/>
      <c r="B1030" s="21" t="str">
        <f ca="1">IFERROR(__xludf.DUMMYFUNCTION("""COMPUTED_VALUE"""),"Petróleo crudo")</f>
        <v>Petróleo crudo</v>
      </c>
      <c r="C1030" s="22">
        <f ca="1">IFERROR(__xludf.DUMMYFUNCTION("""COMPUTED_VALUE"""),0)</f>
        <v>0</v>
      </c>
      <c r="D1030" s="23">
        <f ca="1">IFERROR(__xludf.DUMMYFUNCTION("""COMPUTED_VALUE"""),0)</f>
        <v>0</v>
      </c>
      <c r="E1030" s="23">
        <f ca="1">IFERROR(__xludf.DUMMYFUNCTION("""COMPUTED_VALUE"""),0)</f>
        <v>0</v>
      </c>
      <c r="F1030" s="23">
        <f ca="1">IFERROR(__xludf.DUMMYFUNCTION("""COMPUTED_VALUE"""),0)</f>
        <v>0</v>
      </c>
      <c r="G1030" s="23">
        <f ca="1">IFERROR(__xludf.DUMMYFUNCTION("""COMPUTED_VALUE"""),0)</f>
        <v>0</v>
      </c>
      <c r="H1030" s="23">
        <f ca="1">IFERROR(__xludf.DUMMYFUNCTION("""COMPUTED_VALUE"""),0)</f>
        <v>0</v>
      </c>
      <c r="I1030" s="23">
        <f ca="1">IFERROR(__xludf.DUMMYFUNCTION("""COMPUTED_VALUE"""),0)</f>
        <v>0</v>
      </c>
      <c r="J1030" s="23">
        <f ca="1">IFERROR(__xludf.DUMMYFUNCTION("""COMPUTED_VALUE"""),0)</f>
        <v>0</v>
      </c>
      <c r="K1030" s="23">
        <f ca="1">IFERROR(__xludf.DUMMYFUNCTION("""COMPUTED_VALUE"""),0)</f>
        <v>0</v>
      </c>
      <c r="L1030" s="23">
        <f ca="1">IFERROR(__xludf.DUMMYFUNCTION("""COMPUTED_VALUE"""),0)</f>
        <v>0</v>
      </c>
      <c r="M1030" s="23">
        <f ca="1">IFERROR(__xludf.DUMMYFUNCTION("""COMPUTED_VALUE"""),0)</f>
        <v>0</v>
      </c>
      <c r="N1030" s="23">
        <f ca="1">IFERROR(__xludf.DUMMYFUNCTION("""COMPUTED_VALUE"""),0)</f>
        <v>0</v>
      </c>
      <c r="O1030" s="23">
        <f ca="1">IFERROR(__xludf.DUMMYFUNCTION("""COMPUTED_VALUE"""),0)</f>
        <v>0</v>
      </c>
      <c r="P1030" s="23">
        <f ca="1">IFERROR(__xludf.DUMMYFUNCTION("""COMPUTED_VALUE"""),0)</f>
        <v>0</v>
      </c>
      <c r="Q1030" s="24">
        <f ca="1">IFERROR(__xludf.DUMMYFUNCTION("""COMPUTED_VALUE"""),0)</f>
        <v>0</v>
      </c>
      <c r="R1030" s="20"/>
    </row>
    <row r="1031" spans="1:18" ht="13.2" hidden="1" outlineLevel="1" x14ac:dyDescent="0.25">
      <c r="A1031" s="1"/>
      <c r="B1031" s="21" t="str">
        <f ca="1">IFERROR(__xludf.DUMMYFUNCTION("""COMPUTED_VALUE"""),"Condensados")</f>
        <v>Condensados</v>
      </c>
      <c r="C1031" s="22">
        <f ca="1">IFERROR(__xludf.DUMMYFUNCTION("""COMPUTED_VALUE"""),0)</f>
        <v>0</v>
      </c>
      <c r="D1031" s="23">
        <f ca="1">IFERROR(__xludf.DUMMYFUNCTION("""COMPUTED_VALUE"""),0)</f>
        <v>0</v>
      </c>
      <c r="E1031" s="23">
        <f ca="1">IFERROR(__xludf.DUMMYFUNCTION("""COMPUTED_VALUE"""),0)</f>
        <v>0</v>
      </c>
      <c r="F1031" s="23">
        <f ca="1">IFERROR(__xludf.DUMMYFUNCTION("""COMPUTED_VALUE"""),0)</f>
        <v>0</v>
      </c>
      <c r="G1031" s="23">
        <f ca="1">IFERROR(__xludf.DUMMYFUNCTION("""COMPUTED_VALUE"""),0)</f>
        <v>0</v>
      </c>
      <c r="H1031" s="23">
        <f ca="1">IFERROR(__xludf.DUMMYFUNCTION("""COMPUTED_VALUE"""),0)</f>
        <v>0</v>
      </c>
      <c r="I1031" s="23">
        <f ca="1">IFERROR(__xludf.DUMMYFUNCTION("""COMPUTED_VALUE"""),0)</f>
        <v>0</v>
      </c>
      <c r="J1031" s="23">
        <f ca="1">IFERROR(__xludf.DUMMYFUNCTION("""COMPUTED_VALUE"""),0)</f>
        <v>0</v>
      </c>
      <c r="K1031" s="23">
        <f ca="1">IFERROR(__xludf.DUMMYFUNCTION("""COMPUTED_VALUE"""),0)</f>
        <v>0</v>
      </c>
      <c r="L1031" s="23">
        <f ca="1">IFERROR(__xludf.DUMMYFUNCTION("""COMPUTED_VALUE"""),0)</f>
        <v>0</v>
      </c>
      <c r="M1031" s="23">
        <f ca="1">IFERROR(__xludf.DUMMYFUNCTION("""COMPUTED_VALUE"""),0)</f>
        <v>0</v>
      </c>
      <c r="N1031" s="23">
        <f ca="1">IFERROR(__xludf.DUMMYFUNCTION("""COMPUTED_VALUE"""),0)</f>
        <v>0</v>
      </c>
      <c r="O1031" s="23">
        <f ca="1">IFERROR(__xludf.DUMMYFUNCTION("""COMPUTED_VALUE"""),0)</f>
        <v>0</v>
      </c>
      <c r="P1031" s="23">
        <f ca="1">IFERROR(__xludf.DUMMYFUNCTION("""COMPUTED_VALUE"""),0)</f>
        <v>0</v>
      </c>
      <c r="Q1031" s="24">
        <f ca="1">IFERROR(__xludf.DUMMYFUNCTION("""COMPUTED_VALUE"""),0)</f>
        <v>0</v>
      </c>
      <c r="R1031" s="20"/>
    </row>
    <row r="1032" spans="1:18" ht="13.2" hidden="1" outlineLevel="1" x14ac:dyDescent="0.25">
      <c r="A1032" s="1"/>
      <c r="B1032" s="21" t="str">
        <f ca="1">IFERROR(__xludf.DUMMYFUNCTION("""COMPUTED_VALUE"""),"Gas natural")</f>
        <v>Gas natural</v>
      </c>
      <c r="C1032" s="22">
        <f ca="1">IFERROR(__xludf.DUMMYFUNCTION("""COMPUTED_VALUE"""),0)</f>
        <v>0</v>
      </c>
      <c r="D1032" s="23">
        <f ca="1">IFERROR(__xludf.DUMMYFUNCTION("""COMPUTED_VALUE"""),0)</f>
        <v>0</v>
      </c>
      <c r="E1032" s="23">
        <f ca="1">IFERROR(__xludf.DUMMYFUNCTION("""COMPUTED_VALUE"""),0)</f>
        <v>0</v>
      </c>
      <c r="F1032" s="23">
        <f ca="1">IFERROR(__xludf.DUMMYFUNCTION("""COMPUTED_VALUE"""),0)</f>
        <v>0</v>
      </c>
      <c r="G1032" s="23">
        <f ca="1">IFERROR(__xludf.DUMMYFUNCTION("""COMPUTED_VALUE"""),0)</f>
        <v>0</v>
      </c>
      <c r="H1032" s="23">
        <f ca="1">IFERROR(__xludf.DUMMYFUNCTION("""COMPUTED_VALUE"""),0)</f>
        <v>0</v>
      </c>
      <c r="I1032" s="23">
        <f ca="1">IFERROR(__xludf.DUMMYFUNCTION("""COMPUTED_VALUE"""),0)</f>
        <v>0</v>
      </c>
      <c r="J1032" s="23">
        <f ca="1">IFERROR(__xludf.DUMMYFUNCTION("""COMPUTED_VALUE"""),0)</f>
        <v>0</v>
      </c>
      <c r="K1032" s="23">
        <f ca="1">IFERROR(__xludf.DUMMYFUNCTION("""COMPUTED_VALUE"""),0)</f>
        <v>0</v>
      </c>
      <c r="L1032" s="23">
        <f ca="1">IFERROR(__xludf.DUMMYFUNCTION("""COMPUTED_VALUE"""),0)</f>
        <v>0</v>
      </c>
      <c r="M1032" s="23">
        <f ca="1">IFERROR(__xludf.DUMMYFUNCTION("""COMPUTED_VALUE"""),0)</f>
        <v>0</v>
      </c>
      <c r="N1032" s="23">
        <f ca="1">IFERROR(__xludf.DUMMYFUNCTION("""COMPUTED_VALUE"""),0)</f>
        <v>0</v>
      </c>
      <c r="O1032" s="23">
        <f ca="1">IFERROR(__xludf.DUMMYFUNCTION("""COMPUTED_VALUE"""),0)</f>
        <v>0</v>
      </c>
      <c r="P1032" s="23">
        <f ca="1">IFERROR(__xludf.DUMMYFUNCTION("""COMPUTED_VALUE"""),0)</f>
        <v>0</v>
      </c>
      <c r="Q1032" s="24">
        <f ca="1">IFERROR(__xludf.DUMMYFUNCTION("""COMPUTED_VALUE"""),0)</f>
        <v>0</v>
      </c>
      <c r="R1032" s="20"/>
    </row>
    <row r="1033" spans="1:18" ht="13.2" hidden="1" outlineLevel="1" x14ac:dyDescent="0.25">
      <c r="A1033" s="1"/>
      <c r="B1033" s="21" t="str">
        <f ca="1">IFERROR(__xludf.DUMMYFUNCTION("""COMPUTED_VALUE"""),"Energía Nuclear")</f>
        <v>Energía Nuclear</v>
      </c>
      <c r="C1033" s="22">
        <f ca="1">IFERROR(__xludf.DUMMYFUNCTION("""COMPUTED_VALUE"""),0)</f>
        <v>0</v>
      </c>
      <c r="D1033" s="23">
        <f ca="1">IFERROR(__xludf.DUMMYFUNCTION("""COMPUTED_VALUE"""),0)</f>
        <v>0</v>
      </c>
      <c r="E1033" s="23">
        <f ca="1">IFERROR(__xludf.DUMMYFUNCTION("""COMPUTED_VALUE"""),0)</f>
        <v>0</v>
      </c>
      <c r="F1033" s="23">
        <f ca="1">IFERROR(__xludf.DUMMYFUNCTION("""COMPUTED_VALUE"""),0)</f>
        <v>0</v>
      </c>
      <c r="G1033" s="23">
        <f ca="1">IFERROR(__xludf.DUMMYFUNCTION("""COMPUTED_VALUE"""),0)</f>
        <v>0</v>
      </c>
      <c r="H1033" s="23">
        <f ca="1">IFERROR(__xludf.DUMMYFUNCTION("""COMPUTED_VALUE"""),0)</f>
        <v>0</v>
      </c>
      <c r="I1033" s="23">
        <f ca="1">IFERROR(__xludf.DUMMYFUNCTION("""COMPUTED_VALUE"""),0)</f>
        <v>0</v>
      </c>
      <c r="J1033" s="23">
        <f ca="1">IFERROR(__xludf.DUMMYFUNCTION("""COMPUTED_VALUE"""),0)</f>
        <v>0</v>
      </c>
      <c r="K1033" s="23">
        <f ca="1">IFERROR(__xludf.DUMMYFUNCTION("""COMPUTED_VALUE"""),0)</f>
        <v>0</v>
      </c>
      <c r="L1033" s="23">
        <f ca="1">IFERROR(__xludf.DUMMYFUNCTION("""COMPUTED_VALUE"""),0)</f>
        <v>0</v>
      </c>
      <c r="M1033" s="23">
        <f ca="1">IFERROR(__xludf.DUMMYFUNCTION("""COMPUTED_VALUE"""),0)</f>
        <v>0</v>
      </c>
      <c r="N1033" s="23">
        <f ca="1">IFERROR(__xludf.DUMMYFUNCTION("""COMPUTED_VALUE"""),0)</f>
        <v>0</v>
      </c>
      <c r="O1033" s="23">
        <f ca="1">IFERROR(__xludf.DUMMYFUNCTION("""COMPUTED_VALUE"""),0)</f>
        <v>0</v>
      </c>
      <c r="P1033" s="23">
        <f ca="1">IFERROR(__xludf.DUMMYFUNCTION("""COMPUTED_VALUE"""),0)</f>
        <v>0</v>
      </c>
      <c r="Q1033" s="24">
        <f ca="1">IFERROR(__xludf.DUMMYFUNCTION("""COMPUTED_VALUE"""),0)</f>
        <v>0</v>
      </c>
      <c r="R1033" s="20"/>
    </row>
    <row r="1034" spans="1:18" ht="13.2" hidden="1" outlineLevel="1" x14ac:dyDescent="0.25">
      <c r="A1034" s="1"/>
      <c r="B1034" s="21" t="str">
        <f ca="1">IFERROR(__xludf.DUMMYFUNCTION("""COMPUTED_VALUE"""),"Energia Hidraúlica")</f>
        <v>Energia Hidraúlica</v>
      </c>
      <c r="C1034" s="22">
        <f ca="1">IFERROR(__xludf.DUMMYFUNCTION("""COMPUTED_VALUE"""),0)</f>
        <v>0</v>
      </c>
      <c r="D1034" s="23">
        <f ca="1">IFERROR(__xludf.DUMMYFUNCTION("""COMPUTED_VALUE"""),0)</f>
        <v>0</v>
      </c>
      <c r="E1034" s="23">
        <f ca="1">IFERROR(__xludf.DUMMYFUNCTION("""COMPUTED_VALUE"""),0)</f>
        <v>0</v>
      </c>
      <c r="F1034" s="23">
        <f ca="1">IFERROR(__xludf.DUMMYFUNCTION("""COMPUTED_VALUE"""),0)</f>
        <v>0</v>
      </c>
      <c r="G1034" s="23">
        <f ca="1">IFERROR(__xludf.DUMMYFUNCTION("""COMPUTED_VALUE"""),0)</f>
        <v>0</v>
      </c>
      <c r="H1034" s="23">
        <f ca="1">IFERROR(__xludf.DUMMYFUNCTION("""COMPUTED_VALUE"""),0)</f>
        <v>0</v>
      </c>
      <c r="I1034" s="23">
        <f ca="1">IFERROR(__xludf.DUMMYFUNCTION("""COMPUTED_VALUE"""),0)</f>
        <v>0</v>
      </c>
      <c r="J1034" s="23">
        <f ca="1">IFERROR(__xludf.DUMMYFUNCTION("""COMPUTED_VALUE"""),0)</f>
        <v>0</v>
      </c>
      <c r="K1034" s="23">
        <f ca="1">IFERROR(__xludf.DUMMYFUNCTION("""COMPUTED_VALUE"""),0)</f>
        <v>0</v>
      </c>
      <c r="L1034" s="23">
        <f ca="1">IFERROR(__xludf.DUMMYFUNCTION("""COMPUTED_VALUE"""),0)</f>
        <v>0</v>
      </c>
      <c r="M1034" s="23">
        <f ca="1">IFERROR(__xludf.DUMMYFUNCTION("""COMPUTED_VALUE"""),0)</f>
        <v>0</v>
      </c>
      <c r="N1034" s="23">
        <f ca="1">IFERROR(__xludf.DUMMYFUNCTION("""COMPUTED_VALUE"""),0)</f>
        <v>0</v>
      </c>
      <c r="O1034" s="23">
        <f ca="1">IFERROR(__xludf.DUMMYFUNCTION("""COMPUTED_VALUE"""),0)</f>
        <v>0</v>
      </c>
      <c r="P1034" s="23">
        <f ca="1">IFERROR(__xludf.DUMMYFUNCTION("""COMPUTED_VALUE"""),0)</f>
        <v>0</v>
      </c>
      <c r="Q1034" s="24">
        <f ca="1">IFERROR(__xludf.DUMMYFUNCTION("""COMPUTED_VALUE"""),0)</f>
        <v>0</v>
      </c>
      <c r="R1034" s="20"/>
    </row>
    <row r="1035" spans="1:18" ht="13.2" hidden="1" outlineLevel="1" x14ac:dyDescent="0.25">
      <c r="A1035" s="1"/>
      <c r="B1035" s="21" t="str">
        <f ca="1">IFERROR(__xludf.DUMMYFUNCTION("""COMPUTED_VALUE"""),"Geoenergía")</f>
        <v>Geoenergía</v>
      </c>
      <c r="C1035" s="22">
        <f ca="1">IFERROR(__xludf.DUMMYFUNCTION("""COMPUTED_VALUE"""),0)</f>
        <v>0</v>
      </c>
      <c r="D1035" s="23">
        <f ca="1">IFERROR(__xludf.DUMMYFUNCTION("""COMPUTED_VALUE"""),0)</f>
        <v>0</v>
      </c>
      <c r="E1035" s="23">
        <f ca="1">IFERROR(__xludf.DUMMYFUNCTION("""COMPUTED_VALUE"""),0)</f>
        <v>0</v>
      </c>
      <c r="F1035" s="23">
        <f ca="1">IFERROR(__xludf.DUMMYFUNCTION("""COMPUTED_VALUE"""),0)</f>
        <v>0</v>
      </c>
      <c r="G1035" s="23">
        <f ca="1">IFERROR(__xludf.DUMMYFUNCTION("""COMPUTED_VALUE"""),0)</f>
        <v>0</v>
      </c>
      <c r="H1035" s="23">
        <f ca="1">IFERROR(__xludf.DUMMYFUNCTION("""COMPUTED_VALUE"""),0)</f>
        <v>0</v>
      </c>
      <c r="I1035" s="23">
        <f ca="1">IFERROR(__xludf.DUMMYFUNCTION("""COMPUTED_VALUE"""),0)</f>
        <v>0</v>
      </c>
      <c r="J1035" s="23">
        <f ca="1">IFERROR(__xludf.DUMMYFUNCTION("""COMPUTED_VALUE"""),0)</f>
        <v>0</v>
      </c>
      <c r="K1035" s="23">
        <f ca="1">IFERROR(__xludf.DUMMYFUNCTION("""COMPUTED_VALUE"""),0)</f>
        <v>0</v>
      </c>
      <c r="L1035" s="23">
        <f ca="1">IFERROR(__xludf.DUMMYFUNCTION("""COMPUTED_VALUE"""),0)</f>
        <v>0</v>
      </c>
      <c r="M1035" s="23">
        <f ca="1">IFERROR(__xludf.DUMMYFUNCTION("""COMPUTED_VALUE"""),0)</f>
        <v>0</v>
      </c>
      <c r="N1035" s="23">
        <f ca="1">IFERROR(__xludf.DUMMYFUNCTION("""COMPUTED_VALUE"""),0)</f>
        <v>0</v>
      </c>
      <c r="O1035" s="23">
        <f ca="1">IFERROR(__xludf.DUMMYFUNCTION("""COMPUTED_VALUE"""),0)</f>
        <v>0</v>
      </c>
      <c r="P1035" s="23">
        <f ca="1">IFERROR(__xludf.DUMMYFUNCTION("""COMPUTED_VALUE"""),0)</f>
        <v>0</v>
      </c>
      <c r="Q1035" s="24">
        <f ca="1">IFERROR(__xludf.DUMMYFUNCTION("""COMPUTED_VALUE"""),0)</f>
        <v>0</v>
      </c>
      <c r="R1035" s="20"/>
    </row>
    <row r="1036" spans="1:18" ht="13.2" hidden="1" outlineLevel="1" x14ac:dyDescent="0.25">
      <c r="A1036" s="1"/>
      <c r="B1036" s="21" t="str">
        <f ca="1">IFERROR(__xludf.DUMMYFUNCTION("""COMPUTED_VALUE"""),"Energía solar")</f>
        <v>Energía solar</v>
      </c>
      <c r="C1036" s="22">
        <f ca="1">IFERROR(__xludf.DUMMYFUNCTION("""COMPUTED_VALUE"""),0)</f>
        <v>0</v>
      </c>
      <c r="D1036" s="23">
        <f ca="1">IFERROR(__xludf.DUMMYFUNCTION("""COMPUTED_VALUE"""),0)</f>
        <v>0</v>
      </c>
      <c r="E1036" s="23">
        <f ca="1">IFERROR(__xludf.DUMMYFUNCTION("""COMPUTED_VALUE"""),0)</f>
        <v>0</v>
      </c>
      <c r="F1036" s="23">
        <f ca="1">IFERROR(__xludf.DUMMYFUNCTION("""COMPUTED_VALUE"""),0)</f>
        <v>0</v>
      </c>
      <c r="G1036" s="23">
        <f ca="1">IFERROR(__xludf.DUMMYFUNCTION("""COMPUTED_VALUE"""),0)</f>
        <v>0</v>
      </c>
      <c r="H1036" s="23">
        <f ca="1">IFERROR(__xludf.DUMMYFUNCTION("""COMPUTED_VALUE"""),0)</f>
        <v>0</v>
      </c>
      <c r="I1036" s="23">
        <f ca="1">IFERROR(__xludf.DUMMYFUNCTION("""COMPUTED_VALUE"""),0)</f>
        <v>0</v>
      </c>
      <c r="J1036" s="23">
        <f ca="1">IFERROR(__xludf.DUMMYFUNCTION("""COMPUTED_VALUE"""),0)</f>
        <v>0</v>
      </c>
      <c r="K1036" s="23">
        <f ca="1">IFERROR(__xludf.DUMMYFUNCTION("""COMPUTED_VALUE"""),0)</f>
        <v>0</v>
      </c>
      <c r="L1036" s="23">
        <f ca="1">IFERROR(__xludf.DUMMYFUNCTION("""COMPUTED_VALUE"""),0)</f>
        <v>0</v>
      </c>
      <c r="M1036" s="23">
        <f ca="1">IFERROR(__xludf.DUMMYFUNCTION("""COMPUTED_VALUE"""),0)</f>
        <v>0</v>
      </c>
      <c r="N1036" s="23">
        <f ca="1">IFERROR(__xludf.DUMMYFUNCTION("""COMPUTED_VALUE"""),0)</f>
        <v>0</v>
      </c>
      <c r="O1036" s="23">
        <f ca="1">IFERROR(__xludf.DUMMYFUNCTION("""COMPUTED_VALUE"""),0)</f>
        <v>0</v>
      </c>
      <c r="P1036" s="23">
        <f ca="1">IFERROR(__xludf.DUMMYFUNCTION("""COMPUTED_VALUE"""),0)</f>
        <v>0</v>
      </c>
      <c r="Q1036" s="24">
        <f ca="1">IFERROR(__xludf.DUMMYFUNCTION("""COMPUTED_VALUE"""),0)</f>
        <v>0</v>
      </c>
      <c r="R1036" s="20"/>
    </row>
    <row r="1037" spans="1:18" ht="13.2" hidden="1" outlineLevel="1" x14ac:dyDescent="0.25">
      <c r="A1037" s="1"/>
      <c r="B1037" s="21" t="str">
        <f ca="1">IFERROR(__xludf.DUMMYFUNCTION("""COMPUTED_VALUE"""),"Energía eólica")</f>
        <v>Energía eólica</v>
      </c>
      <c r="C1037" s="22">
        <f ca="1">IFERROR(__xludf.DUMMYFUNCTION("""COMPUTED_VALUE"""),0)</f>
        <v>0</v>
      </c>
      <c r="D1037" s="23">
        <f ca="1">IFERROR(__xludf.DUMMYFUNCTION("""COMPUTED_VALUE"""),0)</f>
        <v>0</v>
      </c>
      <c r="E1037" s="23">
        <f ca="1">IFERROR(__xludf.DUMMYFUNCTION("""COMPUTED_VALUE"""),0)</f>
        <v>0</v>
      </c>
      <c r="F1037" s="23">
        <f ca="1">IFERROR(__xludf.DUMMYFUNCTION("""COMPUTED_VALUE"""),0)</f>
        <v>0</v>
      </c>
      <c r="G1037" s="23">
        <f ca="1">IFERROR(__xludf.DUMMYFUNCTION("""COMPUTED_VALUE"""),0)</f>
        <v>0</v>
      </c>
      <c r="H1037" s="23">
        <f ca="1">IFERROR(__xludf.DUMMYFUNCTION("""COMPUTED_VALUE"""),0)</f>
        <v>0</v>
      </c>
      <c r="I1037" s="23">
        <f ca="1">IFERROR(__xludf.DUMMYFUNCTION("""COMPUTED_VALUE"""),0)</f>
        <v>0</v>
      </c>
      <c r="J1037" s="23">
        <f ca="1">IFERROR(__xludf.DUMMYFUNCTION("""COMPUTED_VALUE"""),0)</f>
        <v>0</v>
      </c>
      <c r="K1037" s="23">
        <f ca="1">IFERROR(__xludf.DUMMYFUNCTION("""COMPUTED_VALUE"""),0)</f>
        <v>0</v>
      </c>
      <c r="L1037" s="23">
        <f ca="1">IFERROR(__xludf.DUMMYFUNCTION("""COMPUTED_VALUE"""),0)</f>
        <v>0</v>
      </c>
      <c r="M1037" s="23">
        <f ca="1">IFERROR(__xludf.DUMMYFUNCTION("""COMPUTED_VALUE"""),0)</f>
        <v>0</v>
      </c>
      <c r="N1037" s="23">
        <f ca="1">IFERROR(__xludf.DUMMYFUNCTION("""COMPUTED_VALUE"""),0)</f>
        <v>0</v>
      </c>
      <c r="O1037" s="23">
        <f ca="1">IFERROR(__xludf.DUMMYFUNCTION("""COMPUTED_VALUE"""),0)</f>
        <v>0</v>
      </c>
      <c r="P1037" s="23">
        <f ca="1">IFERROR(__xludf.DUMMYFUNCTION("""COMPUTED_VALUE"""),0)</f>
        <v>0</v>
      </c>
      <c r="Q1037" s="24">
        <f ca="1">IFERROR(__xludf.DUMMYFUNCTION("""COMPUTED_VALUE"""),0)</f>
        <v>0</v>
      </c>
      <c r="R1037" s="20"/>
    </row>
    <row r="1038" spans="1:18" ht="13.2" hidden="1" outlineLevel="1" x14ac:dyDescent="0.25">
      <c r="A1038" s="1"/>
      <c r="B1038" s="21" t="str">
        <f ca="1">IFERROR(__xludf.DUMMYFUNCTION("""COMPUTED_VALUE"""),"Bagazo de caña")</f>
        <v>Bagazo de caña</v>
      </c>
      <c r="C1038" s="22">
        <f ca="1">IFERROR(__xludf.DUMMYFUNCTION("""COMPUTED_VALUE"""),0)</f>
        <v>0</v>
      </c>
      <c r="D1038" s="23">
        <f ca="1">IFERROR(__xludf.DUMMYFUNCTION("""COMPUTED_VALUE"""),0)</f>
        <v>0</v>
      </c>
      <c r="E1038" s="23">
        <f ca="1">IFERROR(__xludf.DUMMYFUNCTION("""COMPUTED_VALUE"""),0)</f>
        <v>0</v>
      </c>
      <c r="F1038" s="23">
        <f ca="1">IFERROR(__xludf.DUMMYFUNCTION("""COMPUTED_VALUE"""),0)</f>
        <v>0</v>
      </c>
      <c r="G1038" s="23">
        <f ca="1">IFERROR(__xludf.DUMMYFUNCTION("""COMPUTED_VALUE"""),0)</f>
        <v>0</v>
      </c>
      <c r="H1038" s="23">
        <f ca="1">IFERROR(__xludf.DUMMYFUNCTION("""COMPUTED_VALUE"""),0)</f>
        <v>0</v>
      </c>
      <c r="I1038" s="23">
        <f ca="1">IFERROR(__xludf.DUMMYFUNCTION("""COMPUTED_VALUE"""),0)</f>
        <v>0</v>
      </c>
      <c r="J1038" s="23">
        <f ca="1">IFERROR(__xludf.DUMMYFUNCTION("""COMPUTED_VALUE"""),0)</f>
        <v>0</v>
      </c>
      <c r="K1038" s="23">
        <f ca="1">IFERROR(__xludf.DUMMYFUNCTION("""COMPUTED_VALUE"""),0)</f>
        <v>0</v>
      </c>
      <c r="L1038" s="23">
        <f ca="1">IFERROR(__xludf.DUMMYFUNCTION("""COMPUTED_VALUE"""),0)</f>
        <v>0</v>
      </c>
      <c r="M1038" s="23">
        <f ca="1">IFERROR(__xludf.DUMMYFUNCTION("""COMPUTED_VALUE"""),0)</f>
        <v>0</v>
      </c>
      <c r="N1038" s="23">
        <f ca="1">IFERROR(__xludf.DUMMYFUNCTION("""COMPUTED_VALUE"""),0)</f>
        <v>0</v>
      </c>
      <c r="O1038" s="23">
        <f ca="1">IFERROR(__xludf.DUMMYFUNCTION("""COMPUTED_VALUE"""),0)</f>
        <v>0</v>
      </c>
      <c r="P1038" s="23">
        <f ca="1">IFERROR(__xludf.DUMMYFUNCTION("""COMPUTED_VALUE"""),0)</f>
        <v>0</v>
      </c>
      <c r="Q1038" s="24">
        <f ca="1">IFERROR(__xludf.DUMMYFUNCTION("""COMPUTED_VALUE"""),0)</f>
        <v>0</v>
      </c>
      <c r="R1038" s="20"/>
    </row>
    <row r="1039" spans="1:18" ht="13.2" hidden="1" outlineLevel="1" x14ac:dyDescent="0.25">
      <c r="A1039" s="1"/>
      <c r="B1039" s="21" t="str">
        <f ca="1">IFERROR(__xludf.DUMMYFUNCTION("""COMPUTED_VALUE"""),"Leña")</f>
        <v>Leña</v>
      </c>
      <c r="C1039" s="22">
        <f ca="1">IFERROR(__xludf.DUMMYFUNCTION("""COMPUTED_VALUE"""),0)</f>
        <v>0</v>
      </c>
      <c r="D1039" s="23">
        <f ca="1">IFERROR(__xludf.DUMMYFUNCTION("""COMPUTED_VALUE"""),0)</f>
        <v>0</v>
      </c>
      <c r="E1039" s="23">
        <f ca="1">IFERROR(__xludf.DUMMYFUNCTION("""COMPUTED_VALUE"""),0)</f>
        <v>0</v>
      </c>
      <c r="F1039" s="23">
        <f ca="1">IFERROR(__xludf.DUMMYFUNCTION("""COMPUTED_VALUE"""),0)</f>
        <v>0</v>
      </c>
      <c r="G1039" s="23">
        <f ca="1">IFERROR(__xludf.DUMMYFUNCTION("""COMPUTED_VALUE"""),0)</f>
        <v>0</v>
      </c>
      <c r="H1039" s="23">
        <f ca="1">IFERROR(__xludf.DUMMYFUNCTION("""COMPUTED_VALUE"""),0)</f>
        <v>0</v>
      </c>
      <c r="I1039" s="23">
        <f ca="1">IFERROR(__xludf.DUMMYFUNCTION("""COMPUTED_VALUE"""),0)</f>
        <v>0</v>
      </c>
      <c r="J1039" s="23">
        <f ca="1">IFERROR(__xludf.DUMMYFUNCTION("""COMPUTED_VALUE"""),0)</f>
        <v>0</v>
      </c>
      <c r="K1039" s="23">
        <f ca="1">IFERROR(__xludf.DUMMYFUNCTION("""COMPUTED_VALUE"""),0)</f>
        <v>0</v>
      </c>
      <c r="L1039" s="23">
        <f ca="1">IFERROR(__xludf.DUMMYFUNCTION("""COMPUTED_VALUE"""),0)</f>
        <v>0</v>
      </c>
      <c r="M1039" s="23">
        <f ca="1">IFERROR(__xludf.DUMMYFUNCTION("""COMPUTED_VALUE"""),0)</f>
        <v>0</v>
      </c>
      <c r="N1039" s="23">
        <f ca="1">IFERROR(__xludf.DUMMYFUNCTION("""COMPUTED_VALUE"""),0)</f>
        <v>0</v>
      </c>
      <c r="O1039" s="23">
        <f ca="1">IFERROR(__xludf.DUMMYFUNCTION("""COMPUTED_VALUE"""),0)</f>
        <v>0</v>
      </c>
      <c r="P1039" s="23">
        <f ca="1">IFERROR(__xludf.DUMMYFUNCTION("""COMPUTED_VALUE"""),0)</f>
        <v>0</v>
      </c>
      <c r="Q1039" s="24">
        <f ca="1">IFERROR(__xludf.DUMMYFUNCTION("""COMPUTED_VALUE"""),0)</f>
        <v>0</v>
      </c>
      <c r="R1039" s="20"/>
    </row>
    <row r="1040" spans="1:18" ht="13.2" hidden="1" outlineLevel="1" x14ac:dyDescent="0.25">
      <c r="A1040" s="1"/>
      <c r="B1040" s="21" t="str">
        <f ca="1">IFERROR(__xludf.DUMMYFUNCTION("""COMPUTED_VALUE"""),"Biogás")</f>
        <v>Biogás</v>
      </c>
      <c r="C1040" s="22">
        <f ca="1">IFERROR(__xludf.DUMMYFUNCTION("""COMPUTED_VALUE"""),0)</f>
        <v>0</v>
      </c>
      <c r="D1040" s="23">
        <f ca="1">IFERROR(__xludf.DUMMYFUNCTION("""COMPUTED_VALUE"""),0)</f>
        <v>0</v>
      </c>
      <c r="E1040" s="23">
        <f ca="1">IFERROR(__xludf.DUMMYFUNCTION("""COMPUTED_VALUE"""),0)</f>
        <v>0</v>
      </c>
      <c r="F1040" s="23">
        <f ca="1">IFERROR(__xludf.DUMMYFUNCTION("""COMPUTED_VALUE"""),0)</f>
        <v>0</v>
      </c>
      <c r="G1040" s="23">
        <f ca="1">IFERROR(__xludf.DUMMYFUNCTION("""COMPUTED_VALUE"""),0)</f>
        <v>0</v>
      </c>
      <c r="H1040" s="23">
        <f ca="1">IFERROR(__xludf.DUMMYFUNCTION("""COMPUTED_VALUE"""),0)</f>
        <v>0</v>
      </c>
      <c r="I1040" s="23">
        <f ca="1">IFERROR(__xludf.DUMMYFUNCTION("""COMPUTED_VALUE"""),0)</f>
        <v>0</v>
      </c>
      <c r="J1040" s="23">
        <f ca="1">IFERROR(__xludf.DUMMYFUNCTION("""COMPUTED_VALUE"""),0)</f>
        <v>0</v>
      </c>
      <c r="K1040" s="23">
        <f ca="1">IFERROR(__xludf.DUMMYFUNCTION("""COMPUTED_VALUE"""),0)</f>
        <v>0</v>
      </c>
      <c r="L1040" s="23">
        <f ca="1">IFERROR(__xludf.DUMMYFUNCTION("""COMPUTED_VALUE"""),0)</f>
        <v>0</v>
      </c>
      <c r="M1040" s="23">
        <f ca="1">IFERROR(__xludf.DUMMYFUNCTION("""COMPUTED_VALUE"""),0)</f>
        <v>0</v>
      </c>
      <c r="N1040" s="23">
        <f ca="1">IFERROR(__xludf.DUMMYFUNCTION("""COMPUTED_VALUE"""),0)</f>
        <v>0</v>
      </c>
      <c r="O1040" s="23">
        <f ca="1">IFERROR(__xludf.DUMMYFUNCTION("""COMPUTED_VALUE"""),0)</f>
        <v>0</v>
      </c>
      <c r="P1040" s="23">
        <f ca="1">IFERROR(__xludf.DUMMYFUNCTION("""COMPUTED_VALUE"""),0)</f>
        <v>0</v>
      </c>
      <c r="Q1040" s="24">
        <f ca="1">IFERROR(__xludf.DUMMYFUNCTION("""COMPUTED_VALUE"""),0)</f>
        <v>0</v>
      </c>
      <c r="R1040" s="20"/>
    </row>
    <row r="1041" spans="1:18" ht="13.2" hidden="1" outlineLevel="1" x14ac:dyDescent="0.25">
      <c r="A1041" s="1"/>
      <c r="B1041" s="21" t="str">
        <f ca="1">IFERROR(__xludf.DUMMYFUNCTION("""COMPUTED_VALUE"""),"Coque de carbón")</f>
        <v>Coque de carbón</v>
      </c>
      <c r="C1041" s="22">
        <f ca="1">IFERROR(__xludf.DUMMYFUNCTION("""COMPUTED_VALUE"""),55.83)</f>
        <v>55.83</v>
      </c>
      <c r="D1041" s="23">
        <f ca="1">IFERROR(__xludf.DUMMYFUNCTION("""COMPUTED_VALUE"""),56.27)</f>
        <v>56.27</v>
      </c>
      <c r="E1041" s="23">
        <f ca="1">IFERROR(__xludf.DUMMYFUNCTION("""COMPUTED_VALUE"""),57.45)</f>
        <v>57.45</v>
      </c>
      <c r="F1041" s="23">
        <f ca="1">IFERROR(__xludf.DUMMYFUNCTION("""COMPUTED_VALUE"""),58.78)</f>
        <v>58.78</v>
      </c>
      <c r="G1041" s="23">
        <f ca="1">IFERROR(__xludf.DUMMYFUNCTION("""COMPUTED_VALUE"""),59.14)</f>
        <v>59.14</v>
      </c>
      <c r="H1041" s="23">
        <f ca="1">IFERROR(__xludf.DUMMYFUNCTION("""COMPUTED_VALUE"""),47.17)</f>
        <v>47.17</v>
      </c>
      <c r="I1041" s="23">
        <f ca="1">IFERROR(__xludf.DUMMYFUNCTION("""COMPUTED_VALUE"""),36.28)</f>
        <v>36.28</v>
      </c>
      <c r="J1041" s="23">
        <f ca="1">IFERROR(__xludf.DUMMYFUNCTION("""COMPUTED_VALUE"""),34.35)</f>
        <v>34.35</v>
      </c>
      <c r="K1041" s="23">
        <f ca="1">IFERROR(__xludf.DUMMYFUNCTION("""COMPUTED_VALUE"""),31.31)</f>
        <v>31.31</v>
      </c>
      <c r="L1041" s="23">
        <f ca="1">IFERROR(__xludf.DUMMYFUNCTION("""COMPUTED_VALUE"""),26.28)</f>
        <v>26.28</v>
      </c>
      <c r="M1041" s="23">
        <f ca="1">IFERROR(__xludf.DUMMYFUNCTION("""COMPUTED_VALUE"""),18.47)</f>
        <v>18.47</v>
      </c>
      <c r="N1041" s="23">
        <f ca="1">IFERROR(__xludf.DUMMYFUNCTION("""COMPUTED_VALUE"""),12.84)</f>
        <v>12.84</v>
      </c>
      <c r="O1041" s="23">
        <f ca="1">IFERROR(__xludf.DUMMYFUNCTION("""COMPUTED_VALUE"""),12.72)</f>
        <v>12.72</v>
      </c>
      <c r="P1041" s="23">
        <f ca="1">IFERROR(__xludf.DUMMYFUNCTION("""COMPUTED_VALUE"""),0)</f>
        <v>0</v>
      </c>
      <c r="Q1041" s="24">
        <f ca="1">IFERROR(__xludf.DUMMYFUNCTION("""COMPUTED_VALUE"""),0)</f>
        <v>0</v>
      </c>
      <c r="R1041" s="20"/>
    </row>
    <row r="1042" spans="1:18" ht="13.2" hidden="1" outlineLevel="1" x14ac:dyDescent="0.25">
      <c r="A1042" s="1"/>
      <c r="B1042" s="21" t="str">
        <f ca="1">IFERROR(__xludf.DUMMYFUNCTION("""COMPUTED_VALUE"""),"Coque de petróleo")</f>
        <v>Coque de petróleo</v>
      </c>
      <c r="C1042" s="22">
        <f ca="1">IFERROR(__xludf.DUMMYFUNCTION("""COMPUTED_VALUE"""),34.0729249166294)</f>
        <v>34.072924916629397</v>
      </c>
      <c r="D1042" s="23">
        <f ca="1">IFERROR(__xludf.DUMMYFUNCTION("""COMPUTED_VALUE"""),32.3833241308995)</f>
        <v>32.383324130899503</v>
      </c>
      <c r="E1042" s="23">
        <f ca="1">IFERROR(__xludf.DUMMYFUNCTION("""COMPUTED_VALUE"""),29.6478008853694)</f>
        <v>29.647800885369399</v>
      </c>
      <c r="F1042" s="23">
        <f ca="1">IFERROR(__xludf.DUMMYFUNCTION("""COMPUTED_VALUE"""),35.141713337875)</f>
        <v>35.141713337874997</v>
      </c>
      <c r="G1042" s="23">
        <f ca="1">IFERROR(__xludf.DUMMYFUNCTION("""COMPUTED_VALUE"""),47.77)</f>
        <v>47.77</v>
      </c>
      <c r="H1042" s="23">
        <f ca="1">IFERROR(__xludf.DUMMYFUNCTION("""COMPUTED_VALUE"""),49.69)</f>
        <v>49.69</v>
      </c>
      <c r="I1042" s="23">
        <f ca="1">IFERROR(__xludf.DUMMYFUNCTION("""COMPUTED_VALUE"""),41.18)</f>
        <v>41.18</v>
      </c>
      <c r="J1042" s="23">
        <f ca="1">IFERROR(__xludf.DUMMYFUNCTION("""COMPUTED_VALUE"""),26.99)</f>
        <v>26.99</v>
      </c>
      <c r="K1042" s="23">
        <f ca="1">IFERROR(__xludf.DUMMYFUNCTION("""COMPUTED_VALUE"""),15.0183860003138)</f>
        <v>15.0183860003138</v>
      </c>
      <c r="L1042" s="23">
        <f ca="1">IFERROR(__xludf.DUMMYFUNCTION("""COMPUTED_VALUE"""),34.042253775425)</f>
        <v>34.042253775425003</v>
      </c>
      <c r="M1042" s="23">
        <f ca="1">IFERROR(__xludf.DUMMYFUNCTION("""COMPUTED_VALUE"""),27.427957384476)</f>
        <v>27.427957384475999</v>
      </c>
      <c r="N1042" s="23">
        <f ca="1">IFERROR(__xludf.DUMMYFUNCTION("""COMPUTED_VALUE"""),24.0249629128229)</f>
        <v>24.0249629128229</v>
      </c>
      <c r="O1042" s="23">
        <f ca="1">IFERROR(__xludf.DUMMYFUNCTION("""COMPUTED_VALUE"""),24.6227925357295)</f>
        <v>24.622792535729499</v>
      </c>
      <c r="P1042" s="23">
        <f ca="1">IFERROR(__xludf.DUMMYFUNCTION("""COMPUTED_VALUE"""),23.126420933542)</f>
        <v>23.126420933542001</v>
      </c>
      <c r="Q1042" s="24">
        <f ca="1">IFERROR(__xludf.DUMMYFUNCTION("""COMPUTED_VALUE"""),37.7296770229101)</f>
        <v>37.729677022910103</v>
      </c>
      <c r="R1042" s="20"/>
    </row>
    <row r="1043" spans="1:18" ht="13.2" hidden="1" outlineLevel="1" x14ac:dyDescent="0.25">
      <c r="A1043" s="1"/>
      <c r="B1043" s="21" t="str">
        <f ca="1">IFERROR(__xludf.DUMMYFUNCTION("""COMPUTED_VALUE"""),"Gas licuado de petróleo")</f>
        <v>Gas licuado de petróleo</v>
      </c>
      <c r="C1043" s="22">
        <f ca="1">IFERROR(__xludf.DUMMYFUNCTION("""COMPUTED_VALUE"""),320.795226447659)</f>
        <v>320.79522644765899</v>
      </c>
      <c r="D1043" s="23">
        <f ca="1">IFERROR(__xludf.DUMMYFUNCTION("""COMPUTED_VALUE"""),312.643520971549)</f>
        <v>312.64352097154898</v>
      </c>
      <c r="E1043" s="23">
        <f ca="1">IFERROR(__xludf.DUMMYFUNCTION("""COMPUTED_VALUE"""),302.593601003202)</f>
        <v>302.59360100320202</v>
      </c>
      <c r="F1043" s="23">
        <f ca="1">IFERROR(__xludf.DUMMYFUNCTION("""COMPUTED_VALUE"""),302.854333506711)</f>
        <v>302.85433350671099</v>
      </c>
      <c r="G1043" s="23">
        <f ca="1">IFERROR(__xludf.DUMMYFUNCTION("""COMPUTED_VALUE"""),309.163172989087)</f>
        <v>309.163172989087</v>
      </c>
      <c r="H1043" s="23">
        <f ca="1">IFERROR(__xludf.DUMMYFUNCTION("""COMPUTED_VALUE"""),264.868675888813)</f>
        <v>264.86867588881302</v>
      </c>
      <c r="I1043" s="23">
        <f ca="1">IFERROR(__xludf.DUMMYFUNCTION("""COMPUTED_VALUE"""),242.374)</f>
        <v>242.374</v>
      </c>
      <c r="J1043" s="23">
        <f ca="1">IFERROR(__xludf.DUMMYFUNCTION("""COMPUTED_VALUE"""),207.3082988363)</f>
        <v>207.3082988363</v>
      </c>
      <c r="K1043" s="23">
        <f ca="1">IFERROR(__xludf.DUMMYFUNCTION("""COMPUTED_VALUE"""),171.453784307125)</f>
        <v>171.45378430712501</v>
      </c>
      <c r="L1043" s="23">
        <f ca="1">IFERROR(__xludf.DUMMYFUNCTION("""COMPUTED_VALUE"""),137.947755354143)</f>
        <v>137.947755354143</v>
      </c>
      <c r="M1043" s="23">
        <f ca="1">IFERROR(__xludf.DUMMYFUNCTION("""COMPUTED_VALUE"""),119.678047825155)</f>
        <v>119.67804782515501</v>
      </c>
      <c r="N1043" s="23">
        <f ca="1">IFERROR(__xludf.DUMMYFUNCTION("""COMPUTED_VALUE"""),160.80767092851)</f>
        <v>160.80767092850999</v>
      </c>
      <c r="O1043" s="23">
        <f ca="1">IFERROR(__xludf.DUMMYFUNCTION("""COMPUTED_VALUE"""),177.221952420741)</f>
        <v>177.22195242074099</v>
      </c>
      <c r="P1043" s="23">
        <f ca="1">IFERROR(__xludf.DUMMYFUNCTION("""COMPUTED_VALUE"""),211.220615740835)</f>
        <v>211.220615740835</v>
      </c>
      <c r="Q1043" s="24">
        <f ca="1">IFERROR(__xludf.DUMMYFUNCTION("""COMPUTED_VALUE"""),171.695941826798)</f>
        <v>171.69594182679799</v>
      </c>
      <c r="R1043" s="20"/>
    </row>
    <row r="1044" spans="1:18" ht="13.2" hidden="1" outlineLevel="1" x14ac:dyDescent="0.25">
      <c r="A1044" s="1"/>
      <c r="B1044" s="21" t="str">
        <f ca="1">IFERROR(__xludf.DUMMYFUNCTION("""COMPUTED_VALUE"""),"Gasolinas y naftas")</f>
        <v>Gasolinas y naftas</v>
      </c>
      <c r="C1044" s="22">
        <f ca="1">IFERROR(__xludf.DUMMYFUNCTION("""COMPUTED_VALUE"""),761.332651474454)</f>
        <v>761.332651474454</v>
      </c>
      <c r="D1044" s="23">
        <f ca="1">IFERROR(__xludf.DUMMYFUNCTION("""COMPUTED_VALUE"""),703.200479609763)</f>
        <v>703.20047960976297</v>
      </c>
      <c r="E1044" s="23">
        <f ca="1">IFERROR(__xludf.DUMMYFUNCTION("""COMPUTED_VALUE"""),703.117416947419)</f>
        <v>703.11741694741897</v>
      </c>
      <c r="F1044" s="23">
        <f ca="1">IFERROR(__xludf.DUMMYFUNCTION("""COMPUTED_VALUE"""),792.278064701486)</f>
        <v>792.27806470148596</v>
      </c>
      <c r="G1044" s="23">
        <f ca="1">IFERROR(__xludf.DUMMYFUNCTION("""COMPUTED_VALUE"""),937.058430047391)</f>
        <v>937.05843004739097</v>
      </c>
      <c r="H1044" s="23">
        <f ca="1">IFERROR(__xludf.DUMMYFUNCTION("""COMPUTED_VALUE"""),855.309394381602)</f>
        <v>855.30939438160203</v>
      </c>
      <c r="I1044" s="23">
        <f ca="1">IFERROR(__xludf.DUMMYFUNCTION("""COMPUTED_VALUE"""),763.595)</f>
        <v>763.59500000000003</v>
      </c>
      <c r="J1044" s="23">
        <f ca="1">IFERROR(__xludf.DUMMYFUNCTION("""COMPUTED_VALUE"""),578.438180917186)</f>
        <v>578.43818091718595</v>
      </c>
      <c r="K1044" s="23">
        <f ca="1">IFERROR(__xludf.DUMMYFUNCTION("""COMPUTED_VALUE"""),462.728423440053)</f>
        <v>462.72842344005301</v>
      </c>
      <c r="L1044" s="23">
        <f ca="1">IFERROR(__xludf.DUMMYFUNCTION("""COMPUTED_VALUE"""),500.249139263171)</f>
        <v>500.249139263171</v>
      </c>
      <c r="M1044" s="23">
        <f ca="1">IFERROR(__xludf.DUMMYFUNCTION("""COMPUTED_VALUE"""),434.438111755868)</f>
        <v>434.43811175586802</v>
      </c>
      <c r="N1044" s="23">
        <f ca="1">IFERROR(__xludf.DUMMYFUNCTION("""COMPUTED_VALUE"""),610.249562785542)</f>
        <v>610.24956278554203</v>
      </c>
      <c r="O1044" s="23">
        <f ca="1">IFERROR(__xludf.DUMMYFUNCTION("""COMPUTED_VALUE"""),574.400132578993)</f>
        <v>574.40013257899295</v>
      </c>
      <c r="P1044" s="23">
        <f ca="1">IFERROR(__xludf.DUMMYFUNCTION("""COMPUTED_VALUE"""),587.470737574249)</f>
        <v>587.47073757424903</v>
      </c>
      <c r="Q1044" s="24">
        <f ca="1">IFERROR(__xludf.DUMMYFUNCTION("""COMPUTED_VALUE"""),687.258103204972)</f>
        <v>687.25810320497203</v>
      </c>
      <c r="R1044" s="20"/>
    </row>
    <row r="1045" spans="1:18" ht="13.2" hidden="1" outlineLevel="1" x14ac:dyDescent="0.25">
      <c r="A1045" s="1"/>
      <c r="B1045" s="21" t="str">
        <f ca="1">IFERROR(__xludf.DUMMYFUNCTION("""COMPUTED_VALUE"""),"Querosenos")</f>
        <v>Querosenos</v>
      </c>
      <c r="C1045" s="22">
        <f ca="1">IFERROR(__xludf.DUMMYFUNCTION("""COMPUTED_VALUE"""),85.0887909972004)</f>
        <v>85.088790997200405</v>
      </c>
      <c r="D1045" s="23">
        <f ca="1">IFERROR(__xludf.DUMMYFUNCTION("""COMPUTED_VALUE"""),85.7317438842414)</f>
        <v>85.731743884241396</v>
      </c>
      <c r="E1045" s="23">
        <f ca="1">IFERROR(__xludf.DUMMYFUNCTION("""COMPUTED_VALUE"""),83.209322484872)</f>
        <v>83.209322484872004</v>
      </c>
      <c r="F1045" s="23">
        <f ca="1">IFERROR(__xludf.DUMMYFUNCTION("""COMPUTED_VALUE"""),97.0966180797629)</f>
        <v>97.096618079762905</v>
      </c>
      <c r="G1045" s="23">
        <f ca="1">IFERROR(__xludf.DUMMYFUNCTION("""COMPUTED_VALUE"""),107.79)</f>
        <v>107.79</v>
      </c>
      <c r="H1045" s="23">
        <f ca="1">IFERROR(__xludf.DUMMYFUNCTION("""COMPUTED_VALUE"""),102.69)</f>
        <v>102.69</v>
      </c>
      <c r="I1045" s="23">
        <f ca="1">IFERROR(__xludf.DUMMYFUNCTION("""COMPUTED_VALUE"""),92.61)</f>
        <v>92.61</v>
      </c>
      <c r="J1045" s="23">
        <f ca="1">IFERROR(__xludf.DUMMYFUNCTION("""COMPUTED_VALUE"""),85.56)</f>
        <v>85.56</v>
      </c>
      <c r="K1045" s="23">
        <f ca="1">IFERROR(__xludf.DUMMYFUNCTION("""COMPUTED_VALUE"""),68.7693417390638)</f>
        <v>68.769341739063805</v>
      </c>
      <c r="L1045" s="23">
        <f ca="1">IFERROR(__xludf.DUMMYFUNCTION("""COMPUTED_VALUE"""),66.8981366545138)</f>
        <v>66.898136654513806</v>
      </c>
      <c r="M1045" s="23">
        <f ca="1">IFERROR(__xludf.DUMMYFUNCTION("""COMPUTED_VALUE"""),38.4241791734595)</f>
        <v>38.4241791734595</v>
      </c>
      <c r="N1045" s="23">
        <f ca="1">IFERROR(__xludf.DUMMYFUNCTION("""COMPUTED_VALUE"""),68.1581390949941)</f>
        <v>68.158139094994098</v>
      </c>
      <c r="O1045" s="23">
        <f ca="1">IFERROR(__xludf.DUMMYFUNCTION("""COMPUTED_VALUE"""),66.1230470815817)</f>
        <v>66.123047081581703</v>
      </c>
      <c r="P1045" s="23">
        <f ca="1">IFERROR(__xludf.DUMMYFUNCTION("""COMPUTED_VALUE"""),77.5630842929536)</f>
        <v>77.563084292953604</v>
      </c>
      <c r="Q1045" s="24">
        <f ca="1">IFERROR(__xludf.DUMMYFUNCTION("""COMPUTED_VALUE"""),76.2456103397362)</f>
        <v>76.245610339736203</v>
      </c>
      <c r="R1045" s="20"/>
    </row>
    <row r="1046" spans="1:18" ht="13.2" hidden="1" outlineLevel="1" x14ac:dyDescent="0.25">
      <c r="A1046" s="1"/>
      <c r="B1046" s="21" t="str">
        <f ca="1">IFERROR(__xludf.DUMMYFUNCTION("""COMPUTED_VALUE"""),"Diesel")</f>
        <v>Diesel</v>
      </c>
      <c r="C1046" s="22">
        <f ca="1">IFERROR(__xludf.DUMMYFUNCTION("""COMPUTED_VALUE"""),461.706836879203)</f>
        <v>461.70683687920302</v>
      </c>
      <c r="D1046" s="23">
        <f ca="1">IFERROR(__xludf.DUMMYFUNCTION("""COMPUTED_VALUE"""),424.608976403482)</f>
        <v>424.60897640348202</v>
      </c>
      <c r="E1046" s="23">
        <f ca="1">IFERROR(__xludf.DUMMYFUNCTION("""COMPUTED_VALUE"""),448.568693395563)</f>
        <v>448.568693395563</v>
      </c>
      <c r="F1046" s="23">
        <f ca="1">IFERROR(__xludf.DUMMYFUNCTION("""COMPUTED_VALUE"""),530.732855862388)</f>
        <v>530.73285586238796</v>
      </c>
      <c r="G1046" s="23">
        <f ca="1">IFERROR(__xludf.DUMMYFUNCTION("""COMPUTED_VALUE"""),605.86)</f>
        <v>605.86</v>
      </c>
      <c r="H1046" s="23">
        <f ca="1">IFERROR(__xludf.DUMMYFUNCTION("""COMPUTED_VALUE"""),654.76)</f>
        <v>654.76</v>
      </c>
      <c r="I1046" s="23">
        <f ca="1">IFERROR(__xludf.DUMMYFUNCTION("""COMPUTED_VALUE"""),515.11)</f>
        <v>515.11</v>
      </c>
      <c r="J1046" s="23">
        <f ca="1">IFERROR(__xludf.DUMMYFUNCTION("""COMPUTED_VALUE"""),343)</f>
        <v>343</v>
      </c>
      <c r="K1046" s="23">
        <f ca="1">IFERROR(__xludf.DUMMYFUNCTION("""COMPUTED_VALUE"""),239.165782065821)</f>
        <v>239.16578206582099</v>
      </c>
      <c r="L1046" s="23">
        <f ca="1">IFERROR(__xludf.DUMMYFUNCTION("""COMPUTED_VALUE"""),343.816876707656)</f>
        <v>343.81687670765598</v>
      </c>
      <c r="M1046" s="23">
        <f ca="1">IFERROR(__xludf.DUMMYFUNCTION("""COMPUTED_VALUE"""),297.044048174515)</f>
        <v>297.04404817451501</v>
      </c>
      <c r="N1046" s="23">
        <f ca="1">IFERROR(__xludf.DUMMYFUNCTION("""COMPUTED_VALUE"""),299.80430960465)</f>
        <v>299.80430960464997</v>
      </c>
      <c r="O1046" s="23">
        <f ca="1">IFERROR(__xludf.DUMMYFUNCTION("""COMPUTED_VALUE"""),324.73784086777)</f>
        <v>324.73784086776999</v>
      </c>
      <c r="P1046" s="23">
        <f ca="1">IFERROR(__xludf.DUMMYFUNCTION("""COMPUTED_VALUE"""),336.076161955439)</f>
        <v>336.07616195543898</v>
      </c>
      <c r="Q1046" s="24">
        <f ca="1">IFERROR(__xludf.DUMMYFUNCTION("""COMPUTED_VALUE"""),440.133523232056)</f>
        <v>440.13352323205601</v>
      </c>
      <c r="R1046" s="20"/>
    </row>
    <row r="1047" spans="1:18" ht="13.2" hidden="1" outlineLevel="1" x14ac:dyDescent="0.25">
      <c r="A1047" s="1"/>
      <c r="B1047" s="21" t="str">
        <f ca="1">IFERROR(__xludf.DUMMYFUNCTION("""COMPUTED_VALUE"""),"Combustóleo")</f>
        <v>Combustóleo</v>
      </c>
      <c r="C1047" s="22">
        <f ca="1">IFERROR(__xludf.DUMMYFUNCTION("""COMPUTED_VALUE"""),583.409214623505)</f>
        <v>583.40921462350502</v>
      </c>
      <c r="D1047" s="23">
        <f ca="1">IFERROR(__xludf.DUMMYFUNCTION("""COMPUTED_VALUE"""),528.155203562442)</f>
        <v>528.15520356244201</v>
      </c>
      <c r="E1047" s="23">
        <f ca="1">IFERROR(__xludf.DUMMYFUNCTION("""COMPUTED_VALUE"""),458.2340936842)</f>
        <v>458.23409368419999</v>
      </c>
      <c r="F1047" s="23">
        <f ca="1">IFERROR(__xludf.DUMMYFUNCTION("""COMPUTED_VALUE"""),501.458782616512)</f>
        <v>501.458782616512</v>
      </c>
      <c r="G1047" s="23">
        <f ca="1">IFERROR(__xludf.DUMMYFUNCTION("""COMPUTED_VALUE"""),595.72)</f>
        <v>595.72</v>
      </c>
      <c r="H1047" s="23">
        <f ca="1">IFERROR(__xludf.DUMMYFUNCTION("""COMPUTED_VALUE"""),565.91)</f>
        <v>565.91</v>
      </c>
      <c r="I1047" s="23">
        <f ca="1">IFERROR(__xludf.DUMMYFUNCTION("""COMPUTED_VALUE"""),548.05)</f>
        <v>548.04999999999995</v>
      </c>
      <c r="J1047" s="23">
        <f ca="1">IFERROR(__xludf.DUMMYFUNCTION("""COMPUTED_VALUE"""),508.16)</f>
        <v>508.16</v>
      </c>
      <c r="K1047" s="23">
        <f ca="1">IFERROR(__xludf.DUMMYFUNCTION("""COMPUTED_VALUE"""),387.057032160742)</f>
        <v>387.05703216074198</v>
      </c>
      <c r="L1047" s="23">
        <f ca="1">IFERROR(__xludf.DUMMYFUNCTION("""COMPUTED_VALUE"""),389.063744504034)</f>
        <v>389.06374450403399</v>
      </c>
      <c r="M1047" s="23">
        <f ca="1">IFERROR(__xludf.DUMMYFUNCTION("""COMPUTED_VALUE"""),435.383612616566)</f>
        <v>435.38361261656598</v>
      </c>
      <c r="N1047" s="23">
        <f ca="1">IFERROR(__xludf.DUMMYFUNCTION("""COMPUTED_VALUE"""),662.220819350429)</f>
        <v>662.220819350429</v>
      </c>
      <c r="O1047" s="23">
        <f ca="1">IFERROR(__xludf.DUMMYFUNCTION("""COMPUTED_VALUE"""),571.409165171111)</f>
        <v>571.409165171111</v>
      </c>
      <c r="P1047" s="23">
        <f ca="1">IFERROR(__xludf.DUMMYFUNCTION("""COMPUTED_VALUE"""),638.694337287396)</f>
        <v>638.69433728739602</v>
      </c>
      <c r="Q1047" s="24">
        <f ca="1">IFERROR(__xludf.DUMMYFUNCTION("""COMPUTED_VALUE"""),690.386151483422)</f>
        <v>690.38615148342205</v>
      </c>
      <c r="R1047" s="20"/>
    </row>
    <row r="1048" spans="1:18" ht="13.2" hidden="1" outlineLevel="1" x14ac:dyDescent="0.25">
      <c r="A1048" s="1"/>
      <c r="B1048" s="21" t="str">
        <f ca="1">IFERROR(__xludf.DUMMYFUNCTION("""COMPUTED_VALUE"""),"Otros energéticos")</f>
        <v>Otros energéticos</v>
      </c>
      <c r="C1048" s="22">
        <f ca="1">IFERROR(__xludf.DUMMYFUNCTION("""COMPUTED_VALUE"""),156.204538072811)</f>
        <v>156.204538072811</v>
      </c>
      <c r="D1048" s="23">
        <f ca="1">IFERROR(__xludf.DUMMYFUNCTION("""COMPUTED_VALUE"""),153.362870233669)</f>
        <v>153.36287023366901</v>
      </c>
      <c r="E1048" s="23">
        <f ca="1">IFERROR(__xludf.DUMMYFUNCTION("""COMPUTED_VALUE"""),147.082121775711)</f>
        <v>147.08212177571099</v>
      </c>
      <c r="F1048" s="23">
        <f ca="1">IFERROR(__xludf.DUMMYFUNCTION("""COMPUTED_VALUE"""),152.139353613701)</f>
        <v>152.13935361370099</v>
      </c>
      <c r="G1048" s="23">
        <f ca="1">IFERROR(__xludf.DUMMYFUNCTION("""COMPUTED_VALUE"""),158.527237764762)</f>
        <v>158.52723776476199</v>
      </c>
      <c r="H1048" s="23">
        <f ca="1">IFERROR(__xludf.DUMMYFUNCTION("""COMPUTED_VALUE"""),133.492020867275)</f>
        <v>133.49202086727499</v>
      </c>
      <c r="I1048" s="23">
        <f ca="1">IFERROR(__xludf.DUMMYFUNCTION("""COMPUTED_VALUE"""),159.88)</f>
        <v>159.88</v>
      </c>
      <c r="J1048" s="23">
        <f ca="1">IFERROR(__xludf.DUMMYFUNCTION("""COMPUTED_VALUE"""),300.820353219634)</f>
        <v>300.820353219634</v>
      </c>
      <c r="K1048" s="23">
        <f ca="1">IFERROR(__xludf.DUMMYFUNCTION("""COMPUTED_VALUE"""),230.75059307209)</f>
        <v>230.75059307209</v>
      </c>
      <c r="L1048" s="23">
        <f ca="1">IFERROR(__xludf.DUMMYFUNCTION("""COMPUTED_VALUE"""),195.047712966946)</f>
        <v>195.04771296694599</v>
      </c>
      <c r="M1048" s="23">
        <f ca="1">IFERROR(__xludf.DUMMYFUNCTION("""COMPUTED_VALUE"""),156.79699973844)</f>
        <v>156.79699973844001</v>
      </c>
      <c r="N1048" s="23">
        <f ca="1">IFERROR(__xludf.DUMMYFUNCTION("""COMPUTED_VALUE"""),66.082956112541)</f>
        <v>66.082956112540998</v>
      </c>
      <c r="O1048" s="23">
        <f ca="1">IFERROR(__xludf.DUMMYFUNCTION("""COMPUTED_VALUE"""),59.3112373204046)</f>
        <v>59.311237320404601</v>
      </c>
      <c r="P1048" s="23">
        <f ca="1">IFERROR(__xludf.DUMMYFUNCTION("""COMPUTED_VALUE"""),100.276414874262)</f>
        <v>100.276414874262</v>
      </c>
      <c r="Q1048" s="24">
        <f ca="1">IFERROR(__xludf.DUMMYFUNCTION("""COMPUTED_VALUE"""),88.9025914646853)</f>
        <v>88.902591464685301</v>
      </c>
      <c r="R1048" s="20"/>
    </row>
    <row r="1049" spans="1:18" ht="13.2" hidden="1" outlineLevel="1" x14ac:dyDescent="0.25">
      <c r="A1049" s="1"/>
      <c r="B1049" s="21" t="str">
        <f ca="1">IFERROR(__xludf.DUMMYFUNCTION("""COMPUTED_VALUE"""),"Gas natural seco")</f>
        <v>Gas natural seco</v>
      </c>
      <c r="C1049" s="22">
        <f ca="1">IFERROR(__xludf.DUMMYFUNCTION("""COMPUTED_VALUE"""),1810.86686502701)</f>
        <v>1810.8668650270099</v>
      </c>
      <c r="D1049" s="23">
        <f ca="1">IFERROR(__xludf.DUMMYFUNCTION("""COMPUTED_VALUE"""),1943.90658689414)</f>
        <v>1943.90658689414</v>
      </c>
      <c r="E1049" s="23">
        <f ca="1">IFERROR(__xludf.DUMMYFUNCTION("""COMPUTED_VALUE"""),2016.84465819082)</f>
        <v>2016.8446581908199</v>
      </c>
      <c r="F1049" s="23">
        <f ca="1">IFERROR(__xludf.DUMMYFUNCTION("""COMPUTED_VALUE"""),2222.67295894384)</f>
        <v>2222.6729589438401</v>
      </c>
      <c r="G1049" s="23">
        <f ca="1">IFERROR(__xludf.DUMMYFUNCTION("""COMPUTED_VALUE"""),1507.92040960416)</f>
        <v>1507.9204096041601</v>
      </c>
      <c r="H1049" s="23">
        <f ca="1">IFERROR(__xludf.DUMMYFUNCTION("""COMPUTED_VALUE"""),1405.5228883659)</f>
        <v>1405.5228883658999</v>
      </c>
      <c r="I1049" s="23">
        <f ca="1">IFERROR(__xludf.DUMMYFUNCTION("""COMPUTED_VALUE"""),1259.497)</f>
        <v>1259.4970000000001</v>
      </c>
      <c r="J1049" s="23">
        <f ca="1">IFERROR(__xludf.DUMMYFUNCTION("""COMPUTED_VALUE"""),1001.07456051037)</f>
        <v>1001.07456051037</v>
      </c>
      <c r="K1049" s="23">
        <f ca="1">IFERROR(__xludf.DUMMYFUNCTION("""COMPUTED_VALUE"""),886.935187187944)</f>
        <v>886.93518718794405</v>
      </c>
      <c r="L1049" s="23">
        <f ca="1">IFERROR(__xludf.DUMMYFUNCTION("""COMPUTED_VALUE"""),804.614513138962)</f>
        <v>804.61451313896202</v>
      </c>
      <c r="M1049" s="23">
        <f ca="1">IFERROR(__xludf.DUMMYFUNCTION("""COMPUTED_VALUE"""),730.172945579203)</f>
        <v>730.17294557920297</v>
      </c>
      <c r="N1049" s="23">
        <f ca="1">IFERROR(__xludf.DUMMYFUNCTION("""COMPUTED_VALUE"""),1000.01942528559)</f>
        <v>1000.01942528559</v>
      </c>
      <c r="O1049" s="23">
        <f ca="1">IFERROR(__xludf.DUMMYFUNCTION("""COMPUTED_VALUE"""),1206.07619997024)</f>
        <v>1206.0761999702399</v>
      </c>
      <c r="P1049" s="23">
        <f ca="1">IFERROR(__xludf.DUMMYFUNCTION("""COMPUTED_VALUE"""),1226.13657195632)</f>
        <v>1226.13657195632</v>
      </c>
      <c r="Q1049" s="24">
        <f ca="1">IFERROR(__xludf.DUMMYFUNCTION("""COMPUTED_VALUE"""),1145.06819263729)</f>
        <v>1145.0681926372899</v>
      </c>
      <c r="R1049" s="20"/>
    </row>
    <row r="1050" spans="1:18" ht="13.2" hidden="1" outlineLevel="1" x14ac:dyDescent="0.25">
      <c r="A1050" s="1"/>
      <c r="B1050" s="25" t="str">
        <f ca="1">IFERROR(__xludf.DUMMYFUNCTION("""COMPUTED_VALUE"""),"Energía eléctrica")</f>
        <v>Energía eléctrica</v>
      </c>
      <c r="C1050" s="26">
        <f ca="1">IFERROR(__xludf.DUMMYFUNCTION("""COMPUTED_VALUE"""),1051.65745877089)</f>
        <v>1051.6574587708899</v>
      </c>
      <c r="D1050" s="27">
        <f ca="1">IFERROR(__xludf.DUMMYFUNCTION("""COMPUTED_VALUE"""),1087.05175103583)</f>
        <v>1087.05175103583</v>
      </c>
      <c r="E1050" s="27">
        <f ca="1">IFERROR(__xludf.DUMMYFUNCTION("""COMPUTED_VALUE"""),1093.27924589789)</f>
        <v>1093.27924589789</v>
      </c>
      <c r="F1050" s="27">
        <f ca="1">IFERROR(__xludf.DUMMYFUNCTION("""COMPUTED_VALUE"""),1120.14083129021)</f>
        <v>1120.1408312902099</v>
      </c>
      <c r="G1050" s="27">
        <f ca="1">IFERROR(__xludf.DUMMYFUNCTION("""COMPUTED_VALUE"""),1137.75697904017)</f>
        <v>1137.7569790401701</v>
      </c>
      <c r="H1050" s="27">
        <f ca="1">IFERROR(__xludf.DUMMYFUNCTION("""COMPUTED_VALUE"""),1162.26614974407)</f>
        <v>1162.2661497440699</v>
      </c>
      <c r="I1050" s="27">
        <f ca="1">IFERROR(__xludf.DUMMYFUNCTION("""COMPUTED_VALUE"""),1176.76172849828)</f>
        <v>1176.76172849828</v>
      </c>
      <c r="J1050" s="27">
        <f ca="1">IFERROR(__xludf.DUMMYFUNCTION("""COMPUTED_VALUE"""),1189.97731977747)</f>
        <v>1189.97731977747</v>
      </c>
      <c r="K1050" s="27">
        <f ca="1">IFERROR(__xludf.DUMMYFUNCTION("""COMPUTED_VALUE"""),1219.02922162325)</f>
        <v>1219.0292216232499</v>
      </c>
      <c r="L1050" s="27">
        <f ca="1">IFERROR(__xludf.DUMMYFUNCTION("""COMPUTED_VALUE"""),1251.42446655689)</f>
        <v>1251.4244665568899</v>
      </c>
      <c r="M1050" s="27">
        <f ca="1">IFERROR(__xludf.DUMMYFUNCTION("""COMPUTED_VALUE"""),1263.86277112231)</f>
        <v>1263.8627711223101</v>
      </c>
      <c r="N1050" s="27">
        <f ca="1">IFERROR(__xludf.DUMMYFUNCTION("""COMPUTED_VALUE"""),1278.37575939846)</f>
        <v>1278.3757593984601</v>
      </c>
      <c r="O1050" s="27">
        <f ca="1">IFERROR(__xludf.DUMMYFUNCTION("""COMPUTED_VALUE"""),1310.80263095984)</f>
        <v>1310.8026309598399</v>
      </c>
      <c r="P1050" s="27">
        <f ca="1">IFERROR(__xludf.DUMMYFUNCTION("""COMPUTED_VALUE"""),1368.68737135421)</f>
        <v>1368.68737135421</v>
      </c>
      <c r="Q1050" s="28">
        <f ca="1">IFERROR(__xludf.DUMMYFUNCTION("""COMPUTED_VALUE"""),1381.51533134894)</f>
        <v>1381.51533134894</v>
      </c>
      <c r="R1050" s="20"/>
    </row>
    <row r="1051" spans="1:18" ht="13.2" hidden="1" outlineLevel="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0"/>
    </row>
    <row r="1052" spans="1:18" ht="13.2" collapsed="1" x14ac:dyDescent="0.25">
      <c r="A1052" s="1"/>
      <c r="B1052" s="31" t="str">
        <f ca="1">IFERROR(__xludf.DUMMYFUNCTION("""COMPUTED_VALUE"""),"212	Minería de minerales metálicos y no metálicos, excepto petróleo y gas")</f>
        <v>212	Minería de minerales metálicos y no metálicos, excepto petróleo y gas</v>
      </c>
      <c r="C1052" s="32"/>
      <c r="D1052" s="33"/>
      <c r="E1052" s="32"/>
      <c r="F1052" s="32"/>
      <c r="G1052" s="34"/>
      <c r="H1052" s="9"/>
      <c r="I1052" s="1"/>
      <c r="J1052" s="1"/>
      <c r="K1052" s="1"/>
      <c r="L1052" s="1"/>
      <c r="M1052" s="1"/>
      <c r="N1052" s="1"/>
      <c r="O1052" s="1"/>
      <c r="P1052" s="1"/>
      <c r="Q1052" s="1"/>
      <c r="R1052" s="10"/>
    </row>
    <row r="1053" spans="1:18" ht="13.2" hidden="1" outlineLevel="1" x14ac:dyDescent="0.25">
      <c r="A1053" s="1"/>
      <c r="B1053" s="11"/>
      <c r="C1053" s="35">
        <f ca="1">IFERROR(__xludf.DUMMYFUNCTION("""COMPUTED_VALUE"""),2010)</f>
        <v>2010</v>
      </c>
      <c r="D1053" s="36">
        <f ca="1">IFERROR(__xludf.DUMMYFUNCTION("""COMPUTED_VALUE"""),2011)</f>
        <v>2011</v>
      </c>
      <c r="E1053" s="36">
        <f ca="1">IFERROR(__xludf.DUMMYFUNCTION("""COMPUTED_VALUE"""),2012)</f>
        <v>2012</v>
      </c>
      <c r="F1053" s="36">
        <f ca="1">IFERROR(__xludf.DUMMYFUNCTION("""COMPUTED_VALUE"""),2013)</f>
        <v>2013</v>
      </c>
      <c r="G1053" s="36">
        <f ca="1">IFERROR(__xludf.DUMMYFUNCTION("""COMPUTED_VALUE"""),2014)</f>
        <v>2014</v>
      </c>
      <c r="H1053" s="36">
        <f ca="1">IFERROR(__xludf.DUMMYFUNCTION("""COMPUTED_VALUE"""),2015)</f>
        <v>2015</v>
      </c>
      <c r="I1053" s="36">
        <f ca="1">IFERROR(__xludf.DUMMYFUNCTION("""COMPUTED_VALUE"""),2016)</f>
        <v>2016</v>
      </c>
      <c r="J1053" s="36">
        <f ca="1">IFERROR(__xludf.DUMMYFUNCTION("""COMPUTED_VALUE"""),2017)</f>
        <v>2017</v>
      </c>
      <c r="K1053" s="36">
        <f ca="1">IFERROR(__xludf.DUMMYFUNCTION("""COMPUTED_VALUE"""),2018)</f>
        <v>2018</v>
      </c>
      <c r="L1053" s="36">
        <f ca="1">IFERROR(__xludf.DUMMYFUNCTION("""COMPUTED_VALUE"""),2019)</f>
        <v>2019</v>
      </c>
      <c r="M1053" s="36">
        <f ca="1">IFERROR(__xludf.DUMMYFUNCTION("""COMPUTED_VALUE"""),2020)</f>
        <v>2020</v>
      </c>
      <c r="N1053" s="36">
        <f ca="1">IFERROR(__xludf.DUMMYFUNCTION("""COMPUTED_VALUE"""),2021)</f>
        <v>2021</v>
      </c>
      <c r="O1053" s="36">
        <f ca="1">IFERROR(__xludf.DUMMYFUNCTION("""COMPUTED_VALUE"""),2022)</f>
        <v>2022</v>
      </c>
      <c r="P1053" s="36">
        <f ca="1">IFERROR(__xludf.DUMMYFUNCTION("""COMPUTED_VALUE"""),2023)</f>
        <v>2023</v>
      </c>
      <c r="Q1053" s="37">
        <f ca="1">IFERROR(__xludf.DUMMYFUNCTION("""COMPUTED_VALUE"""),2024)</f>
        <v>2024</v>
      </c>
      <c r="R1053" s="15"/>
    </row>
    <row r="1054" spans="1:18" ht="13.2" hidden="1" outlineLevel="1" x14ac:dyDescent="0.25">
      <c r="A1054" s="1"/>
      <c r="B1054" s="38" t="str">
        <f ca="1">IFERROR(__xludf.DUMMYFUNCTION("""COMPUTED_VALUE"""),"Carbón mineral")</f>
        <v>Carbón mineral</v>
      </c>
      <c r="C1054" s="17">
        <f ca="1">IFERROR(__xludf.DUMMYFUNCTION("""COMPUTED_VALUE"""),0)</f>
        <v>0</v>
      </c>
      <c r="D1054" s="18">
        <f ca="1">IFERROR(__xludf.DUMMYFUNCTION("""COMPUTED_VALUE"""),0)</f>
        <v>0</v>
      </c>
      <c r="E1054" s="18">
        <f ca="1">IFERROR(__xludf.DUMMYFUNCTION("""COMPUTED_VALUE"""),0)</f>
        <v>0</v>
      </c>
      <c r="F1054" s="18">
        <f ca="1">IFERROR(__xludf.DUMMYFUNCTION("""COMPUTED_VALUE"""),0)</f>
        <v>0</v>
      </c>
      <c r="G1054" s="18">
        <f ca="1">IFERROR(__xludf.DUMMYFUNCTION("""COMPUTED_VALUE"""),0)</f>
        <v>0</v>
      </c>
      <c r="H1054" s="18">
        <f ca="1">IFERROR(__xludf.DUMMYFUNCTION("""COMPUTED_VALUE"""),0)</f>
        <v>0</v>
      </c>
      <c r="I1054" s="18">
        <f ca="1">IFERROR(__xludf.DUMMYFUNCTION("""COMPUTED_VALUE"""),0)</f>
        <v>0</v>
      </c>
      <c r="J1054" s="18">
        <f ca="1">IFERROR(__xludf.DUMMYFUNCTION("""COMPUTED_VALUE"""),0)</f>
        <v>0</v>
      </c>
      <c r="K1054" s="18">
        <f ca="1">IFERROR(__xludf.DUMMYFUNCTION("""COMPUTED_VALUE"""),0)</f>
        <v>0</v>
      </c>
      <c r="L1054" s="18">
        <f ca="1">IFERROR(__xludf.DUMMYFUNCTION("""COMPUTED_VALUE"""),0)</f>
        <v>0</v>
      </c>
      <c r="M1054" s="18">
        <f ca="1">IFERROR(__xludf.DUMMYFUNCTION("""COMPUTED_VALUE"""),0)</f>
        <v>0</v>
      </c>
      <c r="N1054" s="18">
        <f ca="1">IFERROR(__xludf.DUMMYFUNCTION("""COMPUTED_VALUE"""),0)</f>
        <v>0</v>
      </c>
      <c r="O1054" s="18">
        <f ca="1">IFERROR(__xludf.DUMMYFUNCTION("""COMPUTED_VALUE"""),0)</f>
        <v>0</v>
      </c>
      <c r="P1054" s="18">
        <f ca="1">IFERROR(__xludf.DUMMYFUNCTION("""COMPUTED_VALUE"""),0)</f>
        <v>0</v>
      </c>
      <c r="Q1054" s="19">
        <f ca="1">IFERROR(__xludf.DUMMYFUNCTION("""COMPUTED_VALUE"""),0)</f>
        <v>0</v>
      </c>
      <c r="R1054" s="20"/>
    </row>
    <row r="1055" spans="1:18" ht="13.2" hidden="1" outlineLevel="1" x14ac:dyDescent="0.25">
      <c r="A1055" s="1"/>
      <c r="B1055" s="39" t="str">
        <f ca="1">IFERROR(__xludf.DUMMYFUNCTION("""COMPUTED_VALUE"""),"Petróleo crudo")</f>
        <v>Petróleo crudo</v>
      </c>
      <c r="C1055" s="22">
        <f ca="1">IFERROR(__xludf.DUMMYFUNCTION("""COMPUTED_VALUE"""),0)</f>
        <v>0</v>
      </c>
      <c r="D1055" s="23">
        <f ca="1">IFERROR(__xludf.DUMMYFUNCTION("""COMPUTED_VALUE"""),0)</f>
        <v>0</v>
      </c>
      <c r="E1055" s="23">
        <f ca="1">IFERROR(__xludf.DUMMYFUNCTION("""COMPUTED_VALUE"""),0)</f>
        <v>0</v>
      </c>
      <c r="F1055" s="23">
        <f ca="1">IFERROR(__xludf.DUMMYFUNCTION("""COMPUTED_VALUE"""),0)</f>
        <v>0</v>
      </c>
      <c r="G1055" s="23">
        <f ca="1">IFERROR(__xludf.DUMMYFUNCTION("""COMPUTED_VALUE"""),0)</f>
        <v>0</v>
      </c>
      <c r="H1055" s="23">
        <f ca="1">IFERROR(__xludf.DUMMYFUNCTION("""COMPUTED_VALUE"""),0)</f>
        <v>0</v>
      </c>
      <c r="I1055" s="23">
        <f ca="1">IFERROR(__xludf.DUMMYFUNCTION("""COMPUTED_VALUE"""),0)</f>
        <v>0</v>
      </c>
      <c r="J1055" s="23">
        <f ca="1">IFERROR(__xludf.DUMMYFUNCTION("""COMPUTED_VALUE"""),0)</f>
        <v>0</v>
      </c>
      <c r="K1055" s="23">
        <f ca="1">IFERROR(__xludf.DUMMYFUNCTION("""COMPUTED_VALUE"""),0)</f>
        <v>0</v>
      </c>
      <c r="L1055" s="23">
        <f ca="1">IFERROR(__xludf.DUMMYFUNCTION("""COMPUTED_VALUE"""),0)</f>
        <v>0</v>
      </c>
      <c r="M1055" s="23">
        <f ca="1">IFERROR(__xludf.DUMMYFUNCTION("""COMPUTED_VALUE"""),0)</f>
        <v>0</v>
      </c>
      <c r="N1055" s="23">
        <f ca="1">IFERROR(__xludf.DUMMYFUNCTION("""COMPUTED_VALUE"""),0)</f>
        <v>0</v>
      </c>
      <c r="O1055" s="23">
        <f ca="1">IFERROR(__xludf.DUMMYFUNCTION("""COMPUTED_VALUE"""),0)</f>
        <v>0</v>
      </c>
      <c r="P1055" s="23">
        <f ca="1">IFERROR(__xludf.DUMMYFUNCTION("""COMPUTED_VALUE"""),0)</f>
        <v>0</v>
      </c>
      <c r="Q1055" s="24">
        <f ca="1">IFERROR(__xludf.DUMMYFUNCTION("""COMPUTED_VALUE"""),0)</f>
        <v>0</v>
      </c>
      <c r="R1055" s="20"/>
    </row>
    <row r="1056" spans="1:18" ht="13.2" hidden="1" outlineLevel="1" x14ac:dyDescent="0.25">
      <c r="A1056" s="1"/>
      <c r="B1056" s="39" t="str">
        <f ca="1">IFERROR(__xludf.DUMMYFUNCTION("""COMPUTED_VALUE"""),"Condensados")</f>
        <v>Condensados</v>
      </c>
      <c r="C1056" s="22">
        <f ca="1">IFERROR(__xludf.DUMMYFUNCTION("""COMPUTED_VALUE"""),0)</f>
        <v>0</v>
      </c>
      <c r="D1056" s="23">
        <f ca="1">IFERROR(__xludf.DUMMYFUNCTION("""COMPUTED_VALUE"""),0)</f>
        <v>0</v>
      </c>
      <c r="E1056" s="23">
        <f ca="1">IFERROR(__xludf.DUMMYFUNCTION("""COMPUTED_VALUE"""),0)</f>
        <v>0</v>
      </c>
      <c r="F1056" s="23">
        <f ca="1">IFERROR(__xludf.DUMMYFUNCTION("""COMPUTED_VALUE"""),0)</f>
        <v>0</v>
      </c>
      <c r="G1056" s="23">
        <f ca="1">IFERROR(__xludf.DUMMYFUNCTION("""COMPUTED_VALUE"""),0)</f>
        <v>0</v>
      </c>
      <c r="H1056" s="23">
        <f ca="1">IFERROR(__xludf.DUMMYFUNCTION("""COMPUTED_VALUE"""),0)</f>
        <v>0</v>
      </c>
      <c r="I1056" s="23">
        <f ca="1">IFERROR(__xludf.DUMMYFUNCTION("""COMPUTED_VALUE"""),0)</f>
        <v>0</v>
      </c>
      <c r="J1056" s="23">
        <f ca="1">IFERROR(__xludf.DUMMYFUNCTION("""COMPUTED_VALUE"""),0)</f>
        <v>0</v>
      </c>
      <c r="K1056" s="23">
        <f ca="1">IFERROR(__xludf.DUMMYFUNCTION("""COMPUTED_VALUE"""),0)</f>
        <v>0</v>
      </c>
      <c r="L1056" s="23">
        <f ca="1">IFERROR(__xludf.DUMMYFUNCTION("""COMPUTED_VALUE"""),0)</f>
        <v>0</v>
      </c>
      <c r="M1056" s="23">
        <f ca="1">IFERROR(__xludf.DUMMYFUNCTION("""COMPUTED_VALUE"""),0)</f>
        <v>0</v>
      </c>
      <c r="N1056" s="23">
        <f ca="1">IFERROR(__xludf.DUMMYFUNCTION("""COMPUTED_VALUE"""),0)</f>
        <v>0</v>
      </c>
      <c r="O1056" s="23">
        <f ca="1">IFERROR(__xludf.DUMMYFUNCTION("""COMPUTED_VALUE"""),0)</f>
        <v>0</v>
      </c>
      <c r="P1056" s="23">
        <f ca="1">IFERROR(__xludf.DUMMYFUNCTION("""COMPUTED_VALUE"""),0)</f>
        <v>0</v>
      </c>
      <c r="Q1056" s="24">
        <f ca="1">IFERROR(__xludf.DUMMYFUNCTION("""COMPUTED_VALUE"""),0)</f>
        <v>0</v>
      </c>
      <c r="R1056" s="20"/>
    </row>
    <row r="1057" spans="1:18" ht="13.2" hidden="1" outlineLevel="1" x14ac:dyDescent="0.25">
      <c r="A1057" s="1"/>
      <c r="B1057" s="39" t="str">
        <f ca="1">IFERROR(__xludf.DUMMYFUNCTION("""COMPUTED_VALUE"""),"Gas natural")</f>
        <v>Gas natural</v>
      </c>
      <c r="C1057" s="22">
        <f ca="1">IFERROR(__xludf.DUMMYFUNCTION("""COMPUTED_VALUE"""),0)</f>
        <v>0</v>
      </c>
      <c r="D1057" s="23">
        <f ca="1">IFERROR(__xludf.DUMMYFUNCTION("""COMPUTED_VALUE"""),0)</f>
        <v>0</v>
      </c>
      <c r="E1057" s="23">
        <f ca="1">IFERROR(__xludf.DUMMYFUNCTION("""COMPUTED_VALUE"""),0)</f>
        <v>0</v>
      </c>
      <c r="F1057" s="23">
        <f ca="1">IFERROR(__xludf.DUMMYFUNCTION("""COMPUTED_VALUE"""),0)</f>
        <v>0</v>
      </c>
      <c r="G1057" s="23">
        <f ca="1">IFERROR(__xludf.DUMMYFUNCTION("""COMPUTED_VALUE"""),0)</f>
        <v>0</v>
      </c>
      <c r="H1057" s="23">
        <f ca="1">IFERROR(__xludf.DUMMYFUNCTION("""COMPUTED_VALUE"""),0)</f>
        <v>0</v>
      </c>
      <c r="I1057" s="23">
        <f ca="1">IFERROR(__xludf.DUMMYFUNCTION("""COMPUTED_VALUE"""),0)</f>
        <v>0</v>
      </c>
      <c r="J1057" s="23">
        <f ca="1">IFERROR(__xludf.DUMMYFUNCTION("""COMPUTED_VALUE"""),0)</f>
        <v>0</v>
      </c>
      <c r="K1057" s="23">
        <f ca="1">IFERROR(__xludf.DUMMYFUNCTION("""COMPUTED_VALUE"""),0)</f>
        <v>0</v>
      </c>
      <c r="L1057" s="23">
        <f ca="1">IFERROR(__xludf.DUMMYFUNCTION("""COMPUTED_VALUE"""),0)</f>
        <v>0</v>
      </c>
      <c r="M1057" s="23">
        <f ca="1">IFERROR(__xludf.DUMMYFUNCTION("""COMPUTED_VALUE"""),0)</f>
        <v>0</v>
      </c>
      <c r="N1057" s="23">
        <f ca="1">IFERROR(__xludf.DUMMYFUNCTION("""COMPUTED_VALUE"""),0)</f>
        <v>0</v>
      </c>
      <c r="O1057" s="23">
        <f ca="1">IFERROR(__xludf.DUMMYFUNCTION("""COMPUTED_VALUE"""),0)</f>
        <v>0</v>
      </c>
      <c r="P1057" s="23">
        <f ca="1">IFERROR(__xludf.DUMMYFUNCTION("""COMPUTED_VALUE"""),0)</f>
        <v>0</v>
      </c>
      <c r="Q1057" s="24">
        <f ca="1">IFERROR(__xludf.DUMMYFUNCTION("""COMPUTED_VALUE"""),0)</f>
        <v>0</v>
      </c>
      <c r="R1057" s="20"/>
    </row>
    <row r="1058" spans="1:18" ht="13.2" hidden="1" outlineLevel="1" x14ac:dyDescent="0.25">
      <c r="A1058" s="1"/>
      <c r="B1058" s="39" t="str">
        <f ca="1">IFERROR(__xludf.DUMMYFUNCTION("""COMPUTED_VALUE"""),"Energía Nuclear")</f>
        <v>Energía Nuclear</v>
      </c>
      <c r="C1058" s="22">
        <f ca="1">IFERROR(__xludf.DUMMYFUNCTION("""COMPUTED_VALUE"""),0)</f>
        <v>0</v>
      </c>
      <c r="D1058" s="23">
        <f ca="1">IFERROR(__xludf.DUMMYFUNCTION("""COMPUTED_VALUE"""),0)</f>
        <v>0</v>
      </c>
      <c r="E1058" s="23">
        <f ca="1">IFERROR(__xludf.DUMMYFUNCTION("""COMPUTED_VALUE"""),0)</f>
        <v>0</v>
      </c>
      <c r="F1058" s="23">
        <f ca="1">IFERROR(__xludf.DUMMYFUNCTION("""COMPUTED_VALUE"""),0)</f>
        <v>0</v>
      </c>
      <c r="G1058" s="23">
        <f ca="1">IFERROR(__xludf.DUMMYFUNCTION("""COMPUTED_VALUE"""),0)</f>
        <v>0</v>
      </c>
      <c r="H1058" s="23">
        <f ca="1">IFERROR(__xludf.DUMMYFUNCTION("""COMPUTED_VALUE"""),0)</f>
        <v>0</v>
      </c>
      <c r="I1058" s="23">
        <f ca="1">IFERROR(__xludf.DUMMYFUNCTION("""COMPUTED_VALUE"""),0)</f>
        <v>0</v>
      </c>
      <c r="J1058" s="23">
        <f ca="1">IFERROR(__xludf.DUMMYFUNCTION("""COMPUTED_VALUE"""),0)</f>
        <v>0</v>
      </c>
      <c r="K1058" s="23">
        <f ca="1">IFERROR(__xludf.DUMMYFUNCTION("""COMPUTED_VALUE"""),0)</f>
        <v>0</v>
      </c>
      <c r="L1058" s="23">
        <f ca="1">IFERROR(__xludf.DUMMYFUNCTION("""COMPUTED_VALUE"""),0)</f>
        <v>0</v>
      </c>
      <c r="M1058" s="23">
        <f ca="1">IFERROR(__xludf.DUMMYFUNCTION("""COMPUTED_VALUE"""),0)</f>
        <v>0</v>
      </c>
      <c r="N1058" s="23">
        <f ca="1">IFERROR(__xludf.DUMMYFUNCTION("""COMPUTED_VALUE"""),0)</f>
        <v>0</v>
      </c>
      <c r="O1058" s="23">
        <f ca="1">IFERROR(__xludf.DUMMYFUNCTION("""COMPUTED_VALUE"""),0)</f>
        <v>0</v>
      </c>
      <c r="P1058" s="23">
        <f ca="1">IFERROR(__xludf.DUMMYFUNCTION("""COMPUTED_VALUE"""),0)</f>
        <v>0</v>
      </c>
      <c r="Q1058" s="24">
        <f ca="1">IFERROR(__xludf.DUMMYFUNCTION("""COMPUTED_VALUE"""),0)</f>
        <v>0</v>
      </c>
      <c r="R1058" s="20"/>
    </row>
    <row r="1059" spans="1:18" ht="13.2" hidden="1" outlineLevel="1" x14ac:dyDescent="0.25">
      <c r="A1059" s="1"/>
      <c r="B1059" s="39" t="str">
        <f ca="1">IFERROR(__xludf.DUMMYFUNCTION("""COMPUTED_VALUE"""),"Energia Hidraúlica")</f>
        <v>Energia Hidraúlica</v>
      </c>
      <c r="C1059" s="22">
        <f ca="1">IFERROR(__xludf.DUMMYFUNCTION("""COMPUTED_VALUE"""),0)</f>
        <v>0</v>
      </c>
      <c r="D1059" s="23">
        <f ca="1">IFERROR(__xludf.DUMMYFUNCTION("""COMPUTED_VALUE"""),0)</f>
        <v>0</v>
      </c>
      <c r="E1059" s="23">
        <f ca="1">IFERROR(__xludf.DUMMYFUNCTION("""COMPUTED_VALUE"""),0)</f>
        <v>0</v>
      </c>
      <c r="F1059" s="23">
        <f ca="1">IFERROR(__xludf.DUMMYFUNCTION("""COMPUTED_VALUE"""),0)</f>
        <v>0</v>
      </c>
      <c r="G1059" s="23">
        <f ca="1">IFERROR(__xludf.DUMMYFUNCTION("""COMPUTED_VALUE"""),0)</f>
        <v>0</v>
      </c>
      <c r="H1059" s="23">
        <f ca="1">IFERROR(__xludf.DUMMYFUNCTION("""COMPUTED_VALUE"""),0)</f>
        <v>0</v>
      </c>
      <c r="I1059" s="23">
        <f ca="1">IFERROR(__xludf.DUMMYFUNCTION("""COMPUTED_VALUE"""),0)</f>
        <v>0</v>
      </c>
      <c r="J1059" s="23">
        <f ca="1">IFERROR(__xludf.DUMMYFUNCTION("""COMPUTED_VALUE"""),0)</f>
        <v>0</v>
      </c>
      <c r="K1059" s="23">
        <f ca="1">IFERROR(__xludf.DUMMYFUNCTION("""COMPUTED_VALUE"""),0)</f>
        <v>0</v>
      </c>
      <c r="L1059" s="23">
        <f ca="1">IFERROR(__xludf.DUMMYFUNCTION("""COMPUTED_VALUE"""),0)</f>
        <v>0</v>
      </c>
      <c r="M1059" s="23">
        <f ca="1">IFERROR(__xludf.DUMMYFUNCTION("""COMPUTED_VALUE"""),0)</f>
        <v>0</v>
      </c>
      <c r="N1059" s="23">
        <f ca="1">IFERROR(__xludf.DUMMYFUNCTION("""COMPUTED_VALUE"""),0)</f>
        <v>0</v>
      </c>
      <c r="O1059" s="23">
        <f ca="1">IFERROR(__xludf.DUMMYFUNCTION("""COMPUTED_VALUE"""),0)</f>
        <v>0</v>
      </c>
      <c r="P1059" s="23">
        <f ca="1">IFERROR(__xludf.DUMMYFUNCTION("""COMPUTED_VALUE"""),0)</f>
        <v>0</v>
      </c>
      <c r="Q1059" s="24">
        <f ca="1">IFERROR(__xludf.DUMMYFUNCTION("""COMPUTED_VALUE"""),0)</f>
        <v>0</v>
      </c>
      <c r="R1059" s="20"/>
    </row>
    <row r="1060" spans="1:18" ht="13.2" hidden="1" outlineLevel="1" x14ac:dyDescent="0.25">
      <c r="A1060" s="1"/>
      <c r="B1060" s="39" t="str">
        <f ca="1">IFERROR(__xludf.DUMMYFUNCTION("""COMPUTED_VALUE"""),"Geoenergía")</f>
        <v>Geoenergía</v>
      </c>
      <c r="C1060" s="22">
        <f ca="1">IFERROR(__xludf.DUMMYFUNCTION("""COMPUTED_VALUE"""),0)</f>
        <v>0</v>
      </c>
      <c r="D1060" s="23">
        <f ca="1">IFERROR(__xludf.DUMMYFUNCTION("""COMPUTED_VALUE"""),0)</f>
        <v>0</v>
      </c>
      <c r="E1060" s="23">
        <f ca="1">IFERROR(__xludf.DUMMYFUNCTION("""COMPUTED_VALUE"""),0)</f>
        <v>0</v>
      </c>
      <c r="F1060" s="23">
        <f ca="1">IFERROR(__xludf.DUMMYFUNCTION("""COMPUTED_VALUE"""),0)</f>
        <v>0</v>
      </c>
      <c r="G1060" s="23">
        <f ca="1">IFERROR(__xludf.DUMMYFUNCTION("""COMPUTED_VALUE"""),0)</f>
        <v>0</v>
      </c>
      <c r="H1060" s="23">
        <f ca="1">IFERROR(__xludf.DUMMYFUNCTION("""COMPUTED_VALUE"""),0)</f>
        <v>0</v>
      </c>
      <c r="I1060" s="23">
        <f ca="1">IFERROR(__xludf.DUMMYFUNCTION("""COMPUTED_VALUE"""),0)</f>
        <v>0</v>
      </c>
      <c r="J1060" s="23">
        <f ca="1">IFERROR(__xludf.DUMMYFUNCTION("""COMPUTED_VALUE"""),0)</f>
        <v>0</v>
      </c>
      <c r="K1060" s="23">
        <f ca="1">IFERROR(__xludf.DUMMYFUNCTION("""COMPUTED_VALUE"""),0)</f>
        <v>0</v>
      </c>
      <c r="L1060" s="23">
        <f ca="1">IFERROR(__xludf.DUMMYFUNCTION("""COMPUTED_VALUE"""),0)</f>
        <v>0</v>
      </c>
      <c r="M1060" s="23">
        <f ca="1">IFERROR(__xludf.DUMMYFUNCTION("""COMPUTED_VALUE"""),0)</f>
        <v>0</v>
      </c>
      <c r="N1060" s="23">
        <f ca="1">IFERROR(__xludf.DUMMYFUNCTION("""COMPUTED_VALUE"""),0)</f>
        <v>0</v>
      </c>
      <c r="O1060" s="23">
        <f ca="1">IFERROR(__xludf.DUMMYFUNCTION("""COMPUTED_VALUE"""),0)</f>
        <v>0</v>
      </c>
      <c r="P1060" s="23">
        <f ca="1">IFERROR(__xludf.DUMMYFUNCTION("""COMPUTED_VALUE"""),0)</f>
        <v>0</v>
      </c>
      <c r="Q1060" s="24">
        <f ca="1">IFERROR(__xludf.DUMMYFUNCTION("""COMPUTED_VALUE"""),0)</f>
        <v>0</v>
      </c>
      <c r="R1060" s="20"/>
    </row>
    <row r="1061" spans="1:18" ht="13.2" hidden="1" outlineLevel="1" x14ac:dyDescent="0.25">
      <c r="A1061" s="1"/>
      <c r="B1061" s="39" t="str">
        <f ca="1">IFERROR(__xludf.DUMMYFUNCTION("""COMPUTED_VALUE"""),"Energía solar")</f>
        <v>Energía solar</v>
      </c>
      <c r="C1061" s="22">
        <f ca="1">IFERROR(__xludf.DUMMYFUNCTION("""COMPUTED_VALUE"""),0)</f>
        <v>0</v>
      </c>
      <c r="D1061" s="23">
        <f ca="1">IFERROR(__xludf.DUMMYFUNCTION("""COMPUTED_VALUE"""),0)</f>
        <v>0</v>
      </c>
      <c r="E1061" s="23">
        <f ca="1">IFERROR(__xludf.DUMMYFUNCTION("""COMPUTED_VALUE"""),0)</f>
        <v>0</v>
      </c>
      <c r="F1061" s="23">
        <f ca="1">IFERROR(__xludf.DUMMYFUNCTION("""COMPUTED_VALUE"""),0)</f>
        <v>0</v>
      </c>
      <c r="G1061" s="23">
        <f ca="1">IFERROR(__xludf.DUMMYFUNCTION("""COMPUTED_VALUE"""),0)</f>
        <v>0</v>
      </c>
      <c r="H1061" s="23">
        <f ca="1">IFERROR(__xludf.DUMMYFUNCTION("""COMPUTED_VALUE"""),0)</f>
        <v>0</v>
      </c>
      <c r="I1061" s="23">
        <f ca="1">IFERROR(__xludf.DUMMYFUNCTION("""COMPUTED_VALUE"""),0)</f>
        <v>0</v>
      </c>
      <c r="J1061" s="23">
        <f ca="1">IFERROR(__xludf.DUMMYFUNCTION("""COMPUTED_VALUE"""),0)</f>
        <v>0</v>
      </c>
      <c r="K1061" s="23">
        <f ca="1">IFERROR(__xludf.DUMMYFUNCTION("""COMPUTED_VALUE"""),0)</f>
        <v>0</v>
      </c>
      <c r="L1061" s="23">
        <f ca="1">IFERROR(__xludf.DUMMYFUNCTION("""COMPUTED_VALUE"""),0)</f>
        <v>0</v>
      </c>
      <c r="M1061" s="23">
        <f ca="1">IFERROR(__xludf.DUMMYFUNCTION("""COMPUTED_VALUE"""),0)</f>
        <v>0</v>
      </c>
      <c r="N1061" s="23">
        <f ca="1">IFERROR(__xludf.DUMMYFUNCTION("""COMPUTED_VALUE"""),0)</f>
        <v>0</v>
      </c>
      <c r="O1061" s="23">
        <f ca="1">IFERROR(__xludf.DUMMYFUNCTION("""COMPUTED_VALUE"""),0)</f>
        <v>0</v>
      </c>
      <c r="P1061" s="23">
        <f ca="1">IFERROR(__xludf.DUMMYFUNCTION("""COMPUTED_VALUE"""),0)</f>
        <v>0</v>
      </c>
      <c r="Q1061" s="24">
        <f ca="1">IFERROR(__xludf.DUMMYFUNCTION("""COMPUTED_VALUE"""),0)</f>
        <v>0</v>
      </c>
      <c r="R1061" s="20"/>
    </row>
    <row r="1062" spans="1:18" ht="13.2" hidden="1" outlineLevel="1" x14ac:dyDescent="0.25">
      <c r="A1062" s="1"/>
      <c r="B1062" s="39" t="str">
        <f ca="1">IFERROR(__xludf.DUMMYFUNCTION("""COMPUTED_VALUE"""),"Energía eólica")</f>
        <v>Energía eólica</v>
      </c>
      <c r="C1062" s="22">
        <f ca="1">IFERROR(__xludf.DUMMYFUNCTION("""COMPUTED_VALUE"""),0)</f>
        <v>0</v>
      </c>
      <c r="D1062" s="23">
        <f ca="1">IFERROR(__xludf.DUMMYFUNCTION("""COMPUTED_VALUE"""),0)</f>
        <v>0</v>
      </c>
      <c r="E1062" s="23">
        <f ca="1">IFERROR(__xludf.DUMMYFUNCTION("""COMPUTED_VALUE"""),0)</f>
        <v>0</v>
      </c>
      <c r="F1062" s="23">
        <f ca="1">IFERROR(__xludf.DUMMYFUNCTION("""COMPUTED_VALUE"""),0)</f>
        <v>0</v>
      </c>
      <c r="G1062" s="23">
        <f ca="1">IFERROR(__xludf.DUMMYFUNCTION("""COMPUTED_VALUE"""),0)</f>
        <v>0</v>
      </c>
      <c r="H1062" s="23">
        <f ca="1">IFERROR(__xludf.DUMMYFUNCTION("""COMPUTED_VALUE"""),0)</f>
        <v>0</v>
      </c>
      <c r="I1062" s="23">
        <f ca="1">IFERROR(__xludf.DUMMYFUNCTION("""COMPUTED_VALUE"""),0)</f>
        <v>0</v>
      </c>
      <c r="J1062" s="23">
        <f ca="1">IFERROR(__xludf.DUMMYFUNCTION("""COMPUTED_VALUE"""),0)</f>
        <v>0</v>
      </c>
      <c r="K1062" s="23">
        <f ca="1">IFERROR(__xludf.DUMMYFUNCTION("""COMPUTED_VALUE"""),0)</f>
        <v>0</v>
      </c>
      <c r="L1062" s="23">
        <f ca="1">IFERROR(__xludf.DUMMYFUNCTION("""COMPUTED_VALUE"""),0)</f>
        <v>0</v>
      </c>
      <c r="M1062" s="23">
        <f ca="1">IFERROR(__xludf.DUMMYFUNCTION("""COMPUTED_VALUE"""),0)</f>
        <v>0</v>
      </c>
      <c r="N1062" s="23">
        <f ca="1">IFERROR(__xludf.DUMMYFUNCTION("""COMPUTED_VALUE"""),0)</f>
        <v>0</v>
      </c>
      <c r="O1062" s="23">
        <f ca="1">IFERROR(__xludf.DUMMYFUNCTION("""COMPUTED_VALUE"""),0)</f>
        <v>0</v>
      </c>
      <c r="P1062" s="23">
        <f ca="1">IFERROR(__xludf.DUMMYFUNCTION("""COMPUTED_VALUE"""),0)</f>
        <v>0</v>
      </c>
      <c r="Q1062" s="24">
        <f ca="1">IFERROR(__xludf.DUMMYFUNCTION("""COMPUTED_VALUE"""),0)</f>
        <v>0</v>
      </c>
      <c r="R1062" s="20"/>
    </row>
    <row r="1063" spans="1:18" ht="13.2" hidden="1" outlineLevel="1" x14ac:dyDescent="0.25">
      <c r="A1063" s="1"/>
      <c r="B1063" s="39" t="str">
        <f ca="1">IFERROR(__xludf.DUMMYFUNCTION("""COMPUTED_VALUE"""),"Bagazo de caña")</f>
        <v>Bagazo de caña</v>
      </c>
      <c r="C1063" s="22">
        <f ca="1">IFERROR(__xludf.DUMMYFUNCTION("""COMPUTED_VALUE"""),0)</f>
        <v>0</v>
      </c>
      <c r="D1063" s="23">
        <f ca="1">IFERROR(__xludf.DUMMYFUNCTION("""COMPUTED_VALUE"""),0)</f>
        <v>0</v>
      </c>
      <c r="E1063" s="23">
        <f ca="1">IFERROR(__xludf.DUMMYFUNCTION("""COMPUTED_VALUE"""),0)</f>
        <v>0</v>
      </c>
      <c r="F1063" s="23">
        <f ca="1">IFERROR(__xludf.DUMMYFUNCTION("""COMPUTED_VALUE"""),0)</f>
        <v>0</v>
      </c>
      <c r="G1063" s="23">
        <f ca="1">IFERROR(__xludf.DUMMYFUNCTION("""COMPUTED_VALUE"""),0)</f>
        <v>0</v>
      </c>
      <c r="H1063" s="23">
        <f ca="1">IFERROR(__xludf.DUMMYFUNCTION("""COMPUTED_VALUE"""),0)</f>
        <v>0</v>
      </c>
      <c r="I1063" s="23">
        <f ca="1">IFERROR(__xludf.DUMMYFUNCTION("""COMPUTED_VALUE"""),0)</f>
        <v>0</v>
      </c>
      <c r="J1063" s="23">
        <f ca="1">IFERROR(__xludf.DUMMYFUNCTION("""COMPUTED_VALUE"""),0)</f>
        <v>0</v>
      </c>
      <c r="K1063" s="23">
        <f ca="1">IFERROR(__xludf.DUMMYFUNCTION("""COMPUTED_VALUE"""),0)</f>
        <v>0</v>
      </c>
      <c r="L1063" s="23">
        <f ca="1">IFERROR(__xludf.DUMMYFUNCTION("""COMPUTED_VALUE"""),0)</f>
        <v>0</v>
      </c>
      <c r="M1063" s="23">
        <f ca="1">IFERROR(__xludf.DUMMYFUNCTION("""COMPUTED_VALUE"""),0)</f>
        <v>0</v>
      </c>
      <c r="N1063" s="23">
        <f ca="1">IFERROR(__xludf.DUMMYFUNCTION("""COMPUTED_VALUE"""),0)</f>
        <v>0</v>
      </c>
      <c r="O1063" s="23">
        <f ca="1">IFERROR(__xludf.DUMMYFUNCTION("""COMPUTED_VALUE"""),0)</f>
        <v>0</v>
      </c>
      <c r="P1063" s="23">
        <f ca="1">IFERROR(__xludf.DUMMYFUNCTION("""COMPUTED_VALUE"""),0)</f>
        <v>0</v>
      </c>
      <c r="Q1063" s="24">
        <f ca="1">IFERROR(__xludf.DUMMYFUNCTION("""COMPUTED_VALUE"""),0)</f>
        <v>0</v>
      </c>
      <c r="R1063" s="20"/>
    </row>
    <row r="1064" spans="1:18" ht="13.2" hidden="1" outlineLevel="1" x14ac:dyDescent="0.25">
      <c r="A1064" s="1"/>
      <c r="B1064" s="39" t="str">
        <f ca="1">IFERROR(__xludf.DUMMYFUNCTION("""COMPUTED_VALUE"""),"Leña")</f>
        <v>Leña</v>
      </c>
      <c r="C1064" s="22">
        <f ca="1">IFERROR(__xludf.DUMMYFUNCTION("""COMPUTED_VALUE"""),0)</f>
        <v>0</v>
      </c>
      <c r="D1064" s="23">
        <f ca="1">IFERROR(__xludf.DUMMYFUNCTION("""COMPUTED_VALUE"""),0)</f>
        <v>0</v>
      </c>
      <c r="E1064" s="23">
        <f ca="1">IFERROR(__xludf.DUMMYFUNCTION("""COMPUTED_VALUE"""),0)</f>
        <v>0</v>
      </c>
      <c r="F1064" s="23">
        <f ca="1">IFERROR(__xludf.DUMMYFUNCTION("""COMPUTED_VALUE"""),0)</f>
        <v>0</v>
      </c>
      <c r="G1064" s="23">
        <f ca="1">IFERROR(__xludf.DUMMYFUNCTION("""COMPUTED_VALUE"""),0)</f>
        <v>0</v>
      </c>
      <c r="H1064" s="23">
        <f ca="1">IFERROR(__xludf.DUMMYFUNCTION("""COMPUTED_VALUE"""),0)</f>
        <v>0</v>
      </c>
      <c r="I1064" s="23">
        <f ca="1">IFERROR(__xludf.DUMMYFUNCTION("""COMPUTED_VALUE"""),0)</f>
        <v>0</v>
      </c>
      <c r="J1064" s="23">
        <f ca="1">IFERROR(__xludf.DUMMYFUNCTION("""COMPUTED_VALUE"""),0)</f>
        <v>0</v>
      </c>
      <c r="K1064" s="23">
        <f ca="1">IFERROR(__xludf.DUMMYFUNCTION("""COMPUTED_VALUE"""),0)</f>
        <v>0</v>
      </c>
      <c r="L1064" s="23">
        <f ca="1">IFERROR(__xludf.DUMMYFUNCTION("""COMPUTED_VALUE"""),0)</f>
        <v>0</v>
      </c>
      <c r="M1064" s="23">
        <f ca="1">IFERROR(__xludf.DUMMYFUNCTION("""COMPUTED_VALUE"""),0)</f>
        <v>0</v>
      </c>
      <c r="N1064" s="23">
        <f ca="1">IFERROR(__xludf.DUMMYFUNCTION("""COMPUTED_VALUE"""),0)</f>
        <v>0</v>
      </c>
      <c r="O1064" s="23">
        <f ca="1">IFERROR(__xludf.DUMMYFUNCTION("""COMPUTED_VALUE"""),0)</f>
        <v>0</v>
      </c>
      <c r="P1064" s="23">
        <f ca="1">IFERROR(__xludf.DUMMYFUNCTION("""COMPUTED_VALUE"""),0)</f>
        <v>0</v>
      </c>
      <c r="Q1064" s="24">
        <f ca="1">IFERROR(__xludf.DUMMYFUNCTION("""COMPUTED_VALUE"""),0)</f>
        <v>0</v>
      </c>
      <c r="R1064" s="20"/>
    </row>
    <row r="1065" spans="1:18" ht="13.2" hidden="1" outlineLevel="1" x14ac:dyDescent="0.25">
      <c r="A1065" s="1"/>
      <c r="B1065" s="39" t="str">
        <f ca="1">IFERROR(__xludf.DUMMYFUNCTION("""COMPUTED_VALUE"""),"Biogás")</f>
        <v>Biogás</v>
      </c>
      <c r="C1065" s="22">
        <f ca="1">IFERROR(__xludf.DUMMYFUNCTION("""COMPUTED_VALUE"""),0)</f>
        <v>0</v>
      </c>
      <c r="D1065" s="23">
        <f ca="1">IFERROR(__xludf.DUMMYFUNCTION("""COMPUTED_VALUE"""),0)</f>
        <v>0</v>
      </c>
      <c r="E1065" s="23">
        <f ca="1">IFERROR(__xludf.DUMMYFUNCTION("""COMPUTED_VALUE"""),0)</f>
        <v>0</v>
      </c>
      <c r="F1065" s="23">
        <f ca="1">IFERROR(__xludf.DUMMYFUNCTION("""COMPUTED_VALUE"""),0)</f>
        <v>0</v>
      </c>
      <c r="G1065" s="23">
        <f ca="1">IFERROR(__xludf.DUMMYFUNCTION("""COMPUTED_VALUE"""),0)</f>
        <v>0</v>
      </c>
      <c r="H1065" s="23">
        <f ca="1">IFERROR(__xludf.DUMMYFUNCTION("""COMPUTED_VALUE"""),0)</f>
        <v>0</v>
      </c>
      <c r="I1065" s="23">
        <f ca="1">IFERROR(__xludf.DUMMYFUNCTION("""COMPUTED_VALUE"""),0)</f>
        <v>0</v>
      </c>
      <c r="J1065" s="23">
        <f ca="1">IFERROR(__xludf.DUMMYFUNCTION("""COMPUTED_VALUE"""),0)</f>
        <v>0</v>
      </c>
      <c r="K1065" s="23">
        <f ca="1">IFERROR(__xludf.DUMMYFUNCTION("""COMPUTED_VALUE"""),0)</f>
        <v>0</v>
      </c>
      <c r="L1065" s="23">
        <f ca="1">IFERROR(__xludf.DUMMYFUNCTION("""COMPUTED_VALUE"""),0)</f>
        <v>0</v>
      </c>
      <c r="M1065" s="23">
        <f ca="1">IFERROR(__xludf.DUMMYFUNCTION("""COMPUTED_VALUE"""),0)</f>
        <v>0</v>
      </c>
      <c r="N1065" s="23">
        <f ca="1">IFERROR(__xludf.DUMMYFUNCTION("""COMPUTED_VALUE"""),0)</f>
        <v>0</v>
      </c>
      <c r="O1065" s="23">
        <f ca="1">IFERROR(__xludf.DUMMYFUNCTION("""COMPUTED_VALUE"""),0)</f>
        <v>0</v>
      </c>
      <c r="P1065" s="23">
        <f ca="1">IFERROR(__xludf.DUMMYFUNCTION("""COMPUTED_VALUE"""),0)</f>
        <v>0</v>
      </c>
      <c r="Q1065" s="24">
        <f ca="1">IFERROR(__xludf.DUMMYFUNCTION("""COMPUTED_VALUE"""),0)</f>
        <v>0</v>
      </c>
      <c r="R1065" s="20"/>
    </row>
    <row r="1066" spans="1:18" ht="13.2" hidden="1" outlineLevel="1" x14ac:dyDescent="0.25">
      <c r="A1066" s="1"/>
      <c r="B1066" s="39" t="str">
        <f ca="1">IFERROR(__xludf.DUMMYFUNCTION("""COMPUTED_VALUE"""),"Coque de carbón")</f>
        <v>Coque de carbón</v>
      </c>
      <c r="C1066" s="22">
        <f ca="1">IFERROR(__xludf.DUMMYFUNCTION("""COMPUTED_VALUE"""),0)</f>
        <v>0</v>
      </c>
      <c r="D1066" s="23">
        <f ca="1">IFERROR(__xludf.DUMMYFUNCTION("""COMPUTED_VALUE"""),0)</f>
        <v>0</v>
      </c>
      <c r="E1066" s="23">
        <f ca="1">IFERROR(__xludf.DUMMYFUNCTION("""COMPUTED_VALUE"""),0)</f>
        <v>0</v>
      </c>
      <c r="F1066" s="23">
        <f ca="1">IFERROR(__xludf.DUMMYFUNCTION("""COMPUTED_VALUE"""),0)</f>
        <v>0</v>
      </c>
      <c r="G1066" s="23">
        <f ca="1">IFERROR(__xludf.DUMMYFUNCTION("""COMPUTED_VALUE"""),0)</f>
        <v>0</v>
      </c>
      <c r="H1066" s="23">
        <f ca="1">IFERROR(__xludf.DUMMYFUNCTION("""COMPUTED_VALUE"""),0)</f>
        <v>0</v>
      </c>
      <c r="I1066" s="23">
        <f ca="1">IFERROR(__xludf.DUMMYFUNCTION("""COMPUTED_VALUE"""),0)</f>
        <v>0</v>
      </c>
      <c r="J1066" s="23">
        <f ca="1">IFERROR(__xludf.DUMMYFUNCTION("""COMPUTED_VALUE"""),0)</f>
        <v>0</v>
      </c>
      <c r="K1066" s="23">
        <f ca="1">IFERROR(__xludf.DUMMYFUNCTION("""COMPUTED_VALUE"""),0)</f>
        <v>0</v>
      </c>
      <c r="L1066" s="23">
        <f ca="1">IFERROR(__xludf.DUMMYFUNCTION("""COMPUTED_VALUE"""),0)</f>
        <v>0</v>
      </c>
      <c r="M1066" s="23">
        <f ca="1">IFERROR(__xludf.DUMMYFUNCTION("""COMPUTED_VALUE"""),0)</f>
        <v>0</v>
      </c>
      <c r="N1066" s="23">
        <f ca="1">IFERROR(__xludf.DUMMYFUNCTION("""COMPUTED_VALUE"""),0)</f>
        <v>0</v>
      </c>
      <c r="O1066" s="23">
        <f ca="1">IFERROR(__xludf.DUMMYFUNCTION("""COMPUTED_VALUE"""),0)</f>
        <v>0</v>
      </c>
      <c r="P1066" s="23">
        <f ca="1">IFERROR(__xludf.DUMMYFUNCTION("""COMPUTED_VALUE"""),0)</f>
        <v>0</v>
      </c>
      <c r="Q1066" s="24">
        <f ca="1">IFERROR(__xludf.DUMMYFUNCTION("""COMPUTED_VALUE"""),0)</f>
        <v>0</v>
      </c>
      <c r="R1066" s="20"/>
    </row>
    <row r="1067" spans="1:18" ht="13.2" hidden="1" outlineLevel="1" x14ac:dyDescent="0.25">
      <c r="A1067" s="1"/>
      <c r="B1067" s="39" t="str">
        <f ca="1">IFERROR(__xludf.DUMMYFUNCTION("""COMPUTED_VALUE"""),"Coque de petróleo")</f>
        <v>Coque de petróleo</v>
      </c>
      <c r="C1067" s="22">
        <f ca="1">IFERROR(__xludf.DUMMYFUNCTION("""COMPUTED_VALUE"""),0)</f>
        <v>0</v>
      </c>
      <c r="D1067" s="23">
        <f ca="1">IFERROR(__xludf.DUMMYFUNCTION("""COMPUTED_VALUE"""),0)</f>
        <v>0</v>
      </c>
      <c r="E1067" s="23">
        <f ca="1">IFERROR(__xludf.DUMMYFUNCTION("""COMPUTED_VALUE"""),0)</f>
        <v>0</v>
      </c>
      <c r="F1067" s="23">
        <f ca="1">IFERROR(__xludf.DUMMYFUNCTION("""COMPUTED_VALUE"""),0)</f>
        <v>0</v>
      </c>
      <c r="G1067" s="23">
        <f ca="1">IFERROR(__xludf.DUMMYFUNCTION("""COMPUTED_VALUE"""),0)</f>
        <v>0</v>
      </c>
      <c r="H1067" s="23">
        <f ca="1">IFERROR(__xludf.DUMMYFUNCTION("""COMPUTED_VALUE"""),0)</f>
        <v>0</v>
      </c>
      <c r="I1067" s="23">
        <f ca="1">IFERROR(__xludf.DUMMYFUNCTION("""COMPUTED_VALUE"""),0)</f>
        <v>0</v>
      </c>
      <c r="J1067" s="23">
        <f ca="1">IFERROR(__xludf.DUMMYFUNCTION("""COMPUTED_VALUE"""),0)</f>
        <v>0</v>
      </c>
      <c r="K1067" s="23">
        <f ca="1">IFERROR(__xludf.DUMMYFUNCTION("""COMPUTED_VALUE"""),0)</f>
        <v>0</v>
      </c>
      <c r="L1067" s="23">
        <f ca="1">IFERROR(__xludf.DUMMYFUNCTION("""COMPUTED_VALUE"""),0)</f>
        <v>0</v>
      </c>
      <c r="M1067" s="23">
        <f ca="1">IFERROR(__xludf.DUMMYFUNCTION("""COMPUTED_VALUE"""),0)</f>
        <v>0</v>
      </c>
      <c r="N1067" s="23">
        <f ca="1">IFERROR(__xludf.DUMMYFUNCTION("""COMPUTED_VALUE"""),0)</f>
        <v>0</v>
      </c>
      <c r="O1067" s="23">
        <f ca="1">IFERROR(__xludf.DUMMYFUNCTION("""COMPUTED_VALUE"""),0)</f>
        <v>0</v>
      </c>
      <c r="P1067" s="23">
        <f ca="1">IFERROR(__xludf.DUMMYFUNCTION("""COMPUTED_VALUE"""),0)</f>
        <v>0</v>
      </c>
      <c r="Q1067" s="24">
        <f ca="1">IFERROR(__xludf.DUMMYFUNCTION("""COMPUTED_VALUE"""),0)</f>
        <v>0</v>
      </c>
      <c r="R1067" s="20"/>
    </row>
    <row r="1068" spans="1:18" ht="13.2" hidden="1" outlineLevel="1" x14ac:dyDescent="0.25">
      <c r="A1068" s="1"/>
      <c r="B1068" s="39" t="str">
        <f ca="1">IFERROR(__xludf.DUMMYFUNCTION("""COMPUTED_VALUE"""),"Gas licuado de petróleo")</f>
        <v>Gas licuado de petróleo</v>
      </c>
      <c r="C1068" s="22">
        <f ca="1">IFERROR(__xludf.DUMMYFUNCTION("""COMPUTED_VALUE"""),15.2414258558816)</f>
        <v>15.2414258558816</v>
      </c>
      <c r="D1068" s="23">
        <f ca="1">IFERROR(__xludf.DUMMYFUNCTION("""COMPUTED_VALUE"""),11.0839179419049)</f>
        <v>11.0839179419049</v>
      </c>
      <c r="E1068" s="23">
        <f ca="1">IFERROR(__xludf.DUMMYFUNCTION("""COMPUTED_VALUE"""),7.42063007000661)</f>
        <v>7.4206300700066103</v>
      </c>
      <c r="F1068" s="23">
        <f ca="1">IFERROR(__xludf.DUMMYFUNCTION("""COMPUTED_VALUE"""),9.29699583656035)</f>
        <v>9.2969958365603507</v>
      </c>
      <c r="G1068" s="23">
        <f ca="1">IFERROR(__xludf.DUMMYFUNCTION("""COMPUTED_VALUE"""),8.25604224101564)</f>
        <v>8.2560422410156402</v>
      </c>
      <c r="H1068" s="23">
        <f ca="1">IFERROR(__xludf.DUMMYFUNCTION("""COMPUTED_VALUE"""),7.79366254980472)</f>
        <v>7.7936625498047203</v>
      </c>
      <c r="I1068" s="23">
        <f ca="1">IFERROR(__xludf.DUMMYFUNCTION("""COMPUTED_VALUE"""),8.24037302249405)</f>
        <v>8.2403730224940492</v>
      </c>
      <c r="J1068" s="23">
        <f ca="1">IFERROR(__xludf.DUMMYFUNCTION("""COMPUTED_VALUE"""),9.02529212927882)</f>
        <v>9.0252921292788209</v>
      </c>
      <c r="K1068" s="23">
        <f ca="1">IFERROR(__xludf.DUMMYFUNCTION("""COMPUTED_VALUE"""),8.91138878829783)</f>
        <v>8.9113887882978293</v>
      </c>
      <c r="L1068" s="23">
        <f ca="1">IFERROR(__xludf.DUMMYFUNCTION("""COMPUTED_VALUE"""),10.5744790349536)</f>
        <v>10.574479034953599</v>
      </c>
      <c r="M1068" s="23">
        <f ca="1">IFERROR(__xludf.DUMMYFUNCTION("""COMPUTED_VALUE"""),15.6354779632197)</f>
        <v>15.635477963219699</v>
      </c>
      <c r="N1068" s="23">
        <f ca="1">IFERROR(__xludf.DUMMYFUNCTION("""COMPUTED_VALUE"""),5.97071474614508)</f>
        <v>5.97071474614508</v>
      </c>
      <c r="O1068" s="23">
        <f ca="1">IFERROR(__xludf.DUMMYFUNCTION("""COMPUTED_VALUE"""),5.69114290537516)</f>
        <v>5.6911429053751599</v>
      </c>
      <c r="P1068" s="23">
        <f ca="1">IFERROR(__xludf.DUMMYFUNCTION("""COMPUTED_VALUE"""),6.18549553257444)</f>
        <v>6.1854955325744401</v>
      </c>
      <c r="Q1068" s="24">
        <f ca="1">IFERROR(__xludf.DUMMYFUNCTION("""COMPUTED_VALUE"""),7.90264547406429)</f>
        <v>7.9026454740642897</v>
      </c>
      <c r="R1068" s="20"/>
    </row>
    <row r="1069" spans="1:18" ht="13.2" hidden="1" outlineLevel="1" x14ac:dyDescent="0.25">
      <c r="A1069" s="1"/>
      <c r="B1069" s="39" t="str">
        <f ca="1">IFERROR(__xludf.DUMMYFUNCTION("""COMPUTED_VALUE"""),"Gasolinas y naftas")</f>
        <v>Gasolinas y naftas</v>
      </c>
      <c r="C1069" s="22">
        <f ca="1">IFERROR(__xludf.DUMMYFUNCTION("""COMPUTED_VALUE"""),0)</f>
        <v>0</v>
      </c>
      <c r="D1069" s="23">
        <f ca="1">IFERROR(__xludf.DUMMYFUNCTION("""COMPUTED_VALUE"""),0)</f>
        <v>0</v>
      </c>
      <c r="E1069" s="23">
        <f ca="1">IFERROR(__xludf.DUMMYFUNCTION("""COMPUTED_VALUE"""),0)</f>
        <v>0</v>
      </c>
      <c r="F1069" s="23">
        <f ca="1">IFERROR(__xludf.DUMMYFUNCTION("""COMPUTED_VALUE"""),0)</f>
        <v>0</v>
      </c>
      <c r="G1069" s="23">
        <f ca="1">IFERROR(__xludf.DUMMYFUNCTION("""COMPUTED_VALUE"""),0)</f>
        <v>0</v>
      </c>
      <c r="H1069" s="23">
        <f ca="1">IFERROR(__xludf.DUMMYFUNCTION("""COMPUTED_VALUE"""),0)</f>
        <v>0</v>
      </c>
      <c r="I1069" s="23">
        <f ca="1">IFERROR(__xludf.DUMMYFUNCTION("""COMPUTED_VALUE"""),0)</f>
        <v>0</v>
      </c>
      <c r="J1069" s="23">
        <f ca="1">IFERROR(__xludf.DUMMYFUNCTION("""COMPUTED_VALUE"""),0)</f>
        <v>0</v>
      </c>
      <c r="K1069" s="23">
        <f ca="1">IFERROR(__xludf.DUMMYFUNCTION("""COMPUTED_VALUE"""),0)</f>
        <v>0</v>
      </c>
      <c r="L1069" s="23">
        <f ca="1">IFERROR(__xludf.DUMMYFUNCTION("""COMPUTED_VALUE"""),0)</f>
        <v>0</v>
      </c>
      <c r="M1069" s="23">
        <f ca="1">IFERROR(__xludf.DUMMYFUNCTION("""COMPUTED_VALUE"""),0)</f>
        <v>0</v>
      </c>
      <c r="N1069" s="23">
        <f ca="1">IFERROR(__xludf.DUMMYFUNCTION("""COMPUTED_VALUE"""),0)</f>
        <v>0</v>
      </c>
      <c r="O1069" s="23">
        <f ca="1">IFERROR(__xludf.DUMMYFUNCTION("""COMPUTED_VALUE"""),0)</f>
        <v>0</v>
      </c>
      <c r="P1069" s="23">
        <f ca="1">IFERROR(__xludf.DUMMYFUNCTION("""COMPUTED_VALUE"""),0)</f>
        <v>0</v>
      </c>
      <c r="Q1069" s="24">
        <f ca="1">IFERROR(__xludf.DUMMYFUNCTION("""COMPUTED_VALUE"""),0)</f>
        <v>0</v>
      </c>
      <c r="R1069" s="20"/>
    </row>
    <row r="1070" spans="1:18" ht="13.2" hidden="1" outlineLevel="1" x14ac:dyDescent="0.25">
      <c r="A1070" s="1"/>
      <c r="B1070" s="39" t="str">
        <f ca="1">IFERROR(__xludf.DUMMYFUNCTION("""COMPUTED_VALUE"""),"Querosenos")</f>
        <v>Querosenos</v>
      </c>
      <c r="C1070" s="22">
        <f ca="1">IFERROR(__xludf.DUMMYFUNCTION("""COMPUTED_VALUE"""),0)</f>
        <v>0</v>
      </c>
      <c r="D1070" s="23">
        <f ca="1">IFERROR(__xludf.DUMMYFUNCTION("""COMPUTED_VALUE"""),0)</f>
        <v>0</v>
      </c>
      <c r="E1070" s="23">
        <f ca="1">IFERROR(__xludf.DUMMYFUNCTION("""COMPUTED_VALUE"""),0)</f>
        <v>0</v>
      </c>
      <c r="F1070" s="23">
        <f ca="1">IFERROR(__xludf.DUMMYFUNCTION("""COMPUTED_VALUE"""),0)</f>
        <v>0</v>
      </c>
      <c r="G1070" s="23">
        <f ca="1">IFERROR(__xludf.DUMMYFUNCTION("""COMPUTED_VALUE"""),0)</f>
        <v>0</v>
      </c>
      <c r="H1070" s="23">
        <f ca="1">IFERROR(__xludf.DUMMYFUNCTION("""COMPUTED_VALUE"""),0)</f>
        <v>0</v>
      </c>
      <c r="I1070" s="23">
        <f ca="1">IFERROR(__xludf.DUMMYFUNCTION("""COMPUTED_VALUE"""),0)</f>
        <v>0</v>
      </c>
      <c r="J1070" s="23">
        <f ca="1">IFERROR(__xludf.DUMMYFUNCTION("""COMPUTED_VALUE"""),0)</f>
        <v>0</v>
      </c>
      <c r="K1070" s="23">
        <f ca="1">IFERROR(__xludf.DUMMYFUNCTION("""COMPUTED_VALUE"""),0)</f>
        <v>0</v>
      </c>
      <c r="L1070" s="23">
        <f ca="1">IFERROR(__xludf.DUMMYFUNCTION("""COMPUTED_VALUE"""),0)</f>
        <v>0</v>
      </c>
      <c r="M1070" s="23">
        <f ca="1">IFERROR(__xludf.DUMMYFUNCTION("""COMPUTED_VALUE"""),0)</f>
        <v>0</v>
      </c>
      <c r="N1070" s="23">
        <f ca="1">IFERROR(__xludf.DUMMYFUNCTION("""COMPUTED_VALUE"""),0)</f>
        <v>0</v>
      </c>
      <c r="O1070" s="23">
        <f ca="1">IFERROR(__xludf.DUMMYFUNCTION("""COMPUTED_VALUE"""),0)</f>
        <v>0</v>
      </c>
      <c r="P1070" s="23">
        <f ca="1">IFERROR(__xludf.DUMMYFUNCTION("""COMPUTED_VALUE"""),0)</f>
        <v>0</v>
      </c>
      <c r="Q1070" s="24">
        <f ca="1">IFERROR(__xludf.DUMMYFUNCTION("""COMPUTED_VALUE"""),0)</f>
        <v>0</v>
      </c>
      <c r="R1070" s="20"/>
    </row>
    <row r="1071" spans="1:18" ht="13.2" hidden="1" outlineLevel="1" x14ac:dyDescent="0.25">
      <c r="A1071" s="1"/>
      <c r="B1071" s="39" t="str">
        <f ca="1">IFERROR(__xludf.DUMMYFUNCTION("""COMPUTED_VALUE"""),"Diesel")</f>
        <v>Diesel</v>
      </c>
      <c r="C1071" s="22">
        <f ca="1">IFERROR(__xludf.DUMMYFUNCTION("""COMPUTED_VALUE"""),2.76222649856391)</f>
        <v>2.7622264985639098</v>
      </c>
      <c r="D1071" s="23">
        <f ca="1">IFERROR(__xludf.DUMMYFUNCTION("""COMPUTED_VALUE"""),5.83944942362216)</f>
        <v>5.8394494236221597</v>
      </c>
      <c r="E1071" s="23">
        <f ca="1">IFERROR(__xludf.DUMMYFUNCTION("""COMPUTED_VALUE"""),6.30268300257119)</f>
        <v>6.3026830025711904</v>
      </c>
      <c r="F1071" s="23">
        <f ca="1">IFERROR(__xludf.DUMMYFUNCTION("""COMPUTED_VALUE"""),3.43741033170361)</f>
        <v>3.4374103317036102</v>
      </c>
      <c r="G1071" s="23">
        <f ca="1">IFERROR(__xludf.DUMMYFUNCTION("""COMPUTED_VALUE"""),3.2629927480803)</f>
        <v>3.2629927480803</v>
      </c>
      <c r="H1071" s="23">
        <f ca="1">IFERROR(__xludf.DUMMYFUNCTION("""COMPUTED_VALUE"""),4.03481110399172)</f>
        <v>4.0348111039917196</v>
      </c>
      <c r="I1071" s="23">
        <f ca="1">IFERROR(__xludf.DUMMYFUNCTION("""COMPUTED_VALUE"""),3.66469735153213)</f>
        <v>3.6646973515321299</v>
      </c>
      <c r="J1071" s="23">
        <f ca="1">IFERROR(__xludf.DUMMYFUNCTION("""COMPUTED_VALUE"""),4.49603390776496)</f>
        <v>4.4960339077649598</v>
      </c>
      <c r="K1071" s="23">
        <f ca="1">IFERROR(__xludf.DUMMYFUNCTION("""COMPUTED_VALUE"""),3.27425558803654)</f>
        <v>3.27425558803654</v>
      </c>
      <c r="L1071" s="23">
        <f ca="1">IFERROR(__xludf.DUMMYFUNCTION("""COMPUTED_VALUE"""),5.54520455231769)</f>
        <v>5.5452045523176903</v>
      </c>
      <c r="M1071" s="23">
        <f ca="1">IFERROR(__xludf.DUMMYFUNCTION("""COMPUTED_VALUE"""),2.22653057810108)</f>
        <v>2.2265305781010798</v>
      </c>
      <c r="N1071" s="23">
        <f ca="1">IFERROR(__xludf.DUMMYFUNCTION("""COMPUTED_VALUE"""),6.78465812984703)</f>
        <v>6.7846581298470303</v>
      </c>
      <c r="O1071" s="23">
        <f ca="1">IFERROR(__xludf.DUMMYFUNCTION("""COMPUTED_VALUE"""),6.94094286796968)</f>
        <v>6.9409428679696799</v>
      </c>
      <c r="P1071" s="23">
        <f ca="1">IFERROR(__xludf.DUMMYFUNCTION("""COMPUTED_VALUE"""),6.2269316601144)</f>
        <v>6.2269316601144</v>
      </c>
      <c r="Q1071" s="24">
        <f ca="1">IFERROR(__xludf.DUMMYFUNCTION("""COMPUTED_VALUE"""),3.80946638569435)</f>
        <v>3.8094663856943498</v>
      </c>
      <c r="R1071" s="20"/>
    </row>
    <row r="1072" spans="1:18" ht="13.2" hidden="1" outlineLevel="1" x14ac:dyDescent="0.25">
      <c r="A1072" s="1"/>
      <c r="B1072" s="39" t="str">
        <f ca="1">IFERROR(__xludf.DUMMYFUNCTION("""COMPUTED_VALUE"""),"Combustóleo")</f>
        <v>Combustóleo</v>
      </c>
      <c r="C1072" s="22">
        <f ca="1">IFERROR(__xludf.DUMMYFUNCTION("""COMPUTED_VALUE"""),4.49426040194966)</f>
        <v>4.4942604019496599</v>
      </c>
      <c r="D1072" s="23">
        <f ca="1">IFERROR(__xludf.DUMMYFUNCTION("""COMPUTED_VALUE"""),4.59526477792968)</f>
        <v>4.59526477792968</v>
      </c>
      <c r="E1072" s="23">
        <f ca="1">IFERROR(__xludf.DUMMYFUNCTION("""COMPUTED_VALUE"""),4.28336705841574)</f>
        <v>4.2833670584157399</v>
      </c>
      <c r="F1072" s="23">
        <f ca="1">IFERROR(__xludf.DUMMYFUNCTION("""COMPUTED_VALUE"""),2.29437299309379)</f>
        <v>2.2943729930937899</v>
      </c>
      <c r="G1072" s="23">
        <f ca="1">IFERROR(__xludf.DUMMYFUNCTION("""COMPUTED_VALUE"""),2.17881019619697)</f>
        <v>2.1788101961969701</v>
      </c>
      <c r="H1072" s="23">
        <f ca="1">IFERROR(__xludf.DUMMYFUNCTION("""COMPUTED_VALUE"""),1.92288765580252)</f>
        <v>1.9228876558025201</v>
      </c>
      <c r="I1072" s="23">
        <f ca="1">IFERROR(__xludf.DUMMYFUNCTION("""COMPUTED_VALUE"""),1.6144151254741)</f>
        <v>1.6144151254740999</v>
      </c>
      <c r="J1072" s="23">
        <f ca="1">IFERROR(__xludf.DUMMYFUNCTION("""COMPUTED_VALUE"""),1.64633484307985)</f>
        <v>1.6463348430798499</v>
      </c>
      <c r="K1072" s="23">
        <f ca="1">IFERROR(__xludf.DUMMYFUNCTION("""COMPUTED_VALUE"""),0.508282849734707)</f>
        <v>0.50828284973470705</v>
      </c>
      <c r="L1072" s="23">
        <f ca="1">IFERROR(__xludf.DUMMYFUNCTION("""COMPUTED_VALUE"""),1.56866099799555)</f>
        <v>1.5686609979955499</v>
      </c>
      <c r="M1072" s="23">
        <f ca="1">IFERROR(__xludf.DUMMYFUNCTION("""COMPUTED_VALUE"""),1.56855659447738)</f>
        <v>1.5685565944773801</v>
      </c>
      <c r="N1072" s="23">
        <f ca="1">IFERROR(__xludf.DUMMYFUNCTION("""COMPUTED_VALUE"""),1.07655621360855)</f>
        <v>1.07655621360855</v>
      </c>
      <c r="O1072" s="23">
        <f ca="1">IFERROR(__xludf.DUMMYFUNCTION("""COMPUTED_VALUE"""),1.14518095081779)</f>
        <v>1.1451809508177899</v>
      </c>
      <c r="P1072" s="23">
        <f ca="1">IFERROR(__xludf.DUMMYFUNCTION("""COMPUTED_VALUE"""),1.06742497189044)</f>
        <v>1.0674249718904401</v>
      </c>
      <c r="Q1072" s="24">
        <f ca="1">IFERROR(__xludf.DUMMYFUNCTION("""COMPUTED_VALUE"""),1.38778044065853)</f>
        <v>1.3877804406585299</v>
      </c>
      <c r="R1072" s="20"/>
    </row>
    <row r="1073" spans="1:18" ht="13.2" hidden="1" outlineLevel="1" x14ac:dyDescent="0.25">
      <c r="A1073" s="1"/>
      <c r="B1073" s="39" t="str">
        <f ca="1">IFERROR(__xludf.DUMMYFUNCTION("""COMPUTED_VALUE"""),"Otros energéticos")</f>
        <v>Otros energéticos</v>
      </c>
      <c r="C1073" s="22">
        <f ca="1">IFERROR(__xludf.DUMMYFUNCTION("""COMPUTED_VALUE"""),0)</f>
        <v>0</v>
      </c>
      <c r="D1073" s="23">
        <f ca="1">IFERROR(__xludf.DUMMYFUNCTION("""COMPUTED_VALUE"""),0)</f>
        <v>0</v>
      </c>
      <c r="E1073" s="23">
        <f ca="1">IFERROR(__xludf.DUMMYFUNCTION("""COMPUTED_VALUE"""),0)</f>
        <v>0</v>
      </c>
      <c r="F1073" s="23">
        <f ca="1">IFERROR(__xludf.DUMMYFUNCTION("""COMPUTED_VALUE"""),0)</f>
        <v>0</v>
      </c>
      <c r="G1073" s="23">
        <f ca="1">IFERROR(__xludf.DUMMYFUNCTION("""COMPUTED_VALUE"""),0)</f>
        <v>0</v>
      </c>
      <c r="H1073" s="23">
        <f ca="1">IFERROR(__xludf.DUMMYFUNCTION("""COMPUTED_VALUE"""),0)</f>
        <v>0</v>
      </c>
      <c r="I1073" s="23">
        <f ca="1">IFERROR(__xludf.DUMMYFUNCTION("""COMPUTED_VALUE"""),0)</f>
        <v>0</v>
      </c>
      <c r="J1073" s="23">
        <f ca="1">IFERROR(__xludf.DUMMYFUNCTION("""COMPUTED_VALUE"""),0)</f>
        <v>0</v>
      </c>
      <c r="K1073" s="23">
        <f ca="1">IFERROR(__xludf.DUMMYFUNCTION("""COMPUTED_VALUE"""),0)</f>
        <v>0</v>
      </c>
      <c r="L1073" s="23">
        <f ca="1">IFERROR(__xludf.DUMMYFUNCTION("""COMPUTED_VALUE"""),0)</f>
        <v>0</v>
      </c>
      <c r="M1073" s="23">
        <f ca="1">IFERROR(__xludf.DUMMYFUNCTION("""COMPUTED_VALUE"""),0)</f>
        <v>0</v>
      </c>
      <c r="N1073" s="23">
        <f ca="1">IFERROR(__xludf.DUMMYFUNCTION("""COMPUTED_VALUE"""),0)</f>
        <v>0</v>
      </c>
      <c r="O1073" s="23">
        <f ca="1">IFERROR(__xludf.DUMMYFUNCTION("""COMPUTED_VALUE"""),0)</f>
        <v>0</v>
      </c>
      <c r="P1073" s="23">
        <f ca="1">IFERROR(__xludf.DUMMYFUNCTION("""COMPUTED_VALUE"""),0)</f>
        <v>0</v>
      </c>
      <c r="Q1073" s="24">
        <f ca="1">IFERROR(__xludf.DUMMYFUNCTION("""COMPUTED_VALUE"""),0)</f>
        <v>0</v>
      </c>
      <c r="R1073" s="20"/>
    </row>
    <row r="1074" spans="1:18" ht="13.2" hidden="1" outlineLevel="1" x14ac:dyDescent="0.25">
      <c r="A1074" s="1"/>
      <c r="B1074" s="39" t="str">
        <f ca="1">IFERROR(__xludf.DUMMYFUNCTION("""COMPUTED_VALUE"""),"Gas natural seco")</f>
        <v>Gas natural seco</v>
      </c>
      <c r="C1074" s="22">
        <f ca="1">IFERROR(__xludf.DUMMYFUNCTION("""COMPUTED_VALUE"""),9.95669858086494)</f>
        <v>9.9566985808649395</v>
      </c>
      <c r="D1074" s="23">
        <f ca="1">IFERROR(__xludf.DUMMYFUNCTION("""COMPUTED_VALUE"""),5.46410668713251)</f>
        <v>5.4641066871325101</v>
      </c>
      <c r="E1074" s="23">
        <f ca="1">IFERROR(__xludf.DUMMYFUNCTION("""COMPUTED_VALUE"""),8.95807588917776)</f>
        <v>8.9580758891777599</v>
      </c>
      <c r="F1074" s="23">
        <f ca="1">IFERROR(__xludf.DUMMYFUNCTION("""COMPUTED_VALUE"""),8.00283679772684)</f>
        <v>8.0028367977268395</v>
      </c>
      <c r="G1074" s="23">
        <f ca="1">IFERROR(__xludf.DUMMYFUNCTION("""COMPUTED_VALUE"""),6.71688105025858)</f>
        <v>6.7168810502585803</v>
      </c>
      <c r="H1074" s="23">
        <f ca="1">IFERROR(__xludf.DUMMYFUNCTION("""COMPUTED_VALUE"""),10.1063060694686)</f>
        <v>10.1063060694686</v>
      </c>
      <c r="I1074" s="23">
        <f ca="1">IFERROR(__xludf.DUMMYFUNCTION("""COMPUTED_VALUE"""),10.6601645087115)</f>
        <v>10.6601645087115</v>
      </c>
      <c r="J1074" s="23">
        <f ca="1">IFERROR(__xludf.DUMMYFUNCTION("""COMPUTED_VALUE"""),11.2583584028527)</f>
        <v>11.2583584028527</v>
      </c>
      <c r="K1074" s="23">
        <f ca="1">IFERROR(__xludf.DUMMYFUNCTION("""COMPUTED_VALUE"""),13.814543319838)</f>
        <v>13.814543319838</v>
      </c>
      <c r="L1074" s="23">
        <f ca="1">IFERROR(__xludf.DUMMYFUNCTION("""COMPUTED_VALUE"""),15.3765717496972)</f>
        <v>15.376571749697201</v>
      </c>
      <c r="M1074" s="23">
        <f ca="1">IFERROR(__xludf.DUMMYFUNCTION("""COMPUTED_VALUE"""),12.287327710649)</f>
        <v>12.287327710649</v>
      </c>
      <c r="N1074" s="23">
        <f ca="1">IFERROR(__xludf.DUMMYFUNCTION("""COMPUTED_VALUE"""),12.8773717776314)</f>
        <v>12.877371777631399</v>
      </c>
      <c r="O1074" s="23">
        <f ca="1">IFERROR(__xludf.DUMMYFUNCTION("""COMPUTED_VALUE"""),15.0546587023583)</f>
        <v>15.054658702358299</v>
      </c>
      <c r="P1074" s="23">
        <f ca="1">IFERROR(__xludf.DUMMYFUNCTION("""COMPUTED_VALUE"""),15.3595408007954)</f>
        <v>15.359540800795401</v>
      </c>
      <c r="Q1074" s="24">
        <f ca="1">IFERROR(__xludf.DUMMYFUNCTION("""COMPUTED_VALUE"""),19.6965137738242)</f>
        <v>19.696513773824201</v>
      </c>
      <c r="R1074" s="20"/>
    </row>
    <row r="1075" spans="1:18" ht="13.2" hidden="1" outlineLevel="1" x14ac:dyDescent="0.25">
      <c r="A1075" s="1"/>
      <c r="B1075" s="40" t="str">
        <f ca="1">IFERROR(__xludf.DUMMYFUNCTION("""COMPUTED_VALUE"""),"Energía eléctrica")</f>
        <v>Energía eléctrica</v>
      </c>
      <c r="C1075" s="26">
        <f ca="1">IFERROR(__xludf.DUMMYFUNCTION("""COMPUTED_VALUE"""),30.0098756459431)</f>
        <v>30.009875645943101</v>
      </c>
      <c r="D1075" s="27">
        <f ca="1">IFERROR(__xludf.DUMMYFUNCTION("""COMPUTED_VALUE"""),32.3298909074242)</f>
        <v>32.3298909074242</v>
      </c>
      <c r="E1075" s="27">
        <f ca="1">IFERROR(__xludf.DUMMYFUNCTION("""COMPUTED_VALUE"""),43.6723861392256)</f>
        <v>43.672386139225601</v>
      </c>
      <c r="F1075" s="27">
        <f ca="1">IFERROR(__xludf.DUMMYFUNCTION("""COMPUTED_VALUE"""),26.0206011785649)</f>
        <v>26.020601178564899</v>
      </c>
      <c r="G1075" s="27">
        <f ca="1">IFERROR(__xludf.DUMMYFUNCTION("""COMPUTED_VALUE"""),29.2540193748929)</f>
        <v>29.254019374892898</v>
      </c>
      <c r="H1075" s="27">
        <f ca="1">IFERROR(__xludf.DUMMYFUNCTION("""COMPUTED_VALUE"""),27.9994066143041)</f>
        <v>27.9994066143041</v>
      </c>
      <c r="I1075" s="27">
        <f ca="1">IFERROR(__xludf.DUMMYFUNCTION("""COMPUTED_VALUE"""),27.5895292494746)</f>
        <v>27.589529249474602</v>
      </c>
      <c r="J1075" s="27">
        <f ca="1">IFERROR(__xludf.DUMMYFUNCTION("""COMPUTED_VALUE"""),27.8722617969805)</f>
        <v>27.872261796980499</v>
      </c>
      <c r="K1075" s="27">
        <f ca="1">IFERROR(__xludf.DUMMYFUNCTION("""COMPUTED_VALUE"""),36.0883347868636)</f>
        <v>36.088334786863598</v>
      </c>
      <c r="L1075" s="27">
        <f ca="1">IFERROR(__xludf.DUMMYFUNCTION("""COMPUTED_VALUE"""),31.6407799100717)</f>
        <v>31.6407799100717</v>
      </c>
      <c r="M1075" s="27">
        <f ca="1">IFERROR(__xludf.DUMMYFUNCTION("""COMPUTED_VALUE"""),31.5510533776218)</f>
        <v>31.551053377621798</v>
      </c>
      <c r="N1075" s="27">
        <f ca="1">IFERROR(__xludf.DUMMYFUNCTION("""COMPUTED_VALUE"""),56.0003686787379)</f>
        <v>56.0003686787379</v>
      </c>
      <c r="O1075" s="27">
        <f ca="1">IFERROR(__xludf.DUMMYFUNCTION("""COMPUTED_VALUE"""),26.817604255737)</f>
        <v>26.817604255736999</v>
      </c>
      <c r="P1075" s="27">
        <f ca="1">IFERROR(__xludf.DUMMYFUNCTION("""COMPUTED_VALUE"""),51.6020936507736)</f>
        <v>51.602093650773597</v>
      </c>
      <c r="Q1075" s="28">
        <f ca="1">IFERROR(__xludf.DUMMYFUNCTION("""COMPUTED_VALUE"""),40.3415865335004)</f>
        <v>40.341586533500397</v>
      </c>
      <c r="R1075" s="20"/>
    </row>
    <row r="1076" spans="1:18" ht="13.2" collapsed="1" x14ac:dyDescent="0.25">
      <c r="A1076" s="1"/>
      <c r="B1076" s="31" t="str">
        <f ca="1">IFERROR(__xludf.DUMMYFUNCTION("""COMPUTED_VALUE"""),"213	Servicios relacionados con la minería")</f>
        <v>213	Servicios relacionados con la minería</v>
      </c>
      <c r="C1076" s="41"/>
      <c r="D1076" s="42"/>
      <c r="E1076" s="41"/>
      <c r="F1076" s="41"/>
      <c r="G1076" s="43"/>
      <c r="H1076" s="44"/>
      <c r="I1076" s="45"/>
      <c r="J1076" s="45"/>
      <c r="K1076" s="45"/>
      <c r="L1076" s="45"/>
      <c r="M1076" s="45"/>
      <c r="N1076" s="45"/>
      <c r="O1076" s="45"/>
      <c r="P1076" s="45"/>
      <c r="Q1076" s="45"/>
      <c r="R1076" s="10"/>
    </row>
    <row r="1077" spans="1:18" ht="13.2" hidden="1" outlineLevel="1" x14ac:dyDescent="0.25">
      <c r="A1077" s="1"/>
      <c r="B1077" s="46"/>
      <c r="C1077" s="35">
        <f ca="1">IFERROR(__xludf.DUMMYFUNCTION("""COMPUTED_VALUE"""),2010)</f>
        <v>2010</v>
      </c>
      <c r="D1077" s="36">
        <f ca="1">IFERROR(__xludf.DUMMYFUNCTION("""COMPUTED_VALUE"""),2011)</f>
        <v>2011</v>
      </c>
      <c r="E1077" s="36">
        <f ca="1">IFERROR(__xludf.DUMMYFUNCTION("""COMPUTED_VALUE"""),2012)</f>
        <v>2012</v>
      </c>
      <c r="F1077" s="36">
        <f ca="1">IFERROR(__xludf.DUMMYFUNCTION("""COMPUTED_VALUE"""),2013)</f>
        <v>2013</v>
      </c>
      <c r="G1077" s="36">
        <f ca="1">IFERROR(__xludf.DUMMYFUNCTION("""COMPUTED_VALUE"""),2014)</f>
        <v>2014</v>
      </c>
      <c r="H1077" s="36">
        <f ca="1">IFERROR(__xludf.DUMMYFUNCTION("""COMPUTED_VALUE"""),2015)</f>
        <v>2015</v>
      </c>
      <c r="I1077" s="36">
        <f ca="1">IFERROR(__xludf.DUMMYFUNCTION("""COMPUTED_VALUE"""),2016)</f>
        <v>2016</v>
      </c>
      <c r="J1077" s="36">
        <f ca="1">IFERROR(__xludf.DUMMYFUNCTION("""COMPUTED_VALUE"""),2017)</f>
        <v>2017</v>
      </c>
      <c r="K1077" s="36">
        <f ca="1">IFERROR(__xludf.DUMMYFUNCTION("""COMPUTED_VALUE"""),2018)</f>
        <v>2018</v>
      </c>
      <c r="L1077" s="36">
        <f ca="1">IFERROR(__xludf.DUMMYFUNCTION("""COMPUTED_VALUE"""),2019)</f>
        <v>2019</v>
      </c>
      <c r="M1077" s="36">
        <f ca="1">IFERROR(__xludf.DUMMYFUNCTION("""COMPUTED_VALUE"""),2020)</f>
        <v>2020</v>
      </c>
      <c r="N1077" s="36">
        <f ca="1">IFERROR(__xludf.DUMMYFUNCTION("""COMPUTED_VALUE"""),2021)</f>
        <v>2021</v>
      </c>
      <c r="O1077" s="36">
        <f ca="1">IFERROR(__xludf.DUMMYFUNCTION("""COMPUTED_VALUE"""),2022)</f>
        <v>2022</v>
      </c>
      <c r="P1077" s="36">
        <f ca="1">IFERROR(__xludf.DUMMYFUNCTION("""COMPUTED_VALUE"""),2023)</f>
        <v>2023</v>
      </c>
      <c r="Q1077" s="37">
        <f ca="1">IFERROR(__xludf.DUMMYFUNCTION("""COMPUTED_VALUE"""),2024)</f>
        <v>2024</v>
      </c>
      <c r="R1077" s="15"/>
    </row>
    <row r="1078" spans="1:18" ht="13.2" hidden="1" outlineLevel="1" x14ac:dyDescent="0.25">
      <c r="A1078" s="1"/>
      <c r="B1078" s="38" t="str">
        <f ca="1">IFERROR(__xludf.DUMMYFUNCTION("""COMPUTED_VALUE"""),"Carbón mineral")</f>
        <v>Carbón mineral</v>
      </c>
      <c r="C1078" s="17">
        <f ca="1">IFERROR(__xludf.DUMMYFUNCTION("""COMPUTED_VALUE"""),0)</f>
        <v>0</v>
      </c>
      <c r="D1078" s="18">
        <f ca="1">IFERROR(__xludf.DUMMYFUNCTION("""COMPUTED_VALUE"""),0)</f>
        <v>0</v>
      </c>
      <c r="E1078" s="18">
        <f ca="1">IFERROR(__xludf.DUMMYFUNCTION("""COMPUTED_VALUE"""),0)</f>
        <v>0</v>
      </c>
      <c r="F1078" s="18">
        <f ca="1">IFERROR(__xludf.DUMMYFUNCTION("""COMPUTED_VALUE"""),0)</f>
        <v>0</v>
      </c>
      <c r="G1078" s="18">
        <f ca="1">IFERROR(__xludf.DUMMYFUNCTION("""COMPUTED_VALUE"""),0)</f>
        <v>0</v>
      </c>
      <c r="H1078" s="18">
        <f ca="1">IFERROR(__xludf.DUMMYFUNCTION("""COMPUTED_VALUE"""),0)</f>
        <v>0</v>
      </c>
      <c r="I1078" s="18">
        <f ca="1">IFERROR(__xludf.DUMMYFUNCTION("""COMPUTED_VALUE"""),0)</f>
        <v>0</v>
      </c>
      <c r="J1078" s="18">
        <f ca="1">IFERROR(__xludf.DUMMYFUNCTION("""COMPUTED_VALUE"""),0)</f>
        <v>0</v>
      </c>
      <c r="K1078" s="18">
        <f ca="1">IFERROR(__xludf.DUMMYFUNCTION("""COMPUTED_VALUE"""),0)</f>
        <v>0</v>
      </c>
      <c r="L1078" s="18">
        <f ca="1">IFERROR(__xludf.DUMMYFUNCTION("""COMPUTED_VALUE"""),0)</f>
        <v>0</v>
      </c>
      <c r="M1078" s="18">
        <f ca="1">IFERROR(__xludf.DUMMYFUNCTION("""COMPUTED_VALUE"""),0)</f>
        <v>0</v>
      </c>
      <c r="N1078" s="18">
        <f ca="1">IFERROR(__xludf.DUMMYFUNCTION("""COMPUTED_VALUE"""),0)</f>
        <v>0</v>
      </c>
      <c r="O1078" s="18">
        <f ca="1">IFERROR(__xludf.DUMMYFUNCTION("""COMPUTED_VALUE"""),0)</f>
        <v>0</v>
      </c>
      <c r="P1078" s="18">
        <f ca="1">IFERROR(__xludf.DUMMYFUNCTION("""COMPUTED_VALUE"""),0)</f>
        <v>0</v>
      </c>
      <c r="Q1078" s="19">
        <f ca="1">IFERROR(__xludf.DUMMYFUNCTION("""COMPUTED_VALUE"""),0)</f>
        <v>0</v>
      </c>
      <c r="R1078" s="20"/>
    </row>
    <row r="1079" spans="1:18" ht="13.2" hidden="1" outlineLevel="1" x14ac:dyDescent="0.25">
      <c r="A1079" s="1"/>
      <c r="B1079" s="39" t="str">
        <f ca="1">IFERROR(__xludf.DUMMYFUNCTION("""COMPUTED_VALUE"""),"Petróleo crudo")</f>
        <v>Petróleo crudo</v>
      </c>
      <c r="C1079" s="22">
        <f ca="1">IFERROR(__xludf.DUMMYFUNCTION("""COMPUTED_VALUE"""),0)</f>
        <v>0</v>
      </c>
      <c r="D1079" s="23">
        <f ca="1">IFERROR(__xludf.DUMMYFUNCTION("""COMPUTED_VALUE"""),0)</f>
        <v>0</v>
      </c>
      <c r="E1079" s="23">
        <f ca="1">IFERROR(__xludf.DUMMYFUNCTION("""COMPUTED_VALUE"""),0)</f>
        <v>0</v>
      </c>
      <c r="F1079" s="23">
        <f ca="1">IFERROR(__xludf.DUMMYFUNCTION("""COMPUTED_VALUE"""),0)</f>
        <v>0</v>
      </c>
      <c r="G1079" s="23">
        <f ca="1">IFERROR(__xludf.DUMMYFUNCTION("""COMPUTED_VALUE"""),0)</f>
        <v>0</v>
      </c>
      <c r="H1079" s="23">
        <f ca="1">IFERROR(__xludf.DUMMYFUNCTION("""COMPUTED_VALUE"""),0)</f>
        <v>0</v>
      </c>
      <c r="I1079" s="23">
        <f ca="1">IFERROR(__xludf.DUMMYFUNCTION("""COMPUTED_VALUE"""),0)</f>
        <v>0</v>
      </c>
      <c r="J1079" s="23">
        <f ca="1">IFERROR(__xludf.DUMMYFUNCTION("""COMPUTED_VALUE"""),0)</f>
        <v>0</v>
      </c>
      <c r="K1079" s="23">
        <f ca="1">IFERROR(__xludf.DUMMYFUNCTION("""COMPUTED_VALUE"""),0)</f>
        <v>0</v>
      </c>
      <c r="L1079" s="23">
        <f ca="1">IFERROR(__xludf.DUMMYFUNCTION("""COMPUTED_VALUE"""),0)</f>
        <v>0</v>
      </c>
      <c r="M1079" s="23">
        <f ca="1">IFERROR(__xludf.DUMMYFUNCTION("""COMPUTED_VALUE"""),0)</f>
        <v>0</v>
      </c>
      <c r="N1079" s="23">
        <f ca="1">IFERROR(__xludf.DUMMYFUNCTION("""COMPUTED_VALUE"""),0)</f>
        <v>0</v>
      </c>
      <c r="O1079" s="23">
        <f ca="1">IFERROR(__xludf.DUMMYFUNCTION("""COMPUTED_VALUE"""),0)</f>
        <v>0</v>
      </c>
      <c r="P1079" s="23">
        <f ca="1">IFERROR(__xludf.DUMMYFUNCTION("""COMPUTED_VALUE"""),0)</f>
        <v>0</v>
      </c>
      <c r="Q1079" s="24">
        <f ca="1">IFERROR(__xludf.DUMMYFUNCTION("""COMPUTED_VALUE"""),0)</f>
        <v>0</v>
      </c>
      <c r="R1079" s="20"/>
    </row>
    <row r="1080" spans="1:18" ht="13.2" hidden="1" outlineLevel="1" x14ac:dyDescent="0.25">
      <c r="A1080" s="1"/>
      <c r="B1080" s="39" t="str">
        <f ca="1">IFERROR(__xludf.DUMMYFUNCTION("""COMPUTED_VALUE"""),"Condensados")</f>
        <v>Condensados</v>
      </c>
      <c r="C1080" s="22">
        <f ca="1">IFERROR(__xludf.DUMMYFUNCTION("""COMPUTED_VALUE"""),0)</f>
        <v>0</v>
      </c>
      <c r="D1080" s="23">
        <f ca="1">IFERROR(__xludf.DUMMYFUNCTION("""COMPUTED_VALUE"""),0)</f>
        <v>0</v>
      </c>
      <c r="E1080" s="23">
        <f ca="1">IFERROR(__xludf.DUMMYFUNCTION("""COMPUTED_VALUE"""),0)</f>
        <v>0</v>
      </c>
      <c r="F1080" s="23">
        <f ca="1">IFERROR(__xludf.DUMMYFUNCTION("""COMPUTED_VALUE"""),0)</f>
        <v>0</v>
      </c>
      <c r="G1080" s="23">
        <f ca="1">IFERROR(__xludf.DUMMYFUNCTION("""COMPUTED_VALUE"""),0)</f>
        <v>0</v>
      </c>
      <c r="H1080" s="23">
        <f ca="1">IFERROR(__xludf.DUMMYFUNCTION("""COMPUTED_VALUE"""),0)</f>
        <v>0</v>
      </c>
      <c r="I1080" s="23">
        <f ca="1">IFERROR(__xludf.DUMMYFUNCTION("""COMPUTED_VALUE"""),0)</f>
        <v>0</v>
      </c>
      <c r="J1080" s="23">
        <f ca="1">IFERROR(__xludf.DUMMYFUNCTION("""COMPUTED_VALUE"""),0)</f>
        <v>0</v>
      </c>
      <c r="K1080" s="23">
        <f ca="1">IFERROR(__xludf.DUMMYFUNCTION("""COMPUTED_VALUE"""),0)</f>
        <v>0</v>
      </c>
      <c r="L1080" s="23">
        <f ca="1">IFERROR(__xludf.DUMMYFUNCTION("""COMPUTED_VALUE"""),0)</f>
        <v>0</v>
      </c>
      <c r="M1080" s="23">
        <f ca="1">IFERROR(__xludf.DUMMYFUNCTION("""COMPUTED_VALUE"""),0)</f>
        <v>0</v>
      </c>
      <c r="N1080" s="23">
        <f ca="1">IFERROR(__xludf.DUMMYFUNCTION("""COMPUTED_VALUE"""),0)</f>
        <v>0</v>
      </c>
      <c r="O1080" s="23">
        <f ca="1">IFERROR(__xludf.DUMMYFUNCTION("""COMPUTED_VALUE"""),0)</f>
        <v>0</v>
      </c>
      <c r="P1080" s="23">
        <f ca="1">IFERROR(__xludf.DUMMYFUNCTION("""COMPUTED_VALUE"""),0)</f>
        <v>0</v>
      </c>
      <c r="Q1080" s="24">
        <f ca="1">IFERROR(__xludf.DUMMYFUNCTION("""COMPUTED_VALUE"""),0)</f>
        <v>0</v>
      </c>
      <c r="R1080" s="20"/>
    </row>
    <row r="1081" spans="1:18" ht="13.2" hidden="1" outlineLevel="1" x14ac:dyDescent="0.25">
      <c r="A1081" s="1"/>
      <c r="B1081" s="39" t="str">
        <f ca="1">IFERROR(__xludf.DUMMYFUNCTION("""COMPUTED_VALUE"""),"Gas natural")</f>
        <v>Gas natural</v>
      </c>
      <c r="C1081" s="22">
        <f ca="1">IFERROR(__xludf.DUMMYFUNCTION("""COMPUTED_VALUE"""),0)</f>
        <v>0</v>
      </c>
      <c r="D1081" s="23">
        <f ca="1">IFERROR(__xludf.DUMMYFUNCTION("""COMPUTED_VALUE"""),0)</f>
        <v>0</v>
      </c>
      <c r="E1081" s="23">
        <f ca="1">IFERROR(__xludf.DUMMYFUNCTION("""COMPUTED_VALUE"""),0)</f>
        <v>0</v>
      </c>
      <c r="F1081" s="23">
        <f ca="1">IFERROR(__xludf.DUMMYFUNCTION("""COMPUTED_VALUE"""),0)</f>
        <v>0</v>
      </c>
      <c r="G1081" s="23">
        <f ca="1">IFERROR(__xludf.DUMMYFUNCTION("""COMPUTED_VALUE"""),0)</f>
        <v>0</v>
      </c>
      <c r="H1081" s="23">
        <f ca="1">IFERROR(__xludf.DUMMYFUNCTION("""COMPUTED_VALUE"""),0)</f>
        <v>0</v>
      </c>
      <c r="I1081" s="23">
        <f ca="1">IFERROR(__xludf.DUMMYFUNCTION("""COMPUTED_VALUE"""),0)</f>
        <v>0</v>
      </c>
      <c r="J1081" s="23">
        <f ca="1">IFERROR(__xludf.DUMMYFUNCTION("""COMPUTED_VALUE"""),0)</f>
        <v>0</v>
      </c>
      <c r="K1081" s="23">
        <f ca="1">IFERROR(__xludf.DUMMYFUNCTION("""COMPUTED_VALUE"""),0)</f>
        <v>0</v>
      </c>
      <c r="L1081" s="23">
        <f ca="1">IFERROR(__xludf.DUMMYFUNCTION("""COMPUTED_VALUE"""),0)</f>
        <v>0</v>
      </c>
      <c r="M1081" s="23">
        <f ca="1">IFERROR(__xludf.DUMMYFUNCTION("""COMPUTED_VALUE"""),0)</f>
        <v>0</v>
      </c>
      <c r="N1081" s="23">
        <f ca="1">IFERROR(__xludf.DUMMYFUNCTION("""COMPUTED_VALUE"""),0)</f>
        <v>0</v>
      </c>
      <c r="O1081" s="23">
        <f ca="1">IFERROR(__xludf.DUMMYFUNCTION("""COMPUTED_VALUE"""),0)</f>
        <v>0</v>
      </c>
      <c r="P1081" s="23">
        <f ca="1">IFERROR(__xludf.DUMMYFUNCTION("""COMPUTED_VALUE"""),0)</f>
        <v>0</v>
      </c>
      <c r="Q1081" s="24">
        <f ca="1">IFERROR(__xludf.DUMMYFUNCTION("""COMPUTED_VALUE"""),0)</f>
        <v>0</v>
      </c>
      <c r="R1081" s="20"/>
    </row>
    <row r="1082" spans="1:18" ht="13.2" hidden="1" outlineLevel="1" x14ac:dyDescent="0.25">
      <c r="A1082" s="1"/>
      <c r="B1082" s="39" t="str">
        <f ca="1">IFERROR(__xludf.DUMMYFUNCTION("""COMPUTED_VALUE"""),"Energía Nuclear")</f>
        <v>Energía Nuclear</v>
      </c>
      <c r="C1082" s="22">
        <f ca="1">IFERROR(__xludf.DUMMYFUNCTION("""COMPUTED_VALUE"""),0)</f>
        <v>0</v>
      </c>
      <c r="D1082" s="23">
        <f ca="1">IFERROR(__xludf.DUMMYFUNCTION("""COMPUTED_VALUE"""),0)</f>
        <v>0</v>
      </c>
      <c r="E1082" s="23">
        <f ca="1">IFERROR(__xludf.DUMMYFUNCTION("""COMPUTED_VALUE"""),0)</f>
        <v>0</v>
      </c>
      <c r="F1082" s="23">
        <f ca="1">IFERROR(__xludf.DUMMYFUNCTION("""COMPUTED_VALUE"""),0)</f>
        <v>0</v>
      </c>
      <c r="G1082" s="23">
        <f ca="1">IFERROR(__xludf.DUMMYFUNCTION("""COMPUTED_VALUE"""),0)</f>
        <v>0</v>
      </c>
      <c r="H1082" s="23">
        <f ca="1">IFERROR(__xludf.DUMMYFUNCTION("""COMPUTED_VALUE"""),0)</f>
        <v>0</v>
      </c>
      <c r="I1082" s="23">
        <f ca="1">IFERROR(__xludf.DUMMYFUNCTION("""COMPUTED_VALUE"""),0)</f>
        <v>0</v>
      </c>
      <c r="J1082" s="23">
        <f ca="1">IFERROR(__xludf.DUMMYFUNCTION("""COMPUTED_VALUE"""),0)</f>
        <v>0</v>
      </c>
      <c r="K1082" s="23">
        <f ca="1">IFERROR(__xludf.DUMMYFUNCTION("""COMPUTED_VALUE"""),0)</f>
        <v>0</v>
      </c>
      <c r="L1082" s="23">
        <f ca="1">IFERROR(__xludf.DUMMYFUNCTION("""COMPUTED_VALUE"""),0)</f>
        <v>0</v>
      </c>
      <c r="M1082" s="23">
        <f ca="1">IFERROR(__xludf.DUMMYFUNCTION("""COMPUTED_VALUE"""),0)</f>
        <v>0</v>
      </c>
      <c r="N1082" s="23">
        <f ca="1">IFERROR(__xludf.DUMMYFUNCTION("""COMPUTED_VALUE"""),0)</f>
        <v>0</v>
      </c>
      <c r="O1082" s="23">
        <f ca="1">IFERROR(__xludf.DUMMYFUNCTION("""COMPUTED_VALUE"""),0)</f>
        <v>0</v>
      </c>
      <c r="P1082" s="23">
        <f ca="1">IFERROR(__xludf.DUMMYFUNCTION("""COMPUTED_VALUE"""),0)</f>
        <v>0</v>
      </c>
      <c r="Q1082" s="24">
        <f ca="1">IFERROR(__xludf.DUMMYFUNCTION("""COMPUTED_VALUE"""),0)</f>
        <v>0</v>
      </c>
      <c r="R1082" s="20"/>
    </row>
    <row r="1083" spans="1:18" ht="13.2" hidden="1" outlineLevel="1" x14ac:dyDescent="0.25">
      <c r="A1083" s="1"/>
      <c r="B1083" s="39" t="str">
        <f ca="1">IFERROR(__xludf.DUMMYFUNCTION("""COMPUTED_VALUE"""),"Energia Hidraúlica")</f>
        <v>Energia Hidraúlica</v>
      </c>
      <c r="C1083" s="22">
        <f ca="1">IFERROR(__xludf.DUMMYFUNCTION("""COMPUTED_VALUE"""),0)</f>
        <v>0</v>
      </c>
      <c r="D1083" s="23">
        <f ca="1">IFERROR(__xludf.DUMMYFUNCTION("""COMPUTED_VALUE"""),0)</f>
        <v>0</v>
      </c>
      <c r="E1083" s="23">
        <f ca="1">IFERROR(__xludf.DUMMYFUNCTION("""COMPUTED_VALUE"""),0)</f>
        <v>0</v>
      </c>
      <c r="F1083" s="23">
        <f ca="1">IFERROR(__xludf.DUMMYFUNCTION("""COMPUTED_VALUE"""),0)</f>
        <v>0</v>
      </c>
      <c r="G1083" s="23">
        <f ca="1">IFERROR(__xludf.DUMMYFUNCTION("""COMPUTED_VALUE"""),0)</f>
        <v>0</v>
      </c>
      <c r="H1083" s="23">
        <f ca="1">IFERROR(__xludf.DUMMYFUNCTION("""COMPUTED_VALUE"""),0)</f>
        <v>0</v>
      </c>
      <c r="I1083" s="23">
        <f ca="1">IFERROR(__xludf.DUMMYFUNCTION("""COMPUTED_VALUE"""),0)</f>
        <v>0</v>
      </c>
      <c r="J1083" s="23">
        <f ca="1">IFERROR(__xludf.DUMMYFUNCTION("""COMPUTED_VALUE"""),0)</f>
        <v>0</v>
      </c>
      <c r="K1083" s="23">
        <f ca="1">IFERROR(__xludf.DUMMYFUNCTION("""COMPUTED_VALUE"""),0)</f>
        <v>0</v>
      </c>
      <c r="L1083" s="23">
        <f ca="1">IFERROR(__xludf.DUMMYFUNCTION("""COMPUTED_VALUE"""),0)</f>
        <v>0</v>
      </c>
      <c r="M1083" s="23">
        <f ca="1">IFERROR(__xludf.DUMMYFUNCTION("""COMPUTED_VALUE"""),0)</f>
        <v>0</v>
      </c>
      <c r="N1083" s="23">
        <f ca="1">IFERROR(__xludf.DUMMYFUNCTION("""COMPUTED_VALUE"""),0)</f>
        <v>0</v>
      </c>
      <c r="O1083" s="23">
        <f ca="1">IFERROR(__xludf.DUMMYFUNCTION("""COMPUTED_VALUE"""),0)</f>
        <v>0</v>
      </c>
      <c r="P1083" s="23">
        <f ca="1">IFERROR(__xludf.DUMMYFUNCTION("""COMPUTED_VALUE"""),0)</f>
        <v>0</v>
      </c>
      <c r="Q1083" s="24">
        <f ca="1">IFERROR(__xludf.DUMMYFUNCTION("""COMPUTED_VALUE"""),0)</f>
        <v>0</v>
      </c>
      <c r="R1083" s="20"/>
    </row>
    <row r="1084" spans="1:18" ht="13.2" hidden="1" outlineLevel="1" x14ac:dyDescent="0.25">
      <c r="A1084" s="1"/>
      <c r="B1084" s="39" t="str">
        <f ca="1">IFERROR(__xludf.DUMMYFUNCTION("""COMPUTED_VALUE"""),"Geoenergía")</f>
        <v>Geoenergía</v>
      </c>
      <c r="C1084" s="22">
        <f ca="1">IFERROR(__xludf.DUMMYFUNCTION("""COMPUTED_VALUE"""),0)</f>
        <v>0</v>
      </c>
      <c r="D1084" s="23">
        <f ca="1">IFERROR(__xludf.DUMMYFUNCTION("""COMPUTED_VALUE"""),0)</f>
        <v>0</v>
      </c>
      <c r="E1084" s="23">
        <f ca="1">IFERROR(__xludf.DUMMYFUNCTION("""COMPUTED_VALUE"""),0)</f>
        <v>0</v>
      </c>
      <c r="F1084" s="23">
        <f ca="1">IFERROR(__xludf.DUMMYFUNCTION("""COMPUTED_VALUE"""),0)</f>
        <v>0</v>
      </c>
      <c r="G1084" s="23">
        <f ca="1">IFERROR(__xludf.DUMMYFUNCTION("""COMPUTED_VALUE"""),0)</f>
        <v>0</v>
      </c>
      <c r="H1084" s="23">
        <f ca="1">IFERROR(__xludf.DUMMYFUNCTION("""COMPUTED_VALUE"""),0)</f>
        <v>0</v>
      </c>
      <c r="I1084" s="23">
        <f ca="1">IFERROR(__xludf.DUMMYFUNCTION("""COMPUTED_VALUE"""),0)</f>
        <v>0</v>
      </c>
      <c r="J1084" s="23">
        <f ca="1">IFERROR(__xludf.DUMMYFUNCTION("""COMPUTED_VALUE"""),0)</f>
        <v>0</v>
      </c>
      <c r="K1084" s="23">
        <f ca="1">IFERROR(__xludf.DUMMYFUNCTION("""COMPUTED_VALUE"""),0)</f>
        <v>0</v>
      </c>
      <c r="L1084" s="23">
        <f ca="1">IFERROR(__xludf.DUMMYFUNCTION("""COMPUTED_VALUE"""),0)</f>
        <v>0</v>
      </c>
      <c r="M1084" s="23">
        <f ca="1">IFERROR(__xludf.DUMMYFUNCTION("""COMPUTED_VALUE"""),0)</f>
        <v>0</v>
      </c>
      <c r="N1084" s="23">
        <f ca="1">IFERROR(__xludf.DUMMYFUNCTION("""COMPUTED_VALUE"""),0)</f>
        <v>0</v>
      </c>
      <c r="O1084" s="23">
        <f ca="1">IFERROR(__xludf.DUMMYFUNCTION("""COMPUTED_VALUE"""),0)</f>
        <v>0</v>
      </c>
      <c r="P1084" s="23">
        <f ca="1">IFERROR(__xludf.DUMMYFUNCTION("""COMPUTED_VALUE"""),0)</f>
        <v>0</v>
      </c>
      <c r="Q1084" s="24">
        <f ca="1">IFERROR(__xludf.DUMMYFUNCTION("""COMPUTED_VALUE"""),0)</f>
        <v>0</v>
      </c>
      <c r="R1084" s="20"/>
    </row>
    <row r="1085" spans="1:18" ht="13.2" hidden="1" outlineLevel="1" x14ac:dyDescent="0.25">
      <c r="A1085" s="1"/>
      <c r="B1085" s="39" t="str">
        <f ca="1">IFERROR(__xludf.DUMMYFUNCTION("""COMPUTED_VALUE"""),"Energía solar")</f>
        <v>Energía solar</v>
      </c>
      <c r="C1085" s="22">
        <f ca="1">IFERROR(__xludf.DUMMYFUNCTION("""COMPUTED_VALUE"""),0)</f>
        <v>0</v>
      </c>
      <c r="D1085" s="23">
        <f ca="1">IFERROR(__xludf.DUMMYFUNCTION("""COMPUTED_VALUE"""),0)</f>
        <v>0</v>
      </c>
      <c r="E1085" s="23">
        <f ca="1">IFERROR(__xludf.DUMMYFUNCTION("""COMPUTED_VALUE"""),0)</f>
        <v>0</v>
      </c>
      <c r="F1085" s="23">
        <f ca="1">IFERROR(__xludf.DUMMYFUNCTION("""COMPUTED_VALUE"""),0)</f>
        <v>0</v>
      </c>
      <c r="G1085" s="23">
        <f ca="1">IFERROR(__xludf.DUMMYFUNCTION("""COMPUTED_VALUE"""),0)</f>
        <v>0</v>
      </c>
      <c r="H1085" s="23">
        <f ca="1">IFERROR(__xludf.DUMMYFUNCTION("""COMPUTED_VALUE"""),0)</f>
        <v>0</v>
      </c>
      <c r="I1085" s="23">
        <f ca="1">IFERROR(__xludf.DUMMYFUNCTION("""COMPUTED_VALUE"""),0)</f>
        <v>0</v>
      </c>
      <c r="J1085" s="23">
        <f ca="1">IFERROR(__xludf.DUMMYFUNCTION("""COMPUTED_VALUE"""),0)</f>
        <v>0</v>
      </c>
      <c r="K1085" s="23">
        <f ca="1">IFERROR(__xludf.DUMMYFUNCTION("""COMPUTED_VALUE"""),0)</f>
        <v>0</v>
      </c>
      <c r="L1085" s="23">
        <f ca="1">IFERROR(__xludf.DUMMYFUNCTION("""COMPUTED_VALUE"""),0)</f>
        <v>0</v>
      </c>
      <c r="M1085" s="23">
        <f ca="1">IFERROR(__xludf.DUMMYFUNCTION("""COMPUTED_VALUE"""),0)</f>
        <v>0</v>
      </c>
      <c r="N1085" s="23">
        <f ca="1">IFERROR(__xludf.DUMMYFUNCTION("""COMPUTED_VALUE"""),0)</f>
        <v>0</v>
      </c>
      <c r="O1085" s="23">
        <f ca="1">IFERROR(__xludf.DUMMYFUNCTION("""COMPUTED_VALUE"""),0)</f>
        <v>0</v>
      </c>
      <c r="P1085" s="23">
        <f ca="1">IFERROR(__xludf.DUMMYFUNCTION("""COMPUTED_VALUE"""),0)</f>
        <v>0</v>
      </c>
      <c r="Q1085" s="24">
        <f ca="1">IFERROR(__xludf.DUMMYFUNCTION("""COMPUTED_VALUE"""),0)</f>
        <v>0</v>
      </c>
      <c r="R1085" s="20"/>
    </row>
    <row r="1086" spans="1:18" ht="13.2" hidden="1" outlineLevel="1" x14ac:dyDescent="0.25">
      <c r="A1086" s="1"/>
      <c r="B1086" s="39" t="str">
        <f ca="1">IFERROR(__xludf.DUMMYFUNCTION("""COMPUTED_VALUE"""),"Energía eólica")</f>
        <v>Energía eólica</v>
      </c>
      <c r="C1086" s="22">
        <f ca="1">IFERROR(__xludf.DUMMYFUNCTION("""COMPUTED_VALUE"""),0)</f>
        <v>0</v>
      </c>
      <c r="D1086" s="23">
        <f ca="1">IFERROR(__xludf.DUMMYFUNCTION("""COMPUTED_VALUE"""),0)</f>
        <v>0</v>
      </c>
      <c r="E1086" s="23">
        <f ca="1">IFERROR(__xludf.DUMMYFUNCTION("""COMPUTED_VALUE"""),0)</f>
        <v>0</v>
      </c>
      <c r="F1086" s="23">
        <f ca="1">IFERROR(__xludf.DUMMYFUNCTION("""COMPUTED_VALUE"""),0)</f>
        <v>0</v>
      </c>
      <c r="G1086" s="23">
        <f ca="1">IFERROR(__xludf.DUMMYFUNCTION("""COMPUTED_VALUE"""),0)</f>
        <v>0</v>
      </c>
      <c r="H1086" s="23">
        <f ca="1">IFERROR(__xludf.DUMMYFUNCTION("""COMPUTED_VALUE"""),0)</f>
        <v>0</v>
      </c>
      <c r="I1086" s="23">
        <f ca="1">IFERROR(__xludf.DUMMYFUNCTION("""COMPUTED_VALUE"""),0)</f>
        <v>0</v>
      </c>
      <c r="J1086" s="23">
        <f ca="1">IFERROR(__xludf.DUMMYFUNCTION("""COMPUTED_VALUE"""),0)</f>
        <v>0</v>
      </c>
      <c r="K1086" s="23">
        <f ca="1">IFERROR(__xludf.DUMMYFUNCTION("""COMPUTED_VALUE"""),0)</f>
        <v>0</v>
      </c>
      <c r="L1086" s="23">
        <f ca="1">IFERROR(__xludf.DUMMYFUNCTION("""COMPUTED_VALUE"""),0)</f>
        <v>0</v>
      </c>
      <c r="M1086" s="23">
        <f ca="1">IFERROR(__xludf.DUMMYFUNCTION("""COMPUTED_VALUE"""),0)</f>
        <v>0</v>
      </c>
      <c r="N1086" s="23">
        <f ca="1">IFERROR(__xludf.DUMMYFUNCTION("""COMPUTED_VALUE"""),0)</f>
        <v>0</v>
      </c>
      <c r="O1086" s="23">
        <f ca="1">IFERROR(__xludf.DUMMYFUNCTION("""COMPUTED_VALUE"""),0)</f>
        <v>0</v>
      </c>
      <c r="P1086" s="23">
        <f ca="1">IFERROR(__xludf.DUMMYFUNCTION("""COMPUTED_VALUE"""),0)</f>
        <v>0</v>
      </c>
      <c r="Q1086" s="24">
        <f ca="1">IFERROR(__xludf.DUMMYFUNCTION("""COMPUTED_VALUE"""),0)</f>
        <v>0</v>
      </c>
      <c r="R1086" s="20"/>
    </row>
    <row r="1087" spans="1:18" ht="13.2" hidden="1" outlineLevel="1" x14ac:dyDescent="0.25">
      <c r="A1087" s="1"/>
      <c r="B1087" s="39" t="str">
        <f ca="1">IFERROR(__xludf.DUMMYFUNCTION("""COMPUTED_VALUE"""),"Bagazo de caña")</f>
        <v>Bagazo de caña</v>
      </c>
      <c r="C1087" s="22">
        <f ca="1">IFERROR(__xludf.DUMMYFUNCTION("""COMPUTED_VALUE"""),0)</f>
        <v>0</v>
      </c>
      <c r="D1087" s="23">
        <f ca="1">IFERROR(__xludf.DUMMYFUNCTION("""COMPUTED_VALUE"""),0)</f>
        <v>0</v>
      </c>
      <c r="E1087" s="23">
        <f ca="1">IFERROR(__xludf.DUMMYFUNCTION("""COMPUTED_VALUE"""),0)</f>
        <v>0</v>
      </c>
      <c r="F1087" s="23">
        <f ca="1">IFERROR(__xludf.DUMMYFUNCTION("""COMPUTED_VALUE"""),0)</f>
        <v>0</v>
      </c>
      <c r="G1087" s="23">
        <f ca="1">IFERROR(__xludf.DUMMYFUNCTION("""COMPUTED_VALUE"""),0)</f>
        <v>0</v>
      </c>
      <c r="H1087" s="23">
        <f ca="1">IFERROR(__xludf.DUMMYFUNCTION("""COMPUTED_VALUE"""),0)</f>
        <v>0</v>
      </c>
      <c r="I1087" s="23">
        <f ca="1">IFERROR(__xludf.DUMMYFUNCTION("""COMPUTED_VALUE"""),0)</f>
        <v>0</v>
      </c>
      <c r="J1087" s="23">
        <f ca="1">IFERROR(__xludf.DUMMYFUNCTION("""COMPUTED_VALUE"""),0)</f>
        <v>0</v>
      </c>
      <c r="K1087" s="23">
        <f ca="1">IFERROR(__xludf.DUMMYFUNCTION("""COMPUTED_VALUE"""),0)</f>
        <v>0</v>
      </c>
      <c r="L1087" s="23">
        <f ca="1">IFERROR(__xludf.DUMMYFUNCTION("""COMPUTED_VALUE"""),0)</f>
        <v>0</v>
      </c>
      <c r="M1087" s="23">
        <f ca="1">IFERROR(__xludf.DUMMYFUNCTION("""COMPUTED_VALUE"""),0)</f>
        <v>0</v>
      </c>
      <c r="N1087" s="23">
        <f ca="1">IFERROR(__xludf.DUMMYFUNCTION("""COMPUTED_VALUE"""),0)</f>
        <v>0</v>
      </c>
      <c r="O1087" s="23">
        <f ca="1">IFERROR(__xludf.DUMMYFUNCTION("""COMPUTED_VALUE"""),0)</f>
        <v>0</v>
      </c>
      <c r="P1087" s="23">
        <f ca="1">IFERROR(__xludf.DUMMYFUNCTION("""COMPUTED_VALUE"""),0)</f>
        <v>0</v>
      </c>
      <c r="Q1087" s="24">
        <f ca="1">IFERROR(__xludf.DUMMYFUNCTION("""COMPUTED_VALUE"""),0)</f>
        <v>0</v>
      </c>
      <c r="R1087" s="20"/>
    </row>
    <row r="1088" spans="1:18" ht="13.2" hidden="1" outlineLevel="1" x14ac:dyDescent="0.25">
      <c r="A1088" s="1"/>
      <c r="B1088" s="39" t="str">
        <f ca="1">IFERROR(__xludf.DUMMYFUNCTION("""COMPUTED_VALUE"""),"Leña")</f>
        <v>Leña</v>
      </c>
      <c r="C1088" s="22">
        <f ca="1">IFERROR(__xludf.DUMMYFUNCTION("""COMPUTED_VALUE"""),0)</f>
        <v>0</v>
      </c>
      <c r="D1088" s="23">
        <f ca="1">IFERROR(__xludf.DUMMYFUNCTION("""COMPUTED_VALUE"""),0)</f>
        <v>0</v>
      </c>
      <c r="E1088" s="23">
        <f ca="1">IFERROR(__xludf.DUMMYFUNCTION("""COMPUTED_VALUE"""),0)</f>
        <v>0</v>
      </c>
      <c r="F1088" s="23">
        <f ca="1">IFERROR(__xludf.DUMMYFUNCTION("""COMPUTED_VALUE"""),0)</f>
        <v>0</v>
      </c>
      <c r="G1088" s="23">
        <f ca="1">IFERROR(__xludf.DUMMYFUNCTION("""COMPUTED_VALUE"""),0)</f>
        <v>0</v>
      </c>
      <c r="H1088" s="23">
        <f ca="1">IFERROR(__xludf.DUMMYFUNCTION("""COMPUTED_VALUE"""),0)</f>
        <v>0</v>
      </c>
      <c r="I1088" s="23">
        <f ca="1">IFERROR(__xludf.DUMMYFUNCTION("""COMPUTED_VALUE"""),0)</f>
        <v>0</v>
      </c>
      <c r="J1088" s="23">
        <f ca="1">IFERROR(__xludf.DUMMYFUNCTION("""COMPUTED_VALUE"""),0)</f>
        <v>0</v>
      </c>
      <c r="K1088" s="23">
        <f ca="1">IFERROR(__xludf.DUMMYFUNCTION("""COMPUTED_VALUE"""),0)</f>
        <v>0</v>
      </c>
      <c r="L1088" s="23">
        <f ca="1">IFERROR(__xludf.DUMMYFUNCTION("""COMPUTED_VALUE"""),0)</f>
        <v>0</v>
      </c>
      <c r="M1088" s="23">
        <f ca="1">IFERROR(__xludf.DUMMYFUNCTION("""COMPUTED_VALUE"""),0)</f>
        <v>0</v>
      </c>
      <c r="N1088" s="23">
        <f ca="1">IFERROR(__xludf.DUMMYFUNCTION("""COMPUTED_VALUE"""),0)</f>
        <v>0</v>
      </c>
      <c r="O1088" s="23">
        <f ca="1">IFERROR(__xludf.DUMMYFUNCTION("""COMPUTED_VALUE"""),0)</f>
        <v>0</v>
      </c>
      <c r="P1088" s="23">
        <f ca="1">IFERROR(__xludf.DUMMYFUNCTION("""COMPUTED_VALUE"""),0)</f>
        <v>0</v>
      </c>
      <c r="Q1088" s="24">
        <f ca="1">IFERROR(__xludf.DUMMYFUNCTION("""COMPUTED_VALUE"""),0)</f>
        <v>0</v>
      </c>
      <c r="R1088" s="20"/>
    </row>
    <row r="1089" spans="1:18" ht="13.2" hidden="1" outlineLevel="1" x14ac:dyDescent="0.25">
      <c r="A1089" s="1"/>
      <c r="B1089" s="39" t="str">
        <f ca="1">IFERROR(__xludf.DUMMYFUNCTION("""COMPUTED_VALUE"""),"Biogás")</f>
        <v>Biogás</v>
      </c>
      <c r="C1089" s="22">
        <f ca="1">IFERROR(__xludf.DUMMYFUNCTION("""COMPUTED_VALUE"""),0)</f>
        <v>0</v>
      </c>
      <c r="D1089" s="23">
        <f ca="1">IFERROR(__xludf.DUMMYFUNCTION("""COMPUTED_VALUE"""),0)</f>
        <v>0</v>
      </c>
      <c r="E1089" s="23">
        <f ca="1">IFERROR(__xludf.DUMMYFUNCTION("""COMPUTED_VALUE"""),0)</f>
        <v>0</v>
      </c>
      <c r="F1089" s="23">
        <f ca="1">IFERROR(__xludf.DUMMYFUNCTION("""COMPUTED_VALUE"""),0)</f>
        <v>0</v>
      </c>
      <c r="G1089" s="23">
        <f ca="1">IFERROR(__xludf.DUMMYFUNCTION("""COMPUTED_VALUE"""),0)</f>
        <v>0</v>
      </c>
      <c r="H1089" s="23">
        <f ca="1">IFERROR(__xludf.DUMMYFUNCTION("""COMPUTED_VALUE"""),0)</f>
        <v>0</v>
      </c>
      <c r="I1089" s="23">
        <f ca="1">IFERROR(__xludf.DUMMYFUNCTION("""COMPUTED_VALUE"""),0)</f>
        <v>0</v>
      </c>
      <c r="J1089" s="23">
        <f ca="1">IFERROR(__xludf.DUMMYFUNCTION("""COMPUTED_VALUE"""),0)</f>
        <v>0</v>
      </c>
      <c r="K1089" s="23">
        <f ca="1">IFERROR(__xludf.DUMMYFUNCTION("""COMPUTED_VALUE"""),0)</f>
        <v>0</v>
      </c>
      <c r="L1089" s="23">
        <f ca="1">IFERROR(__xludf.DUMMYFUNCTION("""COMPUTED_VALUE"""),0)</f>
        <v>0</v>
      </c>
      <c r="M1089" s="23">
        <f ca="1">IFERROR(__xludf.DUMMYFUNCTION("""COMPUTED_VALUE"""),0)</f>
        <v>0</v>
      </c>
      <c r="N1089" s="23">
        <f ca="1">IFERROR(__xludf.DUMMYFUNCTION("""COMPUTED_VALUE"""),0)</f>
        <v>0</v>
      </c>
      <c r="O1089" s="23">
        <f ca="1">IFERROR(__xludf.DUMMYFUNCTION("""COMPUTED_VALUE"""),0)</f>
        <v>0</v>
      </c>
      <c r="P1089" s="23">
        <f ca="1">IFERROR(__xludf.DUMMYFUNCTION("""COMPUTED_VALUE"""),0)</f>
        <v>0</v>
      </c>
      <c r="Q1089" s="24">
        <f ca="1">IFERROR(__xludf.DUMMYFUNCTION("""COMPUTED_VALUE"""),0)</f>
        <v>0</v>
      </c>
      <c r="R1089" s="20"/>
    </row>
    <row r="1090" spans="1:18" ht="13.2" hidden="1" outlineLevel="1" x14ac:dyDescent="0.25">
      <c r="A1090" s="1"/>
      <c r="B1090" s="39" t="str">
        <f ca="1">IFERROR(__xludf.DUMMYFUNCTION("""COMPUTED_VALUE"""),"Coque de carbón")</f>
        <v>Coque de carbón</v>
      </c>
      <c r="C1090" s="22">
        <f ca="1">IFERROR(__xludf.DUMMYFUNCTION("""COMPUTED_VALUE"""),0)</f>
        <v>0</v>
      </c>
      <c r="D1090" s="23">
        <f ca="1">IFERROR(__xludf.DUMMYFUNCTION("""COMPUTED_VALUE"""),0)</f>
        <v>0</v>
      </c>
      <c r="E1090" s="23">
        <f ca="1">IFERROR(__xludf.DUMMYFUNCTION("""COMPUTED_VALUE"""),0)</f>
        <v>0</v>
      </c>
      <c r="F1090" s="23">
        <f ca="1">IFERROR(__xludf.DUMMYFUNCTION("""COMPUTED_VALUE"""),0)</f>
        <v>0</v>
      </c>
      <c r="G1090" s="23">
        <f ca="1">IFERROR(__xludf.DUMMYFUNCTION("""COMPUTED_VALUE"""),0)</f>
        <v>0</v>
      </c>
      <c r="H1090" s="23">
        <f ca="1">IFERROR(__xludf.DUMMYFUNCTION("""COMPUTED_VALUE"""),0)</f>
        <v>0</v>
      </c>
      <c r="I1090" s="23">
        <f ca="1">IFERROR(__xludf.DUMMYFUNCTION("""COMPUTED_VALUE"""),0)</f>
        <v>0</v>
      </c>
      <c r="J1090" s="23">
        <f ca="1">IFERROR(__xludf.DUMMYFUNCTION("""COMPUTED_VALUE"""),0)</f>
        <v>0</v>
      </c>
      <c r="K1090" s="23">
        <f ca="1">IFERROR(__xludf.DUMMYFUNCTION("""COMPUTED_VALUE"""),0)</f>
        <v>0</v>
      </c>
      <c r="L1090" s="23">
        <f ca="1">IFERROR(__xludf.DUMMYFUNCTION("""COMPUTED_VALUE"""),0)</f>
        <v>0</v>
      </c>
      <c r="M1090" s="23">
        <f ca="1">IFERROR(__xludf.DUMMYFUNCTION("""COMPUTED_VALUE"""),0)</f>
        <v>0</v>
      </c>
      <c r="N1090" s="23">
        <f ca="1">IFERROR(__xludf.DUMMYFUNCTION("""COMPUTED_VALUE"""),0)</f>
        <v>0</v>
      </c>
      <c r="O1090" s="23">
        <f ca="1">IFERROR(__xludf.DUMMYFUNCTION("""COMPUTED_VALUE"""),0)</f>
        <v>0</v>
      </c>
      <c r="P1090" s="23">
        <f ca="1">IFERROR(__xludf.DUMMYFUNCTION("""COMPUTED_VALUE"""),0)</f>
        <v>0</v>
      </c>
      <c r="Q1090" s="24">
        <f ca="1">IFERROR(__xludf.DUMMYFUNCTION("""COMPUTED_VALUE"""),0)</f>
        <v>0</v>
      </c>
      <c r="R1090" s="20"/>
    </row>
    <row r="1091" spans="1:18" ht="13.2" hidden="1" outlineLevel="1" x14ac:dyDescent="0.25">
      <c r="A1091" s="1"/>
      <c r="B1091" s="39" t="str">
        <f ca="1">IFERROR(__xludf.DUMMYFUNCTION("""COMPUTED_VALUE"""),"Coque de petróleo")</f>
        <v>Coque de petróleo</v>
      </c>
      <c r="C1091" s="22">
        <f ca="1">IFERROR(__xludf.DUMMYFUNCTION("""COMPUTED_VALUE"""),0)</f>
        <v>0</v>
      </c>
      <c r="D1091" s="23">
        <f ca="1">IFERROR(__xludf.DUMMYFUNCTION("""COMPUTED_VALUE"""),0)</f>
        <v>0</v>
      </c>
      <c r="E1091" s="23">
        <f ca="1">IFERROR(__xludf.DUMMYFUNCTION("""COMPUTED_VALUE"""),0)</f>
        <v>0</v>
      </c>
      <c r="F1091" s="23">
        <f ca="1">IFERROR(__xludf.DUMMYFUNCTION("""COMPUTED_VALUE"""),0)</f>
        <v>0</v>
      </c>
      <c r="G1091" s="23">
        <f ca="1">IFERROR(__xludf.DUMMYFUNCTION("""COMPUTED_VALUE"""),0)</f>
        <v>0</v>
      </c>
      <c r="H1091" s="23">
        <f ca="1">IFERROR(__xludf.DUMMYFUNCTION("""COMPUTED_VALUE"""),0)</f>
        <v>0</v>
      </c>
      <c r="I1091" s="23">
        <f ca="1">IFERROR(__xludf.DUMMYFUNCTION("""COMPUTED_VALUE"""),0)</f>
        <v>0</v>
      </c>
      <c r="J1091" s="23">
        <f ca="1">IFERROR(__xludf.DUMMYFUNCTION("""COMPUTED_VALUE"""),0)</f>
        <v>0</v>
      </c>
      <c r="K1091" s="23">
        <f ca="1">IFERROR(__xludf.DUMMYFUNCTION("""COMPUTED_VALUE"""),0)</f>
        <v>0</v>
      </c>
      <c r="L1091" s="23">
        <f ca="1">IFERROR(__xludf.DUMMYFUNCTION("""COMPUTED_VALUE"""),0)</f>
        <v>0</v>
      </c>
      <c r="M1091" s="23">
        <f ca="1">IFERROR(__xludf.DUMMYFUNCTION("""COMPUTED_VALUE"""),0)</f>
        <v>0</v>
      </c>
      <c r="N1091" s="23">
        <f ca="1">IFERROR(__xludf.DUMMYFUNCTION("""COMPUTED_VALUE"""),0)</f>
        <v>0</v>
      </c>
      <c r="O1091" s="23">
        <f ca="1">IFERROR(__xludf.DUMMYFUNCTION("""COMPUTED_VALUE"""),0)</f>
        <v>0</v>
      </c>
      <c r="P1091" s="23">
        <f ca="1">IFERROR(__xludf.DUMMYFUNCTION("""COMPUTED_VALUE"""),0)</f>
        <v>0</v>
      </c>
      <c r="Q1091" s="24">
        <f ca="1">IFERROR(__xludf.DUMMYFUNCTION("""COMPUTED_VALUE"""),0)</f>
        <v>0</v>
      </c>
      <c r="R1091" s="20"/>
    </row>
    <row r="1092" spans="1:18" ht="13.2" hidden="1" outlineLevel="1" x14ac:dyDescent="0.25">
      <c r="A1092" s="1"/>
      <c r="B1092" s="39" t="str">
        <f ca="1">IFERROR(__xludf.DUMMYFUNCTION("""COMPUTED_VALUE"""),"Gas licuado de petróleo")</f>
        <v>Gas licuado de petróleo</v>
      </c>
      <c r="C1092" s="22">
        <f ca="1">IFERROR(__xludf.DUMMYFUNCTION("""COMPUTED_VALUE"""),0)</f>
        <v>0</v>
      </c>
      <c r="D1092" s="23">
        <f ca="1">IFERROR(__xludf.DUMMYFUNCTION("""COMPUTED_VALUE"""),0)</f>
        <v>0</v>
      </c>
      <c r="E1092" s="23">
        <f ca="1">IFERROR(__xludf.DUMMYFUNCTION("""COMPUTED_VALUE"""),0)</f>
        <v>0</v>
      </c>
      <c r="F1092" s="23">
        <f ca="1">IFERROR(__xludf.DUMMYFUNCTION("""COMPUTED_VALUE"""),0)</f>
        <v>0</v>
      </c>
      <c r="G1092" s="23">
        <f ca="1">IFERROR(__xludf.DUMMYFUNCTION("""COMPUTED_VALUE"""),0)</f>
        <v>0</v>
      </c>
      <c r="H1092" s="23">
        <f ca="1">IFERROR(__xludf.DUMMYFUNCTION("""COMPUTED_VALUE"""),0)</f>
        <v>0</v>
      </c>
      <c r="I1092" s="23">
        <f ca="1">IFERROR(__xludf.DUMMYFUNCTION("""COMPUTED_VALUE"""),0)</f>
        <v>0</v>
      </c>
      <c r="J1092" s="23">
        <f ca="1">IFERROR(__xludf.DUMMYFUNCTION("""COMPUTED_VALUE"""),0)</f>
        <v>0</v>
      </c>
      <c r="K1092" s="23">
        <f ca="1">IFERROR(__xludf.DUMMYFUNCTION("""COMPUTED_VALUE"""),0)</f>
        <v>0</v>
      </c>
      <c r="L1092" s="23">
        <f ca="1">IFERROR(__xludf.DUMMYFUNCTION("""COMPUTED_VALUE"""),0)</f>
        <v>0</v>
      </c>
      <c r="M1092" s="23">
        <f ca="1">IFERROR(__xludf.DUMMYFUNCTION("""COMPUTED_VALUE"""),0)</f>
        <v>0</v>
      </c>
      <c r="N1092" s="23">
        <f ca="1">IFERROR(__xludf.DUMMYFUNCTION("""COMPUTED_VALUE"""),0)</f>
        <v>0</v>
      </c>
      <c r="O1092" s="23">
        <f ca="1">IFERROR(__xludf.DUMMYFUNCTION("""COMPUTED_VALUE"""),0)</f>
        <v>0</v>
      </c>
      <c r="P1092" s="23">
        <f ca="1">IFERROR(__xludf.DUMMYFUNCTION("""COMPUTED_VALUE"""),0)</f>
        <v>0</v>
      </c>
      <c r="Q1092" s="24">
        <f ca="1">IFERROR(__xludf.DUMMYFUNCTION("""COMPUTED_VALUE"""),0)</f>
        <v>0</v>
      </c>
      <c r="R1092" s="20"/>
    </row>
    <row r="1093" spans="1:18" ht="13.2" hidden="1" outlineLevel="1" x14ac:dyDescent="0.25">
      <c r="A1093" s="1"/>
      <c r="B1093" s="39" t="str">
        <f ca="1">IFERROR(__xludf.DUMMYFUNCTION("""COMPUTED_VALUE"""),"Gasolinas y naftas")</f>
        <v>Gasolinas y naftas</v>
      </c>
      <c r="C1093" s="22">
        <f ca="1">IFERROR(__xludf.DUMMYFUNCTION("""COMPUTED_VALUE"""),0)</f>
        <v>0</v>
      </c>
      <c r="D1093" s="23">
        <f ca="1">IFERROR(__xludf.DUMMYFUNCTION("""COMPUTED_VALUE"""),0)</f>
        <v>0</v>
      </c>
      <c r="E1093" s="23">
        <f ca="1">IFERROR(__xludf.DUMMYFUNCTION("""COMPUTED_VALUE"""),0)</f>
        <v>0</v>
      </c>
      <c r="F1093" s="23">
        <f ca="1">IFERROR(__xludf.DUMMYFUNCTION("""COMPUTED_VALUE"""),0)</f>
        <v>0</v>
      </c>
      <c r="G1093" s="23">
        <f ca="1">IFERROR(__xludf.DUMMYFUNCTION("""COMPUTED_VALUE"""),0)</f>
        <v>0</v>
      </c>
      <c r="H1093" s="23">
        <f ca="1">IFERROR(__xludf.DUMMYFUNCTION("""COMPUTED_VALUE"""),0)</f>
        <v>0</v>
      </c>
      <c r="I1093" s="23">
        <f ca="1">IFERROR(__xludf.DUMMYFUNCTION("""COMPUTED_VALUE"""),0)</f>
        <v>0</v>
      </c>
      <c r="J1093" s="23">
        <f ca="1">IFERROR(__xludf.DUMMYFUNCTION("""COMPUTED_VALUE"""),0)</f>
        <v>0</v>
      </c>
      <c r="K1093" s="23">
        <f ca="1">IFERROR(__xludf.DUMMYFUNCTION("""COMPUTED_VALUE"""),0)</f>
        <v>0</v>
      </c>
      <c r="L1093" s="23">
        <f ca="1">IFERROR(__xludf.DUMMYFUNCTION("""COMPUTED_VALUE"""),0)</f>
        <v>0</v>
      </c>
      <c r="M1093" s="23">
        <f ca="1">IFERROR(__xludf.DUMMYFUNCTION("""COMPUTED_VALUE"""),0)</f>
        <v>0</v>
      </c>
      <c r="N1093" s="23">
        <f ca="1">IFERROR(__xludf.DUMMYFUNCTION("""COMPUTED_VALUE"""),0)</f>
        <v>0</v>
      </c>
      <c r="O1093" s="23">
        <f ca="1">IFERROR(__xludf.DUMMYFUNCTION("""COMPUTED_VALUE"""),0)</f>
        <v>0</v>
      </c>
      <c r="P1093" s="23">
        <f ca="1">IFERROR(__xludf.DUMMYFUNCTION("""COMPUTED_VALUE"""),0)</f>
        <v>0</v>
      </c>
      <c r="Q1093" s="24">
        <f ca="1">IFERROR(__xludf.DUMMYFUNCTION("""COMPUTED_VALUE"""),0)</f>
        <v>0</v>
      </c>
      <c r="R1093" s="20"/>
    </row>
    <row r="1094" spans="1:18" ht="13.2" hidden="1" outlineLevel="1" x14ac:dyDescent="0.25">
      <c r="A1094" s="1"/>
      <c r="B1094" s="39" t="str">
        <f ca="1">IFERROR(__xludf.DUMMYFUNCTION("""COMPUTED_VALUE"""),"Querosenos")</f>
        <v>Querosenos</v>
      </c>
      <c r="C1094" s="22">
        <f ca="1">IFERROR(__xludf.DUMMYFUNCTION("""COMPUTED_VALUE"""),0)</f>
        <v>0</v>
      </c>
      <c r="D1094" s="23">
        <f ca="1">IFERROR(__xludf.DUMMYFUNCTION("""COMPUTED_VALUE"""),0)</f>
        <v>0</v>
      </c>
      <c r="E1094" s="23">
        <f ca="1">IFERROR(__xludf.DUMMYFUNCTION("""COMPUTED_VALUE"""),0)</f>
        <v>0</v>
      </c>
      <c r="F1094" s="23">
        <f ca="1">IFERROR(__xludf.DUMMYFUNCTION("""COMPUTED_VALUE"""),0)</f>
        <v>0</v>
      </c>
      <c r="G1094" s="23">
        <f ca="1">IFERROR(__xludf.DUMMYFUNCTION("""COMPUTED_VALUE"""),0)</f>
        <v>0</v>
      </c>
      <c r="H1094" s="23">
        <f ca="1">IFERROR(__xludf.DUMMYFUNCTION("""COMPUTED_VALUE"""),0)</f>
        <v>0</v>
      </c>
      <c r="I1094" s="23">
        <f ca="1">IFERROR(__xludf.DUMMYFUNCTION("""COMPUTED_VALUE"""),0)</f>
        <v>0</v>
      </c>
      <c r="J1094" s="23">
        <f ca="1">IFERROR(__xludf.DUMMYFUNCTION("""COMPUTED_VALUE"""),0)</f>
        <v>0</v>
      </c>
      <c r="K1094" s="23">
        <f ca="1">IFERROR(__xludf.DUMMYFUNCTION("""COMPUTED_VALUE"""),0)</f>
        <v>0</v>
      </c>
      <c r="L1094" s="23">
        <f ca="1">IFERROR(__xludf.DUMMYFUNCTION("""COMPUTED_VALUE"""),0)</f>
        <v>0</v>
      </c>
      <c r="M1094" s="23">
        <f ca="1">IFERROR(__xludf.DUMMYFUNCTION("""COMPUTED_VALUE"""),0)</f>
        <v>0</v>
      </c>
      <c r="N1094" s="23">
        <f ca="1">IFERROR(__xludf.DUMMYFUNCTION("""COMPUTED_VALUE"""),0)</f>
        <v>0</v>
      </c>
      <c r="O1094" s="23">
        <f ca="1">IFERROR(__xludf.DUMMYFUNCTION("""COMPUTED_VALUE"""),0)</f>
        <v>0</v>
      </c>
      <c r="P1094" s="23">
        <f ca="1">IFERROR(__xludf.DUMMYFUNCTION("""COMPUTED_VALUE"""),0)</f>
        <v>0</v>
      </c>
      <c r="Q1094" s="24">
        <f ca="1">IFERROR(__xludf.DUMMYFUNCTION("""COMPUTED_VALUE"""),0)</f>
        <v>0</v>
      </c>
      <c r="R1094" s="20"/>
    </row>
    <row r="1095" spans="1:18" ht="13.2" hidden="1" outlineLevel="1" x14ac:dyDescent="0.25">
      <c r="A1095" s="1"/>
      <c r="B1095" s="39" t="str">
        <f ca="1">IFERROR(__xludf.DUMMYFUNCTION("""COMPUTED_VALUE"""),"Diesel")</f>
        <v>Diesel</v>
      </c>
      <c r="C1095" s="22">
        <f ca="1">IFERROR(__xludf.DUMMYFUNCTION("""COMPUTED_VALUE"""),1.82390416483292)</f>
        <v>1.8239041648329199</v>
      </c>
      <c r="D1095" s="23">
        <f ca="1">IFERROR(__xludf.DUMMYFUNCTION("""COMPUTED_VALUE"""),2.70400254948999)</f>
        <v>2.70400254948999</v>
      </c>
      <c r="E1095" s="23">
        <f ca="1">IFERROR(__xludf.DUMMYFUNCTION("""COMPUTED_VALUE"""),2.64872021085189)</f>
        <v>2.6487202108518901</v>
      </c>
      <c r="F1095" s="23">
        <f ca="1">IFERROR(__xludf.DUMMYFUNCTION("""COMPUTED_VALUE"""),0.992242157605165)</f>
        <v>0.99224215760516499</v>
      </c>
      <c r="G1095" s="23">
        <f ca="1">IFERROR(__xludf.DUMMYFUNCTION("""COMPUTED_VALUE"""),1.38448303611041)</f>
        <v>1.3844830361104099</v>
      </c>
      <c r="H1095" s="23">
        <f ca="1">IFERROR(__xludf.DUMMYFUNCTION("""COMPUTED_VALUE"""),1.47421552625366)</f>
        <v>1.47421552625366</v>
      </c>
      <c r="I1095" s="23">
        <f ca="1">IFERROR(__xludf.DUMMYFUNCTION("""COMPUTED_VALUE"""),1.73250051523095)</f>
        <v>1.7325005152309501</v>
      </c>
      <c r="J1095" s="23">
        <f ca="1">IFERROR(__xludf.DUMMYFUNCTION("""COMPUTED_VALUE"""),1.45110089086594)</f>
        <v>1.45110089086594</v>
      </c>
      <c r="K1095" s="23">
        <f ca="1">IFERROR(__xludf.DUMMYFUNCTION("""COMPUTED_VALUE"""),1.88205242461943)</f>
        <v>1.8820524246194299</v>
      </c>
      <c r="L1095" s="23">
        <f ca="1">IFERROR(__xludf.DUMMYFUNCTION("""COMPUTED_VALUE"""),2.47273146896295)</f>
        <v>2.4727314689629498</v>
      </c>
      <c r="M1095" s="23">
        <f ca="1">IFERROR(__xludf.DUMMYFUNCTION("""COMPUTED_VALUE"""),0.690066982943039)</f>
        <v>0.69006698294303903</v>
      </c>
      <c r="N1095" s="23">
        <f ca="1">IFERROR(__xludf.DUMMYFUNCTION("""COMPUTED_VALUE"""),2.64633732448578)</f>
        <v>2.64633732448578</v>
      </c>
      <c r="O1095" s="23">
        <f ca="1">IFERROR(__xludf.DUMMYFUNCTION("""COMPUTED_VALUE"""),1.75698052547603)</f>
        <v>1.75698052547603</v>
      </c>
      <c r="P1095" s="23">
        <f ca="1">IFERROR(__xludf.DUMMYFUNCTION("""COMPUTED_VALUE"""),2.63702799841143)</f>
        <v>2.6370279984114302</v>
      </c>
      <c r="Q1095" s="24">
        <f ca="1">IFERROR(__xludf.DUMMYFUNCTION("""COMPUTED_VALUE"""),2.25656289088901)</f>
        <v>2.2565628908890099</v>
      </c>
      <c r="R1095" s="20"/>
    </row>
    <row r="1096" spans="1:18" ht="13.2" hidden="1" outlineLevel="1" x14ac:dyDescent="0.25">
      <c r="A1096" s="1"/>
      <c r="B1096" s="39" t="str">
        <f ca="1">IFERROR(__xludf.DUMMYFUNCTION("""COMPUTED_VALUE"""),"Combustóleo")</f>
        <v>Combustóleo</v>
      </c>
      <c r="C1096" s="22">
        <f ca="1">IFERROR(__xludf.DUMMYFUNCTION("""COMPUTED_VALUE"""),0)</f>
        <v>0</v>
      </c>
      <c r="D1096" s="23">
        <f ca="1">IFERROR(__xludf.DUMMYFUNCTION("""COMPUTED_VALUE"""),0)</f>
        <v>0</v>
      </c>
      <c r="E1096" s="23">
        <f ca="1">IFERROR(__xludf.DUMMYFUNCTION("""COMPUTED_VALUE"""),0)</f>
        <v>0</v>
      </c>
      <c r="F1096" s="23">
        <f ca="1">IFERROR(__xludf.DUMMYFUNCTION("""COMPUTED_VALUE"""),0)</f>
        <v>0</v>
      </c>
      <c r="G1096" s="23">
        <f ca="1">IFERROR(__xludf.DUMMYFUNCTION("""COMPUTED_VALUE"""),0)</f>
        <v>0</v>
      </c>
      <c r="H1096" s="23">
        <f ca="1">IFERROR(__xludf.DUMMYFUNCTION("""COMPUTED_VALUE"""),0)</f>
        <v>0</v>
      </c>
      <c r="I1096" s="23">
        <f ca="1">IFERROR(__xludf.DUMMYFUNCTION("""COMPUTED_VALUE"""),0)</f>
        <v>0</v>
      </c>
      <c r="J1096" s="23">
        <f ca="1">IFERROR(__xludf.DUMMYFUNCTION("""COMPUTED_VALUE"""),0)</f>
        <v>0</v>
      </c>
      <c r="K1096" s="23">
        <f ca="1">IFERROR(__xludf.DUMMYFUNCTION("""COMPUTED_VALUE"""),0)</f>
        <v>0</v>
      </c>
      <c r="L1096" s="23">
        <f ca="1">IFERROR(__xludf.DUMMYFUNCTION("""COMPUTED_VALUE"""),0)</f>
        <v>0</v>
      </c>
      <c r="M1096" s="23">
        <f ca="1">IFERROR(__xludf.DUMMYFUNCTION("""COMPUTED_VALUE"""),0)</f>
        <v>0</v>
      </c>
      <c r="N1096" s="23">
        <f ca="1">IFERROR(__xludf.DUMMYFUNCTION("""COMPUTED_VALUE"""),0)</f>
        <v>0</v>
      </c>
      <c r="O1096" s="23">
        <f ca="1">IFERROR(__xludf.DUMMYFUNCTION("""COMPUTED_VALUE"""),0)</f>
        <v>0</v>
      </c>
      <c r="P1096" s="23">
        <f ca="1">IFERROR(__xludf.DUMMYFUNCTION("""COMPUTED_VALUE"""),0)</f>
        <v>0</v>
      </c>
      <c r="Q1096" s="24">
        <f ca="1">IFERROR(__xludf.DUMMYFUNCTION("""COMPUTED_VALUE"""),0)</f>
        <v>0</v>
      </c>
      <c r="R1096" s="20"/>
    </row>
    <row r="1097" spans="1:18" ht="13.2" hidden="1" outlineLevel="1" x14ac:dyDescent="0.25">
      <c r="A1097" s="1"/>
      <c r="B1097" s="39" t="str">
        <f ca="1">IFERROR(__xludf.DUMMYFUNCTION("""COMPUTED_VALUE"""),"Otros energéticos")</f>
        <v>Otros energéticos</v>
      </c>
      <c r="C1097" s="22">
        <f ca="1">IFERROR(__xludf.DUMMYFUNCTION("""COMPUTED_VALUE"""),0)</f>
        <v>0</v>
      </c>
      <c r="D1097" s="23">
        <f ca="1">IFERROR(__xludf.DUMMYFUNCTION("""COMPUTED_VALUE"""),0)</f>
        <v>0</v>
      </c>
      <c r="E1097" s="23">
        <f ca="1">IFERROR(__xludf.DUMMYFUNCTION("""COMPUTED_VALUE"""),0)</f>
        <v>0</v>
      </c>
      <c r="F1097" s="23">
        <f ca="1">IFERROR(__xludf.DUMMYFUNCTION("""COMPUTED_VALUE"""),0)</f>
        <v>0</v>
      </c>
      <c r="G1097" s="23">
        <f ca="1">IFERROR(__xludf.DUMMYFUNCTION("""COMPUTED_VALUE"""),0)</f>
        <v>0</v>
      </c>
      <c r="H1097" s="23">
        <f ca="1">IFERROR(__xludf.DUMMYFUNCTION("""COMPUTED_VALUE"""),0)</f>
        <v>0</v>
      </c>
      <c r="I1097" s="23">
        <f ca="1">IFERROR(__xludf.DUMMYFUNCTION("""COMPUTED_VALUE"""),0)</f>
        <v>0</v>
      </c>
      <c r="J1097" s="23">
        <f ca="1">IFERROR(__xludf.DUMMYFUNCTION("""COMPUTED_VALUE"""),0)</f>
        <v>0</v>
      </c>
      <c r="K1097" s="23">
        <f ca="1">IFERROR(__xludf.DUMMYFUNCTION("""COMPUTED_VALUE"""),0)</f>
        <v>0</v>
      </c>
      <c r="L1097" s="23">
        <f ca="1">IFERROR(__xludf.DUMMYFUNCTION("""COMPUTED_VALUE"""),0)</f>
        <v>0</v>
      </c>
      <c r="M1097" s="23">
        <f ca="1">IFERROR(__xludf.DUMMYFUNCTION("""COMPUTED_VALUE"""),0)</f>
        <v>0</v>
      </c>
      <c r="N1097" s="23">
        <f ca="1">IFERROR(__xludf.DUMMYFUNCTION("""COMPUTED_VALUE"""),0)</f>
        <v>0</v>
      </c>
      <c r="O1097" s="23">
        <f ca="1">IFERROR(__xludf.DUMMYFUNCTION("""COMPUTED_VALUE"""),0)</f>
        <v>0</v>
      </c>
      <c r="P1097" s="23">
        <f ca="1">IFERROR(__xludf.DUMMYFUNCTION("""COMPUTED_VALUE"""),0)</f>
        <v>0</v>
      </c>
      <c r="Q1097" s="24">
        <f ca="1">IFERROR(__xludf.DUMMYFUNCTION("""COMPUTED_VALUE"""),0)</f>
        <v>0</v>
      </c>
      <c r="R1097" s="20"/>
    </row>
    <row r="1098" spans="1:18" ht="13.2" hidden="1" outlineLevel="1" x14ac:dyDescent="0.25">
      <c r="A1098" s="1"/>
      <c r="B1098" s="39" t="str">
        <f ca="1">IFERROR(__xludf.DUMMYFUNCTION("""COMPUTED_VALUE"""),"Gas natural seco")</f>
        <v>Gas natural seco</v>
      </c>
      <c r="C1098" s="22">
        <f ca="1">IFERROR(__xludf.DUMMYFUNCTION("""COMPUTED_VALUE"""),0)</f>
        <v>0</v>
      </c>
      <c r="D1098" s="23">
        <f ca="1">IFERROR(__xludf.DUMMYFUNCTION("""COMPUTED_VALUE"""),0)</f>
        <v>0</v>
      </c>
      <c r="E1098" s="23">
        <f ca="1">IFERROR(__xludf.DUMMYFUNCTION("""COMPUTED_VALUE"""),0)</f>
        <v>0</v>
      </c>
      <c r="F1098" s="23">
        <f ca="1">IFERROR(__xludf.DUMMYFUNCTION("""COMPUTED_VALUE"""),0)</f>
        <v>0</v>
      </c>
      <c r="G1098" s="23">
        <f ca="1">IFERROR(__xludf.DUMMYFUNCTION("""COMPUTED_VALUE"""),0)</f>
        <v>0</v>
      </c>
      <c r="H1098" s="23">
        <f ca="1">IFERROR(__xludf.DUMMYFUNCTION("""COMPUTED_VALUE"""),0)</f>
        <v>0</v>
      </c>
      <c r="I1098" s="23">
        <f ca="1">IFERROR(__xludf.DUMMYFUNCTION("""COMPUTED_VALUE"""),0)</f>
        <v>0</v>
      </c>
      <c r="J1098" s="23">
        <f ca="1">IFERROR(__xludf.DUMMYFUNCTION("""COMPUTED_VALUE"""),0)</f>
        <v>0</v>
      </c>
      <c r="K1098" s="23">
        <f ca="1">IFERROR(__xludf.DUMMYFUNCTION("""COMPUTED_VALUE"""),0)</f>
        <v>0</v>
      </c>
      <c r="L1098" s="23">
        <f ca="1">IFERROR(__xludf.DUMMYFUNCTION("""COMPUTED_VALUE"""),0)</f>
        <v>0</v>
      </c>
      <c r="M1098" s="23">
        <f ca="1">IFERROR(__xludf.DUMMYFUNCTION("""COMPUTED_VALUE"""),0)</f>
        <v>0</v>
      </c>
      <c r="N1098" s="23">
        <f ca="1">IFERROR(__xludf.DUMMYFUNCTION("""COMPUTED_VALUE"""),0)</f>
        <v>0</v>
      </c>
      <c r="O1098" s="23">
        <f ca="1">IFERROR(__xludf.DUMMYFUNCTION("""COMPUTED_VALUE"""),0)</f>
        <v>0</v>
      </c>
      <c r="P1098" s="23">
        <f ca="1">IFERROR(__xludf.DUMMYFUNCTION("""COMPUTED_VALUE"""),0)</f>
        <v>0</v>
      </c>
      <c r="Q1098" s="24">
        <f ca="1">IFERROR(__xludf.DUMMYFUNCTION("""COMPUTED_VALUE"""),0)</f>
        <v>0</v>
      </c>
      <c r="R1098" s="20"/>
    </row>
    <row r="1099" spans="1:18" ht="13.2" hidden="1" outlineLevel="1" x14ac:dyDescent="0.25">
      <c r="A1099" s="1"/>
      <c r="B1099" s="40" t="str">
        <f ca="1">IFERROR(__xludf.DUMMYFUNCTION("""COMPUTED_VALUE"""),"Energía eléctrica")</f>
        <v>Energía eléctrica</v>
      </c>
      <c r="C1099" s="26">
        <f ca="1">IFERROR(__xludf.DUMMYFUNCTION("""COMPUTED_VALUE"""),10.8254429633141)</f>
        <v>10.825442963314099</v>
      </c>
      <c r="D1099" s="27">
        <f ca="1">IFERROR(__xludf.DUMMYFUNCTION("""COMPUTED_VALUE"""),15.787226085319)</f>
        <v>15.787226085319</v>
      </c>
      <c r="E1099" s="27">
        <f ca="1">IFERROR(__xludf.DUMMYFUNCTION("""COMPUTED_VALUE"""),18.4770177873798)</f>
        <v>18.4770177873798</v>
      </c>
      <c r="F1099" s="27">
        <f ca="1">IFERROR(__xludf.DUMMYFUNCTION("""COMPUTED_VALUE"""),12.3295847883693)</f>
        <v>12.329584788369299</v>
      </c>
      <c r="G1099" s="27">
        <f ca="1">IFERROR(__xludf.DUMMYFUNCTION("""COMPUTED_VALUE"""),7.96957061733626)</f>
        <v>7.9695706173362604</v>
      </c>
      <c r="H1099" s="27">
        <f ca="1">IFERROR(__xludf.DUMMYFUNCTION("""COMPUTED_VALUE"""),12.3688266819821)</f>
        <v>12.3688266819821</v>
      </c>
      <c r="I1099" s="27">
        <f ca="1">IFERROR(__xludf.DUMMYFUNCTION("""COMPUTED_VALUE"""),13.9547099456385)</f>
        <v>13.9547099456385</v>
      </c>
      <c r="J1099" s="27">
        <f ca="1">IFERROR(__xludf.DUMMYFUNCTION("""COMPUTED_VALUE"""),17.5963545113074)</f>
        <v>17.5963545113074</v>
      </c>
      <c r="K1099" s="27">
        <f ca="1">IFERROR(__xludf.DUMMYFUNCTION("""COMPUTED_VALUE"""),12.1065567554221)</f>
        <v>12.106556755422099</v>
      </c>
      <c r="L1099" s="27">
        <f ca="1">IFERROR(__xludf.DUMMYFUNCTION("""COMPUTED_VALUE"""),17.2781748055617)</f>
        <v>17.278174805561701</v>
      </c>
      <c r="M1099" s="27">
        <f ca="1">IFERROR(__xludf.DUMMYFUNCTION("""COMPUTED_VALUE"""),16.5890951997688)</f>
        <v>16.589095199768799</v>
      </c>
      <c r="N1099" s="27">
        <f ca="1">IFERROR(__xludf.DUMMYFUNCTION("""COMPUTED_VALUE"""),15.7030483234873)</f>
        <v>15.7030483234873</v>
      </c>
      <c r="O1099" s="27">
        <f ca="1">IFERROR(__xludf.DUMMYFUNCTION("""COMPUTED_VALUE"""),17.0881001577158)</f>
        <v>17.0881001577158</v>
      </c>
      <c r="P1099" s="27">
        <f ca="1">IFERROR(__xludf.DUMMYFUNCTION("""COMPUTED_VALUE"""),18.4713632351221)</f>
        <v>18.471363235122102</v>
      </c>
      <c r="Q1099" s="28">
        <f ca="1">IFERROR(__xludf.DUMMYFUNCTION("""COMPUTED_VALUE"""),15.6728352014348)</f>
        <v>15.6728352014348</v>
      </c>
      <c r="R1099" s="20"/>
    </row>
    <row r="1100" spans="1:18" ht="13.2" collapsed="1" x14ac:dyDescent="0.25">
      <c r="A1100" s="1"/>
      <c r="B1100" s="31" t="str">
        <f ca="1">IFERROR(__xludf.DUMMYFUNCTION("""COMPUTED_VALUE"""),"236	Edificación")</f>
        <v>236	Edificación</v>
      </c>
      <c r="C1100" s="41"/>
      <c r="D1100" s="42"/>
      <c r="E1100" s="41"/>
      <c r="F1100" s="41"/>
      <c r="G1100" s="43"/>
      <c r="H1100" s="44"/>
      <c r="I1100" s="45"/>
      <c r="J1100" s="45"/>
      <c r="K1100" s="45"/>
      <c r="L1100" s="45"/>
      <c r="M1100" s="45"/>
      <c r="N1100" s="45"/>
      <c r="O1100" s="45"/>
      <c r="P1100" s="45"/>
      <c r="Q1100" s="45"/>
      <c r="R1100" s="10"/>
    </row>
    <row r="1101" spans="1:18" ht="13.2" hidden="1" outlineLevel="1" x14ac:dyDescent="0.25">
      <c r="A1101" s="1"/>
      <c r="B1101" s="46"/>
      <c r="C1101" s="35">
        <f ca="1">IFERROR(__xludf.DUMMYFUNCTION("""COMPUTED_VALUE"""),2010)</f>
        <v>2010</v>
      </c>
      <c r="D1101" s="36">
        <f ca="1">IFERROR(__xludf.DUMMYFUNCTION("""COMPUTED_VALUE"""),2011)</f>
        <v>2011</v>
      </c>
      <c r="E1101" s="36">
        <f ca="1">IFERROR(__xludf.DUMMYFUNCTION("""COMPUTED_VALUE"""),2012)</f>
        <v>2012</v>
      </c>
      <c r="F1101" s="36">
        <f ca="1">IFERROR(__xludf.DUMMYFUNCTION("""COMPUTED_VALUE"""),2013)</f>
        <v>2013</v>
      </c>
      <c r="G1101" s="36">
        <f ca="1">IFERROR(__xludf.DUMMYFUNCTION("""COMPUTED_VALUE"""),2014)</f>
        <v>2014</v>
      </c>
      <c r="H1101" s="36">
        <f ca="1">IFERROR(__xludf.DUMMYFUNCTION("""COMPUTED_VALUE"""),2015)</f>
        <v>2015</v>
      </c>
      <c r="I1101" s="36">
        <f ca="1">IFERROR(__xludf.DUMMYFUNCTION("""COMPUTED_VALUE"""),2016)</f>
        <v>2016</v>
      </c>
      <c r="J1101" s="36">
        <f ca="1">IFERROR(__xludf.DUMMYFUNCTION("""COMPUTED_VALUE"""),2017)</f>
        <v>2017</v>
      </c>
      <c r="K1101" s="36">
        <f ca="1">IFERROR(__xludf.DUMMYFUNCTION("""COMPUTED_VALUE"""),2018)</f>
        <v>2018</v>
      </c>
      <c r="L1101" s="36">
        <f ca="1">IFERROR(__xludf.DUMMYFUNCTION("""COMPUTED_VALUE"""),2019)</f>
        <v>2019</v>
      </c>
      <c r="M1101" s="36">
        <f ca="1">IFERROR(__xludf.DUMMYFUNCTION("""COMPUTED_VALUE"""),2020)</f>
        <v>2020</v>
      </c>
      <c r="N1101" s="36">
        <f ca="1">IFERROR(__xludf.DUMMYFUNCTION("""COMPUTED_VALUE"""),2021)</f>
        <v>2021</v>
      </c>
      <c r="O1101" s="36">
        <f ca="1">IFERROR(__xludf.DUMMYFUNCTION("""COMPUTED_VALUE"""),2022)</f>
        <v>2022</v>
      </c>
      <c r="P1101" s="36">
        <f ca="1">IFERROR(__xludf.DUMMYFUNCTION("""COMPUTED_VALUE"""),2023)</f>
        <v>2023</v>
      </c>
      <c r="Q1101" s="37">
        <f ca="1">IFERROR(__xludf.DUMMYFUNCTION("""COMPUTED_VALUE"""),2024)</f>
        <v>2024</v>
      </c>
      <c r="R1101" s="15"/>
    </row>
    <row r="1102" spans="1:18" ht="13.2" hidden="1" outlineLevel="1" x14ac:dyDescent="0.25">
      <c r="A1102" s="1"/>
      <c r="B1102" s="38" t="str">
        <f ca="1">IFERROR(__xludf.DUMMYFUNCTION("""COMPUTED_VALUE"""),"Carbón mineral")</f>
        <v>Carbón mineral</v>
      </c>
      <c r="C1102" s="17">
        <f ca="1">IFERROR(__xludf.DUMMYFUNCTION("""COMPUTED_VALUE"""),0)</f>
        <v>0</v>
      </c>
      <c r="D1102" s="18">
        <f ca="1">IFERROR(__xludf.DUMMYFUNCTION("""COMPUTED_VALUE"""),0)</f>
        <v>0</v>
      </c>
      <c r="E1102" s="18">
        <f ca="1">IFERROR(__xludf.DUMMYFUNCTION("""COMPUTED_VALUE"""),0)</f>
        <v>0</v>
      </c>
      <c r="F1102" s="18">
        <f ca="1">IFERROR(__xludf.DUMMYFUNCTION("""COMPUTED_VALUE"""),0)</f>
        <v>0</v>
      </c>
      <c r="G1102" s="18">
        <f ca="1">IFERROR(__xludf.DUMMYFUNCTION("""COMPUTED_VALUE"""),0)</f>
        <v>0</v>
      </c>
      <c r="H1102" s="18">
        <f ca="1">IFERROR(__xludf.DUMMYFUNCTION("""COMPUTED_VALUE"""),0)</f>
        <v>0</v>
      </c>
      <c r="I1102" s="18">
        <f ca="1">IFERROR(__xludf.DUMMYFUNCTION("""COMPUTED_VALUE"""),0)</f>
        <v>0</v>
      </c>
      <c r="J1102" s="18">
        <f ca="1">IFERROR(__xludf.DUMMYFUNCTION("""COMPUTED_VALUE"""),0)</f>
        <v>0</v>
      </c>
      <c r="K1102" s="18">
        <f ca="1">IFERROR(__xludf.DUMMYFUNCTION("""COMPUTED_VALUE"""),0)</f>
        <v>0</v>
      </c>
      <c r="L1102" s="18">
        <f ca="1">IFERROR(__xludf.DUMMYFUNCTION("""COMPUTED_VALUE"""),0)</f>
        <v>0</v>
      </c>
      <c r="M1102" s="18">
        <f ca="1">IFERROR(__xludf.DUMMYFUNCTION("""COMPUTED_VALUE"""),0)</f>
        <v>0</v>
      </c>
      <c r="N1102" s="18">
        <f ca="1">IFERROR(__xludf.DUMMYFUNCTION("""COMPUTED_VALUE"""),0)</f>
        <v>0</v>
      </c>
      <c r="O1102" s="18">
        <f ca="1">IFERROR(__xludf.DUMMYFUNCTION("""COMPUTED_VALUE"""),0)</f>
        <v>0</v>
      </c>
      <c r="P1102" s="18">
        <f ca="1">IFERROR(__xludf.DUMMYFUNCTION("""COMPUTED_VALUE"""),0)</f>
        <v>0</v>
      </c>
      <c r="Q1102" s="19">
        <f ca="1">IFERROR(__xludf.DUMMYFUNCTION("""COMPUTED_VALUE"""),0)</f>
        <v>0</v>
      </c>
      <c r="R1102" s="20"/>
    </row>
    <row r="1103" spans="1:18" ht="13.2" hidden="1" outlineLevel="1" x14ac:dyDescent="0.25">
      <c r="A1103" s="1"/>
      <c r="B1103" s="39" t="str">
        <f ca="1">IFERROR(__xludf.DUMMYFUNCTION("""COMPUTED_VALUE"""),"Petróleo crudo")</f>
        <v>Petróleo crudo</v>
      </c>
      <c r="C1103" s="22">
        <f ca="1">IFERROR(__xludf.DUMMYFUNCTION("""COMPUTED_VALUE"""),0)</f>
        <v>0</v>
      </c>
      <c r="D1103" s="23">
        <f ca="1">IFERROR(__xludf.DUMMYFUNCTION("""COMPUTED_VALUE"""),0)</f>
        <v>0</v>
      </c>
      <c r="E1103" s="23">
        <f ca="1">IFERROR(__xludf.DUMMYFUNCTION("""COMPUTED_VALUE"""),0)</f>
        <v>0</v>
      </c>
      <c r="F1103" s="23">
        <f ca="1">IFERROR(__xludf.DUMMYFUNCTION("""COMPUTED_VALUE"""),0)</f>
        <v>0</v>
      </c>
      <c r="G1103" s="23">
        <f ca="1">IFERROR(__xludf.DUMMYFUNCTION("""COMPUTED_VALUE"""),0)</f>
        <v>0</v>
      </c>
      <c r="H1103" s="23">
        <f ca="1">IFERROR(__xludf.DUMMYFUNCTION("""COMPUTED_VALUE"""),0)</f>
        <v>0</v>
      </c>
      <c r="I1103" s="23">
        <f ca="1">IFERROR(__xludf.DUMMYFUNCTION("""COMPUTED_VALUE"""),0)</f>
        <v>0</v>
      </c>
      <c r="J1103" s="23">
        <f ca="1">IFERROR(__xludf.DUMMYFUNCTION("""COMPUTED_VALUE"""),0)</f>
        <v>0</v>
      </c>
      <c r="K1103" s="23">
        <f ca="1">IFERROR(__xludf.DUMMYFUNCTION("""COMPUTED_VALUE"""),0)</f>
        <v>0</v>
      </c>
      <c r="L1103" s="23">
        <f ca="1">IFERROR(__xludf.DUMMYFUNCTION("""COMPUTED_VALUE"""),0)</f>
        <v>0</v>
      </c>
      <c r="M1103" s="23">
        <f ca="1">IFERROR(__xludf.DUMMYFUNCTION("""COMPUTED_VALUE"""),0)</f>
        <v>0</v>
      </c>
      <c r="N1103" s="23">
        <f ca="1">IFERROR(__xludf.DUMMYFUNCTION("""COMPUTED_VALUE"""),0)</f>
        <v>0</v>
      </c>
      <c r="O1103" s="23">
        <f ca="1">IFERROR(__xludf.DUMMYFUNCTION("""COMPUTED_VALUE"""),0)</f>
        <v>0</v>
      </c>
      <c r="P1103" s="23">
        <f ca="1">IFERROR(__xludf.DUMMYFUNCTION("""COMPUTED_VALUE"""),0)</f>
        <v>0</v>
      </c>
      <c r="Q1103" s="24">
        <f ca="1">IFERROR(__xludf.DUMMYFUNCTION("""COMPUTED_VALUE"""),0)</f>
        <v>0</v>
      </c>
      <c r="R1103" s="20"/>
    </row>
    <row r="1104" spans="1:18" ht="13.2" hidden="1" outlineLevel="1" x14ac:dyDescent="0.25">
      <c r="A1104" s="1"/>
      <c r="B1104" s="39" t="str">
        <f ca="1">IFERROR(__xludf.DUMMYFUNCTION("""COMPUTED_VALUE"""),"Condensados")</f>
        <v>Condensados</v>
      </c>
      <c r="C1104" s="22">
        <f ca="1">IFERROR(__xludf.DUMMYFUNCTION("""COMPUTED_VALUE"""),0)</f>
        <v>0</v>
      </c>
      <c r="D1104" s="23">
        <f ca="1">IFERROR(__xludf.DUMMYFUNCTION("""COMPUTED_VALUE"""),0)</f>
        <v>0</v>
      </c>
      <c r="E1104" s="23">
        <f ca="1">IFERROR(__xludf.DUMMYFUNCTION("""COMPUTED_VALUE"""),0)</f>
        <v>0</v>
      </c>
      <c r="F1104" s="23">
        <f ca="1">IFERROR(__xludf.DUMMYFUNCTION("""COMPUTED_VALUE"""),0)</f>
        <v>0</v>
      </c>
      <c r="G1104" s="23">
        <f ca="1">IFERROR(__xludf.DUMMYFUNCTION("""COMPUTED_VALUE"""),0)</f>
        <v>0</v>
      </c>
      <c r="H1104" s="23">
        <f ca="1">IFERROR(__xludf.DUMMYFUNCTION("""COMPUTED_VALUE"""),0)</f>
        <v>0</v>
      </c>
      <c r="I1104" s="23">
        <f ca="1">IFERROR(__xludf.DUMMYFUNCTION("""COMPUTED_VALUE"""),0)</f>
        <v>0</v>
      </c>
      <c r="J1104" s="23">
        <f ca="1">IFERROR(__xludf.DUMMYFUNCTION("""COMPUTED_VALUE"""),0)</f>
        <v>0</v>
      </c>
      <c r="K1104" s="23">
        <f ca="1">IFERROR(__xludf.DUMMYFUNCTION("""COMPUTED_VALUE"""),0)</f>
        <v>0</v>
      </c>
      <c r="L1104" s="23">
        <f ca="1">IFERROR(__xludf.DUMMYFUNCTION("""COMPUTED_VALUE"""),0)</f>
        <v>0</v>
      </c>
      <c r="M1104" s="23">
        <f ca="1">IFERROR(__xludf.DUMMYFUNCTION("""COMPUTED_VALUE"""),0)</f>
        <v>0</v>
      </c>
      <c r="N1104" s="23">
        <f ca="1">IFERROR(__xludf.DUMMYFUNCTION("""COMPUTED_VALUE"""),0)</f>
        <v>0</v>
      </c>
      <c r="O1104" s="23">
        <f ca="1">IFERROR(__xludf.DUMMYFUNCTION("""COMPUTED_VALUE"""),0)</f>
        <v>0</v>
      </c>
      <c r="P1104" s="23">
        <f ca="1">IFERROR(__xludf.DUMMYFUNCTION("""COMPUTED_VALUE"""),0)</f>
        <v>0</v>
      </c>
      <c r="Q1104" s="24">
        <f ca="1">IFERROR(__xludf.DUMMYFUNCTION("""COMPUTED_VALUE"""),0)</f>
        <v>0</v>
      </c>
      <c r="R1104" s="20"/>
    </row>
    <row r="1105" spans="1:18" ht="13.2" hidden="1" outlineLevel="1" x14ac:dyDescent="0.25">
      <c r="A1105" s="1"/>
      <c r="B1105" s="39" t="str">
        <f ca="1">IFERROR(__xludf.DUMMYFUNCTION("""COMPUTED_VALUE"""),"Gas natural")</f>
        <v>Gas natural</v>
      </c>
      <c r="C1105" s="22">
        <f ca="1">IFERROR(__xludf.DUMMYFUNCTION("""COMPUTED_VALUE"""),0)</f>
        <v>0</v>
      </c>
      <c r="D1105" s="23">
        <f ca="1">IFERROR(__xludf.DUMMYFUNCTION("""COMPUTED_VALUE"""),0)</f>
        <v>0</v>
      </c>
      <c r="E1105" s="23">
        <f ca="1">IFERROR(__xludf.DUMMYFUNCTION("""COMPUTED_VALUE"""),0)</f>
        <v>0</v>
      </c>
      <c r="F1105" s="23">
        <f ca="1">IFERROR(__xludf.DUMMYFUNCTION("""COMPUTED_VALUE"""),0)</f>
        <v>0</v>
      </c>
      <c r="G1105" s="23">
        <f ca="1">IFERROR(__xludf.DUMMYFUNCTION("""COMPUTED_VALUE"""),0)</f>
        <v>0</v>
      </c>
      <c r="H1105" s="23">
        <f ca="1">IFERROR(__xludf.DUMMYFUNCTION("""COMPUTED_VALUE"""),0)</f>
        <v>0</v>
      </c>
      <c r="I1105" s="23">
        <f ca="1">IFERROR(__xludf.DUMMYFUNCTION("""COMPUTED_VALUE"""),0)</f>
        <v>0</v>
      </c>
      <c r="J1105" s="23">
        <f ca="1">IFERROR(__xludf.DUMMYFUNCTION("""COMPUTED_VALUE"""),0)</f>
        <v>0</v>
      </c>
      <c r="K1105" s="23">
        <f ca="1">IFERROR(__xludf.DUMMYFUNCTION("""COMPUTED_VALUE"""),0)</f>
        <v>0</v>
      </c>
      <c r="L1105" s="23">
        <f ca="1">IFERROR(__xludf.DUMMYFUNCTION("""COMPUTED_VALUE"""),0)</f>
        <v>0</v>
      </c>
      <c r="M1105" s="23">
        <f ca="1">IFERROR(__xludf.DUMMYFUNCTION("""COMPUTED_VALUE"""),0)</f>
        <v>0</v>
      </c>
      <c r="N1105" s="23">
        <f ca="1">IFERROR(__xludf.DUMMYFUNCTION("""COMPUTED_VALUE"""),0)</f>
        <v>0</v>
      </c>
      <c r="O1105" s="23">
        <f ca="1">IFERROR(__xludf.DUMMYFUNCTION("""COMPUTED_VALUE"""),0)</f>
        <v>0</v>
      </c>
      <c r="P1105" s="23">
        <f ca="1">IFERROR(__xludf.DUMMYFUNCTION("""COMPUTED_VALUE"""),0)</f>
        <v>0</v>
      </c>
      <c r="Q1105" s="24">
        <f ca="1">IFERROR(__xludf.DUMMYFUNCTION("""COMPUTED_VALUE"""),0)</f>
        <v>0</v>
      </c>
      <c r="R1105" s="20"/>
    </row>
    <row r="1106" spans="1:18" ht="13.2" hidden="1" outlineLevel="1" x14ac:dyDescent="0.25">
      <c r="A1106" s="1"/>
      <c r="B1106" s="39" t="str">
        <f ca="1">IFERROR(__xludf.DUMMYFUNCTION("""COMPUTED_VALUE"""),"Energía Nuclear")</f>
        <v>Energía Nuclear</v>
      </c>
      <c r="C1106" s="22">
        <f ca="1">IFERROR(__xludf.DUMMYFUNCTION("""COMPUTED_VALUE"""),0)</f>
        <v>0</v>
      </c>
      <c r="D1106" s="23">
        <f ca="1">IFERROR(__xludf.DUMMYFUNCTION("""COMPUTED_VALUE"""),0)</f>
        <v>0</v>
      </c>
      <c r="E1106" s="23">
        <f ca="1">IFERROR(__xludf.DUMMYFUNCTION("""COMPUTED_VALUE"""),0)</f>
        <v>0</v>
      </c>
      <c r="F1106" s="23">
        <f ca="1">IFERROR(__xludf.DUMMYFUNCTION("""COMPUTED_VALUE"""),0)</f>
        <v>0</v>
      </c>
      <c r="G1106" s="23">
        <f ca="1">IFERROR(__xludf.DUMMYFUNCTION("""COMPUTED_VALUE"""),0)</f>
        <v>0</v>
      </c>
      <c r="H1106" s="23">
        <f ca="1">IFERROR(__xludf.DUMMYFUNCTION("""COMPUTED_VALUE"""),0)</f>
        <v>0</v>
      </c>
      <c r="I1106" s="23">
        <f ca="1">IFERROR(__xludf.DUMMYFUNCTION("""COMPUTED_VALUE"""),0)</f>
        <v>0</v>
      </c>
      <c r="J1106" s="23">
        <f ca="1">IFERROR(__xludf.DUMMYFUNCTION("""COMPUTED_VALUE"""),0)</f>
        <v>0</v>
      </c>
      <c r="K1106" s="23">
        <f ca="1">IFERROR(__xludf.DUMMYFUNCTION("""COMPUTED_VALUE"""),0)</f>
        <v>0</v>
      </c>
      <c r="L1106" s="23">
        <f ca="1">IFERROR(__xludf.DUMMYFUNCTION("""COMPUTED_VALUE"""),0)</f>
        <v>0</v>
      </c>
      <c r="M1106" s="23">
        <f ca="1">IFERROR(__xludf.DUMMYFUNCTION("""COMPUTED_VALUE"""),0)</f>
        <v>0</v>
      </c>
      <c r="N1106" s="23">
        <f ca="1">IFERROR(__xludf.DUMMYFUNCTION("""COMPUTED_VALUE"""),0)</f>
        <v>0</v>
      </c>
      <c r="O1106" s="23">
        <f ca="1">IFERROR(__xludf.DUMMYFUNCTION("""COMPUTED_VALUE"""),0)</f>
        <v>0</v>
      </c>
      <c r="P1106" s="23">
        <f ca="1">IFERROR(__xludf.DUMMYFUNCTION("""COMPUTED_VALUE"""),0)</f>
        <v>0</v>
      </c>
      <c r="Q1106" s="24">
        <f ca="1">IFERROR(__xludf.DUMMYFUNCTION("""COMPUTED_VALUE"""),0)</f>
        <v>0</v>
      </c>
      <c r="R1106" s="20"/>
    </row>
    <row r="1107" spans="1:18" ht="13.2" hidden="1" outlineLevel="1" x14ac:dyDescent="0.25">
      <c r="A1107" s="1"/>
      <c r="B1107" s="39" t="str">
        <f ca="1">IFERROR(__xludf.DUMMYFUNCTION("""COMPUTED_VALUE"""),"Energia Hidraúlica")</f>
        <v>Energia Hidraúlica</v>
      </c>
      <c r="C1107" s="22">
        <f ca="1">IFERROR(__xludf.DUMMYFUNCTION("""COMPUTED_VALUE"""),0)</f>
        <v>0</v>
      </c>
      <c r="D1107" s="23">
        <f ca="1">IFERROR(__xludf.DUMMYFUNCTION("""COMPUTED_VALUE"""),0)</f>
        <v>0</v>
      </c>
      <c r="E1107" s="23">
        <f ca="1">IFERROR(__xludf.DUMMYFUNCTION("""COMPUTED_VALUE"""),0)</f>
        <v>0</v>
      </c>
      <c r="F1107" s="23">
        <f ca="1">IFERROR(__xludf.DUMMYFUNCTION("""COMPUTED_VALUE"""),0)</f>
        <v>0</v>
      </c>
      <c r="G1107" s="23">
        <f ca="1">IFERROR(__xludf.DUMMYFUNCTION("""COMPUTED_VALUE"""),0)</f>
        <v>0</v>
      </c>
      <c r="H1107" s="23">
        <f ca="1">IFERROR(__xludf.DUMMYFUNCTION("""COMPUTED_VALUE"""),0)</f>
        <v>0</v>
      </c>
      <c r="I1107" s="23">
        <f ca="1">IFERROR(__xludf.DUMMYFUNCTION("""COMPUTED_VALUE"""),0)</f>
        <v>0</v>
      </c>
      <c r="J1107" s="23">
        <f ca="1">IFERROR(__xludf.DUMMYFUNCTION("""COMPUTED_VALUE"""),0)</f>
        <v>0</v>
      </c>
      <c r="K1107" s="23">
        <f ca="1">IFERROR(__xludf.DUMMYFUNCTION("""COMPUTED_VALUE"""),0)</f>
        <v>0</v>
      </c>
      <c r="L1107" s="23">
        <f ca="1">IFERROR(__xludf.DUMMYFUNCTION("""COMPUTED_VALUE"""),0)</f>
        <v>0</v>
      </c>
      <c r="M1107" s="23">
        <f ca="1">IFERROR(__xludf.DUMMYFUNCTION("""COMPUTED_VALUE"""),0)</f>
        <v>0</v>
      </c>
      <c r="N1107" s="23">
        <f ca="1">IFERROR(__xludf.DUMMYFUNCTION("""COMPUTED_VALUE"""),0)</f>
        <v>0</v>
      </c>
      <c r="O1107" s="23">
        <f ca="1">IFERROR(__xludf.DUMMYFUNCTION("""COMPUTED_VALUE"""),0)</f>
        <v>0</v>
      </c>
      <c r="P1107" s="23">
        <f ca="1">IFERROR(__xludf.DUMMYFUNCTION("""COMPUTED_VALUE"""),0)</f>
        <v>0</v>
      </c>
      <c r="Q1107" s="24">
        <f ca="1">IFERROR(__xludf.DUMMYFUNCTION("""COMPUTED_VALUE"""),0)</f>
        <v>0</v>
      </c>
      <c r="R1107" s="20"/>
    </row>
    <row r="1108" spans="1:18" ht="13.2" hidden="1" outlineLevel="1" x14ac:dyDescent="0.25">
      <c r="A1108" s="1"/>
      <c r="B1108" s="39" t="str">
        <f ca="1">IFERROR(__xludf.DUMMYFUNCTION("""COMPUTED_VALUE"""),"Geoenergía")</f>
        <v>Geoenergía</v>
      </c>
      <c r="C1108" s="22">
        <f ca="1">IFERROR(__xludf.DUMMYFUNCTION("""COMPUTED_VALUE"""),0)</f>
        <v>0</v>
      </c>
      <c r="D1108" s="23">
        <f ca="1">IFERROR(__xludf.DUMMYFUNCTION("""COMPUTED_VALUE"""),0)</f>
        <v>0</v>
      </c>
      <c r="E1108" s="23">
        <f ca="1">IFERROR(__xludf.DUMMYFUNCTION("""COMPUTED_VALUE"""),0)</f>
        <v>0</v>
      </c>
      <c r="F1108" s="23">
        <f ca="1">IFERROR(__xludf.DUMMYFUNCTION("""COMPUTED_VALUE"""),0)</f>
        <v>0</v>
      </c>
      <c r="G1108" s="23">
        <f ca="1">IFERROR(__xludf.DUMMYFUNCTION("""COMPUTED_VALUE"""),0)</f>
        <v>0</v>
      </c>
      <c r="H1108" s="23">
        <f ca="1">IFERROR(__xludf.DUMMYFUNCTION("""COMPUTED_VALUE"""),0)</f>
        <v>0</v>
      </c>
      <c r="I1108" s="23">
        <f ca="1">IFERROR(__xludf.DUMMYFUNCTION("""COMPUTED_VALUE"""),0)</f>
        <v>0</v>
      </c>
      <c r="J1108" s="23">
        <f ca="1">IFERROR(__xludf.DUMMYFUNCTION("""COMPUTED_VALUE"""),0)</f>
        <v>0</v>
      </c>
      <c r="K1108" s="23">
        <f ca="1">IFERROR(__xludf.DUMMYFUNCTION("""COMPUTED_VALUE"""),0)</f>
        <v>0</v>
      </c>
      <c r="L1108" s="23">
        <f ca="1">IFERROR(__xludf.DUMMYFUNCTION("""COMPUTED_VALUE"""),0)</f>
        <v>0</v>
      </c>
      <c r="M1108" s="23">
        <f ca="1">IFERROR(__xludf.DUMMYFUNCTION("""COMPUTED_VALUE"""),0)</f>
        <v>0</v>
      </c>
      <c r="N1108" s="23">
        <f ca="1">IFERROR(__xludf.DUMMYFUNCTION("""COMPUTED_VALUE"""),0)</f>
        <v>0</v>
      </c>
      <c r="O1108" s="23">
        <f ca="1">IFERROR(__xludf.DUMMYFUNCTION("""COMPUTED_VALUE"""),0)</f>
        <v>0</v>
      </c>
      <c r="P1108" s="23">
        <f ca="1">IFERROR(__xludf.DUMMYFUNCTION("""COMPUTED_VALUE"""),0)</f>
        <v>0</v>
      </c>
      <c r="Q1108" s="24">
        <f ca="1">IFERROR(__xludf.DUMMYFUNCTION("""COMPUTED_VALUE"""),0)</f>
        <v>0</v>
      </c>
      <c r="R1108" s="20"/>
    </row>
    <row r="1109" spans="1:18" ht="13.2" hidden="1" outlineLevel="1" x14ac:dyDescent="0.25">
      <c r="A1109" s="1"/>
      <c r="B1109" s="39" t="str">
        <f ca="1">IFERROR(__xludf.DUMMYFUNCTION("""COMPUTED_VALUE"""),"Energía solar")</f>
        <v>Energía solar</v>
      </c>
      <c r="C1109" s="22">
        <f ca="1">IFERROR(__xludf.DUMMYFUNCTION("""COMPUTED_VALUE"""),0)</f>
        <v>0</v>
      </c>
      <c r="D1109" s="23">
        <f ca="1">IFERROR(__xludf.DUMMYFUNCTION("""COMPUTED_VALUE"""),0)</f>
        <v>0</v>
      </c>
      <c r="E1109" s="23">
        <f ca="1">IFERROR(__xludf.DUMMYFUNCTION("""COMPUTED_VALUE"""),0)</f>
        <v>0</v>
      </c>
      <c r="F1109" s="23">
        <f ca="1">IFERROR(__xludf.DUMMYFUNCTION("""COMPUTED_VALUE"""),0)</f>
        <v>0</v>
      </c>
      <c r="G1109" s="23">
        <f ca="1">IFERROR(__xludf.DUMMYFUNCTION("""COMPUTED_VALUE"""),0)</f>
        <v>0</v>
      </c>
      <c r="H1109" s="23">
        <f ca="1">IFERROR(__xludf.DUMMYFUNCTION("""COMPUTED_VALUE"""),0)</f>
        <v>0</v>
      </c>
      <c r="I1109" s="23">
        <f ca="1">IFERROR(__xludf.DUMMYFUNCTION("""COMPUTED_VALUE"""),0)</f>
        <v>0</v>
      </c>
      <c r="J1109" s="23">
        <f ca="1">IFERROR(__xludf.DUMMYFUNCTION("""COMPUTED_VALUE"""),0)</f>
        <v>0</v>
      </c>
      <c r="K1109" s="23">
        <f ca="1">IFERROR(__xludf.DUMMYFUNCTION("""COMPUTED_VALUE"""),0)</f>
        <v>0</v>
      </c>
      <c r="L1109" s="23">
        <f ca="1">IFERROR(__xludf.DUMMYFUNCTION("""COMPUTED_VALUE"""),0)</f>
        <v>0</v>
      </c>
      <c r="M1109" s="23">
        <f ca="1">IFERROR(__xludf.DUMMYFUNCTION("""COMPUTED_VALUE"""),0)</f>
        <v>0</v>
      </c>
      <c r="N1109" s="23">
        <f ca="1">IFERROR(__xludf.DUMMYFUNCTION("""COMPUTED_VALUE"""),0)</f>
        <v>0</v>
      </c>
      <c r="O1109" s="23">
        <f ca="1">IFERROR(__xludf.DUMMYFUNCTION("""COMPUTED_VALUE"""),0)</f>
        <v>0</v>
      </c>
      <c r="P1109" s="23">
        <f ca="1">IFERROR(__xludf.DUMMYFUNCTION("""COMPUTED_VALUE"""),0)</f>
        <v>0</v>
      </c>
      <c r="Q1109" s="24">
        <f ca="1">IFERROR(__xludf.DUMMYFUNCTION("""COMPUTED_VALUE"""),0)</f>
        <v>0</v>
      </c>
      <c r="R1109" s="20"/>
    </row>
    <row r="1110" spans="1:18" ht="13.2" hidden="1" outlineLevel="1" x14ac:dyDescent="0.25">
      <c r="A1110" s="1"/>
      <c r="B1110" s="39" t="str">
        <f ca="1">IFERROR(__xludf.DUMMYFUNCTION("""COMPUTED_VALUE"""),"Energía eólica")</f>
        <v>Energía eólica</v>
      </c>
      <c r="C1110" s="22">
        <f ca="1">IFERROR(__xludf.DUMMYFUNCTION("""COMPUTED_VALUE"""),0)</f>
        <v>0</v>
      </c>
      <c r="D1110" s="23">
        <f ca="1">IFERROR(__xludf.DUMMYFUNCTION("""COMPUTED_VALUE"""),0)</f>
        <v>0</v>
      </c>
      <c r="E1110" s="23">
        <f ca="1">IFERROR(__xludf.DUMMYFUNCTION("""COMPUTED_VALUE"""),0)</f>
        <v>0</v>
      </c>
      <c r="F1110" s="23">
        <f ca="1">IFERROR(__xludf.DUMMYFUNCTION("""COMPUTED_VALUE"""),0)</f>
        <v>0</v>
      </c>
      <c r="G1110" s="23">
        <f ca="1">IFERROR(__xludf.DUMMYFUNCTION("""COMPUTED_VALUE"""),0)</f>
        <v>0</v>
      </c>
      <c r="H1110" s="23">
        <f ca="1">IFERROR(__xludf.DUMMYFUNCTION("""COMPUTED_VALUE"""),0)</f>
        <v>0</v>
      </c>
      <c r="I1110" s="23">
        <f ca="1">IFERROR(__xludf.DUMMYFUNCTION("""COMPUTED_VALUE"""),0)</f>
        <v>0</v>
      </c>
      <c r="J1110" s="23">
        <f ca="1">IFERROR(__xludf.DUMMYFUNCTION("""COMPUTED_VALUE"""),0)</f>
        <v>0</v>
      </c>
      <c r="K1110" s="23">
        <f ca="1">IFERROR(__xludf.DUMMYFUNCTION("""COMPUTED_VALUE"""),0)</f>
        <v>0</v>
      </c>
      <c r="L1110" s="23">
        <f ca="1">IFERROR(__xludf.DUMMYFUNCTION("""COMPUTED_VALUE"""),0)</f>
        <v>0</v>
      </c>
      <c r="M1110" s="23">
        <f ca="1">IFERROR(__xludf.DUMMYFUNCTION("""COMPUTED_VALUE"""),0)</f>
        <v>0</v>
      </c>
      <c r="N1110" s="23">
        <f ca="1">IFERROR(__xludf.DUMMYFUNCTION("""COMPUTED_VALUE"""),0)</f>
        <v>0</v>
      </c>
      <c r="O1110" s="23">
        <f ca="1">IFERROR(__xludf.DUMMYFUNCTION("""COMPUTED_VALUE"""),0)</f>
        <v>0</v>
      </c>
      <c r="P1110" s="23">
        <f ca="1">IFERROR(__xludf.DUMMYFUNCTION("""COMPUTED_VALUE"""),0)</f>
        <v>0</v>
      </c>
      <c r="Q1110" s="24">
        <f ca="1">IFERROR(__xludf.DUMMYFUNCTION("""COMPUTED_VALUE"""),0)</f>
        <v>0</v>
      </c>
      <c r="R1110" s="20"/>
    </row>
    <row r="1111" spans="1:18" ht="13.2" hidden="1" outlineLevel="1" x14ac:dyDescent="0.25">
      <c r="A1111" s="1"/>
      <c r="B1111" s="39" t="str">
        <f ca="1">IFERROR(__xludf.DUMMYFUNCTION("""COMPUTED_VALUE"""),"Bagazo de caña")</f>
        <v>Bagazo de caña</v>
      </c>
      <c r="C1111" s="22">
        <f ca="1">IFERROR(__xludf.DUMMYFUNCTION("""COMPUTED_VALUE"""),0)</f>
        <v>0</v>
      </c>
      <c r="D1111" s="23">
        <f ca="1">IFERROR(__xludf.DUMMYFUNCTION("""COMPUTED_VALUE"""),0)</f>
        <v>0</v>
      </c>
      <c r="E1111" s="23">
        <f ca="1">IFERROR(__xludf.DUMMYFUNCTION("""COMPUTED_VALUE"""),0)</f>
        <v>0</v>
      </c>
      <c r="F1111" s="23">
        <f ca="1">IFERROR(__xludf.DUMMYFUNCTION("""COMPUTED_VALUE"""),0)</f>
        <v>0</v>
      </c>
      <c r="G1111" s="23">
        <f ca="1">IFERROR(__xludf.DUMMYFUNCTION("""COMPUTED_VALUE"""),0)</f>
        <v>0</v>
      </c>
      <c r="H1111" s="23">
        <f ca="1">IFERROR(__xludf.DUMMYFUNCTION("""COMPUTED_VALUE"""),0)</f>
        <v>0</v>
      </c>
      <c r="I1111" s="23">
        <f ca="1">IFERROR(__xludf.DUMMYFUNCTION("""COMPUTED_VALUE"""),0)</f>
        <v>0</v>
      </c>
      <c r="J1111" s="23">
        <f ca="1">IFERROR(__xludf.DUMMYFUNCTION("""COMPUTED_VALUE"""),0)</f>
        <v>0</v>
      </c>
      <c r="K1111" s="23">
        <f ca="1">IFERROR(__xludf.DUMMYFUNCTION("""COMPUTED_VALUE"""),0)</f>
        <v>0</v>
      </c>
      <c r="L1111" s="23">
        <f ca="1">IFERROR(__xludf.DUMMYFUNCTION("""COMPUTED_VALUE"""),0)</f>
        <v>0</v>
      </c>
      <c r="M1111" s="23">
        <f ca="1">IFERROR(__xludf.DUMMYFUNCTION("""COMPUTED_VALUE"""),0)</f>
        <v>0</v>
      </c>
      <c r="N1111" s="23">
        <f ca="1">IFERROR(__xludf.DUMMYFUNCTION("""COMPUTED_VALUE"""),0)</f>
        <v>0</v>
      </c>
      <c r="O1111" s="23">
        <f ca="1">IFERROR(__xludf.DUMMYFUNCTION("""COMPUTED_VALUE"""),0)</f>
        <v>0</v>
      </c>
      <c r="P1111" s="23">
        <f ca="1">IFERROR(__xludf.DUMMYFUNCTION("""COMPUTED_VALUE"""),0)</f>
        <v>0</v>
      </c>
      <c r="Q1111" s="24">
        <f ca="1">IFERROR(__xludf.DUMMYFUNCTION("""COMPUTED_VALUE"""),0)</f>
        <v>0</v>
      </c>
      <c r="R1111" s="20"/>
    </row>
    <row r="1112" spans="1:18" ht="13.2" hidden="1" outlineLevel="1" x14ac:dyDescent="0.25">
      <c r="A1112" s="1"/>
      <c r="B1112" s="39" t="str">
        <f ca="1">IFERROR(__xludf.DUMMYFUNCTION("""COMPUTED_VALUE"""),"Leña")</f>
        <v>Leña</v>
      </c>
      <c r="C1112" s="22">
        <f ca="1">IFERROR(__xludf.DUMMYFUNCTION("""COMPUTED_VALUE"""),0)</f>
        <v>0</v>
      </c>
      <c r="D1112" s="23">
        <f ca="1">IFERROR(__xludf.DUMMYFUNCTION("""COMPUTED_VALUE"""),0)</f>
        <v>0</v>
      </c>
      <c r="E1112" s="23">
        <f ca="1">IFERROR(__xludf.DUMMYFUNCTION("""COMPUTED_VALUE"""),0)</f>
        <v>0</v>
      </c>
      <c r="F1112" s="23">
        <f ca="1">IFERROR(__xludf.DUMMYFUNCTION("""COMPUTED_VALUE"""),0)</f>
        <v>0</v>
      </c>
      <c r="G1112" s="23">
        <f ca="1">IFERROR(__xludf.DUMMYFUNCTION("""COMPUTED_VALUE"""),0)</f>
        <v>0</v>
      </c>
      <c r="H1112" s="23">
        <f ca="1">IFERROR(__xludf.DUMMYFUNCTION("""COMPUTED_VALUE"""),0)</f>
        <v>0</v>
      </c>
      <c r="I1112" s="23">
        <f ca="1">IFERROR(__xludf.DUMMYFUNCTION("""COMPUTED_VALUE"""),0)</f>
        <v>0</v>
      </c>
      <c r="J1112" s="23">
        <f ca="1">IFERROR(__xludf.DUMMYFUNCTION("""COMPUTED_VALUE"""),0)</f>
        <v>0</v>
      </c>
      <c r="K1112" s="23">
        <f ca="1">IFERROR(__xludf.DUMMYFUNCTION("""COMPUTED_VALUE"""),0)</f>
        <v>0</v>
      </c>
      <c r="L1112" s="23">
        <f ca="1">IFERROR(__xludf.DUMMYFUNCTION("""COMPUTED_VALUE"""),0)</f>
        <v>0</v>
      </c>
      <c r="M1112" s="23">
        <f ca="1">IFERROR(__xludf.DUMMYFUNCTION("""COMPUTED_VALUE"""),0)</f>
        <v>0</v>
      </c>
      <c r="N1112" s="23">
        <f ca="1">IFERROR(__xludf.DUMMYFUNCTION("""COMPUTED_VALUE"""),0)</f>
        <v>0</v>
      </c>
      <c r="O1112" s="23">
        <f ca="1">IFERROR(__xludf.DUMMYFUNCTION("""COMPUTED_VALUE"""),0)</f>
        <v>0</v>
      </c>
      <c r="P1112" s="23">
        <f ca="1">IFERROR(__xludf.DUMMYFUNCTION("""COMPUTED_VALUE"""),0)</f>
        <v>0</v>
      </c>
      <c r="Q1112" s="24">
        <f ca="1">IFERROR(__xludf.DUMMYFUNCTION("""COMPUTED_VALUE"""),0)</f>
        <v>0</v>
      </c>
      <c r="R1112" s="20"/>
    </row>
    <row r="1113" spans="1:18" ht="13.2" hidden="1" outlineLevel="1" x14ac:dyDescent="0.25">
      <c r="A1113" s="1"/>
      <c r="B1113" s="39" t="str">
        <f ca="1">IFERROR(__xludf.DUMMYFUNCTION("""COMPUTED_VALUE"""),"Biogás")</f>
        <v>Biogás</v>
      </c>
      <c r="C1113" s="22">
        <f ca="1">IFERROR(__xludf.DUMMYFUNCTION("""COMPUTED_VALUE"""),0)</f>
        <v>0</v>
      </c>
      <c r="D1113" s="23">
        <f ca="1">IFERROR(__xludf.DUMMYFUNCTION("""COMPUTED_VALUE"""),0)</f>
        <v>0</v>
      </c>
      <c r="E1113" s="23">
        <f ca="1">IFERROR(__xludf.DUMMYFUNCTION("""COMPUTED_VALUE"""),0)</f>
        <v>0</v>
      </c>
      <c r="F1113" s="23">
        <f ca="1">IFERROR(__xludf.DUMMYFUNCTION("""COMPUTED_VALUE"""),0)</f>
        <v>0</v>
      </c>
      <c r="G1113" s="23">
        <f ca="1">IFERROR(__xludf.DUMMYFUNCTION("""COMPUTED_VALUE"""),0)</f>
        <v>0</v>
      </c>
      <c r="H1113" s="23">
        <f ca="1">IFERROR(__xludf.DUMMYFUNCTION("""COMPUTED_VALUE"""),0)</f>
        <v>0</v>
      </c>
      <c r="I1113" s="23">
        <f ca="1">IFERROR(__xludf.DUMMYFUNCTION("""COMPUTED_VALUE"""),0)</f>
        <v>0</v>
      </c>
      <c r="J1113" s="23">
        <f ca="1">IFERROR(__xludf.DUMMYFUNCTION("""COMPUTED_VALUE"""),0)</f>
        <v>0</v>
      </c>
      <c r="K1113" s="23">
        <f ca="1">IFERROR(__xludf.DUMMYFUNCTION("""COMPUTED_VALUE"""),0)</f>
        <v>0</v>
      </c>
      <c r="L1113" s="23">
        <f ca="1">IFERROR(__xludf.DUMMYFUNCTION("""COMPUTED_VALUE"""),0)</f>
        <v>0</v>
      </c>
      <c r="M1113" s="23">
        <f ca="1">IFERROR(__xludf.DUMMYFUNCTION("""COMPUTED_VALUE"""),0)</f>
        <v>0</v>
      </c>
      <c r="N1113" s="23">
        <f ca="1">IFERROR(__xludf.DUMMYFUNCTION("""COMPUTED_VALUE"""),0)</f>
        <v>0</v>
      </c>
      <c r="O1113" s="23">
        <f ca="1">IFERROR(__xludf.DUMMYFUNCTION("""COMPUTED_VALUE"""),0)</f>
        <v>0</v>
      </c>
      <c r="P1113" s="23">
        <f ca="1">IFERROR(__xludf.DUMMYFUNCTION("""COMPUTED_VALUE"""),0)</f>
        <v>0</v>
      </c>
      <c r="Q1113" s="24">
        <f ca="1">IFERROR(__xludf.DUMMYFUNCTION("""COMPUTED_VALUE"""),0)</f>
        <v>0</v>
      </c>
      <c r="R1113" s="20"/>
    </row>
    <row r="1114" spans="1:18" ht="13.2" hidden="1" outlineLevel="1" x14ac:dyDescent="0.25">
      <c r="A1114" s="1"/>
      <c r="B1114" s="39" t="str">
        <f ca="1">IFERROR(__xludf.DUMMYFUNCTION("""COMPUTED_VALUE"""),"Coque de carbón")</f>
        <v>Coque de carbón</v>
      </c>
      <c r="C1114" s="22">
        <f ca="1">IFERROR(__xludf.DUMMYFUNCTION("""COMPUTED_VALUE"""),0)</f>
        <v>0</v>
      </c>
      <c r="D1114" s="23">
        <f ca="1">IFERROR(__xludf.DUMMYFUNCTION("""COMPUTED_VALUE"""),0)</f>
        <v>0</v>
      </c>
      <c r="E1114" s="23">
        <f ca="1">IFERROR(__xludf.DUMMYFUNCTION("""COMPUTED_VALUE"""),0)</f>
        <v>0</v>
      </c>
      <c r="F1114" s="23">
        <f ca="1">IFERROR(__xludf.DUMMYFUNCTION("""COMPUTED_VALUE"""),0)</f>
        <v>0</v>
      </c>
      <c r="G1114" s="23">
        <f ca="1">IFERROR(__xludf.DUMMYFUNCTION("""COMPUTED_VALUE"""),0)</f>
        <v>0</v>
      </c>
      <c r="H1114" s="23">
        <f ca="1">IFERROR(__xludf.DUMMYFUNCTION("""COMPUTED_VALUE"""),0)</f>
        <v>0</v>
      </c>
      <c r="I1114" s="23">
        <f ca="1">IFERROR(__xludf.DUMMYFUNCTION("""COMPUTED_VALUE"""),0)</f>
        <v>0</v>
      </c>
      <c r="J1114" s="23">
        <f ca="1">IFERROR(__xludf.DUMMYFUNCTION("""COMPUTED_VALUE"""),0)</f>
        <v>0</v>
      </c>
      <c r="K1114" s="23">
        <f ca="1">IFERROR(__xludf.DUMMYFUNCTION("""COMPUTED_VALUE"""),0)</f>
        <v>0</v>
      </c>
      <c r="L1114" s="23">
        <f ca="1">IFERROR(__xludf.DUMMYFUNCTION("""COMPUTED_VALUE"""),0)</f>
        <v>0</v>
      </c>
      <c r="M1114" s="23">
        <f ca="1">IFERROR(__xludf.DUMMYFUNCTION("""COMPUTED_VALUE"""),0)</f>
        <v>0</v>
      </c>
      <c r="N1114" s="23">
        <f ca="1">IFERROR(__xludf.DUMMYFUNCTION("""COMPUTED_VALUE"""),0)</f>
        <v>0</v>
      </c>
      <c r="O1114" s="23">
        <f ca="1">IFERROR(__xludf.DUMMYFUNCTION("""COMPUTED_VALUE"""),0)</f>
        <v>0</v>
      </c>
      <c r="P1114" s="23">
        <f ca="1">IFERROR(__xludf.DUMMYFUNCTION("""COMPUTED_VALUE"""),0)</f>
        <v>0</v>
      </c>
      <c r="Q1114" s="24">
        <f ca="1">IFERROR(__xludf.DUMMYFUNCTION("""COMPUTED_VALUE"""),0)</f>
        <v>0</v>
      </c>
      <c r="R1114" s="20"/>
    </row>
    <row r="1115" spans="1:18" ht="13.2" hidden="1" outlineLevel="1" x14ac:dyDescent="0.25">
      <c r="A1115" s="1"/>
      <c r="B1115" s="39" t="str">
        <f ca="1">IFERROR(__xludf.DUMMYFUNCTION("""COMPUTED_VALUE"""),"Coque de petróleo")</f>
        <v>Coque de petróleo</v>
      </c>
      <c r="C1115" s="22">
        <f ca="1">IFERROR(__xludf.DUMMYFUNCTION("""COMPUTED_VALUE"""),0)</f>
        <v>0</v>
      </c>
      <c r="D1115" s="23">
        <f ca="1">IFERROR(__xludf.DUMMYFUNCTION("""COMPUTED_VALUE"""),0)</f>
        <v>0</v>
      </c>
      <c r="E1115" s="23">
        <f ca="1">IFERROR(__xludf.DUMMYFUNCTION("""COMPUTED_VALUE"""),0)</f>
        <v>0</v>
      </c>
      <c r="F1115" s="23">
        <f ca="1">IFERROR(__xludf.DUMMYFUNCTION("""COMPUTED_VALUE"""),0)</f>
        <v>0</v>
      </c>
      <c r="G1115" s="23">
        <f ca="1">IFERROR(__xludf.DUMMYFUNCTION("""COMPUTED_VALUE"""),0)</f>
        <v>0</v>
      </c>
      <c r="H1115" s="23">
        <f ca="1">IFERROR(__xludf.DUMMYFUNCTION("""COMPUTED_VALUE"""),0)</f>
        <v>0</v>
      </c>
      <c r="I1115" s="23">
        <f ca="1">IFERROR(__xludf.DUMMYFUNCTION("""COMPUTED_VALUE"""),0)</f>
        <v>0</v>
      </c>
      <c r="J1115" s="23">
        <f ca="1">IFERROR(__xludf.DUMMYFUNCTION("""COMPUTED_VALUE"""),0)</f>
        <v>0</v>
      </c>
      <c r="K1115" s="23">
        <f ca="1">IFERROR(__xludf.DUMMYFUNCTION("""COMPUTED_VALUE"""),0)</f>
        <v>0</v>
      </c>
      <c r="L1115" s="23">
        <f ca="1">IFERROR(__xludf.DUMMYFUNCTION("""COMPUTED_VALUE"""),0)</f>
        <v>0</v>
      </c>
      <c r="M1115" s="23">
        <f ca="1">IFERROR(__xludf.DUMMYFUNCTION("""COMPUTED_VALUE"""),0)</f>
        <v>0</v>
      </c>
      <c r="N1115" s="23">
        <f ca="1">IFERROR(__xludf.DUMMYFUNCTION("""COMPUTED_VALUE"""),0)</f>
        <v>0</v>
      </c>
      <c r="O1115" s="23">
        <f ca="1">IFERROR(__xludf.DUMMYFUNCTION("""COMPUTED_VALUE"""),0)</f>
        <v>0</v>
      </c>
      <c r="P1115" s="23">
        <f ca="1">IFERROR(__xludf.DUMMYFUNCTION("""COMPUTED_VALUE"""),0)</f>
        <v>0</v>
      </c>
      <c r="Q1115" s="24">
        <f ca="1">IFERROR(__xludf.DUMMYFUNCTION("""COMPUTED_VALUE"""),0)</f>
        <v>0</v>
      </c>
      <c r="R1115" s="20"/>
    </row>
    <row r="1116" spans="1:18" ht="13.2" hidden="1" outlineLevel="1" x14ac:dyDescent="0.25">
      <c r="A1116" s="1"/>
      <c r="B1116" s="39" t="str">
        <f ca="1">IFERROR(__xludf.DUMMYFUNCTION("""COMPUTED_VALUE"""),"Gas licuado de petróleo")</f>
        <v>Gas licuado de petróleo</v>
      </c>
      <c r="C1116" s="22">
        <f ca="1">IFERROR(__xludf.DUMMYFUNCTION("""COMPUTED_VALUE"""),0)</f>
        <v>0</v>
      </c>
      <c r="D1116" s="23">
        <f ca="1">IFERROR(__xludf.DUMMYFUNCTION("""COMPUTED_VALUE"""),0)</f>
        <v>0</v>
      </c>
      <c r="E1116" s="23">
        <f ca="1">IFERROR(__xludf.DUMMYFUNCTION("""COMPUTED_VALUE"""),0)</f>
        <v>0</v>
      </c>
      <c r="F1116" s="23">
        <f ca="1">IFERROR(__xludf.DUMMYFUNCTION("""COMPUTED_VALUE"""),0)</f>
        <v>0</v>
      </c>
      <c r="G1116" s="23">
        <f ca="1">IFERROR(__xludf.DUMMYFUNCTION("""COMPUTED_VALUE"""),0)</f>
        <v>0</v>
      </c>
      <c r="H1116" s="23">
        <f ca="1">IFERROR(__xludf.DUMMYFUNCTION("""COMPUTED_VALUE"""),0)</f>
        <v>0</v>
      </c>
      <c r="I1116" s="23">
        <f ca="1">IFERROR(__xludf.DUMMYFUNCTION("""COMPUTED_VALUE"""),0)</f>
        <v>0</v>
      </c>
      <c r="J1116" s="23">
        <f ca="1">IFERROR(__xludf.DUMMYFUNCTION("""COMPUTED_VALUE"""),0)</f>
        <v>0</v>
      </c>
      <c r="K1116" s="23">
        <f ca="1">IFERROR(__xludf.DUMMYFUNCTION("""COMPUTED_VALUE"""),0)</f>
        <v>0</v>
      </c>
      <c r="L1116" s="23">
        <f ca="1">IFERROR(__xludf.DUMMYFUNCTION("""COMPUTED_VALUE"""),0)</f>
        <v>0</v>
      </c>
      <c r="M1116" s="23">
        <f ca="1">IFERROR(__xludf.DUMMYFUNCTION("""COMPUTED_VALUE"""),0)</f>
        <v>0</v>
      </c>
      <c r="N1116" s="23">
        <f ca="1">IFERROR(__xludf.DUMMYFUNCTION("""COMPUTED_VALUE"""),0)</f>
        <v>0</v>
      </c>
      <c r="O1116" s="23">
        <f ca="1">IFERROR(__xludf.DUMMYFUNCTION("""COMPUTED_VALUE"""),0)</f>
        <v>0</v>
      </c>
      <c r="P1116" s="23">
        <f ca="1">IFERROR(__xludf.DUMMYFUNCTION("""COMPUTED_VALUE"""),0)</f>
        <v>0</v>
      </c>
      <c r="Q1116" s="24">
        <f ca="1">IFERROR(__xludf.DUMMYFUNCTION("""COMPUTED_VALUE"""),0)</f>
        <v>0</v>
      </c>
      <c r="R1116" s="20"/>
    </row>
    <row r="1117" spans="1:18" ht="13.2" hidden="1" outlineLevel="1" x14ac:dyDescent="0.25">
      <c r="A1117" s="1"/>
      <c r="B1117" s="39" t="str">
        <f ca="1">IFERROR(__xludf.DUMMYFUNCTION("""COMPUTED_VALUE"""),"Gasolinas y naftas")</f>
        <v>Gasolinas y naftas</v>
      </c>
      <c r="C1117" s="22">
        <f ca="1">IFERROR(__xludf.DUMMYFUNCTION("""COMPUTED_VALUE"""),0)</f>
        <v>0</v>
      </c>
      <c r="D1117" s="23">
        <f ca="1">IFERROR(__xludf.DUMMYFUNCTION("""COMPUTED_VALUE"""),0)</f>
        <v>0</v>
      </c>
      <c r="E1117" s="23">
        <f ca="1">IFERROR(__xludf.DUMMYFUNCTION("""COMPUTED_VALUE"""),0)</f>
        <v>0</v>
      </c>
      <c r="F1117" s="23">
        <f ca="1">IFERROR(__xludf.DUMMYFUNCTION("""COMPUTED_VALUE"""),0)</f>
        <v>0</v>
      </c>
      <c r="G1117" s="23">
        <f ca="1">IFERROR(__xludf.DUMMYFUNCTION("""COMPUTED_VALUE"""),0)</f>
        <v>0</v>
      </c>
      <c r="H1117" s="23">
        <f ca="1">IFERROR(__xludf.DUMMYFUNCTION("""COMPUTED_VALUE"""),0)</f>
        <v>0</v>
      </c>
      <c r="I1117" s="23">
        <f ca="1">IFERROR(__xludf.DUMMYFUNCTION("""COMPUTED_VALUE"""),0)</f>
        <v>0</v>
      </c>
      <c r="J1117" s="23">
        <f ca="1">IFERROR(__xludf.DUMMYFUNCTION("""COMPUTED_VALUE"""),0)</f>
        <v>0</v>
      </c>
      <c r="K1117" s="23">
        <f ca="1">IFERROR(__xludf.DUMMYFUNCTION("""COMPUTED_VALUE"""),0)</f>
        <v>0</v>
      </c>
      <c r="L1117" s="23">
        <f ca="1">IFERROR(__xludf.DUMMYFUNCTION("""COMPUTED_VALUE"""),0)</f>
        <v>0</v>
      </c>
      <c r="M1117" s="23">
        <f ca="1">IFERROR(__xludf.DUMMYFUNCTION("""COMPUTED_VALUE"""),0)</f>
        <v>0</v>
      </c>
      <c r="N1117" s="23">
        <f ca="1">IFERROR(__xludf.DUMMYFUNCTION("""COMPUTED_VALUE"""),0)</f>
        <v>0</v>
      </c>
      <c r="O1117" s="23">
        <f ca="1">IFERROR(__xludf.DUMMYFUNCTION("""COMPUTED_VALUE"""),0)</f>
        <v>0</v>
      </c>
      <c r="P1117" s="23">
        <f ca="1">IFERROR(__xludf.DUMMYFUNCTION("""COMPUTED_VALUE"""),0)</f>
        <v>0</v>
      </c>
      <c r="Q1117" s="24">
        <f ca="1">IFERROR(__xludf.DUMMYFUNCTION("""COMPUTED_VALUE"""),0)</f>
        <v>0</v>
      </c>
      <c r="R1117" s="20"/>
    </row>
    <row r="1118" spans="1:18" ht="13.2" hidden="1" outlineLevel="1" x14ac:dyDescent="0.25">
      <c r="A1118" s="1"/>
      <c r="B1118" s="39" t="str">
        <f ca="1">IFERROR(__xludf.DUMMYFUNCTION("""COMPUTED_VALUE"""),"Querosenos")</f>
        <v>Querosenos</v>
      </c>
      <c r="C1118" s="22">
        <f ca="1">IFERROR(__xludf.DUMMYFUNCTION("""COMPUTED_VALUE"""),0)</f>
        <v>0</v>
      </c>
      <c r="D1118" s="23">
        <f ca="1">IFERROR(__xludf.DUMMYFUNCTION("""COMPUTED_VALUE"""),0)</f>
        <v>0</v>
      </c>
      <c r="E1118" s="23">
        <f ca="1">IFERROR(__xludf.DUMMYFUNCTION("""COMPUTED_VALUE"""),0)</f>
        <v>0</v>
      </c>
      <c r="F1118" s="23">
        <f ca="1">IFERROR(__xludf.DUMMYFUNCTION("""COMPUTED_VALUE"""),0)</f>
        <v>0</v>
      </c>
      <c r="G1118" s="23">
        <f ca="1">IFERROR(__xludf.DUMMYFUNCTION("""COMPUTED_VALUE"""),0)</f>
        <v>0</v>
      </c>
      <c r="H1118" s="23">
        <f ca="1">IFERROR(__xludf.DUMMYFUNCTION("""COMPUTED_VALUE"""),0)</f>
        <v>0</v>
      </c>
      <c r="I1118" s="23">
        <f ca="1">IFERROR(__xludf.DUMMYFUNCTION("""COMPUTED_VALUE"""),0)</f>
        <v>0</v>
      </c>
      <c r="J1118" s="23">
        <f ca="1">IFERROR(__xludf.DUMMYFUNCTION("""COMPUTED_VALUE"""),0)</f>
        <v>0</v>
      </c>
      <c r="K1118" s="23">
        <f ca="1">IFERROR(__xludf.DUMMYFUNCTION("""COMPUTED_VALUE"""),0)</f>
        <v>0</v>
      </c>
      <c r="L1118" s="23">
        <f ca="1">IFERROR(__xludf.DUMMYFUNCTION("""COMPUTED_VALUE"""),0)</f>
        <v>0</v>
      </c>
      <c r="M1118" s="23">
        <f ca="1">IFERROR(__xludf.DUMMYFUNCTION("""COMPUTED_VALUE"""),0)</f>
        <v>0</v>
      </c>
      <c r="N1118" s="23">
        <f ca="1">IFERROR(__xludf.DUMMYFUNCTION("""COMPUTED_VALUE"""),0)</f>
        <v>0</v>
      </c>
      <c r="O1118" s="23">
        <f ca="1">IFERROR(__xludf.DUMMYFUNCTION("""COMPUTED_VALUE"""),0)</f>
        <v>0</v>
      </c>
      <c r="P1118" s="23">
        <f ca="1">IFERROR(__xludf.DUMMYFUNCTION("""COMPUTED_VALUE"""),0)</f>
        <v>0</v>
      </c>
      <c r="Q1118" s="24">
        <f ca="1">IFERROR(__xludf.DUMMYFUNCTION("""COMPUTED_VALUE"""),0)</f>
        <v>0</v>
      </c>
      <c r="R1118" s="20"/>
    </row>
    <row r="1119" spans="1:18" ht="13.2" hidden="1" outlineLevel="1" x14ac:dyDescent="0.25">
      <c r="A1119" s="1"/>
      <c r="B1119" s="39" t="str">
        <f ca="1">IFERROR(__xludf.DUMMYFUNCTION("""COMPUTED_VALUE"""),"Diesel")</f>
        <v>Diesel</v>
      </c>
      <c r="C1119" s="22">
        <f ca="1">IFERROR(__xludf.DUMMYFUNCTION("""COMPUTED_VALUE"""),3.06554371777958)</f>
        <v>3.0655437177795801</v>
      </c>
      <c r="D1119" s="23">
        <f ca="1">IFERROR(__xludf.DUMMYFUNCTION("""COMPUTED_VALUE"""),4.46784243934178)</f>
        <v>4.4678424393417799</v>
      </c>
      <c r="E1119" s="23">
        <f ca="1">IFERROR(__xludf.DUMMYFUNCTION("""COMPUTED_VALUE"""),7.56351037359803)</f>
        <v>7.5635103735980298</v>
      </c>
      <c r="F1119" s="23">
        <f ca="1">IFERROR(__xludf.DUMMYFUNCTION("""COMPUTED_VALUE"""),5.62598961829577)</f>
        <v>5.6259896182957698</v>
      </c>
      <c r="G1119" s="23">
        <f ca="1">IFERROR(__xludf.DUMMYFUNCTION("""COMPUTED_VALUE"""),4.1033080084818)</f>
        <v>4.1033080084818003</v>
      </c>
      <c r="H1119" s="23">
        <f ca="1">IFERROR(__xludf.DUMMYFUNCTION("""COMPUTED_VALUE"""),5.54201588367675)</f>
        <v>5.5420158836767497</v>
      </c>
      <c r="I1119" s="23">
        <f ca="1">IFERROR(__xludf.DUMMYFUNCTION("""COMPUTED_VALUE"""),6.10544778378378)</f>
        <v>6.1054477837837799</v>
      </c>
      <c r="J1119" s="23">
        <f ca="1">IFERROR(__xludf.DUMMYFUNCTION("""COMPUTED_VALUE"""),4.82468934047298)</f>
        <v>4.8246893404729798</v>
      </c>
      <c r="K1119" s="23">
        <f ca="1">IFERROR(__xludf.DUMMYFUNCTION("""COMPUTED_VALUE"""),6.21930350452258)</f>
        <v>6.2193035045225802</v>
      </c>
      <c r="L1119" s="23">
        <f ca="1">IFERROR(__xludf.DUMMYFUNCTION("""COMPUTED_VALUE"""),6.7114818719964)</f>
        <v>6.7114818719963996</v>
      </c>
      <c r="M1119" s="23">
        <f ca="1">IFERROR(__xludf.DUMMYFUNCTION("""COMPUTED_VALUE"""),6.07617653719123)</f>
        <v>6.0761765371912304</v>
      </c>
      <c r="N1119" s="23">
        <f ca="1">IFERROR(__xludf.DUMMYFUNCTION("""COMPUTED_VALUE"""),3.03521552487968)</f>
        <v>3.0352155248796802</v>
      </c>
      <c r="O1119" s="23">
        <f ca="1">IFERROR(__xludf.DUMMYFUNCTION("""COMPUTED_VALUE"""),2.36352064652656)</f>
        <v>2.3635206465265601</v>
      </c>
      <c r="P1119" s="23">
        <f ca="1">IFERROR(__xludf.DUMMYFUNCTION("""COMPUTED_VALUE"""),2.29548995940488)</f>
        <v>2.2954899594048799</v>
      </c>
      <c r="Q1119" s="24">
        <f ca="1">IFERROR(__xludf.DUMMYFUNCTION("""COMPUTED_VALUE"""),6.43637745352904)</f>
        <v>6.4363774535290403</v>
      </c>
      <c r="R1119" s="20"/>
    </row>
    <row r="1120" spans="1:18" ht="13.2" hidden="1" outlineLevel="1" x14ac:dyDescent="0.25">
      <c r="A1120" s="1"/>
      <c r="B1120" s="39" t="str">
        <f ca="1">IFERROR(__xludf.DUMMYFUNCTION("""COMPUTED_VALUE"""),"Combustóleo")</f>
        <v>Combustóleo</v>
      </c>
      <c r="C1120" s="22">
        <f ca="1">IFERROR(__xludf.DUMMYFUNCTION("""COMPUTED_VALUE"""),0)</f>
        <v>0</v>
      </c>
      <c r="D1120" s="23">
        <f ca="1">IFERROR(__xludf.DUMMYFUNCTION("""COMPUTED_VALUE"""),0)</f>
        <v>0</v>
      </c>
      <c r="E1120" s="23">
        <f ca="1">IFERROR(__xludf.DUMMYFUNCTION("""COMPUTED_VALUE"""),0)</f>
        <v>0</v>
      </c>
      <c r="F1120" s="23">
        <f ca="1">IFERROR(__xludf.DUMMYFUNCTION("""COMPUTED_VALUE"""),0)</f>
        <v>0</v>
      </c>
      <c r="G1120" s="23">
        <f ca="1">IFERROR(__xludf.DUMMYFUNCTION("""COMPUTED_VALUE"""),0)</f>
        <v>0</v>
      </c>
      <c r="H1120" s="23">
        <f ca="1">IFERROR(__xludf.DUMMYFUNCTION("""COMPUTED_VALUE"""),0)</f>
        <v>0</v>
      </c>
      <c r="I1120" s="23">
        <f ca="1">IFERROR(__xludf.DUMMYFUNCTION("""COMPUTED_VALUE"""),0)</f>
        <v>0</v>
      </c>
      <c r="J1120" s="23">
        <f ca="1">IFERROR(__xludf.DUMMYFUNCTION("""COMPUTED_VALUE"""),0)</f>
        <v>0</v>
      </c>
      <c r="K1120" s="23">
        <f ca="1">IFERROR(__xludf.DUMMYFUNCTION("""COMPUTED_VALUE"""),0)</f>
        <v>0</v>
      </c>
      <c r="L1120" s="23">
        <f ca="1">IFERROR(__xludf.DUMMYFUNCTION("""COMPUTED_VALUE"""),0)</f>
        <v>0</v>
      </c>
      <c r="M1120" s="23">
        <f ca="1">IFERROR(__xludf.DUMMYFUNCTION("""COMPUTED_VALUE"""),0)</f>
        <v>0</v>
      </c>
      <c r="N1120" s="23">
        <f ca="1">IFERROR(__xludf.DUMMYFUNCTION("""COMPUTED_VALUE"""),0)</f>
        <v>0</v>
      </c>
      <c r="O1120" s="23">
        <f ca="1">IFERROR(__xludf.DUMMYFUNCTION("""COMPUTED_VALUE"""),0)</f>
        <v>0</v>
      </c>
      <c r="P1120" s="23">
        <f ca="1">IFERROR(__xludf.DUMMYFUNCTION("""COMPUTED_VALUE"""),0)</f>
        <v>0</v>
      </c>
      <c r="Q1120" s="24">
        <f ca="1">IFERROR(__xludf.DUMMYFUNCTION("""COMPUTED_VALUE"""),0)</f>
        <v>0</v>
      </c>
      <c r="R1120" s="20"/>
    </row>
    <row r="1121" spans="1:18" ht="13.2" hidden="1" outlineLevel="1" x14ac:dyDescent="0.25">
      <c r="A1121" s="1"/>
      <c r="B1121" s="39" t="str">
        <f ca="1">IFERROR(__xludf.DUMMYFUNCTION("""COMPUTED_VALUE"""),"Otros energéticos")</f>
        <v>Otros energéticos</v>
      </c>
      <c r="C1121" s="22">
        <f ca="1">IFERROR(__xludf.DUMMYFUNCTION("""COMPUTED_VALUE"""),0)</f>
        <v>0</v>
      </c>
      <c r="D1121" s="23">
        <f ca="1">IFERROR(__xludf.DUMMYFUNCTION("""COMPUTED_VALUE"""),0)</f>
        <v>0</v>
      </c>
      <c r="E1121" s="23">
        <f ca="1">IFERROR(__xludf.DUMMYFUNCTION("""COMPUTED_VALUE"""),0)</f>
        <v>0</v>
      </c>
      <c r="F1121" s="23">
        <f ca="1">IFERROR(__xludf.DUMMYFUNCTION("""COMPUTED_VALUE"""),0)</f>
        <v>0</v>
      </c>
      <c r="G1121" s="23">
        <f ca="1">IFERROR(__xludf.DUMMYFUNCTION("""COMPUTED_VALUE"""),0)</f>
        <v>0</v>
      </c>
      <c r="H1121" s="23">
        <f ca="1">IFERROR(__xludf.DUMMYFUNCTION("""COMPUTED_VALUE"""),0)</f>
        <v>0</v>
      </c>
      <c r="I1121" s="23">
        <f ca="1">IFERROR(__xludf.DUMMYFUNCTION("""COMPUTED_VALUE"""),0)</f>
        <v>0</v>
      </c>
      <c r="J1121" s="23">
        <f ca="1">IFERROR(__xludf.DUMMYFUNCTION("""COMPUTED_VALUE"""),0)</f>
        <v>0</v>
      </c>
      <c r="K1121" s="23">
        <f ca="1">IFERROR(__xludf.DUMMYFUNCTION("""COMPUTED_VALUE"""),0)</f>
        <v>0</v>
      </c>
      <c r="L1121" s="23">
        <f ca="1">IFERROR(__xludf.DUMMYFUNCTION("""COMPUTED_VALUE"""),0)</f>
        <v>0</v>
      </c>
      <c r="M1121" s="23">
        <f ca="1">IFERROR(__xludf.DUMMYFUNCTION("""COMPUTED_VALUE"""),0)</f>
        <v>0</v>
      </c>
      <c r="N1121" s="23">
        <f ca="1">IFERROR(__xludf.DUMMYFUNCTION("""COMPUTED_VALUE"""),0)</f>
        <v>0</v>
      </c>
      <c r="O1121" s="23">
        <f ca="1">IFERROR(__xludf.DUMMYFUNCTION("""COMPUTED_VALUE"""),0)</f>
        <v>0</v>
      </c>
      <c r="P1121" s="23">
        <f ca="1">IFERROR(__xludf.DUMMYFUNCTION("""COMPUTED_VALUE"""),0)</f>
        <v>0</v>
      </c>
      <c r="Q1121" s="24">
        <f ca="1">IFERROR(__xludf.DUMMYFUNCTION("""COMPUTED_VALUE"""),0)</f>
        <v>0</v>
      </c>
      <c r="R1121" s="20"/>
    </row>
    <row r="1122" spans="1:18" ht="13.2" hidden="1" outlineLevel="1" x14ac:dyDescent="0.25">
      <c r="A1122" s="1"/>
      <c r="B1122" s="39" t="str">
        <f ca="1">IFERROR(__xludf.DUMMYFUNCTION("""COMPUTED_VALUE"""),"Gas natural seco")</f>
        <v>Gas natural seco</v>
      </c>
      <c r="C1122" s="22">
        <f ca="1">IFERROR(__xludf.DUMMYFUNCTION("""COMPUTED_VALUE"""),0)</f>
        <v>0</v>
      </c>
      <c r="D1122" s="23">
        <f ca="1">IFERROR(__xludf.DUMMYFUNCTION("""COMPUTED_VALUE"""),0)</f>
        <v>0</v>
      </c>
      <c r="E1122" s="23">
        <f ca="1">IFERROR(__xludf.DUMMYFUNCTION("""COMPUTED_VALUE"""),0)</f>
        <v>0</v>
      </c>
      <c r="F1122" s="23">
        <f ca="1">IFERROR(__xludf.DUMMYFUNCTION("""COMPUTED_VALUE"""),0)</f>
        <v>0</v>
      </c>
      <c r="G1122" s="23">
        <f ca="1">IFERROR(__xludf.DUMMYFUNCTION("""COMPUTED_VALUE"""),0)</f>
        <v>0</v>
      </c>
      <c r="H1122" s="23">
        <f ca="1">IFERROR(__xludf.DUMMYFUNCTION("""COMPUTED_VALUE"""),0)</f>
        <v>0</v>
      </c>
      <c r="I1122" s="23">
        <f ca="1">IFERROR(__xludf.DUMMYFUNCTION("""COMPUTED_VALUE"""),0)</f>
        <v>0</v>
      </c>
      <c r="J1122" s="23">
        <f ca="1">IFERROR(__xludf.DUMMYFUNCTION("""COMPUTED_VALUE"""),0)</f>
        <v>0</v>
      </c>
      <c r="K1122" s="23">
        <f ca="1">IFERROR(__xludf.DUMMYFUNCTION("""COMPUTED_VALUE"""),0)</f>
        <v>0</v>
      </c>
      <c r="L1122" s="23">
        <f ca="1">IFERROR(__xludf.DUMMYFUNCTION("""COMPUTED_VALUE"""),0)</f>
        <v>0</v>
      </c>
      <c r="M1122" s="23">
        <f ca="1">IFERROR(__xludf.DUMMYFUNCTION("""COMPUTED_VALUE"""),0)</f>
        <v>0</v>
      </c>
      <c r="N1122" s="23">
        <f ca="1">IFERROR(__xludf.DUMMYFUNCTION("""COMPUTED_VALUE"""),0)</f>
        <v>0</v>
      </c>
      <c r="O1122" s="23">
        <f ca="1">IFERROR(__xludf.DUMMYFUNCTION("""COMPUTED_VALUE"""),0)</f>
        <v>0</v>
      </c>
      <c r="P1122" s="23">
        <f ca="1">IFERROR(__xludf.DUMMYFUNCTION("""COMPUTED_VALUE"""),0)</f>
        <v>0</v>
      </c>
      <c r="Q1122" s="24">
        <f ca="1">IFERROR(__xludf.DUMMYFUNCTION("""COMPUTED_VALUE"""),0)</f>
        <v>0</v>
      </c>
      <c r="R1122" s="20"/>
    </row>
    <row r="1123" spans="1:18" ht="13.2" hidden="1" outlineLevel="1" x14ac:dyDescent="0.25">
      <c r="A1123" s="1"/>
      <c r="B1123" s="40" t="str">
        <f ca="1">IFERROR(__xludf.DUMMYFUNCTION("""COMPUTED_VALUE"""),"Energía eléctrica")</f>
        <v>Energía eléctrica</v>
      </c>
      <c r="C1123" s="26">
        <f ca="1">IFERROR(__xludf.DUMMYFUNCTION("""COMPUTED_VALUE"""),1.1639578222846)</f>
        <v>1.1639578222846001</v>
      </c>
      <c r="D1123" s="27">
        <f ca="1">IFERROR(__xludf.DUMMYFUNCTION("""COMPUTED_VALUE"""),0.742607505588004)</f>
        <v>0.74260750558800404</v>
      </c>
      <c r="E1123" s="27">
        <f ca="1">IFERROR(__xludf.DUMMYFUNCTION("""COMPUTED_VALUE"""),1.05164847848029)</f>
        <v>1.05164847848029</v>
      </c>
      <c r="F1123" s="27">
        <f ca="1">IFERROR(__xludf.DUMMYFUNCTION("""COMPUTED_VALUE"""),0.719387773367396)</f>
        <v>0.71938777336739601</v>
      </c>
      <c r="G1123" s="27">
        <f ca="1">IFERROR(__xludf.DUMMYFUNCTION("""COMPUTED_VALUE"""),0.647428221067753)</f>
        <v>0.647428221067753</v>
      </c>
      <c r="H1123" s="27">
        <f ca="1">IFERROR(__xludf.DUMMYFUNCTION("""COMPUTED_VALUE"""),0.744585760578809)</f>
        <v>0.74458576057880899</v>
      </c>
      <c r="I1123" s="27">
        <f ca="1">IFERROR(__xludf.DUMMYFUNCTION("""COMPUTED_VALUE"""),0.692438069971219)</f>
        <v>0.69243806997121904</v>
      </c>
      <c r="J1123" s="27">
        <f ca="1">IFERROR(__xludf.DUMMYFUNCTION("""COMPUTED_VALUE"""),0.728551594798386)</f>
        <v>0.72855159479838605</v>
      </c>
      <c r="K1123" s="27">
        <f ca="1">IFERROR(__xludf.DUMMYFUNCTION("""COMPUTED_VALUE"""),0.810674370530809)</f>
        <v>0.81067437053080904</v>
      </c>
      <c r="L1123" s="27">
        <f ca="1">IFERROR(__xludf.DUMMYFUNCTION("""COMPUTED_VALUE"""),0.757160827075784)</f>
        <v>0.75716082707578403</v>
      </c>
      <c r="M1123" s="27">
        <f ca="1">IFERROR(__xludf.DUMMYFUNCTION("""COMPUTED_VALUE"""),0.72555317185556)</f>
        <v>0.72555317185556001</v>
      </c>
      <c r="N1123" s="27">
        <f ca="1">IFERROR(__xludf.DUMMYFUNCTION("""COMPUTED_VALUE"""),1.82854005712181)</f>
        <v>1.82854005712181</v>
      </c>
      <c r="O1123" s="27">
        <f ca="1">IFERROR(__xludf.DUMMYFUNCTION("""COMPUTED_VALUE"""),0.921632145528342)</f>
        <v>0.92163214552834205</v>
      </c>
      <c r="P1123" s="27">
        <f ca="1">IFERROR(__xludf.DUMMYFUNCTION("""COMPUTED_VALUE"""),1.89977116078858)</f>
        <v>1.8997711607885801</v>
      </c>
      <c r="Q1123" s="28">
        <f ca="1">IFERROR(__xludf.DUMMYFUNCTION("""COMPUTED_VALUE"""),1.65282083709871)</f>
        <v>1.6528208370987101</v>
      </c>
      <c r="R1123" s="20"/>
    </row>
    <row r="1124" spans="1:18" ht="13.2" collapsed="1" x14ac:dyDescent="0.25">
      <c r="A1124" s="1"/>
      <c r="B1124" s="31" t="str">
        <f ca="1">IFERROR(__xludf.DUMMYFUNCTION("""COMPUTED_VALUE"""),"237	Construcción de obras de ingeniería civil")</f>
        <v>237	Construcción de obras de ingeniería civil</v>
      </c>
      <c r="C1124" s="41"/>
      <c r="D1124" s="42"/>
      <c r="E1124" s="41"/>
      <c r="F1124" s="41"/>
      <c r="G1124" s="43"/>
      <c r="H1124" s="44"/>
      <c r="I1124" s="45"/>
      <c r="J1124" s="45"/>
      <c r="K1124" s="45"/>
      <c r="L1124" s="45"/>
      <c r="M1124" s="45"/>
      <c r="N1124" s="45"/>
      <c r="O1124" s="45"/>
      <c r="P1124" s="45"/>
      <c r="Q1124" s="45"/>
      <c r="R1124" s="10"/>
    </row>
    <row r="1125" spans="1:18" ht="13.2" hidden="1" outlineLevel="1" x14ac:dyDescent="0.25">
      <c r="A1125" s="1"/>
      <c r="B1125" s="46"/>
      <c r="C1125" s="35">
        <f ca="1">IFERROR(__xludf.DUMMYFUNCTION("""COMPUTED_VALUE"""),2010)</f>
        <v>2010</v>
      </c>
      <c r="D1125" s="36">
        <f ca="1">IFERROR(__xludf.DUMMYFUNCTION("""COMPUTED_VALUE"""),2011)</f>
        <v>2011</v>
      </c>
      <c r="E1125" s="36">
        <f ca="1">IFERROR(__xludf.DUMMYFUNCTION("""COMPUTED_VALUE"""),2012)</f>
        <v>2012</v>
      </c>
      <c r="F1125" s="36">
        <f ca="1">IFERROR(__xludf.DUMMYFUNCTION("""COMPUTED_VALUE"""),2013)</f>
        <v>2013</v>
      </c>
      <c r="G1125" s="36">
        <f ca="1">IFERROR(__xludf.DUMMYFUNCTION("""COMPUTED_VALUE"""),2014)</f>
        <v>2014</v>
      </c>
      <c r="H1125" s="36">
        <f ca="1">IFERROR(__xludf.DUMMYFUNCTION("""COMPUTED_VALUE"""),2015)</f>
        <v>2015</v>
      </c>
      <c r="I1125" s="36">
        <f ca="1">IFERROR(__xludf.DUMMYFUNCTION("""COMPUTED_VALUE"""),2016)</f>
        <v>2016</v>
      </c>
      <c r="J1125" s="36">
        <f ca="1">IFERROR(__xludf.DUMMYFUNCTION("""COMPUTED_VALUE"""),2017)</f>
        <v>2017</v>
      </c>
      <c r="K1125" s="36">
        <f ca="1">IFERROR(__xludf.DUMMYFUNCTION("""COMPUTED_VALUE"""),2018)</f>
        <v>2018</v>
      </c>
      <c r="L1125" s="36">
        <f ca="1">IFERROR(__xludf.DUMMYFUNCTION("""COMPUTED_VALUE"""),2019)</f>
        <v>2019</v>
      </c>
      <c r="M1125" s="36">
        <f ca="1">IFERROR(__xludf.DUMMYFUNCTION("""COMPUTED_VALUE"""),2020)</f>
        <v>2020</v>
      </c>
      <c r="N1125" s="36">
        <f ca="1">IFERROR(__xludf.DUMMYFUNCTION("""COMPUTED_VALUE"""),2021)</f>
        <v>2021</v>
      </c>
      <c r="O1125" s="36">
        <f ca="1">IFERROR(__xludf.DUMMYFUNCTION("""COMPUTED_VALUE"""),2022)</f>
        <v>2022</v>
      </c>
      <c r="P1125" s="36">
        <f ca="1">IFERROR(__xludf.DUMMYFUNCTION("""COMPUTED_VALUE"""),2023)</f>
        <v>2023</v>
      </c>
      <c r="Q1125" s="37">
        <f ca="1">IFERROR(__xludf.DUMMYFUNCTION("""COMPUTED_VALUE"""),2024)</f>
        <v>2024</v>
      </c>
      <c r="R1125" s="15"/>
    </row>
    <row r="1126" spans="1:18" ht="13.2" hidden="1" outlineLevel="1" x14ac:dyDescent="0.25">
      <c r="A1126" s="1"/>
      <c r="B1126" s="38" t="str">
        <f ca="1">IFERROR(__xludf.DUMMYFUNCTION("""COMPUTED_VALUE"""),"Carbón mineral")</f>
        <v>Carbón mineral</v>
      </c>
      <c r="C1126" s="17">
        <f ca="1">IFERROR(__xludf.DUMMYFUNCTION("""COMPUTED_VALUE"""),0)</f>
        <v>0</v>
      </c>
      <c r="D1126" s="18">
        <f ca="1">IFERROR(__xludf.DUMMYFUNCTION("""COMPUTED_VALUE"""),0)</f>
        <v>0</v>
      </c>
      <c r="E1126" s="18">
        <f ca="1">IFERROR(__xludf.DUMMYFUNCTION("""COMPUTED_VALUE"""),0)</f>
        <v>0</v>
      </c>
      <c r="F1126" s="18">
        <f ca="1">IFERROR(__xludf.DUMMYFUNCTION("""COMPUTED_VALUE"""),0)</f>
        <v>0</v>
      </c>
      <c r="G1126" s="18">
        <f ca="1">IFERROR(__xludf.DUMMYFUNCTION("""COMPUTED_VALUE"""),0)</f>
        <v>0</v>
      </c>
      <c r="H1126" s="18">
        <f ca="1">IFERROR(__xludf.DUMMYFUNCTION("""COMPUTED_VALUE"""),0)</f>
        <v>0</v>
      </c>
      <c r="I1126" s="18">
        <f ca="1">IFERROR(__xludf.DUMMYFUNCTION("""COMPUTED_VALUE"""),0)</f>
        <v>0</v>
      </c>
      <c r="J1126" s="18">
        <f ca="1">IFERROR(__xludf.DUMMYFUNCTION("""COMPUTED_VALUE"""),0)</f>
        <v>0</v>
      </c>
      <c r="K1126" s="18">
        <f ca="1">IFERROR(__xludf.DUMMYFUNCTION("""COMPUTED_VALUE"""),0)</f>
        <v>0</v>
      </c>
      <c r="L1126" s="18">
        <f ca="1">IFERROR(__xludf.DUMMYFUNCTION("""COMPUTED_VALUE"""),0)</f>
        <v>0</v>
      </c>
      <c r="M1126" s="18">
        <f ca="1">IFERROR(__xludf.DUMMYFUNCTION("""COMPUTED_VALUE"""),0)</f>
        <v>0</v>
      </c>
      <c r="N1126" s="18">
        <f ca="1">IFERROR(__xludf.DUMMYFUNCTION("""COMPUTED_VALUE"""),0)</f>
        <v>0</v>
      </c>
      <c r="O1126" s="18">
        <f ca="1">IFERROR(__xludf.DUMMYFUNCTION("""COMPUTED_VALUE"""),0)</f>
        <v>0</v>
      </c>
      <c r="P1126" s="18">
        <f ca="1">IFERROR(__xludf.DUMMYFUNCTION("""COMPUTED_VALUE"""),0)</f>
        <v>0</v>
      </c>
      <c r="Q1126" s="19">
        <f ca="1">IFERROR(__xludf.DUMMYFUNCTION("""COMPUTED_VALUE"""),0)</f>
        <v>0</v>
      </c>
      <c r="R1126" s="20"/>
    </row>
    <row r="1127" spans="1:18" ht="13.2" hidden="1" outlineLevel="1" x14ac:dyDescent="0.25">
      <c r="A1127" s="1"/>
      <c r="B1127" s="39" t="str">
        <f ca="1">IFERROR(__xludf.DUMMYFUNCTION("""COMPUTED_VALUE"""),"Petróleo crudo")</f>
        <v>Petróleo crudo</v>
      </c>
      <c r="C1127" s="22">
        <f ca="1">IFERROR(__xludf.DUMMYFUNCTION("""COMPUTED_VALUE"""),0)</f>
        <v>0</v>
      </c>
      <c r="D1127" s="23">
        <f ca="1">IFERROR(__xludf.DUMMYFUNCTION("""COMPUTED_VALUE"""),0)</f>
        <v>0</v>
      </c>
      <c r="E1127" s="23">
        <f ca="1">IFERROR(__xludf.DUMMYFUNCTION("""COMPUTED_VALUE"""),0)</f>
        <v>0</v>
      </c>
      <c r="F1127" s="23">
        <f ca="1">IFERROR(__xludf.DUMMYFUNCTION("""COMPUTED_VALUE"""),0)</f>
        <v>0</v>
      </c>
      <c r="G1127" s="23">
        <f ca="1">IFERROR(__xludf.DUMMYFUNCTION("""COMPUTED_VALUE"""),0)</f>
        <v>0</v>
      </c>
      <c r="H1127" s="23">
        <f ca="1">IFERROR(__xludf.DUMMYFUNCTION("""COMPUTED_VALUE"""),0)</f>
        <v>0</v>
      </c>
      <c r="I1127" s="23">
        <f ca="1">IFERROR(__xludf.DUMMYFUNCTION("""COMPUTED_VALUE"""),0)</f>
        <v>0</v>
      </c>
      <c r="J1127" s="23">
        <f ca="1">IFERROR(__xludf.DUMMYFUNCTION("""COMPUTED_VALUE"""),0)</f>
        <v>0</v>
      </c>
      <c r="K1127" s="23">
        <f ca="1">IFERROR(__xludf.DUMMYFUNCTION("""COMPUTED_VALUE"""),0)</f>
        <v>0</v>
      </c>
      <c r="L1127" s="23">
        <f ca="1">IFERROR(__xludf.DUMMYFUNCTION("""COMPUTED_VALUE"""),0)</f>
        <v>0</v>
      </c>
      <c r="M1127" s="23">
        <f ca="1">IFERROR(__xludf.DUMMYFUNCTION("""COMPUTED_VALUE"""),0)</f>
        <v>0</v>
      </c>
      <c r="N1127" s="23">
        <f ca="1">IFERROR(__xludf.DUMMYFUNCTION("""COMPUTED_VALUE"""),0)</f>
        <v>0</v>
      </c>
      <c r="O1127" s="23">
        <f ca="1">IFERROR(__xludf.DUMMYFUNCTION("""COMPUTED_VALUE"""),0)</f>
        <v>0</v>
      </c>
      <c r="P1127" s="23">
        <f ca="1">IFERROR(__xludf.DUMMYFUNCTION("""COMPUTED_VALUE"""),0)</f>
        <v>0</v>
      </c>
      <c r="Q1127" s="24">
        <f ca="1">IFERROR(__xludf.DUMMYFUNCTION("""COMPUTED_VALUE"""),0)</f>
        <v>0</v>
      </c>
      <c r="R1127" s="20"/>
    </row>
    <row r="1128" spans="1:18" ht="13.2" hidden="1" outlineLevel="1" x14ac:dyDescent="0.25">
      <c r="A1128" s="1"/>
      <c r="B1128" s="39" t="str">
        <f ca="1">IFERROR(__xludf.DUMMYFUNCTION("""COMPUTED_VALUE"""),"Condensados")</f>
        <v>Condensados</v>
      </c>
      <c r="C1128" s="22">
        <f ca="1">IFERROR(__xludf.DUMMYFUNCTION("""COMPUTED_VALUE"""),0)</f>
        <v>0</v>
      </c>
      <c r="D1128" s="23">
        <f ca="1">IFERROR(__xludf.DUMMYFUNCTION("""COMPUTED_VALUE"""),0)</f>
        <v>0</v>
      </c>
      <c r="E1128" s="23">
        <f ca="1">IFERROR(__xludf.DUMMYFUNCTION("""COMPUTED_VALUE"""),0)</f>
        <v>0</v>
      </c>
      <c r="F1128" s="23">
        <f ca="1">IFERROR(__xludf.DUMMYFUNCTION("""COMPUTED_VALUE"""),0)</f>
        <v>0</v>
      </c>
      <c r="G1128" s="23">
        <f ca="1">IFERROR(__xludf.DUMMYFUNCTION("""COMPUTED_VALUE"""),0)</f>
        <v>0</v>
      </c>
      <c r="H1128" s="23">
        <f ca="1">IFERROR(__xludf.DUMMYFUNCTION("""COMPUTED_VALUE"""),0)</f>
        <v>0</v>
      </c>
      <c r="I1128" s="23">
        <f ca="1">IFERROR(__xludf.DUMMYFUNCTION("""COMPUTED_VALUE"""),0)</f>
        <v>0</v>
      </c>
      <c r="J1128" s="23">
        <f ca="1">IFERROR(__xludf.DUMMYFUNCTION("""COMPUTED_VALUE"""),0)</f>
        <v>0</v>
      </c>
      <c r="K1128" s="23">
        <f ca="1">IFERROR(__xludf.DUMMYFUNCTION("""COMPUTED_VALUE"""),0)</f>
        <v>0</v>
      </c>
      <c r="L1128" s="23">
        <f ca="1">IFERROR(__xludf.DUMMYFUNCTION("""COMPUTED_VALUE"""),0)</f>
        <v>0</v>
      </c>
      <c r="M1128" s="23">
        <f ca="1">IFERROR(__xludf.DUMMYFUNCTION("""COMPUTED_VALUE"""),0)</f>
        <v>0</v>
      </c>
      <c r="N1128" s="23">
        <f ca="1">IFERROR(__xludf.DUMMYFUNCTION("""COMPUTED_VALUE"""),0)</f>
        <v>0</v>
      </c>
      <c r="O1128" s="23">
        <f ca="1">IFERROR(__xludf.DUMMYFUNCTION("""COMPUTED_VALUE"""),0)</f>
        <v>0</v>
      </c>
      <c r="P1128" s="23">
        <f ca="1">IFERROR(__xludf.DUMMYFUNCTION("""COMPUTED_VALUE"""),0)</f>
        <v>0</v>
      </c>
      <c r="Q1128" s="24">
        <f ca="1">IFERROR(__xludf.DUMMYFUNCTION("""COMPUTED_VALUE"""),0)</f>
        <v>0</v>
      </c>
      <c r="R1128" s="20"/>
    </row>
    <row r="1129" spans="1:18" ht="13.2" hidden="1" outlineLevel="1" x14ac:dyDescent="0.25">
      <c r="A1129" s="1"/>
      <c r="B1129" s="39" t="str">
        <f ca="1">IFERROR(__xludf.DUMMYFUNCTION("""COMPUTED_VALUE"""),"Gas natural")</f>
        <v>Gas natural</v>
      </c>
      <c r="C1129" s="22">
        <f ca="1">IFERROR(__xludf.DUMMYFUNCTION("""COMPUTED_VALUE"""),0)</f>
        <v>0</v>
      </c>
      <c r="D1129" s="23">
        <f ca="1">IFERROR(__xludf.DUMMYFUNCTION("""COMPUTED_VALUE"""),0)</f>
        <v>0</v>
      </c>
      <c r="E1129" s="23">
        <f ca="1">IFERROR(__xludf.DUMMYFUNCTION("""COMPUTED_VALUE"""),0)</f>
        <v>0</v>
      </c>
      <c r="F1129" s="23">
        <f ca="1">IFERROR(__xludf.DUMMYFUNCTION("""COMPUTED_VALUE"""),0)</f>
        <v>0</v>
      </c>
      <c r="G1129" s="23">
        <f ca="1">IFERROR(__xludf.DUMMYFUNCTION("""COMPUTED_VALUE"""),0)</f>
        <v>0</v>
      </c>
      <c r="H1129" s="23">
        <f ca="1">IFERROR(__xludf.DUMMYFUNCTION("""COMPUTED_VALUE"""),0)</f>
        <v>0</v>
      </c>
      <c r="I1129" s="23">
        <f ca="1">IFERROR(__xludf.DUMMYFUNCTION("""COMPUTED_VALUE"""),0)</f>
        <v>0</v>
      </c>
      <c r="J1129" s="23">
        <f ca="1">IFERROR(__xludf.DUMMYFUNCTION("""COMPUTED_VALUE"""),0)</f>
        <v>0</v>
      </c>
      <c r="K1129" s="23">
        <f ca="1">IFERROR(__xludf.DUMMYFUNCTION("""COMPUTED_VALUE"""),0)</f>
        <v>0</v>
      </c>
      <c r="L1129" s="23">
        <f ca="1">IFERROR(__xludf.DUMMYFUNCTION("""COMPUTED_VALUE"""),0)</f>
        <v>0</v>
      </c>
      <c r="M1129" s="23">
        <f ca="1">IFERROR(__xludf.DUMMYFUNCTION("""COMPUTED_VALUE"""),0)</f>
        <v>0</v>
      </c>
      <c r="N1129" s="23">
        <f ca="1">IFERROR(__xludf.DUMMYFUNCTION("""COMPUTED_VALUE"""),0)</f>
        <v>0</v>
      </c>
      <c r="O1129" s="23">
        <f ca="1">IFERROR(__xludf.DUMMYFUNCTION("""COMPUTED_VALUE"""),0)</f>
        <v>0</v>
      </c>
      <c r="P1129" s="23">
        <f ca="1">IFERROR(__xludf.DUMMYFUNCTION("""COMPUTED_VALUE"""),0)</f>
        <v>0</v>
      </c>
      <c r="Q1129" s="24">
        <f ca="1">IFERROR(__xludf.DUMMYFUNCTION("""COMPUTED_VALUE"""),0)</f>
        <v>0</v>
      </c>
      <c r="R1129" s="20"/>
    </row>
    <row r="1130" spans="1:18" ht="13.2" hidden="1" outlineLevel="1" x14ac:dyDescent="0.25">
      <c r="A1130" s="1"/>
      <c r="B1130" s="39" t="str">
        <f ca="1">IFERROR(__xludf.DUMMYFUNCTION("""COMPUTED_VALUE"""),"Energía Nuclear")</f>
        <v>Energía Nuclear</v>
      </c>
      <c r="C1130" s="22">
        <f ca="1">IFERROR(__xludf.DUMMYFUNCTION("""COMPUTED_VALUE"""),0)</f>
        <v>0</v>
      </c>
      <c r="D1130" s="23">
        <f ca="1">IFERROR(__xludf.DUMMYFUNCTION("""COMPUTED_VALUE"""),0)</f>
        <v>0</v>
      </c>
      <c r="E1130" s="23">
        <f ca="1">IFERROR(__xludf.DUMMYFUNCTION("""COMPUTED_VALUE"""),0)</f>
        <v>0</v>
      </c>
      <c r="F1130" s="23">
        <f ca="1">IFERROR(__xludf.DUMMYFUNCTION("""COMPUTED_VALUE"""),0)</f>
        <v>0</v>
      </c>
      <c r="G1130" s="23">
        <f ca="1">IFERROR(__xludf.DUMMYFUNCTION("""COMPUTED_VALUE"""),0)</f>
        <v>0</v>
      </c>
      <c r="H1130" s="23">
        <f ca="1">IFERROR(__xludf.DUMMYFUNCTION("""COMPUTED_VALUE"""),0)</f>
        <v>0</v>
      </c>
      <c r="I1130" s="23">
        <f ca="1">IFERROR(__xludf.DUMMYFUNCTION("""COMPUTED_VALUE"""),0)</f>
        <v>0</v>
      </c>
      <c r="J1130" s="23">
        <f ca="1">IFERROR(__xludf.DUMMYFUNCTION("""COMPUTED_VALUE"""),0)</f>
        <v>0</v>
      </c>
      <c r="K1130" s="23">
        <f ca="1">IFERROR(__xludf.DUMMYFUNCTION("""COMPUTED_VALUE"""),0)</f>
        <v>0</v>
      </c>
      <c r="L1130" s="23">
        <f ca="1">IFERROR(__xludf.DUMMYFUNCTION("""COMPUTED_VALUE"""),0)</f>
        <v>0</v>
      </c>
      <c r="M1130" s="23">
        <f ca="1">IFERROR(__xludf.DUMMYFUNCTION("""COMPUTED_VALUE"""),0)</f>
        <v>0</v>
      </c>
      <c r="N1130" s="23">
        <f ca="1">IFERROR(__xludf.DUMMYFUNCTION("""COMPUTED_VALUE"""),0)</f>
        <v>0</v>
      </c>
      <c r="O1130" s="23">
        <f ca="1">IFERROR(__xludf.DUMMYFUNCTION("""COMPUTED_VALUE"""),0)</f>
        <v>0</v>
      </c>
      <c r="P1130" s="23">
        <f ca="1">IFERROR(__xludf.DUMMYFUNCTION("""COMPUTED_VALUE"""),0)</f>
        <v>0</v>
      </c>
      <c r="Q1130" s="24">
        <f ca="1">IFERROR(__xludf.DUMMYFUNCTION("""COMPUTED_VALUE"""),0)</f>
        <v>0</v>
      </c>
      <c r="R1130" s="20"/>
    </row>
    <row r="1131" spans="1:18" ht="13.2" hidden="1" outlineLevel="1" x14ac:dyDescent="0.25">
      <c r="A1131" s="1"/>
      <c r="B1131" s="39" t="str">
        <f ca="1">IFERROR(__xludf.DUMMYFUNCTION("""COMPUTED_VALUE"""),"Energia Hidraúlica")</f>
        <v>Energia Hidraúlica</v>
      </c>
      <c r="C1131" s="22">
        <f ca="1">IFERROR(__xludf.DUMMYFUNCTION("""COMPUTED_VALUE"""),0)</f>
        <v>0</v>
      </c>
      <c r="D1131" s="23">
        <f ca="1">IFERROR(__xludf.DUMMYFUNCTION("""COMPUTED_VALUE"""),0)</f>
        <v>0</v>
      </c>
      <c r="E1131" s="23">
        <f ca="1">IFERROR(__xludf.DUMMYFUNCTION("""COMPUTED_VALUE"""),0)</f>
        <v>0</v>
      </c>
      <c r="F1131" s="23">
        <f ca="1">IFERROR(__xludf.DUMMYFUNCTION("""COMPUTED_VALUE"""),0)</f>
        <v>0</v>
      </c>
      <c r="G1131" s="23">
        <f ca="1">IFERROR(__xludf.DUMMYFUNCTION("""COMPUTED_VALUE"""),0)</f>
        <v>0</v>
      </c>
      <c r="H1131" s="23">
        <f ca="1">IFERROR(__xludf.DUMMYFUNCTION("""COMPUTED_VALUE"""),0)</f>
        <v>0</v>
      </c>
      <c r="I1131" s="23">
        <f ca="1">IFERROR(__xludf.DUMMYFUNCTION("""COMPUTED_VALUE"""),0)</f>
        <v>0</v>
      </c>
      <c r="J1131" s="23">
        <f ca="1">IFERROR(__xludf.DUMMYFUNCTION("""COMPUTED_VALUE"""),0)</f>
        <v>0</v>
      </c>
      <c r="K1131" s="23">
        <f ca="1">IFERROR(__xludf.DUMMYFUNCTION("""COMPUTED_VALUE"""),0)</f>
        <v>0</v>
      </c>
      <c r="L1131" s="23">
        <f ca="1">IFERROR(__xludf.DUMMYFUNCTION("""COMPUTED_VALUE"""),0)</f>
        <v>0</v>
      </c>
      <c r="M1131" s="23">
        <f ca="1">IFERROR(__xludf.DUMMYFUNCTION("""COMPUTED_VALUE"""),0)</f>
        <v>0</v>
      </c>
      <c r="N1131" s="23">
        <f ca="1">IFERROR(__xludf.DUMMYFUNCTION("""COMPUTED_VALUE"""),0)</f>
        <v>0</v>
      </c>
      <c r="O1131" s="23">
        <f ca="1">IFERROR(__xludf.DUMMYFUNCTION("""COMPUTED_VALUE"""),0)</f>
        <v>0</v>
      </c>
      <c r="P1131" s="23">
        <f ca="1">IFERROR(__xludf.DUMMYFUNCTION("""COMPUTED_VALUE"""),0)</f>
        <v>0</v>
      </c>
      <c r="Q1131" s="24">
        <f ca="1">IFERROR(__xludf.DUMMYFUNCTION("""COMPUTED_VALUE"""),0)</f>
        <v>0</v>
      </c>
      <c r="R1131" s="20"/>
    </row>
    <row r="1132" spans="1:18" ht="13.2" hidden="1" outlineLevel="1" x14ac:dyDescent="0.25">
      <c r="A1132" s="1"/>
      <c r="B1132" s="39" t="str">
        <f ca="1">IFERROR(__xludf.DUMMYFUNCTION("""COMPUTED_VALUE"""),"Geoenergía")</f>
        <v>Geoenergía</v>
      </c>
      <c r="C1132" s="22">
        <f ca="1">IFERROR(__xludf.DUMMYFUNCTION("""COMPUTED_VALUE"""),0)</f>
        <v>0</v>
      </c>
      <c r="D1132" s="23">
        <f ca="1">IFERROR(__xludf.DUMMYFUNCTION("""COMPUTED_VALUE"""),0)</f>
        <v>0</v>
      </c>
      <c r="E1132" s="23">
        <f ca="1">IFERROR(__xludf.DUMMYFUNCTION("""COMPUTED_VALUE"""),0)</f>
        <v>0</v>
      </c>
      <c r="F1132" s="23">
        <f ca="1">IFERROR(__xludf.DUMMYFUNCTION("""COMPUTED_VALUE"""),0)</f>
        <v>0</v>
      </c>
      <c r="G1132" s="23">
        <f ca="1">IFERROR(__xludf.DUMMYFUNCTION("""COMPUTED_VALUE"""),0)</f>
        <v>0</v>
      </c>
      <c r="H1132" s="23">
        <f ca="1">IFERROR(__xludf.DUMMYFUNCTION("""COMPUTED_VALUE"""),0)</f>
        <v>0</v>
      </c>
      <c r="I1132" s="23">
        <f ca="1">IFERROR(__xludf.DUMMYFUNCTION("""COMPUTED_VALUE"""),0)</f>
        <v>0</v>
      </c>
      <c r="J1132" s="23">
        <f ca="1">IFERROR(__xludf.DUMMYFUNCTION("""COMPUTED_VALUE"""),0)</f>
        <v>0</v>
      </c>
      <c r="K1132" s="23">
        <f ca="1">IFERROR(__xludf.DUMMYFUNCTION("""COMPUTED_VALUE"""),0)</f>
        <v>0</v>
      </c>
      <c r="L1132" s="23">
        <f ca="1">IFERROR(__xludf.DUMMYFUNCTION("""COMPUTED_VALUE"""),0)</f>
        <v>0</v>
      </c>
      <c r="M1132" s="23">
        <f ca="1">IFERROR(__xludf.DUMMYFUNCTION("""COMPUTED_VALUE"""),0)</f>
        <v>0</v>
      </c>
      <c r="N1132" s="23">
        <f ca="1">IFERROR(__xludf.DUMMYFUNCTION("""COMPUTED_VALUE"""),0)</f>
        <v>0</v>
      </c>
      <c r="O1132" s="23">
        <f ca="1">IFERROR(__xludf.DUMMYFUNCTION("""COMPUTED_VALUE"""),0)</f>
        <v>0</v>
      </c>
      <c r="P1132" s="23">
        <f ca="1">IFERROR(__xludf.DUMMYFUNCTION("""COMPUTED_VALUE"""),0)</f>
        <v>0</v>
      </c>
      <c r="Q1132" s="24">
        <f ca="1">IFERROR(__xludf.DUMMYFUNCTION("""COMPUTED_VALUE"""),0)</f>
        <v>0</v>
      </c>
      <c r="R1132" s="20"/>
    </row>
    <row r="1133" spans="1:18" ht="13.2" hidden="1" outlineLevel="1" x14ac:dyDescent="0.25">
      <c r="A1133" s="1"/>
      <c r="B1133" s="39" t="str">
        <f ca="1">IFERROR(__xludf.DUMMYFUNCTION("""COMPUTED_VALUE"""),"Energía solar")</f>
        <v>Energía solar</v>
      </c>
      <c r="C1133" s="22">
        <f ca="1">IFERROR(__xludf.DUMMYFUNCTION("""COMPUTED_VALUE"""),0)</f>
        <v>0</v>
      </c>
      <c r="D1133" s="23">
        <f ca="1">IFERROR(__xludf.DUMMYFUNCTION("""COMPUTED_VALUE"""),0)</f>
        <v>0</v>
      </c>
      <c r="E1133" s="23">
        <f ca="1">IFERROR(__xludf.DUMMYFUNCTION("""COMPUTED_VALUE"""),0)</f>
        <v>0</v>
      </c>
      <c r="F1133" s="23">
        <f ca="1">IFERROR(__xludf.DUMMYFUNCTION("""COMPUTED_VALUE"""),0)</f>
        <v>0</v>
      </c>
      <c r="G1133" s="23">
        <f ca="1">IFERROR(__xludf.DUMMYFUNCTION("""COMPUTED_VALUE"""),0)</f>
        <v>0</v>
      </c>
      <c r="H1133" s="23">
        <f ca="1">IFERROR(__xludf.DUMMYFUNCTION("""COMPUTED_VALUE"""),0)</f>
        <v>0</v>
      </c>
      <c r="I1133" s="23">
        <f ca="1">IFERROR(__xludf.DUMMYFUNCTION("""COMPUTED_VALUE"""),0)</f>
        <v>0</v>
      </c>
      <c r="J1133" s="23">
        <f ca="1">IFERROR(__xludf.DUMMYFUNCTION("""COMPUTED_VALUE"""),0)</f>
        <v>0</v>
      </c>
      <c r="K1133" s="23">
        <f ca="1">IFERROR(__xludf.DUMMYFUNCTION("""COMPUTED_VALUE"""),0)</f>
        <v>0</v>
      </c>
      <c r="L1133" s="23">
        <f ca="1">IFERROR(__xludf.DUMMYFUNCTION("""COMPUTED_VALUE"""),0)</f>
        <v>0</v>
      </c>
      <c r="M1133" s="23">
        <f ca="1">IFERROR(__xludf.DUMMYFUNCTION("""COMPUTED_VALUE"""),0)</f>
        <v>0</v>
      </c>
      <c r="N1133" s="23">
        <f ca="1">IFERROR(__xludf.DUMMYFUNCTION("""COMPUTED_VALUE"""),0)</f>
        <v>0</v>
      </c>
      <c r="O1133" s="23">
        <f ca="1">IFERROR(__xludf.DUMMYFUNCTION("""COMPUTED_VALUE"""),0)</f>
        <v>0</v>
      </c>
      <c r="P1133" s="23">
        <f ca="1">IFERROR(__xludf.DUMMYFUNCTION("""COMPUTED_VALUE"""),0)</f>
        <v>0</v>
      </c>
      <c r="Q1133" s="24">
        <f ca="1">IFERROR(__xludf.DUMMYFUNCTION("""COMPUTED_VALUE"""),0)</f>
        <v>0</v>
      </c>
      <c r="R1133" s="20"/>
    </row>
    <row r="1134" spans="1:18" ht="13.2" hidden="1" outlineLevel="1" x14ac:dyDescent="0.25">
      <c r="A1134" s="1"/>
      <c r="B1134" s="39" t="str">
        <f ca="1">IFERROR(__xludf.DUMMYFUNCTION("""COMPUTED_VALUE"""),"Energía eólica")</f>
        <v>Energía eólica</v>
      </c>
      <c r="C1134" s="22">
        <f ca="1">IFERROR(__xludf.DUMMYFUNCTION("""COMPUTED_VALUE"""),0)</f>
        <v>0</v>
      </c>
      <c r="D1134" s="23">
        <f ca="1">IFERROR(__xludf.DUMMYFUNCTION("""COMPUTED_VALUE"""),0)</f>
        <v>0</v>
      </c>
      <c r="E1134" s="23">
        <f ca="1">IFERROR(__xludf.DUMMYFUNCTION("""COMPUTED_VALUE"""),0)</f>
        <v>0</v>
      </c>
      <c r="F1134" s="23">
        <f ca="1">IFERROR(__xludf.DUMMYFUNCTION("""COMPUTED_VALUE"""),0)</f>
        <v>0</v>
      </c>
      <c r="G1134" s="23">
        <f ca="1">IFERROR(__xludf.DUMMYFUNCTION("""COMPUTED_VALUE"""),0)</f>
        <v>0</v>
      </c>
      <c r="H1134" s="23">
        <f ca="1">IFERROR(__xludf.DUMMYFUNCTION("""COMPUTED_VALUE"""),0)</f>
        <v>0</v>
      </c>
      <c r="I1134" s="23">
        <f ca="1">IFERROR(__xludf.DUMMYFUNCTION("""COMPUTED_VALUE"""),0)</f>
        <v>0</v>
      </c>
      <c r="J1134" s="23">
        <f ca="1">IFERROR(__xludf.DUMMYFUNCTION("""COMPUTED_VALUE"""),0)</f>
        <v>0</v>
      </c>
      <c r="K1134" s="23">
        <f ca="1">IFERROR(__xludf.DUMMYFUNCTION("""COMPUTED_VALUE"""),0)</f>
        <v>0</v>
      </c>
      <c r="L1134" s="23">
        <f ca="1">IFERROR(__xludf.DUMMYFUNCTION("""COMPUTED_VALUE"""),0)</f>
        <v>0</v>
      </c>
      <c r="M1134" s="23">
        <f ca="1">IFERROR(__xludf.DUMMYFUNCTION("""COMPUTED_VALUE"""),0)</f>
        <v>0</v>
      </c>
      <c r="N1134" s="23">
        <f ca="1">IFERROR(__xludf.DUMMYFUNCTION("""COMPUTED_VALUE"""),0)</f>
        <v>0</v>
      </c>
      <c r="O1134" s="23">
        <f ca="1">IFERROR(__xludf.DUMMYFUNCTION("""COMPUTED_VALUE"""),0)</f>
        <v>0</v>
      </c>
      <c r="P1134" s="23">
        <f ca="1">IFERROR(__xludf.DUMMYFUNCTION("""COMPUTED_VALUE"""),0)</f>
        <v>0</v>
      </c>
      <c r="Q1134" s="24">
        <f ca="1">IFERROR(__xludf.DUMMYFUNCTION("""COMPUTED_VALUE"""),0)</f>
        <v>0</v>
      </c>
      <c r="R1134" s="20"/>
    </row>
    <row r="1135" spans="1:18" ht="13.2" hidden="1" outlineLevel="1" x14ac:dyDescent="0.25">
      <c r="A1135" s="1"/>
      <c r="B1135" s="39" t="str">
        <f ca="1">IFERROR(__xludf.DUMMYFUNCTION("""COMPUTED_VALUE"""),"Bagazo de caña")</f>
        <v>Bagazo de caña</v>
      </c>
      <c r="C1135" s="22">
        <f ca="1">IFERROR(__xludf.DUMMYFUNCTION("""COMPUTED_VALUE"""),0)</f>
        <v>0</v>
      </c>
      <c r="D1135" s="23">
        <f ca="1">IFERROR(__xludf.DUMMYFUNCTION("""COMPUTED_VALUE"""),0)</f>
        <v>0</v>
      </c>
      <c r="E1135" s="23">
        <f ca="1">IFERROR(__xludf.DUMMYFUNCTION("""COMPUTED_VALUE"""),0)</f>
        <v>0</v>
      </c>
      <c r="F1135" s="23">
        <f ca="1">IFERROR(__xludf.DUMMYFUNCTION("""COMPUTED_VALUE"""),0)</f>
        <v>0</v>
      </c>
      <c r="G1135" s="23">
        <f ca="1">IFERROR(__xludf.DUMMYFUNCTION("""COMPUTED_VALUE"""),0)</f>
        <v>0</v>
      </c>
      <c r="H1135" s="23">
        <f ca="1">IFERROR(__xludf.DUMMYFUNCTION("""COMPUTED_VALUE"""),0)</f>
        <v>0</v>
      </c>
      <c r="I1135" s="23">
        <f ca="1">IFERROR(__xludf.DUMMYFUNCTION("""COMPUTED_VALUE"""),0)</f>
        <v>0</v>
      </c>
      <c r="J1135" s="23">
        <f ca="1">IFERROR(__xludf.DUMMYFUNCTION("""COMPUTED_VALUE"""),0)</f>
        <v>0</v>
      </c>
      <c r="K1135" s="23">
        <f ca="1">IFERROR(__xludf.DUMMYFUNCTION("""COMPUTED_VALUE"""),0)</f>
        <v>0</v>
      </c>
      <c r="L1135" s="23">
        <f ca="1">IFERROR(__xludf.DUMMYFUNCTION("""COMPUTED_VALUE"""),0)</f>
        <v>0</v>
      </c>
      <c r="M1135" s="23">
        <f ca="1">IFERROR(__xludf.DUMMYFUNCTION("""COMPUTED_VALUE"""),0)</f>
        <v>0</v>
      </c>
      <c r="N1135" s="23">
        <f ca="1">IFERROR(__xludf.DUMMYFUNCTION("""COMPUTED_VALUE"""),0)</f>
        <v>0</v>
      </c>
      <c r="O1135" s="23">
        <f ca="1">IFERROR(__xludf.DUMMYFUNCTION("""COMPUTED_VALUE"""),0)</f>
        <v>0</v>
      </c>
      <c r="P1135" s="23">
        <f ca="1">IFERROR(__xludf.DUMMYFUNCTION("""COMPUTED_VALUE"""),0)</f>
        <v>0</v>
      </c>
      <c r="Q1135" s="24">
        <f ca="1">IFERROR(__xludf.DUMMYFUNCTION("""COMPUTED_VALUE"""),0)</f>
        <v>0</v>
      </c>
      <c r="R1135" s="20"/>
    </row>
    <row r="1136" spans="1:18" ht="13.2" hidden="1" outlineLevel="1" x14ac:dyDescent="0.25">
      <c r="A1136" s="1"/>
      <c r="B1136" s="39" t="str">
        <f ca="1">IFERROR(__xludf.DUMMYFUNCTION("""COMPUTED_VALUE"""),"Leña")</f>
        <v>Leña</v>
      </c>
      <c r="C1136" s="22">
        <f ca="1">IFERROR(__xludf.DUMMYFUNCTION("""COMPUTED_VALUE"""),0)</f>
        <v>0</v>
      </c>
      <c r="D1136" s="23">
        <f ca="1">IFERROR(__xludf.DUMMYFUNCTION("""COMPUTED_VALUE"""),0)</f>
        <v>0</v>
      </c>
      <c r="E1136" s="23">
        <f ca="1">IFERROR(__xludf.DUMMYFUNCTION("""COMPUTED_VALUE"""),0)</f>
        <v>0</v>
      </c>
      <c r="F1136" s="23">
        <f ca="1">IFERROR(__xludf.DUMMYFUNCTION("""COMPUTED_VALUE"""),0)</f>
        <v>0</v>
      </c>
      <c r="G1136" s="23">
        <f ca="1">IFERROR(__xludf.DUMMYFUNCTION("""COMPUTED_VALUE"""),0)</f>
        <v>0</v>
      </c>
      <c r="H1136" s="23">
        <f ca="1">IFERROR(__xludf.DUMMYFUNCTION("""COMPUTED_VALUE"""),0)</f>
        <v>0</v>
      </c>
      <c r="I1136" s="23">
        <f ca="1">IFERROR(__xludf.DUMMYFUNCTION("""COMPUTED_VALUE"""),0)</f>
        <v>0</v>
      </c>
      <c r="J1136" s="23">
        <f ca="1">IFERROR(__xludf.DUMMYFUNCTION("""COMPUTED_VALUE"""),0)</f>
        <v>0</v>
      </c>
      <c r="K1136" s="23">
        <f ca="1">IFERROR(__xludf.DUMMYFUNCTION("""COMPUTED_VALUE"""),0)</f>
        <v>0</v>
      </c>
      <c r="L1136" s="23">
        <f ca="1">IFERROR(__xludf.DUMMYFUNCTION("""COMPUTED_VALUE"""),0)</f>
        <v>0</v>
      </c>
      <c r="M1136" s="23">
        <f ca="1">IFERROR(__xludf.DUMMYFUNCTION("""COMPUTED_VALUE"""),0)</f>
        <v>0</v>
      </c>
      <c r="N1136" s="23">
        <f ca="1">IFERROR(__xludf.DUMMYFUNCTION("""COMPUTED_VALUE"""),0)</f>
        <v>0</v>
      </c>
      <c r="O1136" s="23">
        <f ca="1">IFERROR(__xludf.DUMMYFUNCTION("""COMPUTED_VALUE"""),0)</f>
        <v>0</v>
      </c>
      <c r="P1136" s="23">
        <f ca="1">IFERROR(__xludf.DUMMYFUNCTION("""COMPUTED_VALUE"""),0)</f>
        <v>0</v>
      </c>
      <c r="Q1136" s="24">
        <f ca="1">IFERROR(__xludf.DUMMYFUNCTION("""COMPUTED_VALUE"""),0)</f>
        <v>0</v>
      </c>
      <c r="R1136" s="20"/>
    </row>
    <row r="1137" spans="1:18" ht="13.2" hidden="1" outlineLevel="1" x14ac:dyDescent="0.25">
      <c r="A1137" s="1"/>
      <c r="B1137" s="39" t="str">
        <f ca="1">IFERROR(__xludf.DUMMYFUNCTION("""COMPUTED_VALUE"""),"Biogás")</f>
        <v>Biogás</v>
      </c>
      <c r="C1137" s="22">
        <f ca="1">IFERROR(__xludf.DUMMYFUNCTION("""COMPUTED_VALUE"""),0)</f>
        <v>0</v>
      </c>
      <c r="D1137" s="23">
        <f ca="1">IFERROR(__xludf.DUMMYFUNCTION("""COMPUTED_VALUE"""),0)</f>
        <v>0</v>
      </c>
      <c r="E1137" s="23">
        <f ca="1">IFERROR(__xludf.DUMMYFUNCTION("""COMPUTED_VALUE"""),0)</f>
        <v>0</v>
      </c>
      <c r="F1137" s="23">
        <f ca="1">IFERROR(__xludf.DUMMYFUNCTION("""COMPUTED_VALUE"""),0)</f>
        <v>0</v>
      </c>
      <c r="G1137" s="23">
        <f ca="1">IFERROR(__xludf.DUMMYFUNCTION("""COMPUTED_VALUE"""),0)</f>
        <v>0</v>
      </c>
      <c r="H1137" s="23">
        <f ca="1">IFERROR(__xludf.DUMMYFUNCTION("""COMPUTED_VALUE"""),0)</f>
        <v>0</v>
      </c>
      <c r="I1137" s="23">
        <f ca="1">IFERROR(__xludf.DUMMYFUNCTION("""COMPUTED_VALUE"""),0)</f>
        <v>0</v>
      </c>
      <c r="J1137" s="23">
        <f ca="1">IFERROR(__xludf.DUMMYFUNCTION("""COMPUTED_VALUE"""),0)</f>
        <v>0</v>
      </c>
      <c r="K1137" s="23">
        <f ca="1">IFERROR(__xludf.DUMMYFUNCTION("""COMPUTED_VALUE"""),0)</f>
        <v>0</v>
      </c>
      <c r="L1137" s="23">
        <f ca="1">IFERROR(__xludf.DUMMYFUNCTION("""COMPUTED_VALUE"""),0)</f>
        <v>0</v>
      </c>
      <c r="M1137" s="23">
        <f ca="1">IFERROR(__xludf.DUMMYFUNCTION("""COMPUTED_VALUE"""),0)</f>
        <v>0</v>
      </c>
      <c r="N1137" s="23">
        <f ca="1">IFERROR(__xludf.DUMMYFUNCTION("""COMPUTED_VALUE"""),0)</f>
        <v>0</v>
      </c>
      <c r="O1137" s="23">
        <f ca="1">IFERROR(__xludf.DUMMYFUNCTION("""COMPUTED_VALUE"""),0)</f>
        <v>0</v>
      </c>
      <c r="P1137" s="23">
        <f ca="1">IFERROR(__xludf.DUMMYFUNCTION("""COMPUTED_VALUE"""),0)</f>
        <v>0</v>
      </c>
      <c r="Q1137" s="24">
        <f ca="1">IFERROR(__xludf.DUMMYFUNCTION("""COMPUTED_VALUE"""),0)</f>
        <v>0</v>
      </c>
      <c r="R1137" s="20"/>
    </row>
    <row r="1138" spans="1:18" ht="13.2" hidden="1" outlineLevel="1" x14ac:dyDescent="0.25">
      <c r="A1138" s="1"/>
      <c r="B1138" s="39" t="str">
        <f ca="1">IFERROR(__xludf.DUMMYFUNCTION("""COMPUTED_VALUE"""),"Coque de carbón")</f>
        <v>Coque de carbón</v>
      </c>
      <c r="C1138" s="22">
        <f ca="1">IFERROR(__xludf.DUMMYFUNCTION("""COMPUTED_VALUE"""),0)</f>
        <v>0</v>
      </c>
      <c r="D1138" s="23">
        <f ca="1">IFERROR(__xludf.DUMMYFUNCTION("""COMPUTED_VALUE"""),0)</f>
        <v>0</v>
      </c>
      <c r="E1138" s="23">
        <f ca="1">IFERROR(__xludf.DUMMYFUNCTION("""COMPUTED_VALUE"""),0)</f>
        <v>0</v>
      </c>
      <c r="F1138" s="23">
        <f ca="1">IFERROR(__xludf.DUMMYFUNCTION("""COMPUTED_VALUE"""),0)</f>
        <v>0</v>
      </c>
      <c r="G1138" s="23">
        <f ca="1">IFERROR(__xludf.DUMMYFUNCTION("""COMPUTED_VALUE"""),0)</f>
        <v>0</v>
      </c>
      <c r="H1138" s="23">
        <f ca="1">IFERROR(__xludf.DUMMYFUNCTION("""COMPUTED_VALUE"""),0)</f>
        <v>0</v>
      </c>
      <c r="I1138" s="23">
        <f ca="1">IFERROR(__xludf.DUMMYFUNCTION("""COMPUTED_VALUE"""),0)</f>
        <v>0</v>
      </c>
      <c r="J1138" s="23">
        <f ca="1">IFERROR(__xludf.DUMMYFUNCTION("""COMPUTED_VALUE"""),0)</f>
        <v>0</v>
      </c>
      <c r="K1138" s="23">
        <f ca="1">IFERROR(__xludf.DUMMYFUNCTION("""COMPUTED_VALUE"""),0)</f>
        <v>0</v>
      </c>
      <c r="L1138" s="23">
        <f ca="1">IFERROR(__xludf.DUMMYFUNCTION("""COMPUTED_VALUE"""),0)</f>
        <v>0</v>
      </c>
      <c r="M1138" s="23">
        <f ca="1">IFERROR(__xludf.DUMMYFUNCTION("""COMPUTED_VALUE"""),0)</f>
        <v>0</v>
      </c>
      <c r="N1138" s="23">
        <f ca="1">IFERROR(__xludf.DUMMYFUNCTION("""COMPUTED_VALUE"""),0)</f>
        <v>0</v>
      </c>
      <c r="O1138" s="23">
        <f ca="1">IFERROR(__xludf.DUMMYFUNCTION("""COMPUTED_VALUE"""),0)</f>
        <v>0</v>
      </c>
      <c r="P1138" s="23">
        <f ca="1">IFERROR(__xludf.DUMMYFUNCTION("""COMPUTED_VALUE"""),0)</f>
        <v>0</v>
      </c>
      <c r="Q1138" s="24">
        <f ca="1">IFERROR(__xludf.DUMMYFUNCTION("""COMPUTED_VALUE"""),0)</f>
        <v>0</v>
      </c>
      <c r="R1138" s="20"/>
    </row>
    <row r="1139" spans="1:18" ht="13.2" hidden="1" outlineLevel="1" x14ac:dyDescent="0.25">
      <c r="A1139" s="1"/>
      <c r="B1139" s="39" t="str">
        <f ca="1">IFERROR(__xludf.DUMMYFUNCTION("""COMPUTED_VALUE"""),"Coque de petróleo")</f>
        <v>Coque de petróleo</v>
      </c>
      <c r="C1139" s="22">
        <f ca="1">IFERROR(__xludf.DUMMYFUNCTION("""COMPUTED_VALUE"""),0)</f>
        <v>0</v>
      </c>
      <c r="D1139" s="23">
        <f ca="1">IFERROR(__xludf.DUMMYFUNCTION("""COMPUTED_VALUE"""),0)</f>
        <v>0</v>
      </c>
      <c r="E1139" s="23">
        <f ca="1">IFERROR(__xludf.DUMMYFUNCTION("""COMPUTED_VALUE"""),0)</f>
        <v>0</v>
      </c>
      <c r="F1139" s="23">
        <f ca="1">IFERROR(__xludf.DUMMYFUNCTION("""COMPUTED_VALUE"""),0)</f>
        <v>0</v>
      </c>
      <c r="G1139" s="23">
        <f ca="1">IFERROR(__xludf.DUMMYFUNCTION("""COMPUTED_VALUE"""),0)</f>
        <v>0</v>
      </c>
      <c r="H1139" s="23">
        <f ca="1">IFERROR(__xludf.DUMMYFUNCTION("""COMPUTED_VALUE"""),0)</f>
        <v>0</v>
      </c>
      <c r="I1139" s="23">
        <f ca="1">IFERROR(__xludf.DUMMYFUNCTION("""COMPUTED_VALUE"""),0)</f>
        <v>0</v>
      </c>
      <c r="J1139" s="23">
        <f ca="1">IFERROR(__xludf.DUMMYFUNCTION("""COMPUTED_VALUE"""),0)</f>
        <v>0</v>
      </c>
      <c r="K1139" s="23">
        <f ca="1">IFERROR(__xludf.DUMMYFUNCTION("""COMPUTED_VALUE"""),0)</f>
        <v>0</v>
      </c>
      <c r="L1139" s="23">
        <f ca="1">IFERROR(__xludf.DUMMYFUNCTION("""COMPUTED_VALUE"""),0)</f>
        <v>0</v>
      </c>
      <c r="M1139" s="23">
        <f ca="1">IFERROR(__xludf.DUMMYFUNCTION("""COMPUTED_VALUE"""),0)</f>
        <v>0</v>
      </c>
      <c r="N1139" s="23">
        <f ca="1">IFERROR(__xludf.DUMMYFUNCTION("""COMPUTED_VALUE"""),0)</f>
        <v>0</v>
      </c>
      <c r="O1139" s="23">
        <f ca="1">IFERROR(__xludf.DUMMYFUNCTION("""COMPUTED_VALUE"""),0)</f>
        <v>0</v>
      </c>
      <c r="P1139" s="23">
        <f ca="1">IFERROR(__xludf.DUMMYFUNCTION("""COMPUTED_VALUE"""),0)</f>
        <v>0</v>
      </c>
      <c r="Q1139" s="24">
        <f ca="1">IFERROR(__xludf.DUMMYFUNCTION("""COMPUTED_VALUE"""),0)</f>
        <v>0</v>
      </c>
      <c r="R1139" s="20"/>
    </row>
    <row r="1140" spans="1:18" ht="13.2" hidden="1" outlineLevel="1" x14ac:dyDescent="0.25">
      <c r="A1140" s="1"/>
      <c r="B1140" s="39" t="str">
        <f ca="1">IFERROR(__xludf.DUMMYFUNCTION("""COMPUTED_VALUE"""),"Gas licuado de petróleo")</f>
        <v>Gas licuado de petróleo</v>
      </c>
      <c r="C1140" s="22">
        <f ca="1">IFERROR(__xludf.DUMMYFUNCTION("""COMPUTED_VALUE"""),0)</f>
        <v>0</v>
      </c>
      <c r="D1140" s="23">
        <f ca="1">IFERROR(__xludf.DUMMYFUNCTION("""COMPUTED_VALUE"""),0)</f>
        <v>0</v>
      </c>
      <c r="E1140" s="23">
        <f ca="1">IFERROR(__xludf.DUMMYFUNCTION("""COMPUTED_VALUE"""),0)</f>
        <v>0</v>
      </c>
      <c r="F1140" s="23">
        <f ca="1">IFERROR(__xludf.DUMMYFUNCTION("""COMPUTED_VALUE"""),0)</f>
        <v>0</v>
      </c>
      <c r="G1140" s="23">
        <f ca="1">IFERROR(__xludf.DUMMYFUNCTION("""COMPUTED_VALUE"""),0)</f>
        <v>0</v>
      </c>
      <c r="H1140" s="23">
        <f ca="1">IFERROR(__xludf.DUMMYFUNCTION("""COMPUTED_VALUE"""),0)</f>
        <v>0</v>
      </c>
      <c r="I1140" s="23">
        <f ca="1">IFERROR(__xludf.DUMMYFUNCTION("""COMPUTED_VALUE"""),0)</f>
        <v>0</v>
      </c>
      <c r="J1140" s="23">
        <f ca="1">IFERROR(__xludf.DUMMYFUNCTION("""COMPUTED_VALUE"""),0)</f>
        <v>0</v>
      </c>
      <c r="K1140" s="23">
        <f ca="1">IFERROR(__xludf.DUMMYFUNCTION("""COMPUTED_VALUE"""),0)</f>
        <v>0</v>
      </c>
      <c r="L1140" s="23">
        <f ca="1">IFERROR(__xludf.DUMMYFUNCTION("""COMPUTED_VALUE"""),0)</f>
        <v>0</v>
      </c>
      <c r="M1140" s="23">
        <f ca="1">IFERROR(__xludf.DUMMYFUNCTION("""COMPUTED_VALUE"""),0)</f>
        <v>0</v>
      </c>
      <c r="N1140" s="23">
        <f ca="1">IFERROR(__xludf.DUMMYFUNCTION("""COMPUTED_VALUE"""),0)</f>
        <v>0</v>
      </c>
      <c r="O1140" s="23">
        <f ca="1">IFERROR(__xludf.DUMMYFUNCTION("""COMPUTED_VALUE"""),0)</f>
        <v>0</v>
      </c>
      <c r="P1140" s="23">
        <f ca="1">IFERROR(__xludf.DUMMYFUNCTION("""COMPUTED_VALUE"""),0)</f>
        <v>0</v>
      </c>
      <c r="Q1140" s="24">
        <f ca="1">IFERROR(__xludf.DUMMYFUNCTION("""COMPUTED_VALUE"""),0)</f>
        <v>0</v>
      </c>
      <c r="R1140" s="20"/>
    </row>
    <row r="1141" spans="1:18" ht="13.2" hidden="1" outlineLevel="1" x14ac:dyDescent="0.25">
      <c r="A1141" s="1"/>
      <c r="B1141" s="39" t="str">
        <f ca="1">IFERROR(__xludf.DUMMYFUNCTION("""COMPUTED_VALUE"""),"Gasolinas y naftas")</f>
        <v>Gasolinas y naftas</v>
      </c>
      <c r="C1141" s="22">
        <f ca="1">IFERROR(__xludf.DUMMYFUNCTION("""COMPUTED_VALUE"""),0)</f>
        <v>0</v>
      </c>
      <c r="D1141" s="23">
        <f ca="1">IFERROR(__xludf.DUMMYFUNCTION("""COMPUTED_VALUE"""),0)</f>
        <v>0</v>
      </c>
      <c r="E1141" s="23">
        <f ca="1">IFERROR(__xludf.DUMMYFUNCTION("""COMPUTED_VALUE"""),0)</f>
        <v>0</v>
      </c>
      <c r="F1141" s="23">
        <f ca="1">IFERROR(__xludf.DUMMYFUNCTION("""COMPUTED_VALUE"""),0)</f>
        <v>0</v>
      </c>
      <c r="G1141" s="23">
        <f ca="1">IFERROR(__xludf.DUMMYFUNCTION("""COMPUTED_VALUE"""),0)</f>
        <v>0</v>
      </c>
      <c r="H1141" s="23">
        <f ca="1">IFERROR(__xludf.DUMMYFUNCTION("""COMPUTED_VALUE"""),0)</f>
        <v>0</v>
      </c>
      <c r="I1141" s="23">
        <f ca="1">IFERROR(__xludf.DUMMYFUNCTION("""COMPUTED_VALUE"""),0)</f>
        <v>0</v>
      </c>
      <c r="J1141" s="23">
        <f ca="1">IFERROR(__xludf.DUMMYFUNCTION("""COMPUTED_VALUE"""),0)</f>
        <v>0</v>
      </c>
      <c r="K1141" s="23">
        <f ca="1">IFERROR(__xludf.DUMMYFUNCTION("""COMPUTED_VALUE"""),0)</f>
        <v>0</v>
      </c>
      <c r="L1141" s="23">
        <f ca="1">IFERROR(__xludf.DUMMYFUNCTION("""COMPUTED_VALUE"""),0)</f>
        <v>0</v>
      </c>
      <c r="M1141" s="23">
        <f ca="1">IFERROR(__xludf.DUMMYFUNCTION("""COMPUTED_VALUE"""),0)</f>
        <v>0</v>
      </c>
      <c r="N1141" s="23">
        <f ca="1">IFERROR(__xludf.DUMMYFUNCTION("""COMPUTED_VALUE"""),0)</f>
        <v>0</v>
      </c>
      <c r="O1141" s="23">
        <f ca="1">IFERROR(__xludf.DUMMYFUNCTION("""COMPUTED_VALUE"""),0)</f>
        <v>0</v>
      </c>
      <c r="P1141" s="23">
        <f ca="1">IFERROR(__xludf.DUMMYFUNCTION("""COMPUTED_VALUE"""),0)</f>
        <v>0</v>
      </c>
      <c r="Q1141" s="24">
        <f ca="1">IFERROR(__xludf.DUMMYFUNCTION("""COMPUTED_VALUE"""),0)</f>
        <v>0</v>
      </c>
      <c r="R1141" s="20"/>
    </row>
    <row r="1142" spans="1:18" ht="13.2" hidden="1" outlineLevel="1" x14ac:dyDescent="0.25">
      <c r="A1142" s="1"/>
      <c r="B1142" s="39" t="str">
        <f ca="1">IFERROR(__xludf.DUMMYFUNCTION("""COMPUTED_VALUE"""),"Querosenos")</f>
        <v>Querosenos</v>
      </c>
      <c r="C1142" s="22">
        <f ca="1">IFERROR(__xludf.DUMMYFUNCTION("""COMPUTED_VALUE"""),0)</f>
        <v>0</v>
      </c>
      <c r="D1142" s="23">
        <f ca="1">IFERROR(__xludf.DUMMYFUNCTION("""COMPUTED_VALUE"""),0)</f>
        <v>0</v>
      </c>
      <c r="E1142" s="23">
        <f ca="1">IFERROR(__xludf.DUMMYFUNCTION("""COMPUTED_VALUE"""),0)</f>
        <v>0</v>
      </c>
      <c r="F1142" s="23">
        <f ca="1">IFERROR(__xludf.DUMMYFUNCTION("""COMPUTED_VALUE"""),0)</f>
        <v>0</v>
      </c>
      <c r="G1142" s="23">
        <f ca="1">IFERROR(__xludf.DUMMYFUNCTION("""COMPUTED_VALUE"""),0)</f>
        <v>0</v>
      </c>
      <c r="H1142" s="23">
        <f ca="1">IFERROR(__xludf.DUMMYFUNCTION("""COMPUTED_VALUE"""),0)</f>
        <v>0</v>
      </c>
      <c r="I1142" s="23">
        <f ca="1">IFERROR(__xludf.DUMMYFUNCTION("""COMPUTED_VALUE"""),0)</f>
        <v>0</v>
      </c>
      <c r="J1142" s="23">
        <f ca="1">IFERROR(__xludf.DUMMYFUNCTION("""COMPUTED_VALUE"""),0)</f>
        <v>0</v>
      </c>
      <c r="K1142" s="23">
        <f ca="1">IFERROR(__xludf.DUMMYFUNCTION("""COMPUTED_VALUE"""),0)</f>
        <v>0</v>
      </c>
      <c r="L1142" s="23">
        <f ca="1">IFERROR(__xludf.DUMMYFUNCTION("""COMPUTED_VALUE"""),0)</f>
        <v>0</v>
      </c>
      <c r="M1142" s="23">
        <f ca="1">IFERROR(__xludf.DUMMYFUNCTION("""COMPUTED_VALUE"""),0)</f>
        <v>0</v>
      </c>
      <c r="N1142" s="23">
        <f ca="1">IFERROR(__xludf.DUMMYFUNCTION("""COMPUTED_VALUE"""),0)</f>
        <v>0</v>
      </c>
      <c r="O1142" s="23">
        <f ca="1">IFERROR(__xludf.DUMMYFUNCTION("""COMPUTED_VALUE"""),0)</f>
        <v>0</v>
      </c>
      <c r="P1142" s="23">
        <f ca="1">IFERROR(__xludf.DUMMYFUNCTION("""COMPUTED_VALUE"""),0)</f>
        <v>0</v>
      </c>
      <c r="Q1142" s="24">
        <f ca="1">IFERROR(__xludf.DUMMYFUNCTION("""COMPUTED_VALUE"""),0)</f>
        <v>0</v>
      </c>
      <c r="R1142" s="20"/>
    </row>
    <row r="1143" spans="1:18" ht="13.2" hidden="1" outlineLevel="1" x14ac:dyDescent="0.25">
      <c r="A1143" s="1"/>
      <c r="B1143" s="39" t="str">
        <f ca="1">IFERROR(__xludf.DUMMYFUNCTION("""COMPUTED_VALUE"""),"Diesel")</f>
        <v>Diesel</v>
      </c>
      <c r="C1143" s="22">
        <f ca="1">IFERROR(__xludf.DUMMYFUNCTION("""COMPUTED_VALUE"""),1.94165679128978)</f>
        <v>1.94165679128978</v>
      </c>
      <c r="D1143" s="23">
        <f ca="1">IFERROR(__xludf.DUMMYFUNCTION("""COMPUTED_VALUE"""),3.05544617422148)</f>
        <v>3.0554461742214798</v>
      </c>
      <c r="E1143" s="23">
        <f ca="1">IFERROR(__xludf.DUMMYFUNCTION("""COMPUTED_VALUE"""),4.23385646817253)</f>
        <v>4.2338564681725304</v>
      </c>
      <c r="F1143" s="23">
        <f ca="1">IFERROR(__xludf.DUMMYFUNCTION("""COMPUTED_VALUE"""),2.27849971164945)</f>
        <v>2.2784997116494501</v>
      </c>
      <c r="G1143" s="23">
        <f ca="1">IFERROR(__xludf.DUMMYFUNCTION("""COMPUTED_VALUE"""),2.40974201341279)</f>
        <v>2.40974201341279</v>
      </c>
      <c r="H1143" s="23">
        <f ca="1">IFERROR(__xludf.DUMMYFUNCTION("""COMPUTED_VALUE"""),3.86558662691801)</f>
        <v>3.8655866269180099</v>
      </c>
      <c r="I1143" s="23">
        <f ca="1">IFERROR(__xludf.DUMMYFUNCTION("""COMPUTED_VALUE"""),3.5379379027027)</f>
        <v>3.5379379027027</v>
      </c>
      <c r="J1143" s="23">
        <f ca="1">IFERROR(__xludf.DUMMYFUNCTION("""COMPUTED_VALUE"""),2.38188915345076)</f>
        <v>2.3818891534507598</v>
      </c>
      <c r="K1143" s="23">
        <f ca="1">IFERROR(__xludf.DUMMYFUNCTION("""COMPUTED_VALUE"""),3.80773416735134)</f>
        <v>3.8077341673513398</v>
      </c>
      <c r="L1143" s="23">
        <f ca="1">IFERROR(__xludf.DUMMYFUNCTION("""COMPUTED_VALUE"""),3.54539076165039)</f>
        <v>3.5453907616503901</v>
      </c>
      <c r="M1143" s="23">
        <f ca="1">IFERROR(__xludf.DUMMYFUNCTION("""COMPUTED_VALUE"""),3.67364076604683)</f>
        <v>3.6736407660468302</v>
      </c>
      <c r="N1143" s="23">
        <f ca="1">IFERROR(__xludf.DUMMYFUNCTION("""COMPUTED_VALUE"""),1.33473171512871)</f>
        <v>1.3347317151287099</v>
      </c>
      <c r="O1143" s="23">
        <f ca="1">IFERROR(__xludf.DUMMYFUNCTION("""COMPUTED_VALUE"""),1.65096014149854)</f>
        <v>1.65096014149854</v>
      </c>
      <c r="P1143" s="23">
        <f ca="1">IFERROR(__xludf.DUMMYFUNCTION("""COMPUTED_VALUE"""),1.7324957591092)</f>
        <v>1.7324957591092001</v>
      </c>
      <c r="Q1143" s="24">
        <f ca="1">IFERROR(__xludf.DUMMYFUNCTION("""COMPUTED_VALUE"""),2.7657194270925)</f>
        <v>2.7657194270924998</v>
      </c>
      <c r="R1143" s="20"/>
    </row>
    <row r="1144" spans="1:18" ht="13.2" hidden="1" outlineLevel="1" x14ac:dyDescent="0.25">
      <c r="A1144" s="1"/>
      <c r="B1144" s="39" t="str">
        <f ca="1">IFERROR(__xludf.DUMMYFUNCTION("""COMPUTED_VALUE"""),"Combustóleo")</f>
        <v>Combustóleo</v>
      </c>
      <c r="C1144" s="22">
        <f ca="1">IFERROR(__xludf.DUMMYFUNCTION("""COMPUTED_VALUE"""),0)</f>
        <v>0</v>
      </c>
      <c r="D1144" s="23">
        <f ca="1">IFERROR(__xludf.DUMMYFUNCTION("""COMPUTED_VALUE"""),0)</f>
        <v>0</v>
      </c>
      <c r="E1144" s="23">
        <f ca="1">IFERROR(__xludf.DUMMYFUNCTION("""COMPUTED_VALUE"""),0)</f>
        <v>0</v>
      </c>
      <c r="F1144" s="23">
        <f ca="1">IFERROR(__xludf.DUMMYFUNCTION("""COMPUTED_VALUE"""),0)</f>
        <v>0</v>
      </c>
      <c r="G1144" s="23">
        <f ca="1">IFERROR(__xludf.DUMMYFUNCTION("""COMPUTED_VALUE"""),0)</f>
        <v>0</v>
      </c>
      <c r="H1144" s="23">
        <f ca="1">IFERROR(__xludf.DUMMYFUNCTION("""COMPUTED_VALUE"""),0)</f>
        <v>0</v>
      </c>
      <c r="I1144" s="23">
        <f ca="1">IFERROR(__xludf.DUMMYFUNCTION("""COMPUTED_VALUE"""),0)</f>
        <v>0</v>
      </c>
      <c r="J1144" s="23">
        <f ca="1">IFERROR(__xludf.DUMMYFUNCTION("""COMPUTED_VALUE"""),0)</f>
        <v>0</v>
      </c>
      <c r="K1144" s="23">
        <f ca="1">IFERROR(__xludf.DUMMYFUNCTION("""COMPUTED_VALUE"""),0)</f>
        <v>0</v>
      </c>
      <c r="L1144" s="23">
        <f ca="1">IFERROR(__xludf.DUMMYFUNCTION("""COMPUTED_VALUE"""),0)</f>
        <v>0</v>
      </c>
      <c r="M1144" s="23">
        <f ca="1">IFERROR(__xludf.DUMMYFUNCTION("""COMPUTED_VALUE"""),0)</f>
        <v>0</v>
      </c>
      <c r="N1144" s="23">
        <f ca="1">IFERROR(__xludf.DUMMYFUNCTION("""COMPUTED_VALUE"""),0)</f>
        <v>0</v>
      </c>
      <c r="O1144" s="23">
        <f ca="1">IFERROR(__xludf.DUMMYFUNCTION("""COMPUTED_VALUE"""),0)</f>
        <v>0</v>
      </c>
      <c r="P1144" s="23">
        <f ca="1">IFERROR(__xludf.DUMMYFUNCTION("""COMPUTED_VALUE"""),0)</f>
        <v>0</v>
      </c>
      <c r="Q1144" s="24">
        <f ca="1">IFERROR(__xludf.DUMMYFUNCTION("""COMPUTED_VALUE"""),0)</f>
        <v>0</v>
      </c>
      <c r="R1144" s="20"/>
    </row>
    <row r="1145" spans="1:18" ht="13.2" hidden="1" outlineLevel="1" x14ac:dyDescent="0.25">
      <c r="A1145" s="1"/>
      <c r="B1145" s="39" t="str">
        <f ca="1">IFERROR(__xludf.DUMMYFUNCTION("""COMPUTED_VALUE"""),"Otros energéticos")</f>
        <v>Otros energéticos</v>
      </c>
      <c r="C1145" s="22">
        <f ca="1">IFERROR(__xludf.DUMMYFUNCTION("""COMPUTED_VALUE"""),0)</f>
        <v>0</v>
      </c>
      <c r="D1145" s="23">
        <f ca="1">IFERROR(__xludf.DUMMYFUNCTION("""COMPUTED_VALUE"""),0)</f>
        <v>0</v>
      </c>
      <c r="E1145" s="23">
        <f ca="1">IFERROR(__xludf.DUMMYFUNCTION("""COMPUTED_VALUE"""),0)</f>
        <v>0</v>
      </c>
      <c r="F1145" s="23">
        <f ca="1">IFERROR(__xludf.DUMMYFUNCTION("""COMPUTED_VALUE"""),0)</f>
        <v>0</v>
      </c>
      <c r="G1145" s="23">
        <f ca="1">IFERROR(__xludf.DUMMYFUNCTION("""COMPUTED_VALUE"""),0)</f>
        <v>0</v>
      </c>
      <c r="H1145" s="23">
        <f ca="1">IFERROR(__xludf.DUMMYFUNCTION("""COMPUTED_VALUE"""),0)</f>
        <v>0</v>
      </c>
      <c r="I1145" s="23">
        <f ca="1">IFERROR(__xludf.DUMMYFUNCTION("""COMPUTED_VALUE"""),0)</f>
        <v>0</v>
      </c>
      <c r="J1145" s="23">
        <f ca="1">IFERROR(__xludf.DUMMYFUNCTION("""COMPUTED_VALUE"""),0)</f>
        <v>0</v>
      </c>
      <c r="K1145" s="23">
        <f ca="1">IFERROR(__xludf.DUMMYFUNCTION("""COMPUTED_VALUE"""),0)</f>
        <v>0</v>
      </c>
      <c r="L1145" s="23">
        <f ca="1">IFERROR(__xludf.DUMMYFUNCTION("""COMPUTED_VALUE"""),0)</f>
        <v>0</v>
      </c>
      <c r="M1145" s="23">
        <f ca="1">IFERROR(__xludf.DUMMYFUNCTION("""COMPUTED_VALUE"""),0)</f>
        <v>0</v>
      </c>
      <c r="N1145" s="23">
        <f ca="1">IFERROR(__xludf.DUMMYFUNCTION("""COMPUTED_VALUE"""),0)</f>
        <v>0</v>
      </c>
      <c r="O1145" s="23">
        <f ca="1">IFERROR(__xludf.DUMMYFUNCTION("""COMPUTED_VALUE"""),0)</f>
        <v>0</v>
      </c>
      <c r="P1145" s="23">
        <f ca="1">IFERROR(__xludf.DUMMYFUNCTION("""COMPUTED_VALUE"""),0)</f>
        <v>0</v>
      </c>
      <c r="Q1145" s="24">
        <f ca="1">IFERROR(__xludf.DUMMYFUNCTION("""COMPUTED_VALUE"""),0)</f>
        <v>0</v>
      </c>
      <c r="R1145" s="20"/>
    </row>
    <row r="1146" spans="1:18" ht="13.2" hidden="1" outlineLevel="1" x14ac:dyDescent="0.25">
      <c r="A1146" s="1"/>
      <c r="B1146" s="39" t="str">
        <f ca="1">IFERROR(__xludf.DUMMYFUNCTION("""COMPUTED_VALUE"""),"Gas natural seco")</f>
        <v>Gas natural seco</v>
      </c>
      <c r="C1146" s="22">
        <f ca="1">IFERROR(__xludf.DUMMYFUNCTION("""COMPUTED_VALUE"""),0)</f>
        <v>0</v>
      </c>
      <c r="D1146" s="23">
        <f ca="1">IFERROR(__xludf.DUMMYFUNCTION("""COMPUTED_VALUE"""),0)</f>
        <v>0</v>
      </c>
      <c r="E1146" s="23">
        <f ca="1">IFERROR(__xludf.DUMMYFUNCTION("""COMPUTED_VALUE"""),0)</f>
        <v>0</v>
      </c>
      <c r="F1146" s="23">
        <f ca="1">IFERROR(__xludf.DUMMYFUNCTION("""COMPUTED_VALUE"""),0)</f>
        <v>0</v>
      </c>
      <c r="G1146" s="23">
        <f ca="1">IFERROR(__xludf.DUMMYFUNCTION("""COMPUTED_VALUE"""),0)</f>
        <v>0</v>
      </c>
      <c r="H1146" s="23">
        <f ca="1">IFERROR(__xludf.DUMMYFUNCTION("""COMPUTED_VALUE"""),0)</f>
        <v>0</v>
      </c>
      <c r="I1146" s="23">
        <f ca="1">IFERROR(__xludf.DUMMYFUNCTION("""COMPUTED_VALUE"""),0)</f>
        <v>0</v>
      </c>
      <c r="J1146" s="23">
        <f ca="1">IFERROR(__xludf.DUMMYFUNCTION("""COMPUTED_VALUE"""),0)</f>
        <v>0</v>
      </c>
      <c r="K1146" s="23">
        <f ca="1">IFERROR(__xludf.DUMMYFUNCTION("""COMPUTED_VALUE"""),0)</f>
        <v>0</v>
      </c>
      <c r="L1146" s="23">
        <f ca="1">IFERROR(__xludf.DUMMYFUNCTION("""COMPUTED_VALUE"""),0)</f>
        <v>0</v>
      </c>
      <c r="M1146" s="23">
        <f ca="1">IFERROR(__xludf.DUMMYFUNCTION("""COMPUTED_VALUE"""),0)</f>
        <v>0</v>
      </c>
      <c r="N1146" s="23">
        <f ca="1">IFERROR(__xludf.DUMMYFUNCTION("""COMPUTED_VALUE"""),0)</f>
        <v>0</v>
      </c>
      <c r="O1146" s="23">
        <f ca="1">IFERROR(__xludf.DUMMYFUNCTION("""COMPUTED_VALUE"""),0)</f>
        <v>0</v>
      </c>
      <c r="P1146" s="23">
        <f ca="1">IFERROR(__xludf.DUMMYFUNCTION("""COMPUTED_VALUE"""),0)</f>
        <v>0</v>
      </c>
      <c r="Q1146" s="24">
        <f ca="1">IFERROR(__xludf.DUMMYFUNCTION("""COMPUTED_VALUE"""),0)</f>
        <v>0</v>
      </c>
      <c r="R1146" s="20"/>
    </row>
    <row r="1147" spans="1:18" ht="13.2" hidden="1" outlineLevel="1" x14ac:dyDescent="0.25">
      <c r="A1147" s="1"/>
      <c r="B1147" s="40" t="str">
        <f ca="1">IFERROR(__xludf.DUMMYFUNCTION("""COMPUTED_VALUE"""),"Energía eléctrica")</f>
        <v>Energía eléctrica</v>
      </c>
      <c r="C1147" s="26">
        <f ca="1">IFERROR(__xludf.DUMMYFUNCTION("""COMPUTED_VALUE"""),0.931952715815715)</f>
        <v>0.93195271581571504</v>
      </c>
      <c r="D1147" s="27">
        <f ca="1">IFERROR(__xludf.DUMMYFUNCTION("""COMPUTED_VALUE"""),0.641561559903243)</f>
        <v>0.64156155990324304</v>
      </c>
      <c r="E1147" s="27">
        <f ca="1">IFERROR(__xludf.DUMMYFUNCTION("""COMPUTED_VALUE"""),1.07869497833724)</f>
        <v>1.0786949783372399</v>
      </c>
      <c r="F1147" s="27">
        <f ca="1">IFERROR(__xludf.DUMMYFUNCTION("""COMPUTED_VALUE"""),0.637834713256063)</f>
        <v>0.637834713256063</v>
      </c>
      <c r="G1147" s="27">
        <f ca="1">IFERROR(__xludf.DUMMYFUNCTION("""COMPUTED_VALUE"""),0.72239989064628)</f>
        <v>0.72239989064627996</v>
      </c>
      <c r="H1147" s="27">
        <f ca="1">IFERROR(__xludf.DUMMYFUNCTION("""COMPUTED_VALUE"""),0.749339699991922)</f>
        <v>0.74933969999192196</v>
      </c>
      <c r="I1147" s="27">
        <f ca="1">IFERROR(__xludf.DUMMYFUNCTION("""COMPUTED_VALUE"""),0.781600207746604)</f>
        <v>0.78160020774660399</v>
      </c>
      <c r="J1147" s="27">
        <f ca="1">IFERROR(__xludf.DUMMYFUNCTION("""COMPUTED_VALUE"""),0.75847763658646)</f>
        <v>0.75847763658645995</v>
      </c>
      <c r="K1147" s="27">
        <f ca="1">IFERROR(__xludf.DUMMYFUNCTION("""COMPUTED_VALUE"""),0.655272179888444)</f>
        <v>0.655272179888444</v>
      </c>
      <c r="L1147" s="27">
        <f ca="1">IFERROR(__xludf.DUMMYFUNCTION("""COMPUTED_VALUE"""),0.836976743754856)</f>
        <v>0.83697674375485598</v>
      </c>
      <c r="M1147" s="27">
        <f ca="1">IFERROR(__xludf.DUMMYFUNCTION("""COMPUTED_VALUE"""),0.732607754846495)</f>
        <v>0.73260775484649499</v>
      </c>
      <c r="N1147" s="27">
        <f ca="1">IFERROR(__xludf.DUMMYFUNCTION("""COMPUTED_VALUE"""),1.90497109654648)</f>
        <v>1.9049710965464799</v>
      </c>
      <c r="O1147" s="27">
        <f ca="1">IFERROR(__xludf.DUMMYFUNCTION("""COMPUTED_VALUE"""),1.04600261965438)</f>
        <v>1.0460026196543799</v>
      </c>
      <c r="P1147" s="27">
        <f ca="1">IFERROR(__xludf.DUMMYFUNCTION("""COMPUTED_VALUE"""),1.6906451576779)</f>
        <v>1.6906451576779</v>
      </c>
      <c r="Q1147" s="28">
        <f ca="1">IFERROR(__xludf.DUMMYFUNCTION("""COMPUTED_VALUE"""),1.77552537035807)</f>
        <v>1.77552537035807</v>
      </c>
      <c r="R1147" s="20"/>
    </row>
    <row r="1148" spans="1:18" ht="13.2" collapsed="1" x14ac:dyDescent="0.25">
      <c r="A1148" s="1"/>
      <c r="B1148" s="31" t="str">
        <f ca="1">IFERROR(__xludf.DUMMYFUNCTION("""COMPUTED_VALUE"""),"238	Trabajos especializados para la construcción")</f>
        <v>238	Trabajos especializados para la construcción</v>
      </c>
      <c r="C1148" s="41"/>
      <c r="D1148" s="42"/>
      <c r="E1148" s="41"/>
      <c r="F1148" s="41"/>
      <c r="G1148" s="43"/>
      <c r="H1148" s="44"/>
      <c r="I1148" s="45"/>
      <c r="J1148" s="45"/>
      <c r="K1148" s="45"/>
      <c r="L1148" s="45"/>
      <c r="M1148" s="45"/>
      <c r="N1148" s="45"/>
      <c r="O1148" s="45"/>
      <c r="P1148" s="45"/>
      <c r="Q1148" s="45"/>
      <c r="R1148" s="10"/>
    </row>
    <row r="1149" spans="1:18" ht="13.2" hidden="1" outlineLevel="1" x14ac:dyDescent="0.25">
      <c r="A1149" s="1"/>
      <c r="B1149" s="46"/>
      <c r="C1149" s="35">
        <f ca="1">IFERROR(__xludf.DUMMYFUNCTION("""COMPUTED_VALUE"""),2010)</f>
        <v>2010</v>
      </c>
      <c r="D1149" s="36">
        <f ca="1">IFERROR(__xludf.DUMMYFUNCTION("""COMPUTED_VALUE"""),2011)</f>
        <v>2011</v>
      </c>
      <c r="E1149" s="36">
        <f ca="1">IFERROR(__xludf.DUMMYFUNCTION("""COMPUTED_VALUE"""),2012)</f>
        <v>2012</v>
      </c>
      <c r="F1149" s="36">
        <f ca="1">IFERROR(__xludf.DUMMYFUNCTION("""COMPUTED_VALUE"""),2013)</f>
        <v>2013</v>
      </c>
      <c r="G1149" s="36">
        <f ca="1">IFERROR(__xludf.DUMMYFUNCTION("""COMPUTED_VALUE"""),2014)</f>
        <v>2014</v>
      </c>
      <c r="H1149" s="36">
        <f ca="1">IFERROR(__xludf.DUMMYFUNCTION("""COMPUTED_VALUE"""),2015)</f>
        <v>2015</v>
      </c>
      <c r="I1149" s="36">
        <f ca="1">IFERROR(__xludf.DUMMYFUNCTION("""COMPUTED_VALUE"""),2016)</f>
        <v>2016</v>
      </c>
      <c r="J1149" s="36">
        <f ca="1">IFERROR(__xludf.DUMMYFUNCTION("""COMPUTED_VALUE"""),2017)</f>
        <v>2017</v>
      </c>
      <c r="K1149" s="36">
        <f ca="1">IFERROR(__xludf.DUMMYFUNCTION("""COMPUTED_VALUE"""),2018)</f>
        <v>2018</v>
      </c>
      <c r="L1149" s="36">
        <f ca="1">IFERROR(__xludf.DUMMYFUNCTION("""COMPUTED_VALUE"""),2019)</f>
        <v>2019</v>
      </c>
      <c r="M1149" s="36">
        <f ca="1">IFERROR(__xludf.DUMMYFUNCTION("""COMPUTED_VALUE"""),2020)</f>
        <v>2020</v>
      </c>
      <c r="N1149" s="36">
        <f ca="1">IFERROR(__xludf.DUMMYFUNCTION("""COMPUTED_VALUE"""),2021)</f>
        <v>2021</v>
      </c>
      <c r="O1149" s="36">
        <f ca="1">IFERROR(__xludf.DUMMYFUNCTION("""COMPUTED_VALUE"""),2022)</f>
        <v>2022</v>
      </c>
      <c r="P1149" s="36">
        <f ca="1">IFERROR(__xludf.DUMMYFUNCTION("""COMPUTED_VALUE"""),2023)</f>
        <v>2023</v>
      </c>
      <c r="Q1149" s="37">
        <f ca="1">IFERROR(__xludf.DUMMYFUNCTION("""COMPUTED_VALUE"""),2024)</f>
        <v>2024</v>
      </c>
      <c r="R1149" s="15"/>
    </row>
    <row r="1150" spans="1:18" ht="13.2" hidden="1" outlineLevel="1" x14ac:dyDescent="0.25">
      <c r="A1150" s="1"/>
      <c r="B1150" s="38" t="str">
        <f ca="1">IFERROR(__xludf.DUMMYFUNCTION("""COMPUTED_VALUE"""),"Carbón mineral")</f>
        <v>Carbón mineral</v>
      </c>
      <c r="C1150" s="17">
        <f ca="1">IFERROR(__xludf.DUMMYFUNCTION("""COMPUTED_VALUE"""),0)</f>
        <v>0</v>
      </c>
      <c r="D1150" s="18">
        <f ca="1">IFERROR(__xludf.DUMMYFUNCTION("""COMPUTED_VALUE"""),0)</f>
        <v>0</v>
      </c>
      <c r="E1150" s="18">
        <f ca="1">IFERROR(__xludf.DUMMYFUNCTION("""COMPUTED_VALUE"""),0)</f>
        <v>0</v>
      </c>
      <c r="F1150" s="18">
        <f ca="1">IFERROR(__xludf.DUMMYFUNCTION("""COMPUTED_VALUE"""),0)</f>
        <v>0</v>
      </c>
      <c r="G1150" s="18">
        <f ca="1">IFERROR(__xludf.DUMMYFUNCTION("""COMPUTED_VALUE"""),0)</f>
        <v>0</v>
      </c>
      <c r="H1150" s="18">
        <f ca="1">IFERROR(__xludf.DUMMYFUNCTION("""COMPUTED_VALUE"""),0)</f>
        <v>0</v>
      </c>
      <c r="I1150" s="18">
        <f ca="1">IFERROR(__xludf.DUMMYFUNCTION("""COMPUTED_VALUE"""),0)</f>
        <v>0</v>
      </c>
      <c r="J1150" s="18">
        <f ca="1">IFERROR(__xludf.DUMMYFUNCTION("""COMPUTED_VALUE"""),0)</f>
        <v>0</v>
      </c>
      <c r="K1150" s="18">
        <f ca="1">IFERROR(__xludf.DUMMYFUNCTION("""COMPUTED_VALUE"""),0)</f>
        <v>0</v>
      </c>
      <c r="L1150" s="18">
        <f ca="1">IFERROR(__xludf.DUMMYFUNCTION("""COMPUTED_VALUE"""),0)</f>
        <v>0</v>
      </c>
      <c r="M1150" s="18">
        <f ca="1">IFERROR(__xludf.DUMMYFUNCTION("""COMPUTED_VALUE"""),0)</f>
        <v>0</v>
      </c>
      <c r="N1150" s="18">
        <f ca="1">IFERROR(__xludf.DUMMYFUNCTION("""COMPUTED_VALUE"""),0)</f>
        <v>0</v>
      </c>
      <c r="O1150" s="18">
        <f ca="1">IFERROR(__xludf.DUMMYFUNCTION("""COMPUTED_VALUE"""),0)</f>
        <v>0</v>
      </c>
      <c r="P1150" s="18">
        <f ca="1">IFERROR(__xludf.DUMMYFUNCTION("""COMPUTED_VALUE"""),0)</f>
        <v>0</v>
      </c>
      <c r="Q1150" s="19">
        <f ca="1">IFERROR(__xludf.DUMMYFUNCTION("""COMPUTED_VALUE"""),0)</f>
        <v>0</v>
      </c>
      <c r="R1150" s="20"/>
    </row>
    <row r="1151" spans="1:18" ht="13.2" hidden="1" outlineLevel="1" x14ac:dyDescent="0.25">
      <c r="A1151" s="1"/>
      <c r="B1151" s="39" t="str">
        <f ca="1">IFERROR(__xludf.DUMMYFUNCTION("""COMPUTED_VALUE"""),"Petróleo crudo")</f>
        <v>Petróleo crudo</v>
      </c>
      <c r="C1151" s="22">
        <f ca="1">IFERROR(__xludf.DUMMYFUNCTION("""COMPUTED_VALUE"""),0)</f>
        <v>0</v>
      </c>
      <c r="D1151" s="23">
        <f ca="1">IFERROR(__xludf.DUMMYFUNCTION("""COMPUTED_VALUE"""),0)</f>
        <v>0</v>
      </c>
      <c r="E1151" s="23">
        <f ca="1">IFERROR(__xludf.DUMMYFUNCTION("""COMPUTED_VALUE"""),0)</f>
        <v>0</v>
      </c>
      <c r="F1151" s="23">
        <f ca="1">IFERROR(__xludf.DUMMYFUNCTION("""COMPUTED_VALUE"""),0)</f>
        <v>0</v>
      </c>
      <c r="G1151" s="23">
        <f ca="1">IFERROR(__xludf.DUMMYFUNCTION("""COMPUTED_VALUE"""),0)</f>
        <v>0</v>
      </c>
      <c r="H1151" s="23">
        <f ca="1">IFERROR(__xludf.DUMMYFUNCTION("""COMPUTED_VALUE"""),0)</f>
        <v>0</v>
      </c>
      <c r="I1151" s="23">
        <f ca="1">IFERROR(__xludf.DUMMYFUNCTION("""COMPUTED_VALUE"""),0)</f>
        <v>0</v>
      </c>
      <c r="J1151" s="23">
        <f ca="1">IFERROR(__xludf.DUMMYFUNCTION("""COMPUTED_VALUE"""),0)</f>
        <v>0</v>
      </c>
      <c r="K1151" s="23">
        <f ca="1">IFERROR(__xludf.DUMMYFUNCTION("""COMPUTED_VALUE"""),0)</f>
        <v>0</v>
      </c>
      <c r="L1151" s="23">
        <f ca="1">IFERROR(__xludf.DUMMYFUNCTION("""COMPUTED_VALUE"""),0)</f>
        <v>0</v>
      </c>
      <c r="M1151" s="23">
        <f ca="1">IFERROR(__xludf.DUMMYFUNCTION("""COMPUTED_VALUE"""),0)</f>
        <v>0</v>
      </c>
      <c r="N1151" s="23">
        <f ca="1">IFERROR(__xludf.DUMMYFUNCTION("""COMPUTED_VALUE"""),0)</f>
        <v>0</v>
      </c>
      <c r="O1151" s="23">
        <f ca="1">IFERROR(__xludf.DUMMYFUNCTION("""COMPUTED_VALUE"""),0)</f>
        <v>0</v>
      </c>
      <c r="P1151" s="23">
        <f ca="1">IFERROR(__xludf.DUMMYFUNCTION("""COMPUTED_VALUE"""),0)</f>
        <v>0</v>
      </c>
      <c r="Q1151" s="24">
        <f ca="1">IFERROR(__xludf.DUMMYFUNCTION("""COMPUTED_VALUE"""),0)</f>
        <v>0</v>
      </c>
      <c r="R1151" s="20"/>
    </row>
    <row r="1152" spans="1:18" ht="13.2" hidden="1" outlineLevel="1" x14ac:dyDescent="0.25">
      <c r="A1152" s="1"/>
      <c r="B1152" s="39" t="str">
        <f ca="1">IFERROR(__xludf.DUMMYFUNCTION("""COMPUTED_VALUE"""),"Condensados")</f>
        <v>Condensados</v>
      </c>
      <c r="C1152" s="22">
        <f ca="1">IFERROR(__xludf.DUMMYFUNCTION("""COMPUTED_VALUE"""),0)</f>
        <v>0</v>
      </c>
      <c r="D1152" s="23">
        <f ca="1">IFERROR(__xludf.DUMMYFUNCTION("""COMPUTED_VALUE"""),0)</f>
        <v>0</v>
      </c>
      <c r="E1152" s="23">
        <f ca="1">IFERROR(__xludf.DUMMYFUNCTION("""COMPUTED_VALUE"""),0)</f>
        <v>0</v>
      </c>
      <c r="F1152" s="23">
        <f ca="1">IFERROR(__xludf.DUMMYFUNCTION("""COMPUTED_VALUE"""),0)</f>
        <v>0</v>
      </c>
      <c r="G1152" s="23">
        <f ca="1">IFERROR(__xludf.DUMMYFUNCTION("""COMPUTED_VALUE"""),0)</f>
        <v>0</v>
      </c>
      <c r="H1152" s="23">
        <f ca="1">IFERROR(__xludf.DUMMYFUNCTION("""COMPUTED_VALUE"""),0)</f>
        <v>0</v>
      </c>
      <c r="I1152" s="23">
        <f ca="1">IFERROR(__xludf.DUMMYFUNCTION("""COMPUTED_VALUE"""),0)</f>
        <v>0</v>
      </c>
      <c r="J1152" s="23">
        <f ca="1">IFERROR(__xludf.DUMMYFUNCTION("""COMPUTED_VALUE"""),0)</f>
        <v>0</v>
      </c>
      <c r="K1152" s="23">
        <f ca="1">IFERROR(__xludf.DUMMYFUNCTION("""COMPUTED_VALUE"""),0)</f>
        <v>0</v>
      </c>
      <c r="L1152" s="23">
        <f ca="1">IFERROR(__xludf.DUMMYFUNCTION("""COMPUTED_VALUE"""),0)</f>
        <v>0</v>
      </c>
      <c r="M1152" s="23">
        <f ca="1">IFERROR(__xludf.DUMMYFUNCTION("""COMPUTED_VALUE"""),0)</f>
        <v>0</v>
      </c>
      <c r="N1152" s="23">
        <f ca="1">IFERROR(__xludf.DUMMYFUNCTION("""COMPUTED_VALUE"""),0)</f>
        <v>0</v>
      </c>
      <c r="O1152" s="23">
        <f ca="1">IFERROR(__xludf.DUMMYFUNCTION("""COMPUTED_VALUE"""),0)</f>
        <v>0</v>
      </c>
      <c r="P1152" s="23">
        <f ca="1">IFERROR(__xludf.DUMMYFUNCTION("""COMPUTED_VALUE"""),0)</f>
        <v>0</v>
      </c>
      <c r="Q1152" s="24">
        <f ca="1">IFERROR(__xludf.DUMMYFUNCTION("""COMPUTED_VALUE"""),0)</f>
        <v>0</v>
      </c>
      <c r="R1152" s="20"/>
    </row>
    <row r="1153" spans="1:18" ht="13.2" hidden="1" outlineLevel="1" x14ac:dyDescent="0.25">
      <c r="A1153" s="1"/>
      <c r="B1153" s="39" t="str">
        <f ca="1">IFERROR(__xludf.DUMMYFUNCTION("""COMPUTED_VALUE"""),"Gas natural")</f>
        <v>Gas natural</v>
      </c>
      <c r="C1153" s="22">
        <f ca="1">IFERROR(__xludf.DUMMYFUNCTION("""COMPUTED_VALUE"""),0)</f>
        <v>0</v>
      </c>
      <c r="D1153" s="23">
        <f ca="1">IFERROR(__xludf.DUMMYFUNCTION("""COMPUTED_VALUE"""),0)</f>
        <v>0</v>
      </c>
      <c r="E1153" s="23">
        <f ca="1">IFERROR(__xludf.DUMMYFUNCTION("""COMPUTED_VALUE"""),0)</f>
        <v>0</v>
      </c>
      <c r="F1153" s="23">
        <f ca="1">IFERROR(__xludf.DUMMYFUNCTION("""COMPUTED_VALUE"""),0)</f>
        <v>0</v>
      </c>
      <c r="G1153" s="23">
        <f ca="1">IFERROR(__xludf.DUMMYFUNCTION("""COMPUTED_VALUE"""),0)</f>
        <v>0</v>
      </c>
      <c r="H1153" s="23">
        <f ca="1">IFERROR(__xludf.DUMMYFUNCTION("""COMPUTED_VALUE"""),0)</f>
        <v>0</v>
      </c>
      <c r="I1153" s="23">
        <f ca="1">IFERROR(__xludf.DUMMYFUNCTION("""COMPUTED_VALUE"""),0)</f>
        <v>0</v>
      </c>
      <c r="J1153" s="23">
        <f ca="1">IFERROR(__xludf.DUMMYFUNCTION("""COMPUTED_VALUE"""),0)</f>
        <v>0</v>
      </c>
      <c r="K1153" s="23">
        <f ca="1">IFERROR(__xludf.DUMMYFUNCTION("""COMPUTED_VALUE"""),0)</f>
        <v>0</v>
      </c>
      <c r="L1153" s="23">
        <f ca="1">IFERROR(__xludf.DUMMYFUNCTION("""COMPUTED_VALUE"""),0)</f>
        <v>0</v>
      </c>
      <c r="M1153" s="23">
        <f ca="1">IFERROR(__xludf.DUMMYFUNCTION("""COMPUTED_VALUE"""),0)</f>
        <v>0</v>
      </c>
      <c r="N1153" s="23">
        <f ca="1">IFERROR(__xludf.DUMMYFUNCTION("""COMPUTED_VALUE"""),0)</f>
        <v>0</v>
      </c>
      <c r="O1153" s="23">
        <f ca="1">IFERROR(__xludf.DUMMYFUNCTION("""COMPUTED_VALUE"""),0)</f>
        <v>0</v>
      </c>
      <c r="P1153" s="23">
        <f ca="1">IFERROR(__xludf.DUMMYFUNCTION("""COMPUTED_VALUE"""),0)</f>
        <v>0</v>
      </c>
      <c r="Q1153" s="24">
        <f ca="1">IFERROR(__xludf.DUMMYFUNCTION("""COMPUTED_VALUE"""),0)</f>
        <v>0</v>
      </c>
      <c r="R1153" s="20"/>
    </row>
    <row r="1154" spans="1:18" ht="13.2" hidden="1" outlineLevel="1" x14ac:dyDescent="0.25">
      <c r="A1154" s="1"/>
      <c r="B1154" s="39" t="str">
        <f ca="1">IFERROR(__xludf.DUMMYFUNCTION("""COMPUTED_VALUE"""),"Energía Nuclear")</f>
        <v>Energía Nuclear</v>
      </c>
      <c r="C1154" s="22">
        <f ca="1">IFERROR(__xludf.DUMMYFUNCTION("""COMPUTED_VALUE"""),0)</f>
        <v>0</v>
      </c>
      <c r="D1154" s="23">
        <f ca="1">IFERROR(__xludf.DUMMYFUNCTION("""COMPUTED_VALUE"""),0)</f>
        <v>0</v>
      </c>
      <c r="E1154" s="23">
        <f ca="1">IFERROR(__xludf.DUMMYFUNCTION("""COMPUTED_VALUE"""),0)</f>
        <v>0</v>
      </c>
      <c r="F1154" s="23">
        <f ca="1">IFERROR(__xludf.DUMMYFUNCTION("""COMPUTED_VALUE"""),0)</f>
        <v>0</v>
      </c>
      <c r="G1154" s="23">
        <f ca="1">IFERROR(__xludf.DUMMYFUNCTION("""COMPUTED_VALUE"""),0)</f>
        <v>0</v>
      </c>
      <c r="H1154" s="23">
        <f ca="1">IFERROR(__xludf.DUMMYFUNCTION("""COMPUTED_VALUE"""),0)</f>
        <v>0</v>
      </c>
      <c r="I1154" s="23">
        <f ca="1">IFERROR(__xludf.DUMMYFUNCTION("""COMPUTED_VALUE"""),0)</f>
        <v>0</v>
      </c>
      <c r="J1154" s="23">
        <f ca="1">IFERROR(__xludf.DUMMYFUNCTION("""COMPUTED_VALUE"""),0)</f>
        <v>0</v>
      </c>
      <c r="K1154" s="23">
        <f ca="1">IFERROR(__xludf.DUMMYFUNCTION("""COMPUTED_VALUE"""),0)</f>
        <v>0</v>
      </c>
      <c r="L1154" s="23">
        <f ca="1">IFERROR(__xludf.DUMMYFUNCTION("""COMPUTED_VALUE"""),0)</f>
        <v>0</v>
      </c>
      <c r="M1154" s="23">
        <f ca="1">IFERROR(__xludf.DUMMYFUNCTION("""COMPUTED_VALUE"""),0)</f>
        <v>0</v>
      </c>
      <c r="N1154" s="23">
        <f ca="1">IFERROR(__xludf.DUMMYFUNCTION("""COMPUTED_VALUE"""),0)</f>
        <v>0</v>
      </c>
      <c r="O1154" s="23">
        <f ca="1">IFERROR(__xludf.DUMMYFUNCTION("""COMPUTED_VALUE"""),0)</f>
        <v>0</v>
      </c>
      <c r="P1154" s="23">
        <f ca="1">IFERROR(__xludf.DUMMYFUNCTION("""COMPUTED_VALUE"""),0)</f>
        <v>0</v>
      </c>
      <c r="Q1154" s="24">
        <f ca="1">IFERROR(__xludf.DUMMYFUNCTION("""COMPUTED_VALUE"""),0)</f>
        <v>0</v>
      </c>
      <c r="R1154" s="20"/>
    </row>
    <row r="1155" spans="1:18" ht="13.2" hidden="1" outlineLevel="1" x14ac:dyDescent="0.25">
      <c r="A1155" s="1"/>
      <c r="B1155" s="39" t="str">
        <f ca="1">IFERROR(__xludf.DUMMYFUNCTION("""COMPUTED_VALUE"""),"Energia Hidraúlica")</f>
        <v>Energia Hidraúlica</v>
      </c>
      <c r="C1155" s="22">
        <f ca="1">IFERROR(__xludf.DUMMYFUNCTION("""COMPUTED_VALUE"""),0)</f>
        <v>0</v>
      </c>
      <c r="D1155" s="23">
        <f ca="1">IFERROR(__xludf.DUMMYFUNCTION("""COMPUTED_VALUE"""),0)</f>
        <v>0</v>
      </c>
      <c r="E1155" s="23">
        <f ca="1">IFERROR(__xludf.DUMMYFUNCTION("""COMPUTED_VALUE"""),0)</f>
        <v>0</v>
      </c>
      <c r="F1155" s="23">
        <f ca="1">IFERROR(__xludf.DUMMYFUNCTION("""COMPUTED_VALUE"""),0)</f>
        <v>0</v>
      </c>
      <c r="G1155" s="23">
        <f ca="1">IFERROR(__xludf.DUMMYFUNCTION("""COMPUTED_VALUE"""),0)</f>
        <v>0</v>
      </c>
      <c r="H1155" s="23">
        <f ca="1">IFERROR(__xludf.DUMMYFUNCTION("""COMPUTED_VALUE"""),0)</f>
        <v>0</v>
      </c>
      <c r="I1155" s="23">
        <f ca="1">IFERROR(__xludf.DUMMYFUNCTION("""COMPUTED_VALUE"""),0)</f>
        <v>0</v>
      </c>
      <c r="J1155" s="23">
        <f ca="1">IFERROR(__xludf.DUMMYFUNCTION("""COMPUTED_VALUE"""),0)</f>
        <v>0</v>
      </c>
      <c r="K1155" s="23">
        <f ca="1">IFERROR(__xludf.DUMMYFUNCTION("""COMPUTED_VALUE"""),0)</f>
        <v>0</v>
      </c>
      <c r="L1155" s="23">
        <f ca="1">IFERROR(__xludf.DUMMYFUNCTION("""COMPUTED_VALUE"""),0)</f>
        <v>0</v>
      </c>
      <c r="M1155" s="23">
        <f ca="1">IFERROR(__xludf.DUMMYFUNCTION("""COMPUTED_VALUE"""),0)</f>
        <v>0</v>
      </c>
      <c r="N1155" s="23">
        <f ca="1">IFERROR(__xludf.DUMMYFUNCTION("""COMPUTED_VALUE"""),0)</f>
        <v>0</v>
      </c>
      <c r="O1155" s="23">
        <f ca="1">IFERROR(__xludf.DUMMYFUNCTION("""COMPUTED_VALUE"""),0)</f>
        <v>0</v>
      </c>
      <c r="P1155" s="23">
        <f ca="1">IFERROR(__xludf.DUMMYFUNCTION("""COMPUTED_VALUE"""),0)</f>
        <v>0</v>
      </c>
      <c r="Q1155" s="24">
        <f ca="1">IFERROR(__xludf.DUMMYFUNCTION("""COMPUTED_VALUE"""),0)</f>
        <v>0</v>
      </c>
      <c r="R1155" s="20"/>
    </row>
    <row r="1156" spans="1:18" ht="13.2" hidden="1" outlineLevel="1" x14ac:dyDescent="0.25">
      <c r="A1156" s="1"/>
      <c r="B1156" s="39" t="str">
        <f ca="1">IFERROR(__xludf.DUMMYFUNCTION("""COMPUTED_VALUE"""),"Geoenergía")</f>
        <v>Geoenergía</v>
      </c>
      <c r="C1156" s="22">
        <f ca="1">IFERROR(__xludf.DUMMYFUNCTION("""COMPUTED_VALUE"""),0)</f>
        <v>0</v>
      </c>
      <c r="D1156" s="23">
        <f ca="1">IFERROR(__xludf.DUMMYFUNCTION("""COMPUTED_VALUE"""),0)</f>
        <v>0</v>
      </c>
      <c r="E1156" s="23">
        <f ca="1">IFERROR(__xludf.DUMMYFUNCTION("""COMPUTED_VALUE"""),0)</f>
        <v>0</v>
      </c>
      <c r="F1156" s="23">
        <f ca="1">IFERROR(__xludf.DUMMYFUNCTION("""COMPUTED_VALUE"""),0)</f>
        <v>0</v>
      </c>
      <c r="G1156" s="23">
        <f ca="1">IFERROR(__xludf.DUMMYFUNCTION("""COMPUTED_VALUE"""),0)</f>
        <v>0</v>
      </c>
      <c r="H1156" s="23">
        <f ca="1">IFERROR(__xludf.DUMMYFUNCTION("""COMPUTED_VALUE"""),0)</f>
        <v>0</v>
      </c>
      <c r="I1156" s="23">
        <f ca="1">IFERROR(__xludf.DUMMYFUNCTION("""COMPUTED_VALUE"""),0)</f>
        <v>0</v>
      </c>
      <c r="J1156" s="23">
        <f ca="1">IFERROR(__xludf.DUMMYFUNCTION("""COMPUTED_VALUE"""),0)</f>
        <v>0</v>
      </c>
      <c r="K1156" s="23">
        <f ca="1">IFERROR(__xludf.DUMMYFUNCTION("""COMPUTED_VALUE"""),0)</f>
        <v>0</v>
      </c>
      <c r="L1156" s="23">
        <f ca="1">IFERROR(__xludf.DUMMYFUNCTION("""COMPUTED_VALUE"""),0)</f>
        <v>0</v>
      </c>
      <c r="M1156" s="23">
        <f ca="1">IFERROR(__xludf.DUMMYFUNCTION("""COMPUTED_VALUE"""),0)</f>
        <v>0</v>
      </c>
      <c r="N1156" s="23">
        <f ca="1">IFERROR(__xludf.DUMMYFUNCTION("""COMPUTED_VALUE"""),0)</f>
        <v>0</v>
      </c>
      <c r="O1156" s="23">
        <f ca="1">IFERROR(__xludf.DUMMYFUNCTION("""COMPUTED_VALUE"""),0)</f>
        <v>0</v>
      </c>
      <c r="P1156" s="23">
        <f ca="1">IFERROR(__xludf.DUMMYFUNCTION("""COMPUTED_VALUE"""),0)</f>
        <v>0</v>
      </c>
      <c r="Q1156" s="24">
        <f ca="1">IFERROR(__xludf.DUMMYFUNCTION("""COMPUTED_VALUE"""),0)</f>
        <v>0</v>
      </c>
      <c r="R1156" s="20"/>
    </row>
    <row r="1157" spans="1:18" ht="13.2" hidden="1" outlineLevel="1" x14ac:dyDescent="0.25">
      <c r="A1157" s="1"/>
      <c r="B1157" s="39" t="str">
        <f ca="1">IFERROR(__xludf.DUMMYFUNCTION("""COMPUTED_VALUE"""),"Energía solar")</f>
        <v>Energía solar</v>
      </c>
      <c r="C1157" s="22">
        <f ca="1">IFERROR(__xludf.DUMMYFUNCTION("""COMPUTED_VALUE"""),0)</f>
        <v>0</v>
      </c>
      <c r="D1157" s="23">
        <f ca="1">IFERROR(__xludf.DUMMYFUNCTION("""COMPUTED_VALUE"""),0)</f>
        <v>0</v>
      </c>
      <c r="E1157" s="23">
        <f ca="1">IFERROR(__xludf.DUMMYFUNCTION("""COMPUTED_VALUE"""),0)</f>
        <v>0</v>
      </c>
      <c r="F1157" s="23">
        <f ca="1">IFERROR(__xludf.DUMMYFUNCTION("""COMPUTED_VALUE"""),0)</f>
        <v>0</v>
      </c>
      <c r="G1157" s="23">
        <f ca="1">IFERROR(__xludf.DUMMYFUNCTION("""COMPUTED_VALUE"""),0)</f>
        <v>0</v>
      </c>
      <c r="H1157" s="23">
        <f ca="1">IFERROR(__xludf.DUMMYFUNCTION("""COMPUTED_VALUE"""),0)</f>
        <v>0</v>
      </c>
      <c r="I1157" s="23">
        <f ca="1">IFERROR(__xludf.DUMMYFUNCTION("""COMPUTED_VALUE"""),0)</f>
        <v>0</v>
      </c>
      <c r="J1157" s="23">
        <f ca="1">IFERROR(__xludf.DUMMYFUNCTION("""COMPUTED_VALUE"""),0)</f>
        <v>0</v>
      </c>
      <c r="K1157" s="23">
        <f ca="1">IFERROR(__xludf.DUMMYFUNCTION("""COMPUTED_VALUE"""),0)</f>
        <v>0</v>
      </c>
      <c r="L1157" s="23">
        <f ca="1">IFERROR(__xludf.DUMMYFUNCTION("""COMPUTED_VALUE"""),0)</f>
        <v>0</v>
      </c>
      <c r="M1157" s="23">
        <f ca="1">IFERROR(__xludf.DUMMYFUNCTION("""COMPUTED_VALUE"""),0)</f>
        <v>0</v>
      </c>
      <c r="N1157" s="23">
        <f ca="1">IFERROR(__xludf.DUMMYFUNCTION("""COMPUTED_VALUE"""),0)</f>
        <v>0</v>
      </c>
      <c r="O1157" s="23">
        <f ca="1">IFERROR(__xludf.DUMMYFUNCTION("""COMPUTED_VALUE"""),0)</f>
        <v>0</v>
      </c>
      <c r="P1157" s="23">
        <f ca="1">IFERROR(__xludf.DUMMYFUNCTION("""COMPUTED_VALUE"""),0)</f>
        <v>0</v>
      </c>
      <c r="Q1157" s="24">
        <f ca="1">IFERROR(__xludf.DUMMYFUNCTION("""COMPUTED_VALUE"""),0)</f>
        <v>0</v>
      </c>
      <c r="R1157" s="20"/>
    </row>
    <row r="1158" spans="1:18" ht="13.2" hidden="1" outlineLevel="1" x14ac:dyDescent="0.25">
      <c r="A1158" s="1"/>
      <c r="B1158" s="39" t="str">
        <f ca="1">IFERROR(__xludf.DUMMYFUNCTION("""COMPUTED_VALUE"""),"Energía eólica")</f>
        <v>Energía eólica</v>
      </c>
      <c r="C1158" s="22">
        <f ca="1">IFERROR(__xludf.DUMMYFUNCTION("""COMPUTED_VALUE"""),0)</f>
        <v>0</v>
      </c>
      <c r="D1158" s="23">
        <f ca="1">IFERROR(__xludf.DUMMYFUNCTION("""COMPUTED_VALUE"""),0)</f>
        <v>0</v>
      </c>
      <c r="E1158" s="23">
        <f ca="1">IFERROR(__xludf.DUMMYFUNCTION("""COMPUTED_VALUE"""),0)</f>
        <v>0</v>
      </c>
      <c r="F1158" s="23">
        <f ca="1">IFERROR(__xludf.DUMMYFUNCTION("""COMPUTED_VALUE"""),0)</f>
        <v>0</v>
      </c>
      <c r="G1158" s="23">
        <f ca="1">IFERROR(__xludf.DUMMYFUNCTION("""COMPUTED_VALUE"""),0)</f>
        <v>0</v>
      </c>
      <c r="H1158" s="23">
        <f ca="1">IFERROR(__xludf.DUMMYFUNCTION("""COMPUTED_VALUE"""),0)</f>
        <v>0</v>
      </c>
      <c r="I1158" s="23">
        <f ca="1">IFERROR(__xludf.DUMMYFUNCTION("""COMPUTED_VALUE"""),0)</f>
        <v>0</v>
      </c>
      <c r="J1158" s="23">
        <f ca="1">IFERROR(__xludf.DUMMYFUNCTION("""COMPUTED_VALUE"""),0)</f>
        <v>0</v>
      </c>
      <c r="K1158" s="23">
        <f ca="1">IFERROR(__xludf.DUMMYFUNCTION("""COMPUTED_VALUE"""),0)</f>
        <v>0</v>
      </c>
      <c r="L1158" s="23">
        <f ca="1">IFERROR(__xludf.DUMMYFUNCTION("""COMPUTED_VALUE"""),0)</f>
        <v>0</v>
      </c>
      <c r="M1158" s="23">
        <f ca="1">IFERROR(__xludf.DUMMYFUNCTION("""COMPUTED_VALUE"""),0)</f>
        <v>0</v>
      </c>
      <c r="N1158" s="23">
        <f ca="1">IFERROR(__xludf.DUMMYFUNCTION("""COMPUTED_VALUE"""),0)</f>
        <v>0</v>
      </c>
      <c r="O1158" s="23">
        <f ca="1">IFERROR(__xludf.DUMMYFUNCTION("""COMPUTED_VALUE"""),0)</f>
        <v>0</v>
      </c>
      <c r="P1158" s="23">
        <f ca="1">IFERROR(__xludf.DUMMYFUNCTION("""COMPUTED_VALUE"""),0)</f>
        <v>0</v>
      </c>
      <c r="Q1158" s="24">
        <f ca="1">IFERROR(__xludf.DUMMYFUNCTION("""COMPUTED_VALUE"""),0)</f>
        <v>0</v>
      </c>
      <c r="R1158" s="20"/>
    </row>
    <row r="1159" spans="1:18" ht="13.2" hidden="1" outlineLevel="1" x14ac:dyDescent="0.25">
      <c r="A1159" s="1"/>
      <c r="B1159" s="39" t="str">
        <f ca="1">IFERROR(__xludf.DUMMYFUNCTION("""COMPUTED_VALUE"""),"Bagazo de caña")</f>
        <v>Bagazo de caña</v>
      </c>
      <c r="C1159" s="22">
        <f ca="1">IFERROR(__xludf.DUMMYFUNCTION("""COMPUTED_VALUE"""),0)</f>
        <v>0</v>
      </c>
      <c r="D1159" s="23">
        <f ca="1">IFERROR(__xludf.DUMMYFUNCTION("""COMPUTED_VALUE"""),0)</f>
        <v>0</v>
      </c>
      <c r="E1159" s="23">
        <f ca="1">IFERROR(__xludf.DUMMYFUNCTION("""COMPUTED_VALUE"""),0)</f>
        <v>0</v>
      </c>
      <c r="F1159" s="23">
        <f ca="1">IFERROR(__xludf.DUMMYFUNCTION("""COMPUTED_VALUE"""),0)</f>
        <v>0</v>
      </c>
      <c r="G1159" s="23">
        <f ca="1">IFERROR(__xludf.DUMMYFUNCTION("""COMPUTED_VALUE"""),0)</f>
        <v>0</v>
      </c>
      <c r="H1159" s="23">
        <f ca="1">IFERROR(__xludf.DUMMYFUNCTION("""COMPUTED_VALUE"""),0)</f>
        <v>0</v>
      </c>
      <c r="I1159" s="23">
        <f ca="1">IFERROR(__xludf.DUMMYFUNCTION("""COMPUTED_VALUE"""),0)</f>
        <v>0</v>
      </c>
      <c r="J1159" s="23">
        <f ca="1">IFERROR(__xludf.DUMMYFUNCTION("""COMPUTED_VALUE"""),0)</f>
        <v>0</v>
      </c>
      <c r="K1159" s="23">
        <f ca="1">IFERROR(__xludf.DUMMYFUNCTION("""COMPUTED_VALUE"""),0)</f>
        <v>0</v>
      </c>
      <c r="L1159" s="23">
        <f ca="1">IFERROR(__xludf.DUMMYFUNCTION("""COMPUTED_VALUE"""),0)</f>
        <v>0</v>
      </c>
      <c r="M1159" s="23">
        <f ca="1">IFERROR(__xludf.DUMMYFUNCTION("""COMPUTED_VALUE"""),0)</f>
        <v>0</v>
      </c>
      <c r="N1159" s="23">
        <f ca="1">IFERROR(__xludf.DUMMYFUNCTION("""COMPUTED_VALUE"""),0)</f>
        <v>0</v>
      </c>
      <c r="O1159" s="23">
        <f ca="1">IFERROR(__xludf.DUMMYFUNCTION("""COMPUTED_VALUE"""),0)</f>
        <v>0</v>
      </c>
      <c r="P1159" s="23">
        <f ca="1">IFERROR(__xludf.DUMMYFUNCTION("""COMPUTED_VALUE"""),0)</f>
        <v>0</v>
      </c>
      <c r="Q1159" s="24">
        <f ca="1">IFERROR(__xludf.DUMMYFUNCTION("""COMPUTED_VALUE"""),0)</f>
        <v>0</v>
      </c>
      <c r="R1159" s="20"/>
    </row>
    <row r="1160" spans="1:18" ht="13.2" hidden="1" outlineLevel="1" x14ac:dyDescent="0.25">
      <c r="A1160" s="1"/>
      <c r="B1160" s="39" t="str">
        <f ca="1">IFERROR(__xludf.DUMMYFUNCTION("""COMPUTED_VALUE"""),"Leña")</f>
        <v>Leña</v>
      </c>
      <c r="C1160" s="22">
        <f ca="1">IFERROR(__xludf.DUMMYFUNCTION("""COMPUTED_VALUE"""),0)</f>
        <v>0</v>
      </c>
      <c r="D1160" s="23">
        <f ca="1">IFERROR(__xludf.DUMMYFUNCTION("""COMPUTED_VALUE"""),0)</f>
        <v>0</v>
      </c>
      <c r="E1160" s="23">
        <f ca="1">IFERROR(__xludf.DUMMYFUNCTION("""COMPUTED_VALUE"""),0)</f>
        <v>0</v>
      </c>
      <c r="F1160" s="23">
        <f ca="1">IFERROR(__xludf.DUMMYFUNCTION("""COMPUTED_VALUE"""),0)</f>
        <v>0</v>
      </c>
      <c r="G1160" s="23">
        <f ca="1">IFERROR(__xludf.DUMMYFUNCTION("""COMPUTED_VALUE"""),0)</f>
        <v>0</v>
      </c>
      <c r="H1160" s="23">
        <f ca="1">IFERROR(__xludf.DUMMYFUNCTION("""COMPUTED_VALUE"""),0)</f>
        <v>0</v>
      </c>
      <c r="I1160" s="23">
        <f ca="1">IFERROR(__xludf.DUMMYFUNCTION("""COMPUTED_VALUE"""),0)</f>
        <v>0</v>
      </c>
      <c r="J1160" s="23">
        <f ca="1">IFERROR(__xludf.DUMMYFUNCTION("""COMPUTED_VALUE"""),0)</f>
        <v>0</v>
      </c>
      <c r="K1160" s="23">
        <f ca="1">IFERROR(__xludf.DUMMYFUNCTION("""COMPUTED_VALUE"""),0)</f>
        <v>0</v>
      </c>
      <c r="L1160" s="23">
        <f ca="1">IFERROR(__xludf.DUMMYFUNCTION("""COMPUTED_VALUE"""),0)</f>
        <v>0</v>
      </c>
      <c r="M1160" s="23">
        <f ca="1">IFERROR(__xludf.DUMMYFUNCTION("""COMPUTED_VALUE"""),0)</f>
        <v>0</v>
      </c>
      <c r="N1160" s="23">
        <f ca="1">IFERROR(__xludf.DUMMYFUNCTION("""COMPUTED_VALUE"""),0)</f>
        <v>0</v>
      </c>
      <c r="O1160" s="23">
        <f ca="1">IFERROR(__xludf.DUMMYFUNCTION("""COMPUTED_VALUE"""),0)</f>
        <v>0</v>
      </c>
      <c r="P1160" s="23">
        <f ca="1">IFERROR(__xludf.DUMMYFUNCTION("""COMPUTED_VALUE"""),0)</f>
        <v>0</v>
      </c>
      <c r="Q1160" s="24">
        <f ca="1">IFERROR(__xludf.DUMMYFUNCTION("""COMPUTED_VALUE"""),0)</f>
        <v>0</v>
      </c>
      <c r="R1160" s="20"/>
    </row>
    <row r="1161" spans="1:18" ht="13.2" hidden="1" outlineLevel="1" x14ac:dyDescent="0.25">
      <c r="A1161" s="1"/>
      <c r="B1161" s="39" t="str">
        <f ca="1">IFERROR(__xludf.DUMMYFUNCTION("""COMPUTED_VALUE"""),"Biogás")</f>
        <v>Biogás</v>
      </c>
      <c r="C1161" s="22">
        <f ca="1">IFERROR(__xludf.DUMMYFUNCTION("""COMPUTED_VALUE"""),0)</f>
        <v>0</v>
      </c>
      <c r="D1161" s="23">
        <f ca="1">IFERROR(__xludf.DUMMYFUNCTION("""COMPUTED_VALUE"""),0)</f>
        <v>0</v>
      </c>
      <c r="E1161" s="23">
        <f ca="1">IFERROR(__xludf.DUMMYFUNCTION("""COMPUTED_VALUE"""),0)</f>
        <v>0</v>
      </c>
      <c r="F1161" s="23">
        <f ca="1">IFERROR(__xludf.DUMMYFUNCTION("""COMPUTED_VALUE"""),0)</f>
        <v>0</v>
      </c>
      <c r="G1161" s="23">
        <f ca="1">IFERROR(__xludf.DUMMYFUNCTION("""COMPUTED_VALUE"""),0)</f>
        <v>0</v>
      </c>
      <c r="H1161" s="23">
        <f ca="1">IFERROR(__xludf.DUMMYFUNCTION("""COMPUTED_VALUE"""),0)</f>
        <v>0</v>
      </c>
      <c r="I1161" s="23">
        <f ca="1">IFERROR(__xludf.DUMMYFUNCTION("""COMPUTED_VALUE"""),0)</f>
        <v>0</v>
      </c>
      <c r="J1161" s="23">
        <f ca="1">IFERROR(__xludf.DUMMYFUNCTION("""COMPUTED_VALUE"""),0)</f>
        <v>0</v>
      </c>
      <c r="K1161" s="23">
        <f ca="1">IFERROR(__xludf.DUMMYFUNCTION("""COMPUTED_VALUE"""),0)</f>
        <v>0</v>
      </c>
      <c r="L1161" s="23">
        <f ca="1">IFERROR(__xludf.DUMMYFUNCTION("""COMPUTED_VALUE"""),0)</f>
        <v>0</v>
      </c>
      <c r="M1161" s="23">
        <f ca="1">IFERROR(__xludf.DUMMYFUNCTION("""COMPUTED_VALUE"""),0)</f>
        <v>0</v>
      </c>
      <c r="N1161" s="23">
        <f ca="1">IFERROR(__xludf.DUMMYFUNCTION("""COMPUTED_VALUE"""),0)</f>
        <v>0</v>
      </c>
      <c r="O1161" s="23">
        <f ca="1">IFERROR(__xludf.DUMMYFUNCTION("""COMPUTED_VALUE"""),0)</f>
        <v>0</v>
      </c>
      <c r="P1161" s="23">
        <f ca="1">IFERROR(__xludf.DUMMYFUNCTION("""COMPUTED_VALUE"""),0)</f>
        <v>0</v>
      </c>
      <c r="Q1161" s="24">
        <f ca="1">IFERROR(__xludf.DUMMYFUNCTION("""COMPUTED_VALUE"""),0)</f>
        <v>0</v>
      </c>
      <c r="R1161" s="20"/>
    </row>
    <row r="1162" spans="1:18" ht="13.2" hidden="1" outlineLevel="1" x14ac:dyDescent="0.25">
      <c r="A1162" s="1"/>
      <c r="B1162" s="39" t="str">
        <f ca="1">IFERROR(__xludf.DUMMYFUNCTION("""COMPUTED_VALUE"""),"Coque de carbón")</f>
        <v>Coque de carbón</v>
      </c>
      <c r="C1162" s="22">
        <f ca="1">IFERROR(__xludf.DUMMYFUNCTION("""COMPUTED_VALUE"""),0)</f>
        <v>0</v>
      </c>
      <c r="D1162" s="23">
        <f ca="1">IFERROR(__xludf.DUMMYFUNCTION("""COMPUTED_VALUE"""),0)</f>
        <v>0</v>
      </c>
      <c r="E1162" s="23">
        <f ca="1">IFERROR(__xludf.DUMMYFUNCTION("""COMPUTED_VALUE"""),0)</f>
        <v>0</v>
      </c>
      <c r="F1162" s="23">
        <f ca="1">IFERROR(__xludf.DUMMYFUNCTION("""COMPUTED_VALUE"""),0)</f>
        <v>0</v>
      </c>
      <c r="G1162" s="23">
        <f ca="1">IFERROR(__xludf.DUMMYFUNCTION("""COMPUTED_VALUE"""),0)</f>
        <v>0</v>
      </c>
      <c r="H1162" s="23">
        <f ca="1">IFERROR(__xludf.DUMMYFUNCTION("""COMPUTED_VALUE"""),0)</f>
        <v>0</v>
      </c>
      <c r="I1162" s="23">
        <f ca="1">IFERROR(__xludf.DUMMYFUNCTION("""COMPUTED_VALUE"""),0)</f>
        <v>0</v>
      </c>
      <c r="J1162" s="23">
        <f ca="1">IFERROR(__xludf.DUMMYFUNCTION("""COMPUTED_VALUE"""),0)</f>
        <v>0</v>
      </c>
      <c r="K1162" s="23">
        <f ca="1">IFERROR(__xludf.DUMMYFUNCTION("""COMPUTED_VALUE"""),0)</f>
        <v>0</v>
      </c>
      <c r="L1162" s="23">
        <f ca="1">IFERROR(__xludf.DUMMYFUNCTION("""COMPUTED_VALUE"""),0)</f>
        <v>0</v>
      </c>
      <c r="M1162" s="23">
        <f ca="1">IFERROR(__xludf.DUMMYFUNCTION("""COMPUTED_VALUE"""),0)</f>
        <v>0</v>
      </c>
      <c r="N1162" s="23">
        <f ca="1">IFERROR(__xludf.DUMMYFUNCTION("""COMPUTED_VALUE"""),0)</f>
        <v>0</v>
      </c>
      <c r="O1162" s="23">
        <f ca="1">IFERROR(__xludf.DUMMYFUNCTION("""COMPUTED_VALUE"""),0)</f>
        <v>0</v>
      </c>
      <c r="P1162" s="23">
        <f ca="1">IFERROR(__xludf.DUMMYFUNCTION("""COMPUTED_VALUE"""),0)</f>
        <v>0</v>
      </c>
      <c r="Q1162" s="24">
        <f ca="1">IFERROR(__xludf.DUMMYFUNCTION("""COMPUTED_VALUE"""),0)</f>
        <v>0</v>
      </c>
      <c r="R1162" s="20"/>
    </row>
    <row r="1163" spans="1:18" ht="13.2" hidden="1" outlineLevel="1" x14ac:dyDescent="0.25">
      <c r="A1163" s="1"/>
      <c r="B1163" s="39" t="str">
        <f ca="1">IFERROR(__xludf.DUMMYFUNCTION("""COMPUTED_VALUE"""),"Coque de petróleo")</f>
        <v>Coque de petróleo</v>
      </c>
      <c r="C1163" s="22">
        <f ca="1">IFERROR(__xludf.DUMMYFUNCTION("""COMPUTED_VALUE"""),0)</f>
        <v>0</v>
      </c>
      <c r="D1163" s="23">
        <f ca="1">IFERROR(__xludf.DUMMYFUNCTION("""COMPUTED_VALUE"""),0)</f>
        <v>0</v>
      </c>
      <c r="E1163" s="23">
        <f ca="1">IFERROR(__xludf.DUMMYFUNCTION("""COMPUTED_VALUE"""),0)</f>
        <v>0</v>
      </c>
      <c r="F1163" s="23">
        <f ca="1">IFERROR(__xludf.DUMMYFUNCTION("""COMPUTED_VALUE"""),0)</f>
        <v>0</v>
      </c>
      <c r="G1163" s="23">
        <f ca="1">IFERROR(__xludf.DUMMYFUNCTION("""COMPUTED_VALUE"""),0)</f>
        <v>0</v>
      </c>
      <c r="H1163" s="23">
        <f ca="1">IFERROR(__xludf.DUMMYFUNCTION("""COMPUTED_VALUE"""),0)</f>
        <v>0</v>
      </c>
      <c r="I1163" s="23">
        <f ca="1">IFERROR(__xludf.DUMMYFUNCTION("""COMPUTED_VALUE"""),0)</f>
        <v>0</v>
      </c>
      <c r="J1163" s="23">
        <f ca="1">IFERROR(__xludf.DUMMYFUNCTION("""COMPUTED_VALUE"""),0)</f>
        <v>0</v>
      </c>
      <c r="K1163" s="23">
        <f ca="1">IFERROR(__xludf.DUMMYFUNCTION("""COMPUTED_VALUE"""),0)</f>
        <v>0</v>
      </c>
      <c r="L1163" s="23">
        <f ca="1">IFERROR(__xludf.DUMMYFUNCTION("""COMPUTED_VALUE"""),0)</f>
        <v>0</v>
      </c>
      <c r="M1163" s="23">
        <f ca="1">IFERROR(__xludf.DUMMYFUNCTION("""COMPUTED_VALUE"""),0)</f>
        <v>0</v>
      </c>
      <c r="N1163" s="23">
        <f ca="1">IFERROR(__xludf.DUMMYFUNCTION("""COMPUTED_VALUE"""),0)</f>
        <v>0</v>
      </c>
      <c r="O1163" s="23">
        <f ca="1">IFERROR(__xludf.DUMMYFUNCTION("""COMPUTED_VALUE"""),0)</f>
        <v>0</v>
      </c>
      <c r="P1163" s="23">
        <f ca="1">IFERROR(__xludf.DUMMYFUNCTION("""COMPUTED_VALUE"""),0)</f>
        <v>0</v>
      </c>
      <c r="Q1163" s="24">
        <f ca="1">IFERROR(__xludf.DUMMYFUNCTION("""COMPUTED_VALUE"""),0)</f>
        <v>0</v>
      </c>
      <c r="R1163" s="20"/>
    </row>
    <row r="1164" spans="1:18" ht="13.2" hidden="1" outlineLevel="1" x14ac:dyDescent="0.25">
      <c r="A1164" s="1"/>
      <c r="B1164" s="39" t="str">
        <f ca="1">IFERROR(__xludf.DUMMYFUNCTION("""COMPUTED_VALUE"""),"Gas licuado de petróleo")</f>
        <v>Gas licuado de petróleo</v>
      </c>
      <c r="C1164" s="22">
        <f ca="1">IFERROR(__xludf.DUMMYFUNCTION("""COMPUTED_VALUE"""),0)</f>
        <v>0</v>
      </c>
      <c r="D1164" s="23">
        <f ca="1">IFERROR(__xludf.DUMMYFUNCTION("""COMPUTED_VALUE"""),0)</f>
        <v>0</v>
      </c>
      <c r="E1164" s="23">
        <f ca="1">IFERROR(__xludf.DUMMYFUNCTION("""COMPUTED_VALUE"""),0)</f>
        <v>0</v>
      </c>
      <c r="F1164" s="23">
        <f ca="1">IFERROR(__xludf.DUMMYFUNCTION("""COMPUTED_VALUE"""),0)</f>
        <v>0</v>
      </c>
      <c r="G1164" s="23">
        <f ca="1">IFERROR(__xludf.DUMMYFUNCTION("""COMPUTED_VALUE"""),0)</f>
        <v>0</v>
      </c>
      <c r="H1164" s="23">
        <f ca="1">IFERROR(__xludf.DUMMYFUNCTION("""COMPUTED_VALUE"""),0)</f>
        <v>0</v>
      </c>
      <c r="I1164" s="23">
        <f ca="1">IFERROR(__xludf.DUMMYFUNCTION("""COMPUTED_VALUE"""),0)</f>
        <v>0</v>
      </c>
      <c r="J1164" s="23">
        <f ca="1">IFERROR(__xludf.DUMMYFUNCTION("""COMPUTED_VALUE"""),0)</f>
        <v>0</v>
      </c>
      <c r="K1164" s="23">
        <f ca="1">IFERROR(__xludf.DUMMYFUNCTION("""COMPUTED_VALUE"""),0)</f>
        <v>0</v>
      </c>
      <c r="L1164" s="23">
        <f ca="1">IFERROR(__xludf.DUMMYFUNCTION("""COMPUTED_VALUE"""),0)</f>
        <v>0</v>
      </c>
      <c r="M1164" s="23">
        <f ca="1">IFERROR(__xludf.DUMMYFUNCTION("""COMPUTED_VALUE"""),0)</f>
        <v>0</v>
      </c>
      <c r="N1164" s="23">
        <f ca="1">IFERROR(__xludf.DUMMYFUNCTION("""COMPUTED_VALUE"""),0)</f>
        <v>0</v>
      </c>
      <c r="O1164" s="23">
        <f ca="1">IFERROR(__xludf.DUMMYFUNCTION("""COMPUTED_VALUE"""),0)</f>
        <v>0</v>
      </c>
      <c r="P1164" s="23">
        <f ca="1">IFERROR(__xludf.DUMMYFUNCTION("""COMPUTED_VALUE"""),0)</f>
        <v>0</v>
      </c>
      <c r="Q1164" s="24">
        <f ca="1">IFERROR(__xludf.DUMMYFUNCTION("""COMPUTED_VALUE"""),0)</f>
        <v>0</v>
      </c>
      <c r="R1164" s="20"/>
    </row>
    <row r="1165" spans="1:18" ht="13.2" hidden="1" outlineLevel="1" x14ac:dyDescent="0.25">
      <c r="A1165" s="1"/>
      <c r="B1165" s="39" t="str">
        <f ca="1">IFERROR(__xludf.DUMMYFUNCTION("""COMPUTED_VALUE"""),"Gasolinas y naftas")</f>
        <v>Gasolinas y naftas</v>
      </c>
      <c r="C1165" s="22">
        <f ca="1">IFERROR(__xludf.DUMMYFUNCTION("""COMPUTED_VALUE"""),0)</f>
        <v>0</v>
      </c>
      <c r="D1165" s="23">
        <f ca="1">IFERROR(__xludf.DUMMYFUNCTION("""COMPUTED_VALUE"""),0)</f>
        <v>0</v>
      </c>
      <c r="E1165" s="23">
        <f ca="1">IFERROR(__xludf.DUMMYFUNCTION("""COMPUTED_VALUE"""),0)</f>
        <v>0</v>
      </c>
      <c r="F1165" s="23">
        <f ca="1">IFERROR(__xludf.DUMMYFUNCTION("""COMPUTED_VALUE"""),0)</f>
        <v>0</v>
      </c>
      <c r="G1165" s="23">
        <f ca="1">IFERROR(__xludf.DUMMYFUNCTION("""COMPUTED_VALUE"""),0)</f>
        <v>0</v>
      </c>
      <c r="H1165" s="23">
        <f ca="1">IFERROR(__xludf.DUMMYFUNCTION("""COMPUTED_VALUE"""),0)</f>
        <v>0</v>
      </c>
      <c r="I1165" s="23">
        <f ca="1">IFERROR(__xludf.DUMMYFUNCTION("""COMPUTED_VALUE"""),0)</f>
        <v>0</v>
      </c>
      <c r="J1165" s="23">
        <f ca="1">IFERROR(__xludf.DUMMYFUNCTION("""COMPUTED_VALUE"""),0)</f>
        <v>0</v>
      </c>
      <c r="K1165" s="23">
        <f ca="1">IFERROR(__xludf.DUMMYFUNCTION("""COMPUTED_VALUE"""),0)</f>
        <v>0</v>
      </c>
      <c r="L1165" s="23">
        <f ca="1">IFERROR(__xludf.DUMMYFUNCTION("""COMPUTED_VALUE"""),0)</f>
        <v>0</v>
      </c>
      <c r="M1165" s="23">
        <f ca="1">IFERROR(__xludf.DUMMYFUNCTION("""COMPUTED_VALUE"""),0)</f>
        <v>0</v>
      </c>
      <c r="N1165" s="23">
        <f ca="1">IFERROR(__xludf.DUMMYFUNCTION("""COMPUTED_VALUE"""),0)</f>
        <v>0</v>
      </c>
      <c r="O1165" s="23">
        <f ca="1">IFERROR(__xludf.DUMMYFUNCTION("""COMPUTED_VALUE"""),0)</f>
        <v>0</v>
      </c>
      <c r="P1165" s="23">
        <f ca="1">IFERROR(__xludf.DUMMYFUNCTION("""COMPUTED_VALUE"""),0)</f>
        <v>0</v>
      </c>
      <c r="Q1165" s="24">
        <f ca="1">IFERROR(__xludf.DUMMYFUNCTION("""COMPUTED_VALUE"""),0)</f>
        <v>0</v>
      </c>
      <c r="R1165" s="20"/>
    </row>
    <row r="1166" spans="1:18" ht="13.2" hidden="1" outlineLevel="1" x14ac:dyDescent="0.25">
      <c r="A1166" s="1"/>
      <c r="B1166" s="39" t="str">
        <f ca="1">IFERROR(__xludf.DUMMYFUNCTION("""COMPUTED_VALUE"""),"Querosenos")</f>
        <v>Querosenos</v>
      </c>
      <c r="C1166" s="22">
        <f ca="1">IFERROR(__xludf.DUMMYFUNCTION("""COMPUTED_VALUE"""),0)</f>
        <v>0</v>
      </c>
      <c r="D1166" s="23">
        <f ca="1">IFERROR(__xludf.DUMMYFUNCTION("""COMPUTED_VALUE"""),0)</f>
        <v>0</v>
      </c>
      <c r="E1166" s="23">
        <f ca="1">IFERROR(__xludf.DUMMYFUNCTION("""COMPUTED_VALUE"""),0)</f>
        <v>0</v>
      </c>
      <c r="F1166" s="23">
        <f ca="1">IFERROR(__xludf.DUMMYFUNCTION("""COMPUTED_VALUE"""),0)</f>
        <v>0</v>
      </c>
      <c r="G1166" s="23">
        <f ca="1">IFERROR(__xludf.DUMMYFUNCTION("""COMPUTED_VALUE"""),0)</f>
        <v>0</v>
      </c>
      <c r="H1166" s="23">
        <f ca="1">IFERROR(__xludf.DUMMYFUNCTION("""COMPUTED_VALUE"""),0)</f>
        <v>0</v>
      </c>
      <c r="I1166" s="23">
        <f ca="1">IFERROR(__xludf.DUMMYFUNCTION("""COMPUTED_VALUE"""),0)</f>
        <v>0</v>
      </c>
      <c r="J1166" s="23">
        <f ca="1">IFERROR(__xludf.DUMMYFUNCTION("""COMPUTED_VALUE"""),0)</f>
        <v>0</v>
      </c>
      <c r="K1166" s="23">
        <f ca="1">IFERROR(__xludf.DUMMYFUNCTION("""COMPUTED_VALUE"""),0)</f>
        <v>0</v>
      </c>
      <c r="L1166" s="23">
        <f ca="1">IFERROR(__xludf.DUMMYFUNCTION("""COMPUTED_VALUE"""),0)</f>
        <v>0</v>
      </c>
      <c r="M1166" s="23">
        <f ca="1">IFERROR(__xludf.DUMMYFUNCTION("""COMPUTED_VALUE"""),0)</f>
        <v>0</v>
      </c>
      <c r="N1166" s="23">
        <f ca="1">IFERROR(__xludf.DUMMYFUNCTION("""COMPUTED_VALUE"""),0)</f>
        <v>0</v>
      </c>
      <c r="O1166" s="23">
        <f ca="1">IFERROR(__xludf.DUMMYFUNCTION("""COMPUTED_VALUE"""),0)</f>
        <v>0</v>
      </c>
      <c r="P1166" s="23">
        <f ca="1">IFERROR(__xludf.DUMMYFUNCTION("""COMPUTED_VALUE"""),0)</f>
        <v>0</v>
      </c>
      <c r="Q1166" s="24">
        <f ca="1">IFERROR(__xludf.DUMMYFUNCTION("""COMPUTED_VALUE"""),0)</f>
        <v>0</v>
      </c>
      <c r="R1166" s="20"/>
    </row>
    <row r="1167" spans="1:18" ht="13.2" hidden="1" outlineLevel="1" x14ac:dyDescent="0.25">
      <c r="A1167" s="1"/>
      <c r="B1167" s="39" t="str">
        <f ca="1">IFERROR(__xludf.DUMMYFUNCTION("""COMPUTED_VALUE"""),"Diesel")</f>
        <v>Diesel</v>
      </c>
      <c r="C1167" s="22">
        <f ca="1">IFERROR(__xludf.DUMMYFUNCTION("""COMPUTED_VALUE"""),1.0665507149352)</f>
        <v>1.0665507149352</v>
      </c>
      <c r="D1167" s="23">
        <f ca="1">IFERROR(__xludf.DUMMYFUNCTION("""COMPUTED_VALUE"""),3.47068869725093)</f>
        <v>3.4706886972509299</v>
      </c>
      <c r="E1167" s="23">
        <f ca="1">IFERROR(__xludf.DUMMYFUNCTION("""COMPUTED_VALUE"""),4.38957484722063)</f>
        <v>4.3895748472206302</v>
      </c>
      <c r="F1167" s="23">
        <f ca="1">IFERROR(__xludf.DUMMYFUNCTION("""COMPUTED_VALUE"""),3.1949831547072)</f>
        <v>3.1949831547072001</v>
      </c>
      <c r="G1167" s="23">
        <f ca="1">IFERROR(__xludf.DUMMYFUNCTION("""COMPUTED_VALUE"""),3.66279564937264)</f>
        <v>3.6627956493726401</v>
      </c>
      <c r="H1167" s="23">
        <f ca="1">IFERROR(__xludf.DUMMYFUNCTION("""COMPUTED_VALUE"""),2.57202630717521)</f>
        <v>2.5720263071752099</v>
      </c>
      <c r="I1167" s="23">
        <f ca="1">IFERROR(__xludf.DUMMYFUNCTION("""COMPUTED_VALUE"""),1.78147917837837)</f>
        <v>1.7814791783783701</v>
      </c>
      <c r="J1167" s="23">
        <f ca="1">IFERROR(__xludf.DUMMYFUNCTION("""COMPUTED_VALUE"""),3.94928846055503)</f>
        <v>3.9492884605550298</v>
      </c>
      <c r="K1167" s="23">
        <f ca="1">IFERROR(__xludf.DUMMYFUNCTION("""COMPUTED_VALUE"""),3.06650851756708)</f>
        <v>3.0665085175670801</v>
      </c>
      <c r="L1167" s="23">
        <f ca="1">IFERROR(__xludf.DUMMYFUNCTION("""COMPUTED_VALUE"""),3.00535293643659)</f>
        <v>3.0053529364365899</v>
      </c>
      <c r="M1167" s="23">
        <f ca="1">IFERROR(__xludf.DUMMYFUNCTION("""COMPUTED_VALUE"""),1.8510314227127)</f>
        <v>1.8510314227127</v>
      </c>
      <c r="N1167" s="23">
        <f ca="1">IFERROR(__xludf.DUMMYFUNCTION("""COMPUTED_VALUE"""),1.17595260263386)</f>
        <v>1.17595260263386</v>
      </c>
      <c r="O1167" s="23">
        <f ca="1">IFERROR(__xludf.DUMMYFUNCTION("""COMPUTED_VALUE"""),1.16175417513068)</f>
        <v>1.1617541751306799</v>
      </c>
      <c r="P1167" s="23">
        <f ca="1">IFERROR(__xludf.DUMMYFUNCTION("""COMPUTED_VALUE"""),1.6674538393583)</f>
        <v>1.6674538393583</v>
      </c>
      <c r="Q1167" s="24">
        <f ca="1">IFERROR(__xludf.DUMMYFUNCTION("""COMPUTED_VALUE"""),4.12346046504218)</f>
        <v>4.1234604650421796</v>
      </c>
      <c r="R1167" s="20"/>
    </row>
    <row r="1168" spans="1:18" ht="13.2" hidden="1" outlineLevel="1" x14ac:dyDescent="0.25">
      <c r="A1168" s="1"/>
      <c r="B1168" s="39" t="str">
        <f ca="1">IFERROR(__xludf.DUMMYFUNCTION("""COMPUTED_VALUE"""),"Combustóleo")</f>
        <v>Combustóleo</v>
      </c>
      <c r="C1168" s="22">
        <f ca="1">IFERROR(__xludf.DUMMYFUNCTION("""COMPUTED_VALUE"""),0)</f>
        <v>0</v>
      </c>
      <c r="D1168" s="23">
        <f ca="1">IFERROR(__xludf.DUMMYFUNCTION("""COMPUTED_VALUE"""),0)</f>
        <v>0</v>
      </c>
      <c r="E1168" s="23">
        <f ca="1">IFERROR(__xludf.DUMMYFUNCTION("""COMPUTED_VALUE"""),0)</f>
        <v>0</v>
      </c>
      <c r="F1168" s="23">
        <f ca="1">IFERROR(__xludf.DUMMYFUNCTION("""COMPUTED_VALUE"""),0)</f>
        <v>0</v>
      </c>
      <c r="G1168" s="23">
        <f ca="1">IFERROR(__xludf.DUMMYFUNCTION("""COMPUTED_VALUE"""),0)</f>
        <v>0</v>
      </c>
      <c r="H1168" s="23">
        <f ca="1">IFERROR(__xludf.DUMMYFUNCTION("""COMPUTED_VALUE"""),0)</f>
        <v>0</v>
      </c>
      <c r="I1168" s="23">
        <f ca="1">IFERROR(__xludf.DUMMYFUNCTION("""COMPUTED_VALUE"""),0)</f>
        <v>0</v>
      </c>
      <c r="J1168" s="23">
        <f ca="1">IFERROR(__xludf.DUMMYFUNCTION("""COMPUTED_VALUE"""),0)</f>
        <v>0</v>
      </c>
      <c r="K1168" s="23">
        <f ca="1">IFERROR(__xludf.DUMMYFUNCTION("""COMPUTED_VALUE"""),0)</f>
        <v>0</v>
      </c>
      <c r="L1168" s="23">
        <f ca="1">IFERROR(__xludf.DUMMYFUNCTION("""COMPUTED_VALUE"""),0)</f>
        <v>0</v>
      </c>
      <c r="M1168" s="23">
        <f ca="1">IFERROR(__xludf.DUMMYFUNCTION("""COMPUTED_VALUE"""),0)</f>
        <v>0</v>
      </c>
      <c r="N1168" s="23">
        <f ca="1">IFERROR(__xludf.DUMMYFUNCTION("""COMPUTED_VALUE"""),0)</f>
        <v>0</v>
      </c>
      <c r="O1168" s="23">
        <f ca="1">IFERROR(__xludf.DUMMYFUNCTION("""COMPUTED_VALUE"""),0)</f>
        <v>0</v>
      </c>
      <c r="P1168" s="23">
        <f ca="1">IFERROR(__xludf.DUMMYFUNCTION("""COMPUTED_VALUE"""),0)</f>
        <v>0</v>
      </c>
      <c r="Q1168" s="24">
        <f ca="1">IFERROR(__xludf.DUMMYFUNCTION("""COMPUTED_VALUE"""),0)</f>
        <v>0</v>
      </c>
      <c r="R1168" s="20"/>
    </row>
    <row r="1169" spans="1:18" ht="13.2" hidden="1" outlineLevel="1" x14ac:dyDescent="0.25">
      <c r="A1169" s="1"/>
      <c r="B1169" s="39" t="str">
        <f ca="1">IFERROR(__xludf.DUMMYFUNCTION("""COMPUTED_VALUE"""),"Otros energéticos")</f>
        <v>Otros energéticos</v>
      </c>
      <c r="C1169" s="22">
        <f ca="1">IFERROR(__xludf.DUMMYFUNCTION("""COMPUTED_VALUE"""),0)</f>
        <v>0</v>
      </c>
      <c r="D1169" s="23">
        <f ca="1">IFERROR(__xludf.DUMMYFUNCTION("""COMPUTED_VALUE"""),0)</f>
        <v>0</v>
      </c>
      <c r="E1169" s="23">
        <f ca="1">IFERROR(__xludf.DUMMYFUNCTION("""COMPUTED_VALUE"""),0)</f>
        <v>0</v>
      </c>
      <c r="F1169" s="23">
        <f ca="1">IFERROR(__xludf.DUMMYFUNCTION("""COMPUTED_VALUE"""),0)</f>
        <v>0</v>
      </c>
      <c r="G1169" s="23">
        <f ca="1">IFERROR(__xludf.DUMMYFUNCTION("""COMPUTED_VALUE"""),0)</f>
        <v>0</v>
      </c>
      <c r="H1169" s="23">
        <f ca="1">IFERROR(__xludf.DUMMYFUNCTION("""COMPUTED_VALUE"""),0)</f>
        <v>0</v>
      </c>
      <c r="I1169" s="23">
        <f ca="1">IFERROR(__xludf.DUMMYFUNCTION("""COMPUTED_VALUE"""),0)</f>
        <v>0</v>
      </c>
      <c r="J1169" s="23">
        <f ca="1">IFERROR(__xludf.DUMMYFUNCTION("""COMPUTED_VALUE"""),0)</f>
        <v>0</v>
      </c>
      <c r="K1169" s="23">
        <f ca="1">IFERROR(__xludf.DUMMYFUNCTION("""COMPUTED_VALUE"""),0)</f>
        <v>0</v>
      </c>
      <c r="L1169" s="23">
        <f ca="1">IFERROR(__xludf.DUMMYFUNCTION("""COMPUTED_VALUE"""),0)</f>
        <v>0</v>
      </c>
      <c r="M1169" s="23">
        <f ca="1">IFERROR(__xludf.DUMMYFUNCTION("""COMPUTED_VALUE"""),0)</f>
        <v>0</v>
      </c>
      <c r="N1169" s="23">
        <f ca="1">IFERROR(__xludf.DUMMYFUNCTION("""COMPUTED_VALUE"""),0)</f>
        <v>0</v>
      </c>
      <c r="O1169" s="23">
        <f ca="1">IFERROR(__xludf.DUMMYFUNCTION("""COMPUTED_VALUE"""),0)</f>
        <v>0</v>
      </c>
      <c r="P1169" s="23">
        <f ca="1">IFERROR(__xludf.DUMMYFUNCTION("""COMPUTED_VALUE"""),0)</f>
        <v>0</v>
      </c>
      <c r="Q1169" s="24">
        <f ca="1">IFERROR(__xludf.DUMMYFUNCTION("""COMPUTED_VALUE"""),0)</f>
        <v>0</v>
      </c>
      <c r="R1169" s="20"/>
    </row>
    <row r="1170" spans="1:18" ht="13.2" hidden="1" outlineLevel="1" x14ac:dyDescent="0.25">
      <c r="A1170" s="1"/>
      <c r="B1170" s="39" t="str">
        <f ca="1">IFERROR(__xludf.DUMMYFUNCTION("""COMPUTED_VALUE"""),"Gas natural seco")</f>
        <v>Gas natural seco</v>
      </c>
      <c r="C1170" s="22">
        <f ca="1">IFERROR(__xludf.DUMMYFUNCTION("""COMPUTED_VALUE"""),0)</f>
        <v>0</v>
      </c>
      <c r="D1170" s="23">
        <f ca="1">IFERROR(__xludf.DUMMYFUNCTION("""COMPUTED_VALUE"""),0)</f>
        <v>0</v>
      </c>
      <c r="E1170" s="23">
        <f ca="1">IFERROR(__xludf.DUMMYFUNCTION("""COMPUTED_VALUE"""),0)</f>
        <v>0</v>
      </c>
      <c r="F1170" s="23">
        <f ca="1">IFERROR(__xludf.DUMMYFUNCTION("""COMPUTED_VALUE"""),0)</f>
        <v>0</v>
      </c>
      <c r="G1170" s="23">
        <f ca="1">IFERROR(__xludf.DUMMYFUNCTION("""COMPUTED_VALUE"""),0)</f>
        <v>0</v>
      </c>
      <c r="H1170" s="23">
        <f ca="1">IFERROR(__xludf.DUMMYFUNCTION("""COMPUTED_VALUE"""),0)</f>
        <v>0</v>
      </c>
      <c r="I1170" s="23">
        <f ca="1">IFERROR(__xludf.DUMMYFUNCTION("""COMPUTED_VALUE"""),0)</f>
        <v>0</v>
      </c>
      <c r="J1170" s="23">
        <f ca="1">IFERROR(__xludf.DUMMYFUNCTION("""COMPUTED_VALUE"""),0)</f>
        <v>0</v>
      </c>
      <c r="K1170" s="23">
        <f ca="1">IFERROR(__xludf.DUMMYFUNCTION("""COMPUTED_VALUE"""),0)</f>
        <v>0</v>
      </c>
      <c r="L1170" s="23">
        <f ca="1">IFERROR(__xludf.DUMMYFUNCTION("""COMPUTED_VALUE"""),0)</f>
        <v>0</v>
      </c>
      <c r="M1170" s="23">
        <f ca="1">IFERROR(__xludf.DUMMYFUNCTION("""COMPUTED_VALUE"""),0)</f>
        <v>0</v>
      </c>
      <c r="N1170" s="23">
        <f ca="1">IFERROR(__xludf.DUMMYFUNCTION("""COMPUTED_VALUE"""),0)</f>
        <v>0</v>
      </c>
      <c r="O1170" s="23">
        <f ca="1">IFERROR(__xludf.DUMMYFUNCTION("""COMPUTED_VALUE"""),0)</f>
        <v>0</v>
      </c>
      <c r="P1170" s="23">
        <f ca="1">IFERROR(__xludf.DUMMYFUNCTION("""COMPUTED_VALUE"""),0)</f>
        <v>0</v>
      </c>
      <c r="Q1170" s="24">
        <f ca="1">IFERROR(__xludf.DUMMYFUNCTION("""COMPUTED_VALUE"""),0)</f>
        <v>0</v>
      </c>
      <c r="R1170" s="20"/>
    </row>
    <row r="1171" spans="1:18" ht="13.2" hidden="1" outlineLevel="1" x14ac:dyDescent="0.25">
      <c r="A1171" s="1"/>
      <c r="B1171" s="40" t="str">
        <f ca="1">IFERROR(__xludf.DUMMYFUNCTION("""COMPUTED_VALUE"""),"Energía eléctrica")</f>
        <v>Energía eléctrica</v>
      </c>
      <c r="C1171" s="26">
        <f ca="1">IFERROR(__xludf.DUMMYFUNCTION("""COMPUTED_VALUE"""),0.928927877400215)</f>
        <v>0.92892787740021499</v>
      </c>
      <c r="D1171" s="27">
        <f ca="1">IFERROR(__xludf.DUMMYFUNCTION("""COMPUTED_VALUE"""),0.620710809206388)</f>
        <v>0.62071080920638799</v>
      </c>
      <c r="E1171" s="27">
        <f ca="1">IFERROR(__xludf.DUMMYFUNCTION("""COMPUTED_VALUE"""),0.746943762006796)</f>
        <v>0.74694376200679602</v>
      </c>
      <c r="F1171" s="27">
        <f ca="1">IFERROR(__xludf.DUMMYFUNCTION("""COMPUTED_VALUE"""),0.513260543452973)</f>
        <v>0.51326054345297301</v>
      </c>
      <c r="G1171" s="27">
        <f ca="1">IFERROR(__xludf.DUMMYFUNCTION("""COMPUTED_VALUE"""),0.624099270693584)</f>
        <v>0.62409927069358395</v>
      </c>
      <c r="H1171" s="27">
        <f ca="1">IFERROR(__xludf.DUMMYFUNCTION("""COMPUTED_VALUE"""),0.486882628226313)</f>
        <v>0.48688262822631301</v>
      </c>
      <c r="I1171" s="27">
        <f ca="1">IFERROR(__xludf.DUMMYFUNCTION("""COMPUTED_VALUE"""),0.570964882268058)</f>
        <v>0.57096488226805797</v>
      </c>
      <c r="J1171" s="27">
        <f ca="1">IFERROR(__xludf.DUMMYFUNCTION("""COMPUTED_VALUE"""),0.620438500169641)</f>
        <v>0.62043850016964097</v>
      </c>
      <c r="K1171" s="27">
        <f ca="1">IFERROR(__xludf.DUMMYFUNCTION("""COMPUTED_VALUE"""),0.651249507378628)</f>
        <v>0.65124950737862797</v>
      </c>
      <c r="L1171" s="27">
        <f ca="1">IFERROR(__xludf.DUMMYFUNCTION("""COMPUTED_VALUE"""),0.586625179963669)</f>
        <v>0.58662517996366903</v>
      </c>
      <c r="M1171" s="27">
        <f ca="1">IFERROR(__xludf.DUMMYFUNCTION("""COMPUTED_VALUE"""),0.679591494793408)</f>
        <v>0.67959149479340797</v>
      </c>
      <c r="N1171" s="27">
        <f ca="1">IFERROR(__xludf.DUMMYFUNCTION("""COMPUTED_VALUE"""),1.10389640485502)</f>
        <v>1.1038964048550199</v>
      </c>
      <c r="O1171" s="27">
        <f ca="1">IFERROR(__xludf.DUMMYFUNCTION("""COMPUTED_VALUE"""),0.965631134016327)</f>
        <v>0.96563113401632705</v>
      </c>
      <c r="P1171" s="27">
        <f ca="1">IFERROR(__xludf.DUMMYFUNCTION("""COMPUTED_VALUE"""),1.44876447938121)</f>
        <v>1.44876447938121</v>
      </c>
      <c r="Q1171" s="28">
        <f ca="1">IFERROR(__xludf.DUMMYFUNCTION("""COMPUTED_VALUE"""),1.18460617071434)</f>
        <v>1.18460617071434</v>
      </c>
      <c r="R1171" s="20"/>
    </row>
    <row r="1172" spans="1:18" ht="13.2" collapsed="1" x14ac:dyDescent="0.25">
      <c r="A1172" s="1"/>
      <c r="B1172" s="31" t="str">
        <f ca="1">IFERROR(__xludf.DUMMYFUNCTION("""COMPUTED_VALUE"""),"311	Industria alimentaria")</f>
        <v>311	Industria alimentaria</v>
      </c>
      <c r="C1172" s="41"/>
      <c r="D1172" s="42"/>
      <c r="E1172" s="41"/>
      <c r="F1172" s="41"/>
      <c r="G1172" s="43"/>
      <c r="H1172" s="44"/>
      <c r="I1172" s="45"/>
      <c r="J1172" s="45"/>
      <c r="K1172" s="45"/>
      <c r="L1172" s="45"/>
      <c r="M1172" s="45"/>
      <c r="N1172" s="45"/>
      <c r="O1172" s="45"/>
      <c r="P1172" s="45"/>
      <c r="Q1172" s="45"/>
      <c r="R1172" s="10"/>
    </row>
    <row r="1173" spans="1:18" ht="13.2" hidden="1" outlineLevel="1" x14ac:dyDescent="0.25">
      <c r="A1173" s="1"/>
      <c r="B1173" s="46"/>
      <c r="C1173" s="35">
        <f ca="1">IFERROR(__xludf.DUMMYFUNCTION("""COMPUTED_VALUE"""),2010)</f>
        <v>2010</v>
      </c>
      <c r="D1173" s="36">
        <f ca="1">IFERROR(__xludf.DUMMYFUNCTION("""COMPUTED_VALUE"""),2011)</f>
        <v>2011</v>
      </c>
      <c r="E1173" s="36">
        <f ca="1">IFERROR(__xludf.DUMMYFUNCTION("""COMPUTED_VALUE"""),2012)</f>
        <v>2012</v>
      </c>
      <c r="F1173" s="36">
        <f ca="1">IFERROR(__xludf.DUMMYFUNCTION("""COMPUTED_VALUE"""),2013)</f>
        <v>2013</v>
      </c>
      <c r="G1173" s="36">
        <f ca="1">IFERROR(__xludf.DUMMYFUNCTION("""COMPUTED_VALUE"""),2014)</f>
        <v>2014</v>
      </c>
      <c r="H1173" s="36">
        <f ca="1">IFERROR(__xludf.DUMMYFUNCTION("""COMPUTED_VALUE"""),2015)</f>
        <v>2015</v>
      </c>
      <c r="I1173" s="36">
        <f ca="1">IFERROR(__xludf.DUMMYFUNCTION("""COMPUTED_VALUE"""),2016)</f>
        <v>2016</v>
      </c>
      <c r="J1173" s="36">
        <f ca="1">IFERROR(__xludf.DUMMYFUNCTION("""COMPUTED_VALUE"""),2017)</f>
        <v>2017</v>
      </c>
      <c r="K1173" s="36">
        <f ca="1">IFERROR(__xludf.DUMMYFUNCTION("""COMPUTED_VALUE"""),2018)</f>
        <v>2018</v>
      </c>
      <c r="L1173" s="36">
        <f ca="1">IFERROR(__xludf.DUMMYFUNCTION("""COMPUTED_VALUE"""),2019)</f>
        <v>2019</v>
      </c>
      <c r="M1173" s="36">
        <f ca="1">IFERROR(__xludf.DUMMYFUNCTION("""COMPUTED_VALUE"""),2020)</f>
        <v>2020</v>
      </c>
      <c r="N1173" s="36">
        <f ca="1">IFERROR(__xludf.DUMMYFUNCTION("""COMPUTED_VALUE"""),2021)</f>
        <v>2021</v>
      </c>
      <c r="O1173" s="36">
        <f ca="1">IFERROR(__xludf.DUMMYFUNCTION("""COMPUTED_VALUE"""),2022)</f>
        <v>2022</v>
      </c>
      <c r="P1173" s="36">
        <f ca="1">IFERROR(__xludf.DUMMYFUNCTION("""COMPUTED_VALUE"""),2023)</f>
        <v>2023</v>
      </c>
      <c r="Q1173" s="37">
        <f ca="1">IFERROR(__xludf.DUMMYFUNCTION("""COMPUTED_VALUE"""),2024)</f>
        <v>2024</v>
      </c>
      <c r="R1173" s="15"/>
    </row>
    <row r="1174" spans="1:18" ht="13.2" hidden="1" outlineLevel="1" x14ac:dyDescent="0.25">
      <c r="A1174" s="1"/>
      <c r="B1174" s="38" t="str">
        <f ca="1">IFERROR(__xludf.DUMMYFUNCTION("""COMPUTED_VALUE"""),"Carbón mineral")</f>
        <v>Carbón mineral</v>
      </c>
      <c r="C1174" s="17">
        <f ca="1">IFERROR(__xludf.DUMMYFUNCTION("""COMPUTED_VALUE"""),0)</f>
        <v>0</v>
      </c>
      <c r="D1174" s="18">
        <f ca="1">IFERROR(__xludf.DUMMYFUNCTION("""COMPUTED_VALUE"""),0)</f>
        <v>0</v>
      </c>
      <c r="E1174" s="18">
        <f ca="1">IFERROR(__xludf.DUMMYFUNCTION("""COMPUTED_VALUE"""),0)</f>
        <v>0</v>
      </c>
      <c r="F1174" s="18">
        <f ca="1">IFERROR(__xludf.DUMMYFUNCTION("""COMPUTED_VALUE"""),0)</f>
        <v>0</v>
      </c>
      <c r="G1174" s="18">
        <f ca="1">IFERROR(__xludf.DUMMYFUNCTION("""COMPUTED_VALUE"""),0)</f>
        <v>0</v>
      </c>
      <c r="H1174" s="18">
        <f ca="1">IFERROR(__xludf.DUMMYFUNCTION("""COMPUTED_VALUE"""),0)</f>
        <v>0</v>
      </c>
      <c r="I1174" s="18">
        <f ca="1">IFERROR(__xludf.DUMMYFUNCTION("""COMPUTED_VALUE"""),0)</f>
        <v>0</v>
      </c>
      <c r="J1174" s="18">
        <f ca="1">IFERROR(__xludf.DUMMYFUNCTION("""COMPUTED_VALUE"""),0)</f>
        <v>0</v>
      </c>
      <c r="K1174" s="18">
        <f ca="1">IFERROR(__xludf.DUMMYFUNCTION("""COMPUTED_VALUE"""),0)</f>
        <v>0</v>
      </c>
      <c r="L1174" s="18">
        <f ca="1">IFERROR(__xludf.DUMMYFUNCTION("""COMPUTED_VALUE"""),0)</f>
        <v>0</v>
      </c>
      <c r="M1174" s="18">
        <f ca="1">IFERROR(__xludf.DUMMYFUNCTION("""COMPUTED_VALUE"""),0)</f>
        <v>0</v>
      </c>
      <c r="N1174" s="18">
        <f ca="1">IFERROR(__xludf.DUMMYFUNCTION("""COMPUTED_VALUE"""),0)</f>
        <v>0</v>
      </c>
      <c r="O1174" s="18">
        <f ca="1">IFERROR(__xludf.DUMMYFUNCTION("""COMPUTED_VALUE"""),0)</f>
        <v>0</v>
      </c>
      <c r="P1174" s="18">
        <f ca="1">IFERROR(__xludf.DUMMYFUNCTION("""COMPUTED_VALUE"""),0)</f>
        <v>0</v>
      </c>
      <c r="Q1174" s="19">
        <f ca="1">IFERROR(__xludf.DUMMYFUNCTION("""COMPUTED_VALUE"""),0)</f>
        <v>0</v>
      </c>
      <c r="R1174" s="20"/>
    </row>
    <row r="1175" spans="1:18" ht="13.2" hidden="1" outlineLevel="1" x14ac:dyDescent="0.25">
      <c r="A1175" s="1"/>
      <c r="B1175" s="39" t="str">
        <f ca="1">IFERROR(__xludf.DUMMYFUNCTION("""COMPUTED_VALUE"""),"Petróleo crudo")</f>
        <v>Petróleo crudo</v>
      </c>
      <c r="C1175" s="22">
        <f ca="1">IFERROR(__xludf.DUMMYFUNCTION("""COMPUTED_VALUE"""),0)</f>
        <v>0</v>
      </c>
      <c r="D1175" s="23">
        <f ca="1">IFERROR(__xludf.DUMMYFUNCTION("""COMPUTED_VALUE"""),0)</f>
        <v>0</v>
      </c>
      <c r="E1175" s="23">
        <f ca="1">IFERROR(__xludf.DUMMYFUNCTION("""COMPUTED_VALUE"""),0)</f>
        <v>0</v>
      </c>
      <c r="F1175" s="23">
        <f ca="1">IFERROR(__xludf.DUMMYFUNCTION("""COMPUTED_VALUE"""),0)</f>
        <v>0</v>
      </c>
      <c r="G1175" s="23">
        <f ca="1">IFERROR(__xludf.DUMMYFUNCTION("""COMPUTED_VALUE"""),0)</f>
        <v>0</v>
      </c>
      <c r="H1175" s="23">
        <f ca="1">IFERROR(__xludf.DUMMYFUNCTION("""COMPUTED_VALUE"""),0)</f>
        <v>0</v>
      </c>
      <c r="I1175" s="23">
        <f ca="1">IFERROR(__xludf.DUMMYFUNCTION("""COMPUTED_VALUE"""),0)</f>
        <v>0</v>
      </c>
      <c r="J1175" s="23">
        <f ca="1">IFERROR(__xludf.DUMMYFUNCTION("""COMPUTED_VALUE"""),0)</f>
        <v>0</v>
      </c>
      <c r="K1175" s="23">
        <f ca="1">IFERROR(__xludf.DUMMYFUNCTION("""COMPUTED_VALUE"""),0)</f>
        <v>0</v>
      </c>
      <c r="L1175" s="23">
        <f ca="1">IFERROR(__xludf.DUMMYFUNCTION("""COMPUTED_VALUE"""),0)</f>
        <v>0</v>
      </c>
      <c r="M1175" s="23">
        <f ca="1">IFERROR(__xludf.DUMMYFUNCTION("""COMPUTED_VALUE"""),0)</f>
        <v>0</v>
      </c>
      <c r="N1175" s="23">
        <f ca="1">IFERROR(__xludf.DUMMYFUNCTION("""COMPUTED_VALUE"""),0)</f>
        <v>0</v>
      </c>
      <c r="O1175" s="23">
        <f ca="1">IFERROR(__xludf.DUMMYFUNCTION("""COMPUTED_VALUE"""),0)</f>
        <v>0</v>
      </c>
      <c r="P1175" s="23">
        <f ca="1">IFERROR(__xludf.DUMMYFUNCTION("""COMPUTED_VALUE"""),0)</f>
        <v>0</v>
      </c>
      <c r="Q1175" s="24">
        <f ca="1">IFERROR(__xludf.DUMMYFUNCTION("""COMPUTED_VALUE"""),0)</f>
        <v>0</v>
      </c>
      <c r="R1175" s="20"/>
    </row>
    <row r="1176" spans="1:18" ht="13.2" hidden="1" outlineLevel="1" x14ac:dyDescent="0.25">
      <c r="A1176" s="1"/>
      <c r="B1176" s="39" t="str">
        <f ca="1">IFERROR(__xludf.DUMMYFUNCTION("""COMPUTED_VALUE"""),"Condensados")</f>
        <v>Condensados</v>
      </c>
      <c r="C1176" s="22">
        <f ca="1">IFERROR(__xludf.DUMMYFUNCTION("""COMPUTED_VALUE"""),0)</f>
        <v>0</v>
      </c>
      <c r="D1176" s="23">
        <f ca="1">IFERROR(__xludf.DUMMYFUNCTION("""COMPUTED_VALUE"""),0)</f>
        <v>0</v>
      </c>
      <c r="E1176" s="23">
        <f ca="1">IFERROR(__xludf.DUMMYFUNCTION("""COMPUTED_VALUE"""),0)</f>
        <v>0</v>
      </c>
      <c r="F1176" s="23">
        <f ca="1">IFERROR(__xludf.DUMMYFUNCTION("""COMPUTED_VALUE"""),0)</f>
        <v>0</v>
      </c>
      <c r="G1176" s="23">
        <f ca="1">IFERROR(__xludf.DUMMYFUNCTION("""COMPUTED_VALUE"""),0)</f>
        <v>0</v>
      </c>
      <c r="H1176" s="23">
        <f ca="1">IFERROR(__xludf.DUMMYFUNCTION("""COMPUTED_VALUE"""),0)</f>
        <v>0</v>
      </c>
      <c r="I1176" s="23">
        <f ca="1">IFERROR(__xludf.DUMMYFUNCTION("""COMPUTED_VALUE"""),0)</f>
        <v>0</v>
      </c>
      <c r="J1176" s="23">
        <f ca="1">IFERROR(__xludf.DUMMYFUNCTION("""COMPUTED_VALUE"""),0)</f>
        <v>0</v>
      </c>
      <c r="K1176" s="23">
        <f ca="1">IFERROR(__xludf.DUMMYFUNCTION("""COMPUTED_VALUE"""),0)</f>
        <v>0</v>
      </c>
      <c r="L1176" s="23">
        <f ca="1">IFERROR(__xludf.DUMMYFUNCTION("""COMPUTED_VALUE"""),0)</f>
        <v>0</v>
      </c>
      <c r="M1176" s="23">
        <f ca="1">IFERROR(__xludf.DUMMYFUNCTION("""COMPUTED_VALUE"""),0)</f>
        <v>0</v>
      </c>
      <c r="N1176" s="23">
        <f ca="1">IFERROR(__xludf.DUMMYFUNCTION("""COMPUTED_VALUE"""),0)</f>
        <v>0</v>
      </c>
      <c r="O1176" s="23">
        <f ca="1">IFERROR(__xludf.DUMMYFUNCTION("""COMPUTED_VALUE"""),0)</f>
        <v>0</v>
      </c>
      <c r="P1176" s="23">
        <f ca="1">IFERROR(__xludf.DUMMYFUNCTION("""COMPUTED_VALUE"""),0)</f>
        <v>0</v>
      </c>
      <c r="Q1176" s="24">
        <f ca="1">IFERROR(__xludf.DUMMYFUNCTION("""COMPUTED_VALUE"""),0)</f>
        <v>0</v>
      </c>
      <c r="R1176" s="20"/>
    </row>
    <row r="1177" spans="1:18" ht="13.2" hidden="1" outlineLevel="1" x14ac:dyDescent="0.25">
      <c r="A1177" s="1"/>
      <c r="B1177" s="39" t="str">
        <f ca="1">IFERROR(__xludf.DUMMYFUNCTION("""COMPUTED_VALUE"""),"Gas natural")</f>
        <v>Gas natural</v>
      </c>
      <c r="C1177" s="22">
        <f ca="1">IFERROR(__xludf.DUMMYFUNCTION("""COMPUTED_VALUE"""),0)</f>
        <v>0</v>
      </c>
      <c r="D1177" s="23">
        <f ca="1">IFERROR(__xludf.DUMMYFUNCTION("""COMPUTED_VALUE"""),0)</f>
        <v>0</v>
      </c>
      <c r="E1177" s="23">
        <f ca="1">IFERROR(__xludf.DUMMYFUNCTION("""COMPUTED_VALUE"""),0)</f>
        <v>0</v>
      </c>
      <c r="F1177" s="23">
        <f ca="1">IFERROR(__xludf.DUMMYFUNCTION("""COMPUTED_VALUE"""),0)</f>
        <v>0</v>
      </c>
      <c r="G1177" s="23">
        <f ca="1">IFERROR(__xludf.DUMMYFUNCTION("""COMPUTED_VALUE"""),0)</f>
        <v>0</v>
      </c>
      <c r="H1177" s="23">
        <f ca="1">IFERROR(__xludf.DUMMYFUNCTION("""COMPUTED_VALUE"""),0)</f>
        <v>0</v>
      </c>
      <c r="I1177" s="23">
        <f ca="1">IFERROR(__xludf.DUMMYFUNCTION("""COMPUTED_VALUE"""),0)</f>
        <v>0</v>
      </c>
      <c r="J1177" s="23">
        <f ca="1">IFERROR(__xludf.DUMMYFUNCTION("""COMPUTED_VALUE"""),0)</f>
        <v>0</v>
      </c>
      <c r="K1177" s="23">
        <f ca="1">IFERROR(__xludf.DUMMYFUNCTION("""COMPUTED_VALUE"""),0)</f>
        <v>0</v>
      </c>
      <c r="L1177" s="23">
        <f ca="1">IFERROR(__xludf.DUMMYFUNCTION("""COMPUTED_VALUE"""),0)</f>
        <v>0</v>
      </c>
      <c r="M1177" s="23">
        <f ca="1">IFERROR(__xludf.DUMMYFUNCTION("""COMPUTED_VALUE"""),0)</f>
        <v>0</v>
      </c>
      <c r="N1177" s="23">
        <f ca="1">IFERROR(__xludf.DUMMYFUNCTION("""COMPUTED_VALUE"""),0)</f>
        <v>0</v>
      </c>
      <c r="O1177" s="23">
        <f ca="1">IFERROR(__xludf.DUMMYFUNCTION("""COMPUTED_VALUE"""),0)</f>
        <v>0</v>
      </c>
      <c r="P1177" s="23">
        <f ca="1">IFERROR(__xludf.DUMMYFUNCTION("""COMPUTED_VALUE"""),0)</f>
        <v>0</v>
      </c>
      <c r="Q1177" s="24">
        <f ca="1">IFERROR(__xludf.DUMMYFUNCTION("""COMPUTED_VALUE"""),0)</f>
        <v>0</v>
      </c>
      <c r="R1177" s="20"/>
    </row>
    <row r="1178" spans="1:18" ht="13.2" hidden="1" outlineLevel="1" x14ac:dyDescent="0.25">
      <c r="A1178" s="1"/>
      <c r="B1178" s="39" t="str">
        <f ca="1">IFERROR(__xludf.DUMMYFUNCTION("""COMPUTED_VALUE"""),"Energía Nuclear")</f>
        <v>Energía Nuclear</v>
      </c>
      <c r="C1178" s="22">
        <f ca="1">IFERROR(__xludf.DUMMYFUNCTION("""COMPUTED_VALUE"""),0)</f>
        <v>0</v>
      </c>
      <c r="D1178" s="23">
        <f ca="1">IFERROR(__xludf.DUMMYFUNCTION("""COMPUTED_VALUE"""),0)</f>
        <v>0</v>
      </c>
      <c r="E1178" s="23">
        <f ca="1">IFERROR(__xludf.DUMMYFUNCTION("""COMPUTED_VALUE"""),0)</f>
        <v>0</v>
      </c>
      <c r="F1178" s="23">
        <f ca="1">IFERROR(__xludf.DUMMYFUNCTION("""COMPUTED_VALUE"""),0)</f>
        <v>0</v>
      </c>
      <c r="G1178" s="23">
        <f ca="1">IFERROR(__xludf.DUMMYFUNCTION("""COMPUTED_VALUE"""),0)</f>
        <v>0</v>
      </c>
      <c r="H1178" s="23">
        <f ca="1">IFERROR(__xludf.DUMMYFUNCTION("""COMPUTED_VALUE"""),0)</f>
        <v>0</v>
      </c>
      <c r="I1178" s="23">
        <f ca="1">IFERROR(__xludf.DUMMYFUNCTION("""COMPUTED_VALUE"""),0)</f>
        <v>0</v>
      </c>
      <c r="J1178" s="23">
        <f ca="1">IFERROR(__xludf.DUMMYFUNCTION("""COMPUTED_VALUE"""),0)</f>
        <v>0</v>
      </c>
      <c r="K1178" s="23">
        <f ca="1">IFERROR(__xludf.DUMMYFUNCTION("""COMPUTED_VALUE"""),0)</f>
        <v>0</v>
      </c>
      <c r="L1178" s="23">
        <f ca="1">IFERROR(__xludf.DUMMYFUNCTION("""COMPUTED_VALUE"""),0)</f>
        <v>0</v>
      </c>
      <c r="M1178" s="23">
        <f ca="1">IFERROR(__xludf.DUMMYFUNCTION("""COMPUTED_VALUE"""),0)</f>
        <v>0</v>
      </c>
      <c r="N1178" s="23">
        <f ca="1">IFERROR(__xludf.DUMMYFUNCTION("""COMPUTED_VALUE"""),0)</f>
        <v>0</v>
      </c>
      <c r="O1178" s="23">
        <f ca="1">IFERROR(__xludf.DUMMYFUNCTION("""COMPUTED_VALUE"""),0)</f>
        <v>0</v>
      </c>
      <c r="P1178" s="23">
        <f ca="1">IFERROR(__xludf.DUMMYFUNCTION("""COMPUTED_VALUE"""),0)</f>
        <v>0</v>
      </c>
      <c r="Q1178" s="24">
        <f ca="1">IFERROR(__xludf.DUMMYFUNCTION("""COMPUTED_VALUE"""),0)</f>
        <v>0</v>
      </c>
      <c r="R1178" s="20"/>
    </row>
    <row r="1179" spans="1:18" ht="13.2" hidden="1" outlineLevel="1" x14ac:dyDescent="0.25">
      <c r="A1179" s="1"/>
      <c r="B1179" s="39" t="str">
        <f ca="1">IFERROR(__xludf.DUMMYFUNCTION("""COMPUTED_VALUE"""),"Energia Hidraúlica")</f>
        <v>Energia Hidraúlica</v>
      </c>
      <c r="C1179" s="22">
        <f ca="1">IFERROR(__xludf.DUMMYFUNCTION("""COMPUTED_VALUE"""),0)</f>
        <v>0</v>
      </c>
      <c r="D1179" s="23">
        <f ca="1">IFERROR(__xludf.DUMMYFUNCTION("""COMPUTED_VALUE"""),0)</f>
        <v>0</v>
      </c>
      <c r="E1179" s="23">
        <f ca="1">IFERROR(__xludf.DUMMYFUNCTION("""COMPUTED_VALUE"""),0)</f>
        <v>0</v>
      </c>
      <c r="F1179" s="23">
        <f ca="1">IFERROR(__xludf.DUMMYFUNCTION("""COMPUTED_VALUE"""),0)</f>
        <v>0</v>
      </c>
      <c r="G1179" s="23">
        <f ca="1">IFERROR(__xludf.DUMMYFUNCTION("""COMPUTED_VALUE"""),0)</f>
        <v>0</v>
      </c>
      <c r="H1179" s="23">
        <f ca="1">IFERROR(__xludf.DUMMYFUNCTION("""COMPUTED_VALUE"""),0)</f>
        <v>0</v>
      </c>
      <c r="I1179" s="23">
        <f ca="1">IFERROR(__xludf.DUMMYFUNCTION("""COMPUTED_VALUE"""),0)</f>
        <v>0</v>
      </c>
      <c r="J1179" s="23">
        <f ca="1">IFERROR(__xludf.DUMMYFUNCTION("""COMPUTED_VALUE"""),0)</f>
        <v>0</v>
      </c>
      <c r="K1179" s="23">
        <f ca="1">IFERROR(__xludf.DUMMYFUNCTION("""COMPUTED_VALUE"""),0)</f>
        <v>0</v>
      </c>
      <c r="L1179" s="23">
        <f ca="1">IFERROR(__xludf.DUMMYFUNCTION("""COMPUTED_VALUE"""),0)</f>
        <v>0</v>
      </c>
      <c r="M1179" s="23">
        <f ca="1">IFERROR(__xludf.DUMMYFUNCTION("""COMPUTED_VALUE"""),0)</f>
        <v>0</v>
      </c>
      <c r="N1179" s="23">
        <f ca="1">IFERROR(__xludf.DUMMYFUNCTION("""COMPUTED_VALUE"""),0)</f>
        <v>0</v>
      </c>
      <c r="O1179" s="23">
        <f ca="1">IFERROR(__xludf.DUMMYFUNCTION("""COMPUTED_VALUE"""),0)</f>
        <v>0</v>
      </c>
      <c r="P1179" s="23">
        <f ca="1">IFERROR(__xludf.DUMMYFUNCTION("""COMPUTED_VALUE"""),0)</f>
        <v>0</v>
      </c>
      <c r="Q1179" s="24">
        <f ca="1">IFERROR(__xludf.DUMMYFUNCTION("""COMPUTED_VALUE"""),0)</f>
        <v>0</v>
      </c>
      <c r="R1179" s="20"/>
    </row>
    <row r="1180" spans="1:18" ht="13.2" hidden="1" outlineLevel="1" x14ac:dyDescent="0.25">
      <c r="A1180" s="1"/>
      <c r="B1180" s="39" t="str">
        <f ca="1">IFERROR(__xludf.DUMMYFUNCTION("""COMPUTED_VALUE"""),"Geoenergía")</f>
        <v>Geoenergía</v>
      </c>
      <c r="C1180" s="22">
        <f ca="1">IFERROR(__xludf.DUMMYFUNCTION("""COMPUTED_VALUE"""),0)</f>
        <v>0</v>
      </c>
      <c r="D1180" s="23">
        <f ca="1">IFERROR(__xludf.DUMMYFUNCTION("""COMPUTED_VALUE"""),0)</f>
        <v>0</v>
      </c>
      <c r="E1180" s="23">
        <f ca="1">IFERROR(__xludf.DUMMYFUNCTION("""COMPUTED_VALUE"""),0)</f>
        <v>0</v>
      </c>
      <c r="F1180" s="23">
        <f ca="1">IFERROR(__xludf.DUMMYFUNCTION("""COMPUTED_VALUE"""),0)</f>
        <v>0</v>
      </c>
      <c r="G1180" s="23">
        <f ca="1">IFERROR(__xludf.DUMMYFUNCTION("""COMPUTED_VALUE"""),0)</f>
        <v>0</v>
      </c>
      <c r="H1180" s="23">
        <f ca="1">IFERROR(__xludf.DUMMYFUNCTION("""COMPUTED_VALUE"""),0)</f>
        <v>0</v>
      </c>
      <c r="I1180" s="23">
        <f ca="1">IFERROR(__xludf.DUMMYFUNCTION("""COMPUTED_VALUE"""),0)</f>
        <v>0</v>
      </c>
      <c r="J1180" s="23">
        <f ca="1">IFERROR(__xludf.DUMMYFUNCTION("""COMPUTED_VALUE"""),0)</f>
        <v>0</v>
      </c>
      <c r="K1180" s="23">
        <f ca="1">IFERROR(__xludf.DUMMYFUNCTION("""COMPUTED_VALUE"""),0)</f>
        <v>0</v>
      </c>
      <c r="L1180" s="23">
        <f ca="1">IFERROR(__xludf.DUMMYFUNCTION("""COMPUTED_VALUE"""),0)</f>
        <v>0</v>
      </c>
      <c r="M1180" s="23">
        <f ca="1">IFERROR(__xludf.DUMMYFUNCTION("""COMPUTED_VALUE"""),0)</f>
        <v>0</v>
      </c>
      <c r="N1180" s="23">
        <f ca="1">IFERROR(__xludf.DUMMYFUNCTION("""COMPUTED_VALUE"""),0)</f>
        <v>0</v>
      </c>
      <c r="O1180" s="23">
        <f ca="1">IFERROR(__xludf.DUMMYFUNCTION("""COMPUTED_VALUE"""),0)</f>
        <v>0</v>
      </c>
      <c r="P1180" s="23">
        <f ca="1">IFERROR(__xludf.DUMMYFUNCTION("""COMPUTED_VALUE"""),0)</f>
        <v>0</v>
      </c>
      <c r="Q1180" s="24">
        <f ca="1">IFERROR(__xludf.DUMMYFUNCTION("""COMPUTED_VALUE"""),0)</f>
        <v>0</v>
      </c>
      <c r="R1180" s="20"/>
    </row>
    <row r="1181" spans="1:18" ht="13.2" hidden="1" outlineLevel="1" x14ac:dyDescent="0.25">
      <c r="A1181" s="1"/>
      <c r="B1181" s="39" t="str">
        <f ca="1">IFERROR(__xludf.DUMMYFUNCTION("""COMPUTED_VALUE"""),"Energía solar")</f>
        <v>Energía solar</v>
      </c>
      <c r="C1181" s="22">
        <f ca="1">IFERROR(__xludf.DUMMYFUNCTION("""COMPUTED_VALUE"""),0)</f>
        <v>0</v>
      </c>
      <c r="D1181" s="23">
        <f ca="1">IFERROR(__xludf.DUMMYFUNCTION("""COMPUTED_VALUE"""),0)</f>
        <v>0</v>
      </c>
      <c r="E1181" s="23">
        <f ca="1">IFERROR(__xludf.DUMMYFUNCTION("""COMPUTED_VALUE"""),0)</f>
        <v>0</v>
      </c>
      <c r="F1181" s="23">
        <f ca="1">IFERROR(__xludf.DUMMYFUNCTION("""COMPUTED_VALUE"""),0)</f>
        <v>0</v>
      </c>
      <c r="G1181" s="23">
        <f ca="1">IFERROR(__xludf.DUMMYFUNCTION("""COMPUTED_VALUE"""),0)</f>
        <v>0</v>
      </c>
      <c r="H1181" s="23">
        <f ca="1">IFERROR(__xludf.DUMMYFUNCTION("""COMPUTED_VALUE"""),0)</f>
        <v>0</v>
      </c>
      <c r="I1181" s="23">
        <f ca="1">IFERROR(__xludf.DUMMYFUNCTION("""COMPUTED_VALUE"""),0)</f>
        <v>0</v>
      </c>
      <c r="J1181" s="23">
        <f ca="1">IFERROR(__xludf.DUMMYFUNCTION("""COMPUTED_VALUE"""),0)</f>
        <v>0</v>
      </c>
      <c r="K1181" s="23">
        <f ca="1">IFERROR(__xludf.DUMMYFUNCTION("""COMPUTED_VALUE"""),0)</f>
        <v>0</v>
      </c>
      <c r="L1181" s="23">
        <f ca="1">IFERROR(__xludf.DUMMYFUNCTION("""COMPUTED_VALUE"""),0)</f>
        <v>0</v>
      </c>
      <c r="M1181" s="23">
        <f ca="1">IFERROR(__xludf.DUMMYFUNCTION("""COMPUTED_VALUE"""),0)</f>
        <v>0</v>
      </c>
      <c r="N1181" s="23">
        <f ca="1">IFERROR(__xludf.DUMMYFUNCTION("""COMPUTED_VALUE"""),0)</f>
        <v>0</v>
      </c>
      <c r="O1181" s="23">
        <f ca="1">IFERROR(__xludf.DUMMYFUNCTION("""COMPUTED_VALUE"""),0)</f>
        <v>0</v>
      </c>
      <c r="P1181" s="23">
        <f ca="1">IFERROR(__xludf.DUMMYFUNCTION("""COMPUTED_VALUE"""),0)</f>
        <v>0</v>
      </c>
      <c r="Q1181" s="24">
        <f ca="1">IFERROR(__xludf.DUMMYFUNCTION("""COMPUTED_VALUE"""),0)</f>
        <v>0</v>
      </c>
      <c r="R1181" s="20"/>
    </row>
    <row r="1182" spans="1:18" ht="13.2" hidden="1" outlineLevel="1" x14ac:dyDescent="0.25">
      <c r="A1182" s="1"/>
      <c r="B1182" s="39" t="str">
        <f ca="1">IFERROR(__xludf.DUMMYFUNCTION("""COMPUTED_VALUE"""),"Energía eólica")</f>
        <v>Energía eólica</v>
      </c>
      <c r="C1182" s="22">
        <f ca="1">IFERROR(__xludf.DUMMYFUNCTION("""COMPUTED_VALUE"""),0)</f>
        <v>0</v>
      </c>
      <c r="D1182" s="23">
        <f ca="1">IFERROR(__xludf.DUMMYFUNCTION("""COMPUTED_VALUE"""),0)</f>
        <v>0</v>
      </c>
      <c r="E1182" s="23">
        <f ca="1">IFERROR(__xludf.DUMMYFUNCTION("""COMPUTED_VALUE"""),0)</f>
        <v>0</v>
      </c>
      <c r="F1182" s="23">
        <f ca="1">IFERROR(__xludf.DUMMYFUNCTION("""COMPUTED_VALUE"""),0)</f>
        <v>0</v>
      </c>
      <c r="G1182" s="23">
        <f ca="1">IFERROR(__xludf.DUMMYFUNCTION("""COMPUTED_VALUE"""),0)</f>
        <v>0</v>
      </c>
      <c r="H1182" s="23">
        <f ca="1">IFERROR(__xludf.DUMMYFUNCTION("""COMPUTED_VALUE"""),0)</f>
        <v>0</v>
      </c>
      <c r="I1182" s="23">
        <f ca="1">IFERROR(__xludf.DUMMYFUNCTION("""COMPUTED_VALUE"""),0)</f>
        <v>0</v>
      </c>
      <c r="J1182" s="23">
        <f ca="1">IFERROR(__xludf.DUMMYFUNCTION("""COMPUTED_VALUE"""),0)</f>
        <v>0</v>
      </c>
      <c r="K1182" s="23">
        <f ca="1">IFERROR(__xludf.DUMMYFUNCTION("""COMPUTED_VALUE"""),0)</f>
        <v>0</v>
      </c>
      <c r="L1182" s="23">
        <f ca="1">IFERROR(__xludf.DUMMYFUNCTION("""COMPUTED_VALUE"""),0)</f>
        <v>0</v>
      </c>
      <c r="M1182" s="23">
        <f ca="1">IFERROR(__xludf.DUMMYFUNCTION("""COMPUTED_VALUE"""),0)</f>
        <v>0</v>
      </c>
      <c r="N1182" s="23">
        <f ca="1">IFERROR(__xludf.DUMMYFUNCTION("""COMPUTED_VALUE"""),0)</f>
        <v>0</v>
      </c>
      <c r="O1182" s="23">
        <f ca="1">IFERROR(__xludf.DUMMYFUNCTION("""COMPUTED_VALUE"""),0)</f>
        <v>0</v>
      </c>
      <c r="P1182" s="23">
        <f ca="1">IFERROR(__xludf.DUMMYFUNCTION("""COMPUTED_VALUE"""),0)</f>
        <v>0</v>
      </c>
      <c r="Q1182" s="24">
        <f ca="1">IFERROR(__xludf.DUMMYFUNCTION("""COMPUTED_VALUE"""),0)</f>
        <v>0</v>
      </c>
      <c r="R1182" s="20"/>
    </row>
    <row r="1183" spans="1:18" ht="13.2" hidden="1" outlineLevel="1" x14ac:dyDescent="0.25">
      <c r="A1183" s="1"/>
      <c r="B1183" s="39" t="str">
        <f ca="1">IFERROR(__xludf.DUMMYFUNCTION("""COMPUTED_VALUE"""),"Bagazo de caña")</f>
        <v>Bagazo de caña</v>
      </c>
      <c r="C1183" s="22">
        <f ca="1">IFERROR(__xludf.DUMMYFUNCTION("""COMPUTED_VALUE"""),43.1901454337175)</f>
        <v>43.190145433717497</v>
      </c>
      <c r="D1183" s="23">
        <f ca="1">IFERROR(__xludf.DUMMYFUNCTION("""COMPUTED_VALUE"""),40.8444701924048)</f>
        <v>40.844470192404799</v>
      </c>
      <c r="E1183" s="23">
        <f ca="1">IFERROR(__xludf.DUMMYFUNCTION("""COMPUTED_VALUE"""),42.9994567421567)</f>
        <v>42.999456742156703</v>
      </c>
      <c r="F1183" s="23">
        <f ca="1">IFERROR(__xludf.DUMMYFUNCTION("""COMPUTED_VALUE"""),71.1657044046124)</f>
        <v>71.165704404612399</v>
      </c>
      <c r="G1183" s="23">
        <f ca="1">IFERROR(__xludf.DUMMYFUNCTION("""COMPUTED_VALUE"""),40.400196997965)</f>
        <v>40.400196997964997</v>
      </c>
      <c r="H1183" s="23">
        <f ca="1">IFERROR(__xludf.DUMMYFUNCTION("""COMPUTED_VALUE"""),37.425172816243)</f>
        <v>37.425172816242998</v>
      </c>
      <c r="I1183" s="23">
        <f ca="1">IFERROR(__xludf.DUMMYFUNCTION("""COMPUTED_VALUE"""),37.3925691835007)</f>
        <v>37.392569183500697</v>
      </c>
      <c r="J1183" s="23">
        <f ca="1">IFERROR(__xludf.DUMMYFUNCTION("""COMPUTED_VALUE"""),36.8952280805879)</f>
        <v>36.895228080587898</v>
      </c>
      <c r="K1183" s="23">
        <f ca="1">IFERROR(__xludf.DUMMYFUNCTION("""COMPUTED_VALUE"""),34.0556033574889)</f>
        <v>34.055603357488899</v>
      </c>
      <c r="L1183" s="23">
        <f ca="1">IFERROR(__xludf.DUMMYFUNCTION("""COMPUTED_VALUE"""),42.1278587062796)</f>
        <v>42.127858706279603</v>
      </c>
      <c r="M1183" s="23">
        <f ca="1">IFERROR(__xludf.DUMMYFUNCTION("""COMPUTED_VALUE"""),28.9288108717057)</f>
        <v>28.9288108717057</v>
      </c>
      <c r="N1183" s="23">
        <f ca="1">IFERROR(__xludf.DUMMYFUNCTION("""COMPUTED_VALUE"""),35.1548778181507)</f>
        <v>35.154877818150702</v>
      </c>
      <c r="O1183" s="23">
        <f ca="1">IFERROR(__xludf.DUMMYFUNCTION("""COMPUTED_VALUE"""),39.6725707516924)</f>
        <v>39.672570751692398</v>
      </c>
      <c r="P1183" s="23">
        <f ca="1">IFERROR(__xludf.DUMMYFUNCTION("""COMPUTED_VALUE"""),32.0114208093972)</f>
        <v>32.011420809397201</v>
      </c>
      <c r="Q1183" s="24">
        <f ca="1">IFERROR(__xludf.DUMMYFUNCTION("""COMPUTED_VALUE"""),28.5783296357846)</f>
        <v>28.578329635784598</v>
      </c>
      <c r="R1183" s="20"/>
    </row>
    <row r="1184" spans="1:18" ht="13.2" hidden="1" outlineLevel="1" x14ac:dyDescent="0.25">
      <c r="A1184" s="1"/>
      <c r="B1184" s="39" t="str">
        <f ca="1">IFERROR(__xludf.DUMMYFUNCTION("""COMPUTED_VALUE"""),"Leña")</f>
        <v>Leña</v>
      </c>
      <c r="C1184" s="22">
        <f ca="1">IFERROR(__xludf.DUMMYFUNCTION("""COMPUTED_VALUE"""),0)</f>
        <v>0</v>
      </c>
      <c r="D1184" s="23">
        <f ca="1">IFERROR(__xludf.DUMMYFUNCTION("""COMPUTED_VALUE"""),0)</f>
        <v>0</v>
      </c>
      <c r="E1184" s="23">
        <f ca="1">IFERROR(__xludf.DUMMYFUNCTION("""COMPUTED_VALUE"""),0)</f>
        <v>0</v>
      </c>
      <c r="F1184" s="23">
        <f ca="1">IFERROR(__xludf.DUMMYFUNCTION("""COMPUTED_VALUE"""),0)</f>
        <v>0</v>
      </c>
      <c r="G1184" s="23">
        <f ca="1">IFERROR(__xludf.DUMMYFUNCTION("""COMPUTED_VALUE"""),0)</f>
        <v>0</v>
      </c>
      <c r="H1184" s="23">
        <f ca="1">IFERROR(__xludf.DUMMYFUNCTION("""COMPUTED_VALUE"""),0)</f>
        <v>0</v>
      </c>
      <c r="I1184" s="23">
        <f ca="1">IFERROR(__xludf.DUMMYFUNCTION("""COMPUTED_VALUE"""),0)</f>
        <v>0</v>
      </c>
      <c r="J1184" s="23">
        <f ca="1">IFERROR(__xludf.DUMMYFUNCTION("""COMPUTED_VALUE"""),0)</f>
        <v>0</v>
      </c>
      <c r="K1184" s="23">
        <f ca="1">IFERROR(__xludf.DUMMYFUNCTION("""COMPUTED_VALUE"""),0)</f>
        <v>0</v>
      </c>
      <c r="L1184" s="23">
        <f ca="1">IFERROR(__xludf.DUMMYFUNCTION("""COMPUTED_VALUE"""),0)</f>
        <v>0</v>
      </c>
      <c r="M1184" s="23">
        <f ca="1">IFERROR(__xludf.DUMMYFUNCTION("""COMPUTED_VALUE"""),0)</f>
        <v>0</v>
      </c>
      <c r="N1184" s="23">
        <f ca="1">IFERROR(__xludf.DUMMYFUNCTION("""COMPUTED_VALUE"""),0)</f>
        <v>0</v>
      </c>
      <c r="O1184" s="23">
        <f ca="1">IFERROR(__xludf.DUMMYFUNCTION("""COMPUTED_VALUE"""),0)</f>
        <v>0</v>
      </c>
      <c r="P1184" s="23">
        <f ca="1">IFERROR(__xludf.DUMMYFUNCTION("""COMPUTED_VALUE"""),0)</f>
        <v>0</v>
      </c>
      <c r="Q1184" s="24">
        <f ca="1">IFERROR(__xludf.DUMMYFUNCTION("""COMPUTED_VALUE"""),0)</f>
        <v>0</v>
      </c>
      <c r="R1184" s="20"/>
    </row>
    <row r="1185" spans="1:18" ht="13.2" hidden="1" outlineLevel="1" x14ac:dyDescent="0.25">
      <c r="A1185" s="1"/>
      <c r="B1185" s="39" t="str">
        <f ca="1">IFERROR(__xludf.DUMMYFUNCTION("""COMPUTED_VALUE"""),"Biogás")</f>
        <v>Biogás</v>
      </c>
      <c r="C1185" s="22">
        <f ca="1">IFERROR(__xludf.DUMMYFUNCTION("""COMPUTED_VALUE"""),0)</f>
        <v>0</v>
      </c>
      <c r="D1185" s="23">
        <f ca="1">IFERROR(__xludf.DUMMYFUNCTION("""COMPUTED_VALUE"""),0)</f>
        <v>0</v>
      </c>
      <c r="E1185" s="23">
        <f ca="1">IFERROR(__xludf.DUMMYFUNCTION("""COMPUTED_VALUE"""),0)</f>
        <v>0</v>
      </c>
      <c r="F1185" s="23">
        <f ca="1">IFERROR(__xludf.DUMMYFUNCTION("""COMPUTED_VALUE"""),0)</f>
        <v>0</v>
      </c>
      <c r="G1185" s="23">
        <f ca="1">IFERROR(__xludf.DUMMYFUNCTION("""COMPUTED_VALUE"""),0)</f>
        <v>0</v>
      </c>
      <c r="H1185" s="23">
        <f ca="1">IFERROR(__xludf.DUMMYFUNCTION("""COMPUTED_VALUE"""),0)</f>
        <v>0</v>
      </c>
      <c r="I1185" s="23">
        <f ca="1">IFERROR(__xludf.DUMMYFUNCTION("""COMPUTED_VALUE"""),0)</f>
        <v>0</v>
      </c>
      <c r="J1185" s="23">
        <f ca="1">IFERROR(__xludf.DUMMYFUNCTION("""COMPUTED_VALUE"""),0)</f>
        <v>0</v>
      </c>
      <c r="K1185" s="23">
        <f ca="1">IFERROR(__xludf.DUMMYFUNCTION("""COMPUTED_VALUE"""),0)</f>
        <v>0</v>
      </c>
      <c r="L1185" s="23">
        <f ca="1">IFERROR(__xludf.DUMMYFUNCTION("""COMPUTED_VALUE"""),0)</f>
        <v>0</v>
      </c>
      <c r="M1185" s="23">
        <f ca="1">IFERROR(__xludf.DUMMYFUNCTION("""COMPUTED_VALUE"""),0)</f>
        <v>0</v>
      </c>
      <c r="N1185" s="23">
        <f ca="1">IFERROR(__xludf.DUMMYFUNCTION("""COMPUTED_VALUE"""),0)</f>
        <v>0</v>
      </c>
      <c r="O1185" s="23">
        <f ca="1">IFERROR(__xludf.DUMMYFUNCTION("""COMPUTED_VALUE"""),0)</f>
        <v>0</v>
      </c>
      <c r="P1185" s="23">
        <f ca="1">IFERROR(__xludf.DUMMYFUNCTION("""COMPUTED_VALUE"""),0)</f>
        <v>0</v>
      </c>
      <c r="Q1185" s="24">
        <f ca="1">IFERROR(__xludf.DUMMYFUNCTION("""COMPUTED_VALUE"""),0)</f>
        <v>0</v>
      </c>
      <c r="R1185" s="20"/>
    </row>
    <row r="1186" spans="1:18" ht="13.2" hidden="1" outlineLevel="1" x14ac:dyDescent="0.25">
      <c r="A1186" s="1"/>
      <c r="B1186" s="39" t="str">
        <f ca="1">IFERROR(__xludf.DUMMYFUNCTION("""COMPUTED_VALUE"""),"Coque de carbón")</f>
        <v>Coque de carbón</v>
      </c>
      <c r="C1186" s="22">
        <f ca="1">IFERROR(__xludf.DUMMYFUNCTION("""COMPUTED_VALUE"""),0)</f>
        <v>0</v>
      </c>
      <c r="D1186" s="23">
        <f ca="1">IFERROR(__xludf.DUMMYFUNCTION("""COMPUTED_VALUE"""),0)</f>
        <v>0</v>
      </c>
      <c r="E1186" s="23">
        <f ca="1">IFERROR(__xludf.DUMMYFUNCTION("""COMPUTED_VALUE"""),0)</f>
        <v>0</v>
      </c>
      <c r="F1186" s="23">
        <f ca="1">IFERROR(__xludf.DUMMYFUNCTION("""COMPUTED_VALUE"""),0)</f>
        <v>0</v>
      </c>
      <c r="G1186" s="23">
        <f ca="1">IFERROR(__xludf.DUMMYFUNCTION("""COMPUTED_VALUE"""),0)</f>
        <v>0</v>
      </c>
      <c r="H1186" s="23">
        <f ca="1">IFERROR(__xludf.DUMMYFUNCTION("""COMPUTED_VALUE"""),0)</f>
        <v>0</v>
      </c>
      <c r="I1186" s="23">
        <f ca="1">IFERROR(__xludf.DUMMYFUNCTION("""COMPUTED_VALUE"""),0)</f>
        <v>0</v>
      </c>
      <c r="J1186" s="23">
        <f ca="1">IFERROR(__xludf.DUMMYFUNCTION("""COMPUTED_VALUE"""),0)</f>
        <v>0</v>
      </c>
      <c r="K1186" s="23">
        <f ca="1">IFERROR(__xludf.DUMMYFUNCTION("""COMPUTED_VALUE"""),0)</f>
        <v>0</v>
      </c>
      <c r="L1186" s="23">
        <f ca="1">IFERROR(__xludf.DUMMYFUNCTION("""COMPUTED_VALUE"""),0)</f>
        <v>0</v>
      </c>
      <c r="M1186" s="23">
        <f ca="1">IFERROR(__xludf.DUMMYFUNCTION("""COMPUTED_VALUE"""),0)</f>
        <v>0</v>
      </c>
      <c r="N1186" s="23">
        <f ca="1">IFERROR(__xludf.DUMMYFUNCTION("""COMPUTED_VALUE"""),0)</f>
        <v>0</v>
      </c>
      <c r="O1186" s="23">
        <f ca="1">IFERROR(__xludf.DUMMYFUNCTION("""COMPUTED_VALUE"""),0)</f>
        <v>0</v>
      </c>
      <c r="P1186" s="23">
        <f ca="1">IFERROR(__xludf.DUMMYFUNCTION("""COMPUTED_VALUE"""),0)</f>
        <v>0</v>
      </c>
      <c r="Q1186" s="24">
        <f ca="1">IFERROR(__xludf.DUMMYFUNCTION("""COMPUTED_VALUE"""),0)</f>
        <v>0</v>
      </c>
      <c r="R1186" s="20"/>
    </row>
    <row r="1187" spans="1:18" ht="13.2" hidden="1" outlineLevel="1" x14ac:dyDescent="0.25">
      <c r="A1187" s="1"/>
      <c r="B1187" s="39" t="str">
        <f ca="1">IFERROR(__xludf.DUMMYFUNCTION("""COMPUTED_VALUE"""),"Coque de petróleo")</f>
        <v>Coque de petróleo</v>
      </c>
      <c r="C1187" s="22">
        <f ca="1">IFERROR(__xludf.DUMMYFUNCTION("""COMPUTED_VALUE"""),0)</f>
        <v>0</v>
      </c>
      <c r="D1187" s="23">
        <f ca="1">IFERROR(__xludf.DUMMYFUNCTION("""COMPUTED_VALUE"""),0)</f>
        <v>0</v>
      </c>
      <c r="E1187" s="23">
        <f ca="1">IFERROR(__xludf.DUMMYFUNCTION("""COMPUTED_VALUE"""),0)</f>
        <v>0</v>
      </c>
      <c r="F1187" s="23">
        <f ca="1">IFERROR(__xludf.DUMMYFUNCTION("""COMPUTED_VALUE"""),0)</f>
        <v>0</v>
      </c>
      <c r="G1187" s="23">
        <f ca="1">IFERROR(__xludf.DUMMYFUNCTION("""COMPUTED_VALUE"""),0)</f>
        <v>0</v>
      </c>
      <c r="H1187" s="23">
        <f ca="1">IFERROR(__xludf.DUMMYFUNCTION("""COMPUTED_VALUE"""),0)</f>
        <v>0</v>
      </c>
      <c r="I1187" s="23">
        <f ca="1">IFERROR(__xludf.DUMMYFUNCTION("""COMPUTED_VALUE"""),0)</f>
        <v>0</v>
      </c>
      <c r="J1187" s="23">
        <f ca="1">IFERROR(__xludf.DUMMYFUNCTION("""COMPUTED_VALUE"""),0)</f>
        <v>0</v>
      </c>
      <c r="K1187" s="23">
        <f ca="1">IFERROR(__xludf.DUMMYFUNCTION("""COMPUTED_VALUE"""),0)</f>
        <v>0</v>
      </c>
      <c r="L1187" s="23">
        <f ca="1">IFERROR(__xludf.DUMMYFUNCTION("""COMPUTED_VALUE"""),0)</f>
        <v>0</v>
      </c>
      <c r="M1187" s="23">
        <f ca="1">IFERROR(__xludf.DUMMYFUNCTION("""COMPUTED_VALUE"""),0)</f>
        <v>0</v>
      </c>
      <c r="N1187" s="23">
        <f ca="1">IFERROR(__xludf.DUMMYFUNCTION("""COMPUTED_VALUE"""),0)</f>
        <v>0</v>
      </c>
      <c r="O1187" s="23">
        <f ca="1">IFERROR(__xludf.DUMMYFUNCTION("""COMPUTED_VALUE"""),0)</f>
        <v>0</v>
      </c>
      <c r="P1187" s="23">
        <f ca="1">IFERROR(__xludf.DUMMYFUNCTION("""COMPUTED_VALUE"""),0)</f>
        <v>0</v>
      </c>
      <c r="Q1187" s="24">
        <f ca="1">IFERROR(__xludf.DUMMYFUNCTION("""COMPUTED_VALUE"""),0)</f>
        <v>0</v>
      </c>
      <c r="R1187" s="20"/>
    </row>
    <row r="1188" spans="1:18" ht="13.2" hidden="1" outlineLevel="1" x14ac:dyDescent="0.25">
      <c r="A1188" s="1"/>
      <c r="B1188" s="39" t="str">
        <f ca="1">IFERROR(__xludf.DUMMYFUNCTION("""COMPUTED_VALUE"""),"Gas licuado de petróleo")</f>
        <v>Gas licuado de petróleo</v>
      </c>
      <c r="C1188" s="22">
        <f ca="1">IFERROR(__xludf.DUMMYFUNCTION("""COMPUTED_VALUE"""),0.243804879861268)</f>
        <v>0.243804879861268</v>
      </c>
      <c r="D1188" s="23">
        <f ca="1">IFERROR(__xludf.DUMMYFUNCTION("""COMPUTED_VALUE"""),0.398588142230923)</f>
        <v>0.39858814223092298</v>
      </c>
      <c r="E1188" s="23">
        <f ca="1">IFERROR(__xludf.DUMMYFUNCTION("""COMPUTED_VALUE"""),0.701728368031458)</f>
        <v>0.70172836803145799</v>
      </c>
      <c r="F1188" s="23">
        <f ca="1">IFERROR(__xludf.DUMMYFUNCTION("""COMPUTED_VALUE"""),0)</f>
        <v>0</v>
      </c>
      <c r="G1188" s="23">
        <f ca="1">IFERROR(__xludf.DUMMYFUNCTION("""COMPUTED_VALUE"""),0)</f>
        <v>0</v>
      </c>
      <c r="H1188" s="23">
        <f ca="1">IFERROR(__xludf.DUMMYFUNCTION("""COMPUTED_VALUE"""),0)</f>
        <v>0</v>
      </c>
      <c r="I1188" s="23">
        <f ca="1">IFERROR(__xludf.DUMMYFUNCTION("""COMPUTED_VALUE"""),0)</f>
        <v>0</v>
      </c>
      <c r="J1188" s="23">
        <f ca="1">IFERROR(__xludf.DUMMYFUNCTION("""COMPUTED_VALUE"""),0)</f>
        <v>0</v>
      </c>
      <c r="K1188" s="23">
        <f ca="1">IFERROR(__xludf.DUMMYFUNCTION("""COMPUTED_VALUE"""),0)</f>
        <v>0</v>
      </c>
      <c r="L1188" s="23">
        <f ca="1">IFERROR(__xludf.DUMMYFUNCTION("""COMPUTED_VALUE"""),0)</f>
        <v>0</v>
      </c>
      <c r="M1188" s="23">
        <f ca="1">IFERROR(__xludf.DUMMYFUNCTION("""COMPUTED_VALUE"""),0)</f>
        <v>0</v>
      </c>
      <c r="N1188" s="23">
        <f ca="1">IFERROR(__xludf.DUMMYFUNCTION("""COMPUTED_VALUE"""),0.68727651754188)</f>
        <v>0.68727651754188002</v>
      </c>
      <c r="O1188" s="23">
        <f ca="1">IFERROR(__xludf.DUMMYFUNCTION("""COMPUTED_VALUE"""),0.682937148645019)</f>
        <v>0.68293714864501898</v>
      </c>
      <c r="P1188" s="23">
        <f ca="1">IFERROR(__xludf.DUMMYFUNCTION("""COMPUTED_VALUE"""),0.751508803023063)</f>
        <v>0.751508803023063</v>
      </c>
      <c r="Q1188" s="24">
        <f ca="1">IFERROR(__xludf.DUMMYFUNCTION("""COMPUTED_VALUE"""),0.0858273976541755)</f>
        <v>8.5827397654175505E-2</v>
      </c>
      <c r="R1188" s="20"/>
    </row>
    <row r="1189" spans="1:18" ht="13.2" hidden="1" outlineLevel="1" x14ac:dyDescent="0.25">
      <c r="A1189" s="1"/>
      <c r="B1189" s="39" t="str">
        <f ca="1">IFERROR(__xludf.DUMMYFUNCTION("""COMPUTED_VALUE"""),"Gasolinas y naftas")</f>
        <v>Gasolinas y naftas</v>
      </c>
      <c r="C1189" s="22">
        <f ca="1">IFERROR(__xludf.DUMMYFUNCTION("""COMPUTED_VALUE"""),0)</f>
        <v>0</v>
      </c>
      <c r="D1189" s="23">
        <f ca="1">IFERROR(__xludf.DUMMYFUNCTION("""COMPUTED_VALUE"""),0)</f>
        <v>0</v>
      </c>
      <c r="E1189" s="23">
        <f ca="1">IFERROR(__xludf.DUMMYFUNCTION("""COMPUTED_VALUE"""),0)</f>
        <v>0</v>
      </c>
      <c r="F1189" s="23">
        <f ca="1">IFERROR(__xludf.DUMMYFUNCTION("""COMPUTED_VALUE"""),0)</f>
        <v>0</v>
      </c>
      <c r="G1189" s="23">
        <f ca="1">IFERROR(__xludf.DUMMYFUNCTION("""COMPUTED_VALUE"""),0)</f>
        <v>0</v>
      </c>
      <c r="H1189" s="23">
        <f ca="1">IFERROR(__xludf.DUMMYFUNCTION("""COMPUTED_VALUE"""),0)</f>
        <v>0</v>
      </c>
      <c r="I1189" s="23">
        <f ca="1">IFERROR(__xludf.DUMMYFUNCTION("""COMPUTED_VALUE"""),0)</f>
        <v>0</v>
      </c>
      <c r="J1189" s="23">
        <f ca="1">IFERROR(__xludf.DUMMYFUNCTION("""COMPUTED_VALUE"""),0)</f>
        <v>0</v>
      </c>
      <c r="K1189" s="23">
        <f ca="1">IFERROR(__xludf.DUMMYFUNCTION("""COMPUTED_VALUE"""),0)</f>
        <v>0</v>
      </c>
      <c r="L1189" s="23">
        <f ca="1">IFERROR(__xludf.DUMMYFUNCTION("""COMPUTED_VALUE"""),0)</f>
        <v>0</v>
      </c>
      <c r="M1189" s="23">
        <f ca="1">IFERROR(__xludf.DUMMYFUNCTION("""COMPUTED_VALUE"""),0)</f>
        <v>0</v>
      </c>
      <c r="N1189" s="23">
        <f ca="1">IFERROR(__xludf.DUMMYFUNCTION("""COMPUTED_VALUE"""),0)</f>
        <v>0</v>
      </c>
      <c r="O1189" s="23">
        <f ca="1">IFERROR(__xludf.DUMMYFUNCTION("""COMPUTED_VALUE"""),0)</f>
        <v>0</v>
      </c>
      <c r="P1189" s="23">
        <f ca="1">IFERROR(__xludf.DUMMYFUNCTION("""COMPUTED_VALUE"""),0)</f>
        <v>0</v>
      </c>
      <c r="Q1189" s="24">
        <f ca="1">IFERROR(__xludf.DUMMYFUNCTION("""COMPUTED_VALUE"""),0)</f>
        <v>0</v>
      </c>
      <c r="R1189" s="20"/>
    </row>
    <row r="1190" spans="1:18" ht="13.2" hidden="1" outlineLevel="1" x14ac:dyDescent="0.25">
      <c r="A1190" s="1"/>
      <c r="B1190" s="39" t="str">
        <f ca="1">IFERROR(__xludf.DUMMYFUNCTION("""COMPUTED_VALUE"""),"Querosenos")</f>
        <v>Querosenos</v>
      </c>
      <c r="C1190" s="22">
        <f ca="1">IFERROR(__xludf.DUMMYFUNCTION("""COMPUTED_VALUE"""),0)</f>
        <v>0</v>
      </c>
      <c r="D1190" s="23">
        <f ca="1">IFERROR(__xludf.DUMMYFUNCTION("""COMPUTED_VALUE"""),0)</f>
        <v>0</v>
      </c>
      <c r="E1190" s="23">
        <f ca="1">IFERROR(__xludf.DUMMYFUNCTION("""COMPUTED_VALUE"""),0)</f>
        <v>0</v>
      </c>
      <c r="F1190" s="23">
        <f ca="1">IFERROR(__xludf.DUMMYFUNCTION("""COMPUTED_VALUE"""),0)</f>
        <v>0</v>
      </c>
      <c r="G1190" s="23">
        <f ca="1">IFERROR(__xludf.DUMMYFUNCTION("""COMPUTED_VALUE"""),0)</f>
        <v>0</v>
      </c>
      <c r="H1190" s="23">
        <f ca="1">IFERROR(__xludf.DUMMYFUNCTION("""COMPUTED_VALUE"""),0)</f>
        <v>0</v>
      </c>
      <c r="I1190" s="23">
        <f ca="1">IFERROR(__xludf.DUMMYFUNCTION("""COMPUTED_VALUE"""),0)</f>
        <v>0</v>
      </c>
      <c r="J1190" s="23">
        <f ca="1">IFERROR(__xludf.DUMMYFUNCTION("""COMPUTED_VALUE"""),0)</f>
        <v>0</v>
      </c>
      <c r="K1190" s="23">
        <f ca="1">IFERROR(__xludf.DUMMYFUNCTION("""COMPUTED_VALUE"""),0)</f>
        <v>0</v>
      </c>
      <c r="L1190" s="23">
        <f ca="1">IFERROR(__xludf.DUMMYFUNCTION("""COMPUTED_VALUE"""),0)</f>
        <v>0</v>
      </c>
      <c r="M1190" s="23">
        <f ca="1">IFERROR(__xludf.DUMMYFUNCTION("""COMPUTED_VALUE"""),0)</f>
        <v>0</v>
      </c>
      <c r="N1190" s="23">
        <f ca="1">IFERROR(__xludf.DUMMYFUNCTION("""COMPUTED_VALUE"""),0)</f>
        <v>0</v>
      </c>
      <c r="O1190" s="23">
        <f ca="1">IFERROR(__xludf.DUMMYFUNCTION("""COMPUTED_VALUE"""),0)</f>
        <v>0</v>
      </c>
      <c r="P1190" s="23">
        <f ca="1">IFERROR(__xludf.DUMMYFUNCTION("""COMPUTED_VALUE"""),0)</f>
        <v>0</v>
      </c>
      <c r="Q1190" s="24">
        <f ca="1">IFERROR(__xludf.DUMMYFUNCTION("""COMPUTED_VALUE"""),0)</f>
        <v>0</v>
      </c>
      <c r="R1190" s="20"/>
    </row>
    <row r="1191" spans="1:18" ht="13.2" hidden="1" outlineLevel="1" x14ac:dyDescent="0.25">
      <c r="A1191" s="1"/>
      <c r="B1191" s="39" t="str">
        <f ca="1">IFERROR(__xludf.DUMMYFUNCTION("""COMPUTED_VALUE"""),"Diesel")</f>
        <v>Diesel</v>
      </c>
      <c r="C1191" s="22">
        <f ca="1">IFERROR(__xludf.DUMMYFUNCTION("""COMPUTED_VALUE"""),0)</f>
        <v>0</v>
      </c>
      <c r="D1191" s="23">
        <f ca="1">IFERROR(__xludf.DUMMYFUNCTION("""COMPUTED_VALUE"""),0)</f>
        <v>0</v>
      </c>
      <c r="E1191" s="23">
        <f ca="1">IFERROR(__xludf.DUMMYFUNCTION("""COMPUTED_VALUE"""),0)</f>
        <v>0</v>
      </c>
      <c r="F1191" s="23">
        <f ca="1">IFERROR(__xludf.DUMMYFUNCTION("""COMPUTED_VALUE"""),0)</f>
        <v>0</v>
      </c>
      <c r="G1191" s="23">
        <f ca="1">IFERROR(__xludf.DUMMYFUNCTION("""COMPUTED_VALUE"""),0.0101252195734002)</f>
        <v>1.01252195734002E-2</v>
      </c>
      <c r="H1191" s="23">
        <f ca="1">IFERROR(__xludf.DUMMYFUNCTION("""COMPUTED_VALUE"""),0.0100164120549916)</f>
        <v>1.00164120549916E-2</v>
      </c>
      <c r="I1191" s="23">
        <f ca="1">IFERROR(__xludf.DUMMYFUNCTION("""COMPUTED_VALUE"""),0.00955256259604085)</f>
        <v>9.5525625960408492E-3</v>
      </c>
      <c r="J1191" s="23">
        <f ca="1">IFERROR(__xludf.DUMMYFUNCTION("""COMPUTED_VALUE"""),0.00997841409166259)</f>
        <v>9.9784140916625904E-3</v>
      </c>
      <c r="K1191" s="23">
        <f ca="1">IFERROR(__xludf.DUMMYFUNCTION("""COMPUTED_VALUE"""),0.0115872090172044)</f>
        <v>1.15872090172044E-2</v>
      </c>
      <c r="L1191" s="23">
        <f ca="1">IFERROR(__xludf.DUMMYFUNCTION("""COMPUTED_VALUE"""),0.0116539767751172)</f>
        <v>1.16539767751172E-2</v>
      </c>
      <c r="M1191" s="23">
        <f ca="1">IFERROR(__xludf.DUMMYFUNCTION("""COMPUTED_VALUE"""),0.00819268977821382)</f>
        <v>8.1926897782138193E-3</v>
      </c>
      <c r="N1191" s="23">
        <f ca="1">IFERROR(__xludf.DUMMYFUNCTION("""COMPUTED_VALUE"""),0.780973418126093)</f>
        <v>0.780973418126093</v>
      </c>
      <c r="O1191" s="23">
        <f ca="1">IFERROR(__xludf.DUMMYFUNCTION("""COMPUTED_VALUE"""),0.748705414313606)</f>
        <v>0.74870541431360604</v>
      </c>
      <c r="P1191" s="23">
        <f ca="1">IFERROR(__xludf.DUMMYFUNCTION("""COMPUTED_VALUE"""),0.769920772121398)</f>
        <v>0.76992077212139798</v>
      </c>
      <c r="Q1191" s="24">
        <f ca="1">IFERROR(__xludf.DUMMYFUNCTION("""COMPUTED_VALUE"""),0.00875273633821294)</f>
        <v>8.7527363382129408E-3</v>
      </c>
      <c r="R1191" s="20"/>
    </row>
    <row r="1192" spans="1:18" ht="13.2" hidden="1" outlineLevel="1" x14ac:dyDescent="0.25">
      <c r="A1192" s="1"/>
      <c r="B1192" s="39" t="str">
        <f ca="1">IFERROR(__xludf.DUMMYFUNCTION("""COMPUTED_VALUE"""),"Combustóleo")</f>
        <v>Combustóleo</v>
      </c>
      <c r="C1192" s="22">
        <f ca="1">IFERROR(__xludf.DUMMYFUNCTION("""COMPUTED_VALUE"""),2.53917600326759)</f>
        <v>2.5391760032675901</v>
      </c>
      <c r="D1192" s="23">
        <f ca="1">IFERROR(__xludf.DUMMYFUNCTION("""COMPUTED_VALUE"""),3.70807870815521)</f>
        <v>3.70807870815521</v>
      </c>
      <c r="E1192" s="23">
        <f ca="1">IFERROR(__xludf.DUMMYFUNCTION("""COMPUTED_VALUE"""),4.54969234513123)</f>
        <v>4.5496923451312297</v>
      </c>
      <c r="F1192" s="23">
        <f ca="1">IFERROR(__xludf.DUMMYFUNCTION("""COMPUTED_VALUE"""),3.58045650940197)</f>
        <v>3.5804565094019698</v>
      </c>
      <c r="G1192" s="23">
        <f ca="1">IFERROR(__xludf.DUMMYFUNCTION("""COMPUTED_VALUE"""),1.29550876530631)</f>
        <v>1.29550876530631</v>
      </c>
      <c r="H1192" s="23">
        <f ca="1">IFERROR(__xludf.DUMMYFUNCTION("""COMPUTED_VALUE"""),0.693348914351871)</f>
        <v>0.69334891435187096</v>
      </c>
      <c r="I1192" s="23">
        <f ca="1">IFERROR(__xludf.DUMMYFUNCTION("""COMPUTED_VALUE"""),0.991027106726676)</f>
        <v>0.99102710672667604</v>
      </c>
      <c r="J1192" s="23">
        <f ca="1">IFERROR(__xludf.DUMMYFUNCTION("""COMPUTED_VALUE"""),1.05158560657456)</f>
        <v>1.0515856065745599</v>
      </c>
      <c r="K1192" s="23">
        <f ca="1">IFERROR(__xludf.DUMMYFUNCTION("""COMPUTED_VALUE"""),0.329937990178669)</f>
        <v>0.32993799017866898</v>
      </c>
      <c r="L1192" s="23">
        <f ca="1">IFERROR(__xludf.DUMMYFUNCTION("""COMPUTED_VALUE"""),0.480718692934123)</f>
        <v>0.480718692934123</v>
      </c>
      <c r="M1192" s="23">
        <f ca="1">IFERROR(__xludf.DUMMYFUNCTION("""COMPUTED_VALUE"""),0.571959863179598)</f>
        <v>0.57195986317959802</v>
      </c>
      <c r="N1192" s="23">
        <f ca="1">IFERROR(__xludf.DUMMYFUNCTION("""COMPUTED_VALUE"""),0.811829275835963)</f>
        <v>0.81182927583596298</v>
      </c>
      <c r="O1192" s="23">
        <f ca="1">IFERROR(__xludf.DUMMYFUNCTION("""COMPUTED_VALUE"""),0.889644705593992)</f>
        <v>0.889644705593992</v>
      </c>
      <c r="P1192" s="23">
        <f ca="1">IFERROR(__xludf.DUMMYFUNCTION("""COMPUTED_VALUE"""),0.841275613439078)</f>
        <v>0.84127561343907797</v>
      </c>
      <c r="Q1192" s="24">
        <f ca="1">IFERROR(__xludf.DUMMYFUNCTION("""COMPUTED_VALUE"""),0.457487402476617)</f>
        <v>0.45748740247661701</v>
      </c>
      <c r="R1192" s="20"/>
    </row>
    <row r="1193" spans="1:18" ht="13.2" hidden="1" outlineLevel="1" x14ac:dyDescent="0.25">
      <c r="A1193" s="1"/>
      <c r="B1193" s="39" t="str">
        <f ca="1">IFERROR(__xludf.DUMMYFUNCTION("""COMPUTED_VALUE"""),"Otros energéticos")</f>
        <v>Otros energéticos</v>
      </c>
      <c r="C1193" s="22">
        <f ca="1">IFERROR(__xludf.DUMMYFUNCTION("""COMPUTED_VALUE"""),0)</f>
        <v>0</v>
      </c>
      <c r="D1193" s="23">
        <f ca="1">IFERROR(__xludf.DUMMYFUNCTION("""COMPUTED_VALUE"""),0)</f>
        <v>0</v>
      </c>
      <c r="E1193" s="23">
        <f ca="1">IFERROR(__xludf.DUMMYFUNCTION("""COMPUTED_VALUE"""),0)</f>
        <v>0</v>
      </c>
      <c r="F1193" s="23">
        <f ca="1">IFERROR(__xludf.DUMMYFUNCTION("""COMPUTED_VALUE"""),0)</f>
        <v>0</v>
      </c>
      <c r="G1193" s="23">
        <f ca="1">IFERROR(__xludf.DUMMYFUNCTION("""COMPUTED_VALUE"""),0)</f>
        <v>0</v>
      </c>
      <c r="H1193" s="23">
        <f ca="1">IFERROR(__xludf.DUMMYFUNCTION("""COMPUTED_VALUE"""),0)</f>
        <v>0</v>
      </c>
      <c r="I1193" s="23">
        <f ca="1">IFERROR(__xludf.DUMMYFUNCTION("""COMPUTED_VALUE"""),0)</f>
        <v>0</v>
      </c>
      <c r="J1193" s="23">
        <f ca="1">IFERROR(__xludf.DUMMYFUNCTION("""COMPUTED_VALUE"""),0)</f>
        <v>0</v>
      </c>
      <c r="K1193" s="23">
        <f ca="1">IFERROR(__xludf.DUMMYFUNCTION("""COMPUTED_VALUE"""),0)</f>
        <v>0</v>
      </c>
      <c r="L1193" s="23">
        <f ca="1">IFERROR(__xludf.DUMMYFUNCTION("""COMPUTED_VALUE"""),0)</f>
        <v>0</v>
      </c>
      <c r="M1193" s="23">
        <f ca="1">IFERROR(__xludf.DUMMYFUNCTION("""COMPUTED_VALUE"""),0)</f>
        <v>0</v>
      </c>
      <c r="N1193" s="23">
        <f ca="1">IFERROR(__xludf.DUMMYFUNCTION("""COMPUTED_VALUE"""),0)</f>
        <v>0</v>
      </c>
      <c r="O1193" s="23">
        <f ca="1">IFERROR(__xludf.DUMMYFUNCTION("""COMPUTED_VALUE"""),0)</f>
        <v>0</v>
      </c>
      <c r="P1193" s="23">
        <f ca="1">IFERROR(__xludf.DUMMYFUNCTION("""COMPUTED_VALUE"""),0)</f>
        <v>0</v>
      </c>
      <c r="Q1193" s="24">
        <f ca="1">IFERROR(__xludf.DUMMYFUNCTION("""COMPUTED_VALUE"""),0)</f>
        <v>0</v>
      </c>
      <c r="R1193" s="20"/>
    </row>
    <row r="1194" spans="1:18" ht="13.2" hidden="1" outlineLevel="1" x14ac:dyDescent="0.25">
      <c r="A1194" s="1"/>
      <c r="B1194" s="39" t="str">
        <f ca="1">IFERROR(__xludf.DUMMYFUNCTION("""COMPUTED_VALUE"""),"Gas natural seco")</f>
        <v>Gas natural seco</v>
      </c>
      <c r="C1194" s="22">
        <f ca="1">IFERROR(__xludf.DUMMYFUNCTION("""COMPUTED_VALUE"""),0)</f>
        <v>0</v>
      </c>
      <c r="D1194" s="23">
        <f ca="1">IFERROR(__xludf.DUMMYFUNCTION("""COMPUTED_VALUE"""),0)</f>
        <v>0</v>
      </c>
      <c r="E1194" s="23">
        <f ca="1">IFERROR(__xludf.DUMMYFUNCTION("""COMPUTED_VALUE"""),0)</f>
        <v>0</v>
      </c>
      <c r="F1194" s="23">
        <f ca="1">IFERROR(__xludf.DUMMYFUNCTION("""COMPUTED_VALUE"""),0)</f>
        <v>0</v>
      </c>
      <c r="G1194" s="23">
        <f ca="1">IFERROR(__xludf.DUMMYFUNCTION("""COMPUTED_VALUE"""),0)</f>
        <v>0</v>
      </c>
      <c r="H1194" s="23">
        <f ca="1">IFERROR(__xludf.DUMMYFUNCTION("""COMPUTED_VALUE"""),0)</f>
        <v>0</v>
      </c>
      <c r="I1194" s="23">
        <f ca="1">IFERROR(__xludf.DUMMYFUNCTION("""COMPUTED_VALUE"""),0)</f>
        <v>0</v>
      </c>
      <c r="J1194" s="23">
        <f ca="1">IFERROR(__xludf.DUMMYFUNCTION("""COMPUTED_VALUE"""),0)</f>
        <v>0</v>
      </c>
      <c r="K1194" s="23">
        <f ca="1">IFERROR(__xludf.DUMMYFUNCTION("""COMPUTED_VALUE"""),0)</f>
        <v>0</v>
      </c>
      <c r="L1194" s="23">
        <f ca="1">IFERROR(__xludf.DUMMYFUNCTION("""COMPUTED_VALUE"""),0)</f>
        <v>0</v>
      </c>
      <c r="M1194" s="23">
        <f ca="1">IFERROR(__xludf.DUMMYFUNCTION("""COMPUTED_VALUE"""),0)</f>
        <v>0</v>
      </c>
      <c r="N1194" s="23">
        <f ca="1">IFERROR(__xludf.DUMMYFUNCTION("""COMPUTED_VALUE"""),22.555648050757)</f>
        <v>22.555648050757</v>
      </c>
      <c r="O1194" s="23">
        <f ca="1">IFERROR(__xludf.DUMMYFUNCTION("""COMPUTED_VALUE"""),25.376518805423)</f>
        <v>25.376518805423</v>
      </c>
      <c r="P1194" s="23">
        <f ca="1">IFERROR(__xludf.DUMMYFUNCTION("""COMPUTED_VALUE"""),26.3701978329668)</f>
        <v>26.370197832966799</v>
      </c>
      <c r="Q1194" s="24">
        <f ca="1">IFERROR(__xludf.DUMMYFUNCTION("""COMPUTED_VALUE"""),34.9820635766172)</f>
        <v>34.9820635766172</v>
      </c>
      <c r="R1194" s="20"/>
    </row>
    <row r="1195" spans="1:18" ht="13.2" hidden="1" outlineLevel="1" x14ac:dyDescent="0.25">
      <c r="A1195" s="1"/>
      <c r="B1195" s="40" t="str">
        <f ca="1">IFERROR(__xludf.DUMMYFUNCTION("""COMPUTED_VALUE"""),"Energía eléctrica")</f>
        <v>Energía eléctrica</v>
      </c>
      <c r="C1195" s="26">
        <f ca="1">IFERROR(__xludf.DUMMYFUNCTION("""COMPUTED_VALUE"""),10.0827947183351)</f>
        <v>10.0827947183351</v>
      </c>
      <c r="D1195" s="27">
        <f ca="1">IFERROR(__xludf.DUMMYFUNCTION("""COMPUTED_VALUE"""),10.0243993734881)</f>
        <v>10.0243993734881</v>
      </c>
      <c r="E1195" s="27">
        <f ca="1">IFERROR(__xludf.DUMMYFUNCTION("""COMPUTED_VALUE"""),8.05640421270812)</f>
        <v>8.0564042127081201</v>
      </c>
      <c r="F1195" s="27">
        <f ca="1">IFERROR(__xludf.DUMMYFUNCTION("""COMPUTED_VALUE"""),4.38559580498146)</f>
        <v>4.3855958049814596</v>
      </c>
      <c r="G1195" s="27">
        <f ca="1">IFERROR(__xludf.DUMMYFUNCTION("""COMPUTED_VALUE"""),3.80363321317974)</f>
        <v>3.8036332131797401</v>
      </c>
      <c r="H1195" s="27">
        <f ca="1">IFERROR(__xludf.DUMMYFUNCTION("""COMPUTED_VALUE"""),3.76035760172701)</f>
        <v>3.7603576017270099</v>
      </c>
      <c r="I1195" s="27">
        <f ca="1">IFERROR(__xludf.DUMMYFUNCTION("""COMPUTED_VALUE"""),3.87528098817324)</f>
        <v>3.8752809881732402</v>
      </c>
      <c r="J1195" s="27">
        <f ca="1">IFERROR(__xludf.DUMMYFUNCTION("""COMPUTED_VALUE"""),3.99365135129575)</f>
        <v>3.9936513512957501</v>
      </c>
      <c r="K1195" s="27">
        <f ca="1">IFERROR(__xludf.DUMMYFUNCTION("""COMPUTED_VALUE"""),4.02580137098513)</f>
        <v>4.0258013709851301</v>
      </c>
      <c r="L1195" s="27">
        <f ca="1">IFERROR(__xludf.DUMMYFUNCTION("""COMPUTED_VALUE"""),4.18155964351336)</f>
        <v>4.18155964351336</v>
      </c>
      <c r="M1195" s="27">
        <f ca="1">IFERROR(__xludf.DUMMYFUNCTION("""COMPUTED_VALUE"""),4.1635273351983)</f>
        <v>4.1635273351983004</v>
      </c>
      <c r="N1195" s="27">
        <f ca="1">IFERROR(__xludf.DUMMYFUNCTION("""COMPUTED_VALUE"""),15.3870729787071)</f>
        <v>15.387072978707099</v>
      </c>
      <c r="O1195" s="27">
        <f ca="1">IFERROR(__xludf.DUMMYFUNCTION("""COMPUTED_VALUE"""),9.06928502402533)</f>
        <v>9.06928502402533</v>
      </c>
      <c r="P1195" s="27">
        <f ca="1">IFERROR(__xludf.DUMMYFUNCTION("""COMPUTED_VALUE"""),14.7442697418507)</f>
        <v>14.744269741850699</v>
      </c>
      <c r="Q1195" s="28">
        <f ca="1">IFERROR(__xludf.DUMMYFUNCTION("""COMPUTED_VALUE"""),10.5438911501054)</f>
        <v>10.5438911501054</v>
      </c>
      <c r="R1195" s="20"/>
    </row>
    <row r="1196" spans="1:18" ht="13.2" collapsed="1" x14ac:dyDescent="0.25">
      <c r="A1196" s="1"/>
      <c r="B1196" s="31" t="str">
        <f ca="1">IFERROR(__xludf.DUMMYFUNCTION("""COMPUTED_VALUE"""),"312	Industria de las bebidas y del tabaco")</f>
        <v>312	Industria de las bebidas y del tabaco</v>
      </c>
      <c r="C1196" s="41"/>
      <c r="D1196" s="42"/>
      <c r="E1196" s="41"/>
      <c r="F1196" s="41"/>
      <c r="G1196" s="43"/>
      <c r="H1196" s="44"/>
      <c r="I1196" s="45"/>
      <c r="J1196" s="45"/>
      <c r="K1196" s="45"/>
      <c r="L1196" s="45"/>
      <c r="M1196" s="45"/>
      <c r="N1196" s="45"/>
      <c r="O1196" s="45"/>
      <c r="P1196" s="45"/>
      <c r="Q1196" s="45"/>
      <c r="R1196" s="10"/>
    </row>
    <row r="1197" spans="1:18" ht="13.2" hidden="1" outlineLevel="1" x14ac:dyDescent="0.25">
      <c r="A1197" s="1"/>
      <c r="B1197" s="46"/>
      <c r="C1197" s="35">
        <f ca="1">IFERROR(__xludf.DUMMYFUNCTION("""COMPUTED_VALUE"""),2010)</f>
        <v>2010</v>
      </c>
      <c r="D1197" s="36">
        <f ca="1">IFERROR(__xludf.DUMMYFUNCTION("""COMPUTED_VALUE"""),2011)</f>
        <v>2011</v>
      </c>
      <c r="E1197" s="36">
        <f ca="1">IFERROR(__xludf.DUMMYFUNCTION("""COMPUTED_VALUE"""),2012)</f>
        <v>2012</v>
      </c>
      <c r="F1197" s="36">
        <f ca="1">IFERROR(__xludf.DUMMYFUNCTION("""COMPUTED_VALUE"""),2013)</f>
        <v>2013</v>
      </c>
      <c r="G1197" s="36">
        <f ca="1">IFERROR(__xludf.DUMMYFUNCTION("""COMPUTED_VALUE"""),2014)</f>
        <v>2014</v>
      </c>
      <c r="H1197" s="36">
        <f ca="1">IFERROR(__xludf.DUMMYFUNCTION("""COMPUTED_VALUE"""),2015)</f>
        <v>2015</v>
      </c>
      <c r="I1197" s="36">
        <f ca="1">IFERROR(__xludf.DUMMYFUNCTION("""COMPUTED_VALUE"""),2016)</f>
        <v>2016</v>
      </c>
      <c r="J1197" s="36">
        <f ca="1">IFERROR(__xludf.DUMMYFUNCTION("""COMPUTED_VALUE"""),2017)</f>
        <v>2017</v>
      </c>
      <c r="K1197" s="36">
        <f ca="1">IFERROR(__xludf.DUMMYFUNCTION("""COMPUTED_VALUE"""),2018)</f>
        <v>2018</v>
      </c>
      <c r="L1197" s="36">
        <f ca="1">IFERROR(__xludf.DUMMYFUNCTION("""COMPUTED_VALUE"""),2019)</f>
        <v>2019</v>
      </c>
      <c r="M1197" s="36">
        <f ca="1">IFERROR(__xludf.DUMMYFUNCTION("""COMPUTED_VALUE"""),2020)</f>
        <v>2020</v>
      </c>
      <c r="N1197" s="36">
        <f ca="1">IFERROR(__xludf.DUMMYFUNCTION("""COMPUTED_VALUE"""),2021)</f>
        <v>2021</v>
      </c>
      <c r="O1197" s="36">
        <f ca="1">IFERROR(__xludf.DUMMYFUNCTION("""COMPUTED_VALUE"""),2022)</f>
        <v>2022</v>
      </c>
      <c r="P1197" s="36">
        <f ca="1">IFERROR(__xludf.DUMMYFUNCTION("""COMPUTED_VALUE"""),2023)</f>
        <v>2023</v>
      </c>
      <c r="Q1197" s="37">
        <f ca="1">IFERROR(__xludf.DUMMYFUNCTION("""COMPUTED_VALUE"""),2024)</f>
        <v>2024</v>
      </c>
      <c r="R1197" s="15"/>
    </row>
    <row r="1198" spans="1:18" ht="13.2" hidden="1" outlineLevel="1" x14ac:dyDescent="0.25">
      <c r="A1198" s="1"/>
      <c r="B1198" s="38" t="str">
        <f ca="1">IFERROR(__xludf.DUMMYFUNCTION("""COMPUTED_VALUE"""),"Carbón mineral")</f>
        <v>Carbón mineral</v>
      </c>
      <c r="C1198" s="17">
        <f ca="1">IFERROR(__xludf.DUMMYFUNCTION("""COMPUTED_VALUE"""),0)</f>
        <v>0</v>
      </c>
      <c r="D1198" s="18">
        <f ca="1">IFERROR(__xludf.DUMMYFUNCTION("""COMPUTED_VALUE"""),0)</f>
        <v>0</v>
      </c>
      <c r="E1198" s="18">
        <f ca="1">IFERROR(__xludf.DUMMYFUNCTION("""COMPUTED_VALUE"""),0)</f>
        <v>0</v>
      </c>
      <c r="F1198" s="18">
        <f ca="1">IFERROR(__xludf.DUMMYFUNCTION("""COMPUTED_VALUE"""),0)</f>
        <v>0</v>
      </c>
      <c r="G1198" s="18">
        <f ca="1">IFERROR(__xludf.DUMMYFUNCTION("""COMPUTED_VALUE"""),0)</f>
        <v>0</v>
      </c>
      <c r="H1198" s="18">
        <f ca="1">IFERROR(__xludf.DUMMYFUNCTION("""COMPUTED_VALUE"""),0)</f>
        <v>0</v>
      </c>
      <c r="I1198" s="18">
        <f ca="1">IFERROR(__xludf.DUMMYFUNCTION("""COMPUTED_VALUE"""),0)</f>
        <v>0</v>
      </c>
      <c r="J1198" s="18">
        <f ca="1">IFERROR(__xludf.DUMMYFUNCTION("""COMPUTED_VALUE"""),0)</f>
        <v>0</v>
      </c>
      <c r="K1198" s="18">
        <f ca="1">IFERROR(__xludf.DUMMYFUNCTION("""COMPUTED_VALUE"""),0)</f>
        <v>0</v>
      </c>
      <c r="L1198" s="18">
        <f ca="1">IFERROR(__xludf.DUMMYFUNCTION("""COMPUTED_VALUE"""),0)</f>
        <v>0</v>
      </c>
      <c r="M1198" s="18">
        <f ca="1">IFERROR(__xludf.DUMMYFUNCTION("""COMPUTED_VALUE"""),0)</f>
        <v>0</v>
      </c>
      <c r="N1198" s="18">
        <f ca="1">IFERROR(__xludf.DUMMYFUNCTION("""COMPUTED_VALUE"""),0)</f>
        <v>0</v>
      </c>
      <c r="O1198" s="18">
        <f ca="1">IFERROR(__xludf.DUMMYFUNCTION("""COMPUTED_VALUE"""),0)</f>
        <v>0</v>
      </c>
      <c r="P1198" s="18">
        <f ca="1">IFERROR(__xludf.DUMMYFUNCTION("""COMPUTED_VALUE"""),0)</f>
        <v>0</v>
      </c>
      <c r="Q1198" s="19">
        <f ca="1">IFERROR(__xludf.DUMMYFUNCTION("""COMPUTED_VALUE"""),0)</f>
        <v>0</v>
      </c>
      <c r="R1198" s="20"/>
    </row>
    <row r="1199" spans="1:18" ht="13.2" hidden="1" outlineLevel="1" x14ac:dyDescent="0.25">
      <c r="A1199" s="1"/>
      <c r="B1199" s="39" t="str">
        <f ca="1">IFERROR(__xludf.DUMMYFUNCTION("""COMPUTED_VALUE"""),"Petróleo crudo")</f>
        <v>Petróleo crudo</v>
      </c>
      <c r="C1199" s="22">
        <f ca="1">IFERROR(__xludf.DUMMYFUNCTION("""COMPUTED_VALUE"""),0)</f>
        <v>0</v>
      </c>
      <c r="D1199" s="23">
        <f ca="1">IFERROR(__xludf.DUMMYFUNCTION("""COMPUTED_VALUE"""),0)</f>
        <v>0</v>
      </c>
      <c r="E1199" s="23">
        <f ca="1">IFERROR(__xludf.DUMMYFUNCTION("""COMPUTED_VALUE"""),0)</f>
        <v>0</v>
      </c>
      <c r="F1199" s="23">
        <f ca="1">IFERROR(__xludf.DUMMYFUNCTION("""COMPUTED_VALUE"""),0)</f>
        <v>0</v>
      </c>
      <c r="G1199" s="23">
        <f ca="1">IFERROR(__xludf.DUMMYFUNCTION("""COMPUTED_VALUE"""),0)</f>
        <v>0</v>
      </c>
      <c r="H1199" s="23">
        <f ca="1">IFERROR(__xludf.DUMMYFUNCTION("""COMPUTED_VALUE"""),0)</f>
        <v>0</v>
      </c>
      <c r="I1199" s="23">
        <f ca="1">IFERROR(__xludf.DUMMYFUNCTION("""COMPUTED_VALUE"""),0)</f>
        <v>0</v>
      </c>
      <c r="J1199" s="23">
        <f ca="1">IFERROR(__xludf.DUMMYFUNCTION("""COMPUTED_VALUE"""),0)</f>
        <v>0</v>
      </c>
      <c r="K1199" s="23">
        <f ca="1">IFERROR(__xludf.DUMMYFUNCTION("""COMPUTED_VALUE"""),0)</f>
        <v>0</v>
      </c>
      <c r="L1199" s="23">
        <f ca="1">IFERROR(__xludf.DUMMYFUNCTION("""COMPUTED_VALUE"""),0)</f>
        <v>0</v>
      </c>
      <c r="M1199" s="23">
        <f ca="1">IFERROR(__xludf.DUMMYFUNCTION("""COMPUTED_VALUE"""),0)</f>
        <v>0</v>
      </c>
      <c r="N1199" s="23">
        <f ca="1">IFERROR(__xludf.DUMMYFUNCTION("""COMPUTED_VALUE"""),0)</f>
        <v>0</v>
      </c>
      <c r="O1199" s="23">
        <f ca="1">IFERROR(__xludf.DUMMYFUNCTION("""COMPUTED_VALUE"""),0)</f>
        <v>0</v>
      </c>
      <c r="P1199" s="23">
        <f ca="1">IFERROR(__xludf.DUMMYFUNCTION("""COMPUTED_VALUE"""),0)</f>
        <v>0</v>
      </c>
      <c r="Q1199" s="24">
        <f ca="1">IFERROR(__xludf.DUMMYFUNCTION("""COMPUTED_VALUE"""),0)</f>
        <v>0</v>
      </c>
      <c r="R1199" s="20"/>
    </row>
    <row r="1200" spans="1:18" ht="13.2" hidden="1" outlineLevel="1" x14ac:dyDescent="0.25">
      <c r="A1200" s="1"/>
      <c r="B1200" s="39" t="str">
        <f ca="1">IFERROR(__xludf.DUMMYFUNCTION("""COMPUTED_VALUE"""),"Condensados")</f>
        <v>Condensados</v>
      </c>
      <c r="C1200" s="22">
        <f ca="1">IFERROR(__xludf.DUMMYFUNCTION("""COMPUTED_VALUE"""),0)</f>
        <v>0</v>
      </c>
      <c r="D1200" s="23">
        <f ca="1">IFERROR(__xludf.DUMMYFUNCTION("""COMPUTED_VALUE"""),0)</f>
        <v>0</v>
      </c>
      <c r="E1200" s="23">
        <f ca="1">IFERROR(__xludf.DUMMYFUNCTION("""COMPUTED_VALUE"""),0)</f>
        <v>0</v>
      </c>
      <c r="F1200" s="23">
        <f ca="1">IFERROR(__xludf.DUMMYFUNCTION("""COMPUTED_VALUE"""),0)</f>
        <v>0</v>
      </c>
      <c r="G1200" s="23">
        <f ca="1">IFERROR(__xludf.DUMMYFUNCTION("""COMPUTED_VALUE"""),0)</f>
        <v>0</v>
      </c>
      <c r="H1200" s="23">
        <f ca="1">IFERROR(__xludf.DUMMYFUNCTION("""COMPUTED_VALUE"""),0)</f>
        <v>0</v>
      </c>
      <c r="I1200" s="23">
        <f ca="1">IFERROR(__xludf.DUMMYFUNCTION("""COMPUTED_VALUE"""),0)</f>
        <v>0</v>
      </c>
      <c r="J1200" s="23">
        <f ca="1">IFERROR(__xludf.DUMMYFUNCTION("""COMPUTED_VALUE"""),0)</f>
        <v>0</v>
      </c>
      <c r="K1200" s="23">
        <f ca="1">IFERROR(__xludf.DUMMYFUNCTION("""COMPUTED_VALUE"""),0)</f>
        <v>0</v>
      </c>
      <c r="L1200" s="23">
        <f ca="1">IFERROR(__xludf.DUMMYFUNCTION("""COMPUTED_VALUE"""),0)</f>
        <v>0</v>
      </c>
      <c r="M1200" s="23">
        <f ca="1">IFERROR(__xludf.DUMMYFUNCTION("""COMPUTED_VALUE"""),0)</f>
        <v>0</v>
      </c>
      <c r="N1200" s="23">
        <f ca="1">IFERROR(__xludf.DUMMYFUNCTION("""COMPUTED_VALUE"""),0)</f>
        <v>0</v>
      </c>
      <c r="O1200" s="23">
        <f ca="1">IFERROR(__xludf.DUMMYFUNCTION("""COMPUTED_VALUE"""),0)</f>
        <v>0</v>
      </c>
      <c r="P1200" s="23">
        <f ca="1">IFERROR(__xludf.DUMMYFUNCTION("""COMPUTED_VALUE"""),0)</f>
        <v>0</v>
      </c>
      <c r="Q1200" s="24">
        <f ca="1">IFERROR(__xludf.DUMMYFUNCTION("""COMPUTED_VALUE"""),0)</f>
        <v>0</v>
      </c>
      <c r="R1200" s="20"/>
    </row>
    <row r="1201" spans="1:18" ht="13.2" hidden="1" outlineLevel="1" x14ac:dyDescent="0.25">
      <c r="A1201" s="1"/>
      <c r="B1201" s="39" t="str">
        <f ca="1">IFERROR(__xludf.DUMMYFUNCTION("""COMPUTED_VALUE"""),"Gas natural")</f>
        <v>Gas natural</v>
      </c>
      <c r="C1201" s="22">
        <f ca="1">IFERROR(__xludf.DUMMYFUNCTION("""COMPUTED_VALUE"""),0)</f>
        <v>0</v>
      </c>
      <c r="D1201" s="23">
        <f ca="1">IFERROR(__xludf.DUMMYFUNCTION("""COMPUTED_VALUE"""),0)</f>
        <v>0</v>
      </c>
      <c r="E1201" s="23">
        <f ca="1">IFERROR(__xludf.DUMMYFUNCTION("""COMPUTED_VALUE"""),0)</f>
        <v>0</v>
      </c>
      <c r="F1201" s="23">
        <f ca="1">IFERROR(__xludf.DUMMYFUNCTION("""COMPUTED_VALUE"""),0)</f>
        <v>0</v>
      </c>
      <c r="G1201" s="23">
        <f ca="1">IFERROR(__xludf.DUMMYFUNCTION("""COMPUTED_VALUE"""),0)</f>
        <v>0</v>
      </c>
      <c r="H1201" s="23">
        <f ca="1">IFERROR(__xludf.DUMMYFUNCTION("""COMPUTED_VALUE"""),0)</f>
        <v>0</v>
      </c>
      <c r="I1201" s="23">
        <f ca="1">IFERROR(__xludf.DUMMYFUNCTION("""COMPUTED_VALUE"""),0)</f>
        <v>0</v>
      </c>
      <c r="J1201" s="23">
        <f ca="1">IFERROR(__xludf.DUMMYFUNCTION("""COMPUTED_VALUE"""),0)</f>
        <v>0</v>
      </c>
      <c r="K1201" s="23">
        <f ca="1">IFERROR(__xludf.DUMMYFUNCTION("""COMPUTED_VALUE"""),0)</f>
        <v>0</v>
      </c>
      <c r="L1201" s="23">
        <f ca="1">IFERROR(__xludf.DUMMYFUNCTION("""COMPUTED_VALUE"""),0)</f>
        <v>0</v>
      </c>
      <c r="M1201" s="23">
        <f ca="1">IFERROR(__xludf.DUMMYFUNCTION("""COMPUTED_VALUE"""),0)</f>
        <v>0</v>
      </c>
      <c r="N1201" s="23">
        <f ca="1">IFERROR(__xludf.DUMMYFUNCTION("""COMPUTED_VALUE"""),0)</f>
        <v>0</v>
      </c>
      <c r="O1201" s="23">
        <f ca="1">IFERROR(__xludf.DUMMYFUNCTION("""COMPUTED_VALUE"""),0)</f>
        <v>0</v>
      </c>
      <c r="P1201" s="23">
        <f ca="1">IFERROR(__xludf.DUMMYFUNCTION("""COMPUTED_VALUE"""),0)</f>
        <v>0</v>
      </c>
      <c r="Q1201" s="24">
        <f ca="1">IFERROR(__xludf.DUMMYFUNCTION("""COMPUTED_VALUE"""),0)</f>
        <v>0</v>
      </c>
      <c r="R1201" s="20"/>
    </row>
    <row r="1202" spans="1:18" ht="13.2" hidden="1" outlineLevel="1" x14ac:dyDescent="0.25">
      <c r="A1202" s="1"/>
      <c r="B1202" s="39" t="str">
        <f ca="1">IFERROR(__xludf.DUMMYFUNCTION("""COMPUTED_VALUE"""),"Energía Nuclear")</f>
        <v>Energía Nuclear</v>
      </c>
      <c r="C1202" s="22">
        <f ca="1">IFERROR(__xludf.DUMMYFUNCTION("""COMPUTED_VALUE"""),0)</f>
        <v>0</v>
      </c>
      <c r="D1202" s="23">
        <f ca="1">IFERROR(__xludf.DUMMYFUNCTION("""COMPUTED_VALUE"""),0)</f>
        <v>0</v>
      </c>
      <c r="E1202" s="23">
        <f ca="1">IFERROR(__xludf.DUMMYFUNCTION("""COMPUTED_VALUE"""),0)</f>
        <v>0</v>
      </c>
      <c r="F1202" s="23">
        <f ca="1">IFERROR(__xludf.DUMMYFUNCTION("""COMPUTED_VALUE"""),0)</f>
        <v>0</v>
      </c>
      <c r="G1202" s="23">
        <f ca="1">IFERROR(__xludf.DUMMYFUNCTION("""COMPUTED_VALUE"""),0)</f>
        <v>0</v>
      </c>
      <c r="H1202" s="23">
        <f ca="1">IFERROR(__xludf.DUMMYFUNCTION("""COMPUTED_VALUE"""),0)</f>
        <v>0</v>
      </c>
      <c r="I1202" s="23">
        <f ca="1">IFERROR(__xludf.DUMMYFUNCTION("""COMPUTED_VALUE"""),0)</f>
        <v>0</v>
      </c>
      <c r="J1202" s="23">
        <f ca="1">IFERROR(__xludf.DUMMYFUNCTION("""COMPUTED_VALUE"""),0)</f>
        <v>0</v>
      </c>
      <c r="K1202" s="23">
        <f ca="1">IFERROR(__xludf.DUMMYFUNCTION("""COMPUTED_VALUE"""),0)</f>
        <v>0</v>
      </c>
      <c r="L1202" s="23">
        <f ca="1">IFERROR(__xludf.DUMMYFUNCTION("""COMPUTED_VALUE"""),0)</f>
        <v>0</v>
      </c>
      <c r="M1202" s="23">
        <f ca="1">IFERROR(__xludf.DUMMYFUNCTION("""COMPUTED_VALUE"""),0)</f>
        <v>0</v>
      </c>
      <c r="N1202" s="23">
        <f ca="1">IFERROR(__xludf.DUMMYFUNCTION("""COMPUTED_VALUE"""),0)</f>
        <v>0</v>
      </c>
      <c r="O1202" s="23">
        <f ca="1">IFERROR(__xludf.DUMMYFUNCTION("""COMPUTED_VALUE"""),0)</f>
        <v>0</v>
      </c>
      <c r="P1202" s="23">
        <f ca="1">IFERROR(__xludf.DUMMYFUNCTION("""COMPUTED_VALUE"""),0)</f>
        <v>0</v>
      </c>
      <c r="Q1202" s="24">
        <f ca="1">IFERROR(__xludf.DUMMYFUNCTION("""COMPUTED_VALUE"""),0)</f>
        <v>0</v>
      </c>
      <c r="R1202" s="20"/>
    </row>
    <row r="1203" spans="1:18" ht="13.2" hidden="1" outlineLevel="1" x14ac:dyDescent="0.25">
      <c r="A1203" s="1"/>
      <c r="B1203" s="39" t="str">
        <f ca="1">IFERROR(__xludf.DUMMYFUNCTION("""COMPUTED_VALUE"""),"Energia Hidraúlica")</f>
        <v>Energia Hidraúlica</v>
      </c>
      <c r="C1203" s="22">
        <f ca="1">IFERROR(__xludf.DUMMYFUNCTION("""COMPUTED_VALUE"""),0)</f>
        <v>0</v>
      </c>
      <c r="D1203" s="23">
        <f ca="1">IFERROR(__xludf.DUMMYFUNCTION("""COMPUTED_VALUE"""),0)</f>
        <v>0</v>
      </c>
      <c r="E1203" s="23">
        <f ca="1">IFERROR(__xludf.DUMMYFUNCTION("""COMPUTED_VALUE"""),0)</f>
        <v>0</v>
      </c>
      <c r="F1203" s="23">
        <f ca="1">IFERROR(__xludf.DUMMYFUNCTION("""COMPUTED_VALUE"""),0)</f>
        <v>0</v>
      </c>
      <c r="G1203" s="23">
        <f ca="1">IFERROR(__xludf.DUMMYFUNCTION("""COMPUTED_VALUE"""),0)</f>
        <v>0</v>
      </c>
      <c r="H1203" s="23">
        <f ca="1">IFERROR(__xludf.DUMMYFUNCTION("""COMPUTED_VALUE"""),0)</f>
        <v>0</v>
      </c>
      <c r="I1203" s="23">
        <f ca="1">IFERROR(__xludf.DUMMYFUNCTION("""COMPUTED_VALUE"""),0)</f>
        <v>0</v>
      </c>
      <c r="J1203" s="23">
        <f ca="1">IFERROR(__xludf.DUMMYFUNCTION("""COMPUTED_VALUE"""),0)</f>
        <v>0</v>
      </c>
      <c r="K1203" s="23">
        <f ca="1">IFERROR(__xludf.DUMMYFUNCTION("""COMPUTED_VALUE"""),0)</f>
        <v>0</v>
      </c>
      <c r="L1203" s="23">
        <f ca="1">IFERROR(__xludf.DUMMYFUNCTION("""COMPUTED_VALUE"""),0)</f>
        <v>0</v>
      </c>
      <c r="M1203" s="23">
        <f ca="1">IFERROR(__xludf.DUMMYFUNCTION("""COMPUTED_VALUE"""),0)</f>
        <v>0</v>
      </c>
      <c r="N1203" s="23">
        <f ca="1">IFERROR(__xludf.DUMMYFUNCTION("""COMPUTED_VALUE"""),0)</f>
        <v>0</v>
      </c>
      <c r="O1203" s="23">
        <f ca="1">IFERROR(__xludf.DUMMYFUNCTION("""COMPUTED_VALUE"""),0)</f>
        <v>0</v>
      </c>
      <c r="P1203" s="23">
        <f ca="1">IFERROR(__xludf.DUMMYFUNCTION("""COMPUTED_VALUE"""),0)</f>
        <v>0</v>
      </c>
      <c r="Q1203" s="24">
        <f ca="1">IFERROR(__xludf.DUMMYFUNCTION("""COMPUTED_VALUE"""),0)</f>
        <v>0</v>
      </c>
      <c r="R1203" s="20"/>
    </row>
    <row r="1204" spans="1:18" ht="13.2" hidden="1" outlineLevel="1" x14ac:dyDescent="0.25">
      <c r="A1204" s="1"/>
      <c r="B1204" s="39" t="str">
        <f ca="1">IFERROR(__xludf.DUMMYFUNCTION("""COMPUTED_VALUE"""),"Geoenergía")</f>
        <v>Geoenergía</v>
      </c>
      <c r="C1204" s="22">
        <f ca="1">IFERROR(__xludf.DUMMYFUNCTION("""COMPUTED_VALUE"""),0)</f>
        <v>0</v>
      </c>
      <c r="D1204" s="23">
        <f ca="1">IFERROR(__xludf.DUMMYFUNCTION("""COMPUTED_VALUE"""),0)</f>
        <v>0</v>
      </c>
      <c r="E1204" s="23">
        <f ca="1">IFERROR(__xludf.DUMMYFUNCTION("""COMPUTED_VALUE"""),0)</f>
        <v>0</v>
      </c>
      <c r="F1204" s="23">
        <f ca="1">IFERROR(__xludf.DUMMYFUNCTION("""COMPUTED_VALUE"""),0)</f>
        <v>0</v>
      </c>
      <c r="G1204" s="23">
        <f ca="1">IFERROR(__xludf.DUMMYFUNCTION("""COMPUTED_VALUE"""),0)</f>
        <v>0</v>
      </c>
      <c r="H1204" s="23">
        <f ca="1">IFERROR(__xludf.DUMMYFUNCTION("""COMPUTED_VALUE"""),0)</f>
        <v>0</v>
      </c>
      <c r="I1204" s="23">
        <f ca="1">IFERROR(__xludf.DUMMYFUNCTION("""COMPUTED_VALUE"""),0)</f>
        <v>0</v>
      </c>
      <c r="J1204" s="23">
        <f ca="1">IFERROR(__xludf.DUMMYFUNCTION("""COMPUTED_VALUE"""),0)</f>
        <v>0</v>
      </c>
      <c r="K1204" s="23">
        <f ca="1">IFERROR(__xludf.DUMMYFUNCTION("""COMPUTED_VALUE"""),0)</f>
        <v>0</v>
      </c>
      <c r="L1204" s="23">
        <f ca="1">IFERROR(__xludf.DUMMYFUNCTION("""COMPUTED_VALUE"""),0)</f>
        <v>0</v>
      </c>
      <c r="M1204" s="23">
        <f ca="1">IFERROR(__xludf.DUMMYFUNCTION("""COMPUTED_VALUE"""),0)</f>
        <v>0</v>
      </c>
      <c r="N1204" s="23">
        <f ca="1">IFERROR(__xludf.DUMMYFUNCTION("""COMPUTED_VALUE"""),0)</f>
        <v>0</v>
      </c>
      <c r="O1204" s="23">
        <f ca="1">IFERROR(__xludf.DUMMYFUNCTION("""COMPUTED_VALUE"""),0)</f>
        <v>0</v>
      </c>
      <c r="P1204" s="23">
        <f ca="1">IFERROR(__xludf.DUMMYFUNCTION("""COMPUTED_VALUE"""),0)</f>
        <v>0</v>
      </c>
      <c r="Q1204" s="24">
        <f ca="1">IFERROR(__xludf.DUMMYFUNCTION("""COMPUTED_VALUE"""),0)</f>
        <v>0</v>
      </c>
      <c r="R1204" s="20"/>
    </row>
    <row r="1205" spans="1:18" ht="13.2" hidden="1" outlineLevel="1" x14ac:dyDescent="0.25">
      <c r="A1205" s="1"/>
      <c r="B1205" s="39" t="str">
        <f ca="1">IFERROR(__xludf.DUMMYFUNCTION("""COMPUTED_VALUE"""),"Energía solar")</f>
        <v>Energía solar</v>
      </c>
      <c r="C1205" s="22">
        <f ca="1">IFERROR(__xludf.DUMMYFUNCTION("""COMPUTED_VALUE"""),0)</f>
        <v>0</v>
      </c>
      <c r="D1205" s="23">
        <f ca="1">IFERROR(__xludf.DUMMYFUNCTION("""COMPUTED_VALUE"""),0)</f>
        <v>0</v>
      </c>
      <c r="E1205" s="23">
        <f ca="1">IFERROR(__xludf.DUMMYFUNCTION("""COMPUTED_VALUE"""),0)</f>
        <v>0</v>
      </c>
      <c r="F1205" s="23">
        <f ca="1">IFERROR(__xludf.DUMMYFUNCTION("""COMPUTED_VALUE"""),0)</f>
        <v>0</v>
      </c>
      <c r="G1205" s="23">
        <f ca="1">IFERROR(__xludf.DUMMYFUNCTION("""COMPUTED_VALUE"""),0)</f>
        <v>0</v>
      </c>
      <c r="H1205" s="23">
        <f ca="1">IFERROR(__xludf.DUMMYFUNCTION("""COMPUTED_VALUE"""),0)</f>
        <v>0</v>
      </c>
      <c r="I1205" s="23">
        <f ca="1">IFERROR(__xludf.DUMMYFUNCTION("""COMPUTED_VALUE"""),0)</f>
        <v>0</v>
      </c>
      <c r="J1205" s="23">
        <f ca="1">IFERROR(__xludf.DUMMYFUNCTION("""COMPUTED_VALUE"""),0)</f>
        <v>0</v>
      </c>
      <c r="K1205" s="23">
        <f ca="1">IFERROR(__xludf.DUMMYFUNCTION("""COMPUTED_VALUE"""),0)</f>
        <v>0</v>
      </c>
      <c r="L1205" s="23">
        <f ca="1">IFERROR(__xludf.DUMMYFUNCTION("""COMPUTED_VALUE"""),0)</f>
        <v>0</v>
      </c>
      <c r="M1205" s="23">
        <f ca="1">IFERROR(__xludf.DUMMYFUNCTION("""COMPUTED_VALUE"""),0)</f>
        <v>0</v>
      </c>
      <c r="N1205" s="23">
        <f ca="1">IFERROR(__xludf.DUMMYFUNCTION("""COMPUTED_VALUE"""),0)</f>
        <v>0</v>
      </c>
      <c r="O1205" s="23">
        <f ca="1">IFERROR(__xludf.DUMMYFUNCTION("""COMPUTED_VALUE"""),0)</f>
        <v>0</v>
      </c>
      <c r="P1205" s="23">
        <f ca="1">IFERROR(__xludf.DUMMYFUNCTION("""COMPUTED_VALUE"""),0)</f>
        <v>0</v>
      </c>
      <c r="Q1205" s="24">
        <f ca="1">IFERROR(__xludf.DUMMYFUNCTION("""COMPUTED_VALUE"""),0)</f>
        <v>0</v>
      </c>
      <c r="R1205" s="20"/>
    </row>
    <row r="1206" spans="1:18" ht="13.2" hidden="1" outlineLevel="1" x14ac:dyDescent="0.25">
      <c r="A1206" s="1"/>
      <c r="B1206" s="39" t="str">
        <f ca="1">IFERROR(__xludf.DUMMYFUNCTION("""COMPUTED_VALUE"""),"Energía eólica")</f>
        <v>Energía eólica</v>
      </c>
      <c r="C1206" s="22">
        <f ca="1">IFERROR(__xludf.DUMMYFUNCTION("""COMPUTED_VALUE"""),0)</f>
        <v>0</v>
      </c>
      <c r="D1206" s="23">
        <f ca="1">IFERROR(__xludf.DUMMYFUNCTION("""COMPUTED_VALUE"""),0)</f>
        <v>0</v>
      </c>
      <c r="E1206" s="23">
        <f ca="1">IFERROR(__xludf.DUMMYFUNCTION("""COMPUTED_VALUE"""),0)</f>
        <v>0</v>
      </c>
      <c r="F1206" s="23">
        <f ca="1">IFERROR(__xludf.DUMMYFUNCTION("""COMPUTED_VALUE"""),0)</f>
        <v>0</v>
      </c>
      <c r="G1206" s="23">
        <f ca="1">IFERROR(__xludf.DUMMYFUNCTION("""COMPUTED_VALUE"""),0)</f>
        <v>0</v>
      </c>
      <c r="H1206" s="23">
        <f ca="1">IFERROR(__xludf.DUMMYFUNCTION("""COMPUTED_VALUE"""),0)</f>
        <v>0</v>
      </c>
      <c r="I1206" s="23">
        <f ca="1">IFERROR(__xludf.DUMMYFUNCTION("""COMPUTED_VALUE"""),0)</f>
        <v>0</v>
      </c>
      <c r="J1206" s="23">
        <f ca="1">IFERROR(__xludf.DUMMYFUNCTION("""COMPUTED_VALUE"""),0)</f>
        <v>0</v>
      </c>
      <c r="K1206" s="23">
        <f ca="1">IFERROR(__xludf.DUMMYFUNCTION("""COMPUTED_VALUE"""),0)</f>
        <v>0</v>
      </c>
      <c r="L1206" s="23">
        <f ca="1">IFERROR(__xludf.DUMMYFUNCTION("""COMPUTED_VALUE"""),0)</f>
        <v>0</v>
      </c>
      <c r="M1206" s="23">
        <f ca="1">IFERROR(__xludf.DUMMYFUNCTION("""COMPUTED_VALUE"""),0)</f>
        <v>0</v>
      </c>
      <c r="N1206" s="23">
        <f ca="1">IFERROR(__xludf.DUMMYFUNCTION("""COMPUTED_VALUE"""),0)</f>
        <v>0</v>
      </c>
      <c r="O1206" s="23">
        <f ca="1">IFERROR(__xludf.DUMMYFUNCTION("""COMPUTED_VALUE"""),0)</f>
        <v>0</v>
      </c>
      <c r="P1206" s="23">
        <f ca="1">IFERROR(__xludf.DUMMYFUNCTION("""COMPUTED_VALUE"""),0)</f>
        <v>0</v>
      </c>
      <c r="Q1206" s="24">
        <f ca="1">IFERROR(__xludf.DUMMYFUNCTION("""COMPUTED_VALUE"""),0)</f>
        <v>0</v>
      </c>
      <c r="R1206" s="20"/>
    </row>
    <row r="1207" spans="1:18" ht="13.2" hidden="1" outlineLevel="1" x14ac:dyDescent="0.25">
      <c r="A1207" s="1"/>
      <c r="B1207" s="39" t="str">
        <f ca="1">IFERROR(__xludf.DUMMYFUNCTION("""COMPUTED_VALUE"""),"Bagazo de caña")</f>
        <v>Bagazo de caña</v>
      </c>
      <c r="C1207" s="22">
        <f ca="1">IFERROR(__xludf.DUMMYFUNCTION("""COMPUTED_VALUE"""),0)</f>
        <v>0</v>
      </c>
      <c r="D1207" s="23">
        <f ca="1">IFERROR(__xludf.DUMMYFUNCTION("""COMPUTED_VALUE"""),0)</f>
        <v>0</v>
      </c>
      <c r="E1207" s="23">
        <f ca="1">IFERROR(__xludf.DUMMYFUNCTION("""COMPUTED_VALUE"""),0)</f>
        <v>0</v>
      </c>
      <c r="F1207" s="23">
        <f ca="1">IFERROR(__xludf.DUMMYFUNCTION("""COMPUTED_VALUE"""),0)</f>
        <v>0</v>
      </c>
      <c r="G1207" s="23">
        <f ca="1">IFERROR(__xludf.DUMMYFUNCTION("""COMPUTED_VALUE"""),0)</f>
        <v>0</v>
      </c>
      <c r="H1207" s="23">
        <f ca="1">IFERROR(__xludf.DUMMYFUNCTION("""COMPUTED_VALUE"""),0)</f>
        <v>0</v>
      </c>
      <c r="I1207" s="23">
        <f ca="1">IFERROR(__xludf.DUMMYFUNCTION("""COMPUTED_VALUE"""),0)</f>
        <v>0</v>
      </c>
      <c r="J1207" s="23">
        <f ca="1">IFERROR(__xludf.DUMMYFUNCTION("""COMPUTED_VALUE"""),0)</f>
        <v>0</v>
      </c>
      <c r="K1207" s="23">
        <f ca="1">IFERROR(__xludf.DUMMYFUNCTION("""COMPUTED_VALUE"""),0)</f>
        <v>0</v>
      </c>
      <c r="L1207" s="23">
        <f ca="1">IFERROR(__xludf.DUMMYFUNCTION("""COMPUTED_VALUE"""),0)</f>
        <v>0</v>
      </c>
      <c r="M1207" s="23">
        <f ca="1">IFERROR(__xludf.DUMMYFUNCTION("""COMPUTED_VALUE"""),0)</f>
        <v>0</v>
      </c>
      <c r="N1207" s="23">
        <f ca="1">IFERROR(__xludf.DUMMYFUNCTION("""COMPUTED_VALUE"""),0)</f>
        <v>0</v>
      </c>
      <c r="O1207" s="23">
        <f ca="1">IFERROR(__xludf.DUMMYFUNCTION("""COMPUTED_VALUE"""),0)</f>
        <v>0</v>
      </c>
      <c r="P1207" s="23">
        <f ca="1">IFERROR(__xludf.DUMMYFUNCTION("""COMPUTED_VALUE"""),0)</f>
        <v>0</v>
      </c>
      <c r="Q1207" s="24">
        <f ca="1">IFERROR(__xludf.DUMMYFUNCTION("""COMPUTED_VALUE"""),0)</f>
        <v>0</v>
      </c>
      <c r="R1207" s="20"/>
    </row>
    <row r="1208" spans="1:18" ht="13.2" hidden="1" outlineLevel="1" x14ac:dyDescent="0.25">
      <c r="A1208" s="1"/>
      <c r="B1208" s="39" t="str">
        <f ca="1">IFERROR(__xludf.DUMMYFUNCTION("""COMPUTED_VALUE"""),"Leña")</f>
        <v>Leña</v>
      </c>
      <c r="C1208" s="22">
        <f ca="1">IFERROR(__xludf.DUMMYFUNCTION("""COMPUTED_VALUE"""),0)</f>
        <v>0</v>
      </c>
      <c r="D1208" s="23">
        <f ca="1">IFERROR(__xludf.DUMMYFUNCTION("""COMPUTED_VALUE"""),0)</f>
        <v>0</v>
      </c>
      <c r="E1208" s="23">
        <f ca="1">IFERROR(__xludf.DUMMYFUNCTION("""COMPUTED_VALUE"""),0)</f>
        <v>0</v>
      </c>
      <c r="F1208" s="23">
        <f ca="1">IFERROR(__xludf.DUMMYFUNCTION("""COMPUTED_VALUE"""),0)</f>
        <v>0</v>
      </c>
      <c r="G1208" s="23">
        <f ca="1">IFERROR(__xludf.DUMMYFUNCTION("""COMPUTED_VALUE"""),0)</f>
        <v>0</v>
      </c>
      <c r="H1208" s="23">
        <f ca="1">IFERROR(__xludf.DUMMYFUNCTION("""COMPUTED_VALUE"""),0)</f>
        <v>0</v>
      </c>
      <c r="I1208" s="23">
        <f ca="1">IFERROR(__xludf.DUMMYFUNCTION("""COMPUTED_VALUE"""),0)</f>
        <v>0</v>
      </c>
      <c r="J1208" s="23">
        <f ca="1">IFERROR(__xludf.DUMMYFUNCTION("""COMPUTED_VALUE"""),0)</f>
        <v>0</v>
      </c>
      <c r="K1208" s="23">
        <f ca="1">IFERROR(__xludf.DUMMYFUNCTION("""COMPUTED_VALUE"""),0)</f>
        <v>0</v>
      </c>
      <c r="L1208" s="23">
        <f ca="1">IFERROR(__xludf.DUMMYFUNCTION("""COMPUTED_VALUE"""),0)</f>
        <v>0</v>
      </c>
      <c r="M1208" s="23">
        <f ca="1">IFERROR(__xludf.DUMMYFUNCTION("""COMPUTED_VALUE"""),0)</f>
        <v>0</v>
      </c>
      <c r="N1208" s="23">
        <f ca="1">IFERROR(__xludf.DUMMYFUNCTION("""COMPUTED_VALUE"""),0)</f>
        <v>0</v>
      </c>
      <c r="O1208" s="23">
        <f ca="1">IFERROR(__xludf.DUMMYFUNCTION("""COMPUTED_VALUE"""),0)</f>
        <v>0</v>
      </c>
      <c r="P1208" s="23">
        <f ca="1">IFERROR(__xludf.DUMMYFUNCTION("""COMPUTED_VALUE"""),0)</f>
        <v>0</v>
      </c>
      <c r="Q1208" s="24">
        <f ca="1">IFERROR(__xludf.DUMMYFUNCTION("""COMPUTED_VALUE"""),0)</f>
        <v>0</v>
      </c>
      <c r="R1208" s="20"/>
    </row>
    <row r="1209" spans="1:18" ht="13.2" hidden="1" outlineLevel="1" x14ac:dyDescent="0.25">
      <c r="A1209" s="1"/>
      <c r="B1209" s="39" t="str">
        <f ca="1">IFERROR(__xludf.DUMMYFUNCTION("""COMPUTED_VALUE"""),"Biogás")</f>
        <v>Biogás</v>
      </c>
      <c r="C1209" s="22">
        <f ca="1">IFERROR(__xludf.DUMMYFUNCTION("""COMPUTED_VALUE"""),0)</f>
        <v>0</v>
      </c>
      <c r="D1209" s="23">
        <f ca="1">IFERROR(__xludf.DUMMYFUNCTION("""COMPUTED_VALUE"""),0)</f>
        <v>0</v>
      </c>
      <c r="E1209" s="23">
        <f ca="1">IFERROR(__xludf.DUMMYFUNCTION("""COMPUTED_VALUE"""),0)</f>
        <v>0</v>
      </c>
      <c r="F1209" s="23">
        <f ca="1">IFERROR(__xludf.DUMMYFUNCTION("""COMPUTED_VALUE"""),0)</f>
        <v>0</v>
      </c>
      <c r="G1209" s="23">
        <f ca="1">IFERROR(__xludf.DUMMYFUNCTION("""COMPUTED_VALUE"""),0)</f>
        <v>0</v>
      </c>
      <c r="H1209" s="23">
        <f ca="1">IFERROR(__xludf.DUMMYFUNCTION("""COMPUTED_VALUE"""),0)</f>
        <v>0</v>
      </c>
      <c r="I1209" s="23">
        <f ca="1">IFERROR(__xludf.DUMMYFUNCTION("""COMPUTED_VALUE"""),0)</f>
        <v>0</v>
      </c>
      <c r="J1209" s="23">
        <f ca="1">IFERROR(__xludf.DUMMYFUNCTION("""COMPUTED_VALUE"""),0)</f>
        <v>0</v>
      </c>
      <c r="K1209" s="23">
        <f ca="1">IFERROR(__xludf.DUMMYFUNCTION("""COMPUTED_VALUE"""),0)</f>
        <v>0</v>
      </c>
      <c r="L1209" s="23">
        <f ca="1">IFERROR(__xludf.DUMMYFUNCTION("""COMPUTED_VALUE"""),0)</f>
        <v>0</v>
      </c>
      <c r="M1209" s="23">
        <f ca="1">IFERROR(__xludf.DUMMYFUNCTION("""COMPUTED_VALUE"""),0)</f>
        <v>0</v>
      </c>
      <c r="N1209" s="23">
        <f ca="1">IFERROR(__xludf.DUMMYFUNCTION("""COMPUTED_VALUE"""),0)</f>
        <v>0</v>
      </c>
      <c r="O1209" s="23">
        <f ca="1">IFERROR(__xludf.DUMMYFUNCTION("""COMPUTED_VALUE"""),0)</f>
        <v>0</v>
      </c>
      <c r="P1209" s="23">
        <f ca="1">IFERROR(__xludf.DUMMYFUNCTION("""COMPUTED_VALUE"""),0)</f>
        <v>0</v>
      </c>
      <c r="Q1209" s="24">
        <f ca="1">IFERROR(__xludf.DUMMYFUNCTION("""COMPUTED_VALUE"""),0)</f>
        <v>0</v>
      </c>
      <c r="R1209" s="20"/>
    </row>
    <row r="1210" spans="1:18" ht="13.2" hidden="1" outlineLevel="1" x14ac:dyDescent="0.25">
      <c r="A1210" s="1"/>
      <c r="B1210" s="39" t="str">
        <f ca="1">IFERROR(__xludf.DUMMYFUNCTION("""COMPUTED_VALUE"""),"Coque de carbón")</f>
        <v>Coque de carbón</v>
      </c>
      <c r="C1210" s="22">
        <f ca="1">IFERROR(__xludf.DUMMYFUNCTION("""COMPUTED_VALUE"""),0)</f>
        <v>0</v>
      </c>
      <c r="D1210" s="23">
        <f ca="1">IFERROR(__xludf.DUMMYFUNCTION("""COMPUTED_VALUE"""),0)</f>
        <v>0</v>
      </c>
      <c r="E1210" s="23">
        <f ca="1">IFERROR(__xludf.DUMMYFUNCTION("""COMPUTED_VALUE"""),0)</f>
        <v>0</v>
      </c>
      <c r="F1210" s="23">
        <f ca="1">IFERROR(__xludf.DUMMYFUNCTION("""COMPUTED_VALUE"""),0)</f>
        <v>0</v>
      </c>
      <c r="G1210" s="23">
        <f ca="1">IFERROR(__xludf.DUMMYFUNCTION("""COMPUTED_VALUE"""),0)</f>
        <v>0</v>
      </c>
      <c r="H1210" s="23">
        <f ca="1">IFERROR(__xludf.DUMMYFUNCTION("""COMPUTED_VALUE"""),0)</f>
        <v>0</v>
      </c>
      <c r="I1210" s="23">
        <f ca="1">IFERROR(__xludf.DUMMYFUNCTION("""COMPUTED_VALUE"""),0)</f>
        <v>0</v>
      </c>
      <c r="J1210" s="23">
        <f ca="1">IFERROR(__xludf.DUMMYFUNCTION("""COMPUTED_VALUE"""),0)</f>
        <v>0</v>
      </c>
      <c r="K1210" s="23">
        <f ca="1">IFERROR(__xludf.DUMMYFUNCTION("""COMPUTED_VALUE"""),0)</f>
        <v>0</v>
      </c>
      <c r="L1210" s="23">
        <f ca="1">IFERROR(__xludf.DUMMYFUNCTION("""COMPUTED_VALUE"""),0)</f>
        <v>0</v>
      </c>
      <c r="M1210" s="23">
        <f ca="1">IFERROR(__xludf.DUMMYFUNCTION("""COMPUTED_VALUE"""),0)</f>
        <v>0</v>
      </c>
      <c r="N1210" s="23">
        <f ca="1">IFERROR(__xludf.DUMMYFUNCTION("""COMPUTED_VALUE"""),0)</f>
        <v>0</v>
      </c>
      <c r="O1210" s="23">
        <f ca="1">IFERROR(__xludf.DUMMYFUNCTION("""COMPUTED_VALUE"""),0)</f>
        <v>0</v>
      </c>
      <c r="P1210" s="23">
        <f ca="1">IFERROR(__xludf.DUMMYFUNCTION("""COMPUTED_VALUE"""),0)</f>
        <v>0</v>
      </c>
      <c r="Q1210" s="24">
        <f ca="1">IFERROR(__xludf.DUMMYFUNCTION("""COMPUTED_VALUE"""),0)</f>
        <v>0</v>
      </c>
      <c r="R1210" s="20"/>
    </row>
    <row r="1211" spans="1:18" ht="13.2" hidden="1" outlineLevel="1" x14ac:dyDescent="0.25">
      <c r="A1211" s="1"/>
      <c r="B1211" s="39" t="str">
        <f ca="1">IFERROR(__xludf.DUMMYFUNCTION("""COMPUTED_VALUE"""),"Coque de petróleo")</f>
        <v>Coque de petróleo</v>
      </c>
      <c r="C1211" s="22">
        <f ca="1">IFERROR(__xludf.DUMMYFUNCTION("""COMPUTED_VALUE"""),0)</f>
        <v>0</v>
      </c>
      <c r="D1211" s="23">
        <f ca="1">IFERROR(__xludf.DUMMYFUNCTION("""COMPUTED_VALUE"""),0)</f>
        <v>0</v>
      </c>
      <c r="E1211" s="23">
        <f ca="1">IFERROR(__xludf.DUMMYFUNCTION("""COMPUTED_VALUE"""),0)</f>
        <v>0</v>
      </c>
      <c r="F1211" s="23">
        <f ca="1">IFERROR(__xludf.DUMMYFUNCTION("""COMPUTED_VALUE"""),0)</f>
        <v>0</v>
      </c>
      <c r="G1211" s="23">
        <f ca="1">IFERROR(__xludf.DUMMYFUNCTION("""COMPUTED_VALUE"""),0)</f>
        <v>0</v>
      </c>
      <c r="H1211" s="23">
        <f ca="1">IFERROR(__xludf.DUMMYFUNCTION("""COMPUTED_VALUE"""),0)</f>
        <v>0</v>
      </c>
      <c r="I1211" s="23">
        <f ca="1">IFERROR(__xludf.DUMMYFUNCTION("""COMPUTED_VALUE"""),0)</f>
        <v>0</v>
      </c>
      <c r="J1211" s="23">
        <f ca="1">IFERROR(__xludf.DUMMYFUNCTION("""COMPUTED_VALUE"""),0)</f>
        <v>0</v>
      </c>
      <c r="K1211" s="23">
        <f ca="1">IFERROR(__xludf.DUMMYFUNCTION("""COMPUTED_VALUE"""),0)</f>
        <v>0</v>
      </c>
      <c r="L1211" s="23">
        <f ca="1">IFERROR(__xludf.DUMMYFUNCTION("""COMPUTED_VALUE"""),0)</f>
        <v>0</v>
      </c>
      <c r="M1211" s="23">
        <f ca="1">IFERROR(__xludf.DUMMYFUNCTION("""COMPUTED_VALUE"""),0)</f>
        <v>0</v>
      </c>
      <c r="N1211" s="23">
        <f ca="1">IFERROR(__xludf.DUMMYFUNCTION("""COMPUTED_VALUE"""),0)</f>
        <v>0</v>
      </c>
      <c r="O1211" s="23">
        <f ca="1">IFERROR(__xludf.DUMMYFUNCTION("""COMPUTED_VALUE"""),0)</f>
        <v>0</v>
      </c>
      <c r="P1211" s="23">
        <f ca="1">IFERROR(__xludf.DUMMYFUNCTION("""COMPUTED_VALUE"""),0)</f>
        <v>0</v>
      </c>
      <c r="Q1211" s="24">
        <f ca="1">IFERROR(__xludf.DUMMYFUNCTION("""COMPUTED_VALUE"""),0)</f>
        <v>0</v>
      </c>
      <c r="R1211" s="20"/>
    </row>
    <row r="1212" spans="1:18" ht="13.2" hidden="1" outlineLevel="1" x14ac:dyDescent="0.25">
      <c r="A1212" s="1"/>
      <c r="B1212" s="39" t="str">
        <f ca="1">IFERROR(__xludf.DUMMYFUNCTION("""COMPUTED_VALUE"""),"Gas licuado de petróleo")</f>
        <v>Gas licuado de petróleo</v>
      </c>
      <c r="C1212" s="22">
        <f ca="1">IFERROR(__xludf.DUMMYFUNCTION("""COMPUTED_VALUE"""),2.13824121367437)</f>
        <v>2.13824121367437</v>
      </c>
      <c r="D1212" s="23">
        <f ca="1">IFERROR(__xludf.DUMMYFUNCTION("""COMPUTED_VALUE"""),1.16748239200278)</f>
        <v>1.1674823920027799</v>
      </c>
      <c r="E1212" s="23">
        <f ca="1">IFERROR(__xludf.DUMMYFUNCTION("""COMPUTED_VALUE"""),2.03501226729122)</f>
        <v>2.0350122672912199</v>
      </c>
      <c r="F1212" s="23">
        <f ca="1">IFERROR(__xludf.DUMMYFUNCTION("""COMPUTED_VALUE"""),1.27684062991386)</f>
        <v>1.2768406299138599</v>
      </c>
      <c r="G1212" s="23">
        <f ca="1">IFERROR(__xludf.DUMMYFUNCTION("""COMPUTED_VALUE"""),1.39811840175419)</f>
        <v>1.3981184017541901</v>
      </c>
      <c r="H1212" s="23">
        <f ca="1">IFERROR(__xludf.DUMMYFUNCTION("""COMPUTED_VALUE"""),1.65421042723775)</f>
        <v>1.65421042723775</v>
      </c>
      <c r="I1212" s="23">
        <f ca="1">IFERROR(__xludf.DUMMYFUNCTION("""COMPUTED_VALUE"""),1.7831990008354)</f>
        <v>1.7831990008353999</v>
      </c>
      <c r="J1212" s="23">
        <f ca="1">IFERROR(__xludf.DUMMYFUNCTION("""COMPUTED_VALUE"""),1.96759923197547)</f>
        <v>1.96759923197547</v>
      </c>
      <c r="K1212" s="23">
        <f ca="1">IFERROR(__xludf.DUMMYFUNCTION("""COMPUTED_VALUE"""),2.22784719707445)</f>
        <v>2.2278471970744498</v>
      </c>
      <c r="L1212" s="23">
        <f ca="1">IFERROR(__xludf.DUMMYFUNCTION("""COMPUTED_VALUE"""),3.13929846350186)</f>
        <v>3.1392984635018601</v>
      </c>
      <c r="M1212" s="23">
        <f ca="1">IFERROR(__xludf.DUMMYFUNCTION("""COMPUTED_VALUE"""),1.77208610603805)</f>
        <v>1.7720861060380499</v>
      </c>
      <c r="N1212" s="23">
        <f ca="1">IFERROR(__xludf.DUMMYFUNCTION("""COMPUTED_VALUE"""),1.64302042474855)</f>
        <v>1.64302042474855</v>
      </c>
      <c r="O1212" s="23">
        <f ca="1">IFERROR(__xludf.DUMMYFUNCTION("""COMPUTED_VALUE"""),1.68664780650209)</f>
        <v>1.68664780650209</v>
      </c>
      <c r="P1212" s="23">
        <f ca="1">IFERROR(__xludf.DUMMYFUNCTION("""COMPUTED_VALUE"""),1.81518280114801)</f>
        <v>1.81518280114801</v>
      </c>
      <c r="Q1212" s="24">
        <f ca="1">IFERROR(__xludf.DUMMYFUNCTION("""COMPUTED_VALUE"""),1.84252851923086)</f>
        <v>1.84252851923086</v>
      </c>
      <c r="R1212" s="20"/>
    </row>
    <row r="1213" spans="1:18" ht="13.2" hidden="1" outlineLevel="1" x14ac:dyDescent="0.25">
      <c r="A1213" s="1"/>
      <c r="B1213" s="39" t="str">
        <f ca="1">IFERROR(__xludf.DUMMYFUNCTION("""COMPUTED_VALUE"""),"Gasolinas y naftas")</f>
        <v>Gasolinas y naftas</v>
      </c>
      <c r="C1213" s="22">
        <f ca="1">IFERROR(__xludf.DUMMYFUNCTION("""COMPUTED_VALUE"""),0)</f>
        <v>0</v>
      </c>
      <c r="D1213" s="23">
        <f ca="1">IFERROR(__xludf.DUMMYFUNCTION("""COMPUTED_VALUE"""),0)</f>
        <v>0</v>
      </c>
      <c r="E1213" s="23">
        <f ca="1">IFERROR(__xludf.DUMMYFUNCTION("""COMPUTED_VALUE"""),0)</f>
        <v>0</v>
      </c>
      <c r="F1213" s="23">
        <f ca="1">IFERROR(__xludf.DUMMYFUNCTION("""COMPUTED_VALUE"""),0)</f>
        <v>0</v>
      </c>
      <c r="G1213" s="23">
        <f ca="1">IFERROR(__xludf.DUMMYFUNCTION("""COMPUTED_VALUE"""),0)</f>
        <v>0</v>
      </c>
      <c r="H1213" s="23">
        <f ca="1">IFERROR(__xludf.DUMMYFUNCTION("""COMPUTED_VALUE"""),0)</f>
        <v>0</v>
      </c>
      <c r="I1213" s="23">
        <f ca="1">IFERROR(__xludf.DUMMYFUNCTION("""COMPUTED_VALUE"""),0)</f>
        <v>0</v>
      </c>
      <c r="J1213" s="23">
        <f ca="1">IFERROR(__xludf.DUMMYFUNCTION("""COMPUTED_VALUE"""),0)</f>
        <v>0</v>
      </c>
      <c r="K1213" s="23">
        <f ca="1">IFERROR(__xludf.DUMMYFUNCTION("""COMPUTED_VALUE"""),0)</f>
        <v>0</v>
      </c>
      <c r="L1213" s="23">
        <f ca="1">IFERROR(__xludf.DUMMYFUNCTION("""COMPUTED_VALUE"""),0)</f>
        <v>0</v>
      </c>
      <c r="M1213" s="23">
        <f ca="1">IFERROR(__xludf.DUMMYFUNCTION("""COMPUTED_VALUE"""),0)</f>
        <v>0</v>
      </c>
      <c r="N1213" s="23">
        <f ca="1">IFERROR(__xludf.DUMMYFUNCTION("""COMPUTED_VALUE"""),0)</f>
        <v>0</v>
      </c>
      <c r="O1213" s="23">
        <f ca="1">IFERROR(__xludf.DUMMYFUNCTION("""COMPUTED_VALUE"""),0)</f>
        <v>0</v>
      </c>
      <c r="P1213" s="23">
        <f ca="1">IFERROR(__xludf.DUMMYFUNCTION("""COMPUTED_VALUE"""),0)</f>
        <v>0</v>
      </c>
      <c r="Q1213" s="24">
        <f ca="1">IFERROR(__xludf.DUMMYFUNCTION("""COMPUTED_VALUE"""),0)</f>
        <v>0</v>
      </c>
      <c r="R1213" s="20"/>
    </row>
    <row r="1214" spans="1:18" ht="13.2" hidden="1" outlineLevel="1" x14ac:dyDescent="0.25">
      <c r="A1214" s="1"/>
      <c r="B1214" s="39" t="str">
        <f ca="1">IFERROR(__xludf.DUMMYFUNCTION("""COMPUTED_VALUE"""),"Querosenos")</f>
        <v>Querosenos</v>
      </c>
      <c r="C1214" s="22">
        <f ca="1">IFERROR(__xludf.DUMMYFUNCTION("""COMPUTED_VALUE"""),0)</f>
        <v>0</v>
      </c>
      <c r="D1214" s="23">
        <f ca="1">IFERROR(__xludf.DUMMYFUNCTION("""COMPUTED_VALUE"""),0)</f>
        <v>0</v>
      </c>
      <c r="E1214" s="23">
        <f ca="1">IFERROR(__xludf.DUMMYFUNCTION("""COMPUTED_VALUE"""),0)</f>
        <v>0</v>
      </c>
      <c r="F1214" s="23">
        <f ca="1">IFERROR(__xludf.DUMMYFUNCTION("""COMPUTED_VALUE"""),0)</f>
        <v>0</v>
      </c>
      <c r="G1214" s="23">
        <f ca="1">IFERROR(__xludf.DUMMYFUNCTION("""COMPUTED_VALUE"""),0)</f>
        <v>0</v>
      </c>
      <c r="H1214" s="23">
        <f ca="1">IFERROR(__xludf.DUMMYFUNCTION("""COMPUTED_VALUE"""),0)</f>
        <v>0</v>
      </c>
      <c r="I1214" s="23">
        <f ca="1">IFERROR(__xludf.DUMMYFUNCTION("""COMPUTED_VALUE"""),0)</f>
        <v>0</v>
      </c>
      <c r="J1214" s="23">
        <f ca="1">IFERROR(__xludf.DUMMYFUNCTION("""COMPUTED_VALUE"""),0)</f>
        <v>0</v>
      </c>
      <c r="K1214" s="23">
        <f ca="1">IFERROR(__xludf.DUMMYFUNCTION("""COMPUTED_VALUE"""),0)</f>
        <v>0</v>
      </c>
      <c r="L1214" s="23">
        <f ca="1">IFERROR(__xludf.DUMMYFUNCTION("""COMPUTED_VALUE"""),0)</f>
        <v>0</v>
      </c>
      <c r="M1214" s="23">
        <f ca="1">IFERROR(__xludf.DUMMYFUNCTION("""COMPUTED_VALUE"""),0)</f>
        <v>0</v>
      </c>
      <c r="N1214" s="23">
        <f ca="1">IFERROR(__xludf.DUMMYFUNCTION("""COMPUTED_VALUE"""),0)</f>
        <v>0</v>
      </c>
      <c r="O1214" s="23">
        <f ca="1">IFERROR(__xludf.DUMMYFUNCTION("""COMPUTED_VALUE"""),0)</f>
        <v>0</v>
      </c>
      <c r="P1214" s="23">
        <f ca="1">IFERROR(__xludf.DUMMYFUNCTION("""COMPUTED_VALUE"""),0)</f>
        <v>0</v>
      </c>
      <c r="Q1214" s="24">
        <f ca="1">IFERROR(__xludf.DUMMYFUNCTION("""COMPUTED_VALUE"""),0)</f>
        <v>0</v>
      </c>
      <c r="R1214" s="20"/>
    </row>
    <row r="1215" spans="1:18" ht="13.2" hidden="1" outlineLevel="1" x14ac:dyDescent="0.25">
      <c r="A1215" s="1"/>
      <c r="B1215" s="39" t="str">
        <f ca="1">IFERROR(__xludf.DUMMYFUNCTION("""COMPUTED_VALUE"""),"Diesel")</f>
        <v>Diesel</v>
      </c>
      <c r="C1215" s="22">
        <f ca="1">IFERROR(__xludf.DUMMYFUNCTION("""COMPUTED_VALUE"""),3.92100271175699)</f>
        <v>3.9210027117569899</v>
      </c>
      <c r="D1215" s="23">
        <f ca="1">IFERROR(__xludf.DUMMYFUNCTION("""COMPUTED_VALUE"""),4.92409636823513)</f>
        <v>4.92409636823513</v>
      </c>
      <c r="E1215" s="23">
        <f ca="1">IFERROR(__xludf.DUMMYFUNCTION("""COMPUTED_VALUE"""),3.61554565497042)</f>
        <v>3.6155456549704201</v>
      </c>
      <c r="F1215" s="23">
        <f ca="1">IFERROR(__xludf.DUMMYFUNCTION("""COMPUTED_VALUE"""),3.59845911602886)</f>
        <v>3.5984591160288599</v>
      </c>
      <c r="G1215" s="23">
        <f ca="1">IFERROR(__xludf.DUMMYFUNCTION("""COMPUTED_VALUE"""),3.71595558343789)</f>
        <v>3.7159555834378901</v>
      </c>
      <c r="H1215" s="23">
        <f ca="1">IFERROR(__xludf.DUMMYFUNCTION("""COMPUTED_VALUE"""),3.8262694050068)</f>
        <v>3.8262694050068</v>
      </c>
      <c r="I1215" s="23">
        <f ca="1">IFERROR(__xludf.DUMMYFUNCTION("""COMPUTED_VALUE"""),3.80191991322426)</f>
        <v>3.80191991322426</v>
      </c>
      <c r="J1215" s="23">
        <f ca="1">IFERROR(__xludf.DUMMYFUNCTION("""COMPUTED_VALUE"""),3.95145198029838)</f>
        <v>3.9514519802983799</v>
      </c>
      <c r="K1215" s="23">
        <f ca="1">IFERROR(__xludf.DUMMYFUNCTION("""COMPUTED_VALUE"""),4.80869174213984)</f>
        <v>4.8086917421398399</v>
      </c>
      <c r="L1215" s="23">
        <f ca="1">IFERROR(__xludf.DUMMYFUNCTION("""COMPUTED_VALUE"""),4.92963217587458)</f>
        <v>4.9296321758745796</v>
      </c>
      <c r="M1215" s="23">
        <f ca="1">IFERROR(__xludf.DUMMYFUNCTION("""COMPUTED_VALUE"""),3.21972708283803)</f>
        <v>3.21972708283803</v>
      </c>
      <c r="N1215" s="23">
        <f ca="1">IFERROR(__xludf.DUMMYFUNCTION("""COMPUTED_VALUE"""),5.43715670847279)</f>
        <v>5.4371567084727896</v>
      </c>
      <c r="O1215" s="23">
        <f ca="1">IFERROR(__xludf.DUMMYFUNCTION("""COMPUTED_VALUE"""),5.40731688115382)</f>
        <v>5.4073168811538199</v>
      </c>
      <c r="P1215" s="23">
        <f ca="1">IFERROR(__xludf.DUMMYFUNCTION("""COMPUTED_VALUE"""),5.42892852136883)</f>
        <v>5.4289285213688299</v>
      </c>
      <c r="Q1215" s="24">
        <f ca="1">IFERROR(__xludf.DUMMYFUNCTION("""COMPUTED_VALUE"""),4.30327024755962)</f>
        <v>4.3032702475596203</v>
      </c>
      <c r="R1215" s="20"/>
    </row>
    <row r="1216" spans="1:18" ht="13.2" hidden="1" outlineLevel="1" x14ac:dyDescent="0.25">
      <c r="A1216" s="1"/>
      <c r="B1216" s="39" t="str">
        <f ca="1">IFERROR(__xludf.DUMMYFUNCTION("""COMPUTED_VALUE"""),"Combustóleo")</f>
        <v>Combustóleo</v>
      </c>
      <c r="C1216" s="22">
        <f ca="1">IFERROR(__xludf.DUMMYFUNCTION("""COMPUTED_VALUE"""),1.02563704376623)</f>
        <v>1.0256370437662301</v>
      </c>
      <c r="D1216" s="23">
        <f ca="1">IFERROR(__xludf.DUMMYFUNCTION("""COMPUTED_VALUE"""),1.01435439343523)</f>
        <v>1.0143543934352299</v>
      </c>
      <c r="E1216" s="23">
        <f ca="1">IFERROR(__xludf.DUMMYFUNCTION("""COMPUTED_VALUE"""),0.344457387754734)</f>
        <v>0.344457387754734</v>
      </c>
      <c r="F1216" s="23">
        <f ca="1">IFERROR(__xludf.DUMMYFUNCTION("""COMPUTED_VALUE"""),0.69962943287165)</f>
        <v>0.69962943287165003</v>
      </c>
      <c r="G1216" s="23">
        <f ca="1">IFERROR(__xludf.DUMMYFUNCTION("""COMPUTED_VALUE"""),0.451465175788562)</f>
        <v>0.45146517578856199</v>
      </c>
      <c r="H1216" s="23">
        <f ca="1">IFERROR(__xludf.DUMMYFUNCTION("""COMPUTED_VALUE"""),0.286584217932106)</f>
        <v>0.28658421793210598</v>
      </c>
      <c r="I1216" s="23">
        <f ca="1">IFERROR(__xludf.DUMMYFUNCTION("""COMPUTED_VALUE"""),0.17582738990312)</f>
        <v>0.17582738990312</v>
      </c>
      <c r="J1216" s="23">
        <f ca="1">IFERROR(__xludf.DUMMYFUNCTION("""COMPUTED_VALUE"""),0.120673758131507)</f>
        <v>0.12067375813150701</v>
      </c>
      <c r="K1216" s="23">
        <f ca="1">IFERROR(__xludf.DUMMYFUNCTION("""COMPUTED_VALUE"""),0.0445862148890094)</f>
        <v>4.45862148890094E-2</v>
      </c>
      <c r="L1216" s="23">
        <f ca="1">IFERROR(__xludf.DUMMYFUNCTION("""COMPUTED_VALUE"""),0.0590356289568221)</f>
        <v>5.90356289568221E-2</v>
      </c>
      <c r="M1216" s="23">
        <f ca="1">IFERROR(__xludf.DUMMYFUNCTION("""COMPUTED_VALUE"""),0.0606624097311695)</f>
        <v>6.06624097311695E-2</v>
      </c>
      <c r="N1216" s="23">
        <f ca="1">IFERROR(__xludf.DUMMYFUNCTION("""COMPUTED_VALUE"""),0.0617696188136058)</f>
        <v>6.1769618813605799E-2</v>
      </c>
      <c r="O1216" s="23">
        <f ca="1">IFERROR(__xludf.DUMMYFUNCTION("""COMPUTED_VALUE"""),0.0757144430292759)</f>
        <v>7.5714443029275894E-2</v>
      </c>
      <c r="P1216" s="23">
        <f ca="1">IFERROR(__xludf.DUMMYFUNCTION("""COMPUTED_VALUE"""),0.0633218203663822)</f>
        <v>6.3321820366382203E-2</v>
      </c>
      <c r="Q1216" s="24">
        <f ca="1">IFERROR(__xludf.DUMMYFUNCTION("""COMPUTED_VALUE"""),0.379094091247507)</f>
        <v>0.37909409124750698</v>
      </c>
      <c r="R1216" s="20"/>
    </row>
    <row r="1217" spans="1:18" ht="13.2" hidden="1" outlineLevel="1" x14ac:dyDescent="0.25">
      <c r="A1217" s="1"/>
      <c r="B1217" s="39" t="str">
        <f ca="1">IFERROR(__xludf.DUMMYFUNCTION("""COMPUTED_VALUE"""),"Otros energéticos")</f>
        <v>Otros energéticos</v>
      </c>
      <c r="C1217" s="22">
        <f ca="1">IFERROR(__xludf.DUMMYFUNCTION("""COMPUTED_VALUE"""),0)</f>
        <v>0</v>
      </c>
      <c r="D1217" s="23">
        <f ca="1">IFERROR(__xludf.DUMMYFUNCTION("""COMPUTED_VALUE"""),0)</f>
        <v>0</v>
      </c>
      <c r="E1217" s="23">
        <f ca="1">IFERROR(__xludf.DUMMYFUNCTION("""COMPUTED_VALUE"""),0)</f>
        <v>0</v>
      </c>
      <c r="F1217" s="23">
        <f ca="1">IFERROR(__xludf.DUMMYFUNCTION("""COMPUTED_VALUE"""),0)</f>
        <v>0</v>
      </c>
      <c r="G1217" s="23">
        <f ca="1">IFERROR(__xludf.DUMMYFUNCTION("""COMPUTED_VALUE"""),0)</f>
        <v>0</v>
      </c>
      <c r="H1217" s="23">
        <f ca="1">IFERROR(__xludf.DUMMYFUNCTION("""COMPUTED_VALUE"""),0)</f>
        <v>0</v>
      </c>
      <c r="I1217" s="23">
        <f ca="1">IFERROR(__xludf.DUMMYFUNCTION("""COMPUTED_VALUE"""),0)</f>
        <v>0</v>
      </c>
      <c r="J1217" s="23">
        <f ca="1">IFERROR(__xludf.DUMMYFUNCTION("""COMPUTED_VALUE"""),0)</f>
        <v>0</v>
      </c>
      <c r="K1217" s="23">
        <f ca="1">IFERROR(__xludf.DUMMYFUNCTION("""COMPUTED_VALUE"""),0)</f>
        <v>0</v>
      </c>
      <c r="L1217" s="23">
        <f ca="1">IFERROR(__xludf.DUMMYFUNCTION("""COMPUTED_VALUE"""),0)</f>
        <v>0</v>
      </c>
      <c r="M1217" s="23">
        <f ca="1">IFERROR(__xludf.DUMMYFUNCTION("""COMPUTED_VALUE"""),0)</f>
        <v>0</v>
      </c>
      <c r="N1217" s="23">
        <f ca="1">IFERROR(__xludf.DUMMYFUNCTION("""COMPUTED_VALUE"""),0)</f>
        <v>0</v>
      </c>
      <c r="O1217" s="23">
        <f ca="1">IFERROR(__xludf.DUMMYFUNCTION("""COMPUTED_VALUE"""),0)</f>
        <v>0</v>
      </c>
      <c r="P1217" s="23">
        <f ca="1">IFERROR(__xludf.DUMMYFUNCTION("""COMPUTED_VALUE"""),0)</f>
        <v>0</v>
      </c>
      <c r="Q1217" s="24">
        <f ca="1">IFERROR(__xludf.DUMMYFUNCTION("""COMPUTED_VALUE"""),0)</f>
        <v>0</v>
      </c>
      <c r="R1217" s="20"/>
    </row>
    <row r="1218" spans="1:18" ht="13.2" hidden="1" outlineLevel="1" x14ac:dyDescent="0.25">
      <c r="A1218" s="1"/>
      <c r="B1218" s="39" t="str">
        <f ca="1">IFERROR(__xludf.DUMMYFUNCTION("""COMPUTED_VALUE"""),"Gas natural seco")</f>
        <v>Gas natural seco</v>
      </c>
      <c r="C1218" s="22">
        <f ca="1">IFERROR(__xludf.DUMMYFUNCTION("""COMPUTED_VALUE"""),0)</f>
        <v>0</v>
      </c>
      <c r="D1218" s="23">
        <f ca="1">IFERROR(__xludf.DUMMYFUNCTION("""COMPUTED_VALUE"""),0)</f>
        <v>0</v>
      </c>
      <c r="E1218" s="23">
        <f ca="1">IFERROR(__xludf.DUMMYFUNCTION("""COMPUTED_VALUE"""),0.518564064702487)</f>
        <v>0.51856406470248695</v>
      </c>
      <c r="F1218" s="23">
        <f ca="1">IFERROR(__xludf.DUMMYFUNCTION("""COMPUTED_VALUE"""),1.06186507672103)</f>
        <v>1.06186507672103</v>
      </c>
      <c r="G1218" s="23">
        <f ca="1">IFERROR(__xludf.DUMMYFUNCTION("""COMPUTED_VALUE"""),1.29939663174645)</f>
        <v>1.29939663174645</v>
      </c>
      <c r="H1218" s="23">
        <f ca="1">IFERROR(__xludf.DUMMYFUNCTION("""COMPUTED_VALUE"""),1.61100522493509)</f>
        <v>1.6110052249350899</v>
      </c>
      <c r="I1218" s="23">
        <f ca="1">IFERROR(__xludf.DUMMYFUNCTION("""COMPUTED_VALUE"""),1.78002746955971)</f>
        <v>1.78002746955971</v>
      </c>
      <c r="J1218" s="23">
        <f ca="1">IFERROR(__xludf.DUMMYFUNCTION("""COMPUTED_VALUE"""),1.68304851123728)</f>
        <v>1.6830485112372799</v>
      </c>
      <c r="K1218" s="23">
        <f ca="1">IFERROR(__xludf.DUMMYFUNCTION("""COMPUTED_VALUE"""),2.15641651821862)</f>
        <v>2.1564165182186201</v>
      </c>
      <c r="L1218" s="23">
        <f ca="1">IFERROR(__xludf.DUMMYFUNCTION("""COMPUTED_VALUE"""),2.47165913750929)</f>
        <v>2.47165913750929</v>
      </c>
      <c r="M1218" s="23">
        <f ca="1">IFERROR(__xludf.DUMMYFUNCTION("""COMPUTED_VALUE"""),1.97298750037184)</f>
        <v>1.97298750037184</v>
      </c>
      <c r="N1218" s="23">
        <f ca="1">IFERROR(__xludf.DUMMYFUNCTION("""COMPUTED_VALUE"""),2.0652388699975)</f>
        <v>2.0652388699975002</v>
      </c>
      <c r="O1218" s="23">
        <f ca="1">IFERROR(__xludf.DUMMYFUNCTION("""COMPUTED_VALUE"""),2.24185196808645)</f>
        <v>2.2418519680864502</v>
      </c>
      <c r="P1218" s="23">
        <f ca="1">IFERROR(__xludf.DUMMYFUNCTION("""COMPUTED_VALUE"""),2.13372199883796)</f>
        <v>2.1337219988379599</v>
      </c>
      <c r="Q1218" s="24">
        <f ca="1">IFERROR(__xludf.DUMMYFUNCTION("""COMPUTED_VALUE"""),1.00336677709091)</f>
        <v>1.00336677709091</v>
      </c>
      <c r="R1218" s="20"/>
    </row>
    <row r="1219" spans="1:18" ht="13.2" hidden="1" outlineLevel="1" x14ac:dyDescent="0.25">
      <c r="A1219" s="1"/>
      <c r="B1219" s="40" t="str">
        <f ca="1">IFERROR(__xludf.DUMMYFUNCTION("""COMPUTED_VALUE"""),"Energía eléctrica")</f>
        <v>Energía eléctrica</v>
      </c>
      <c r="C1219" s="26">
        <f ca="1">IFERROR(__xludf.DUMMYFUNCTION("""COMPUTED_VALUE"""),4.03311788733405)</f>
        <v>4.0331178873340496</v>
      </c>
      <c r="D1219" s="27">
        <f ca="1">IFERROR(__xludf.DUMMYFUNCTION("""COMPUTED_VALUE"""),5.01219968674409)</f>
        <v>5.0121996867440899</v>
      </c>
      <c r="E1219" s="27">
        <f ca="1">IFERROR(__xludf.DUMMYFUNCTION("""COMPUTED_VALUE"""),3.45274466258919)</f>
        <v>3.4527446625891902</v>
      </c>
      <c r="F1219" s="27">
        <f ca="1">IFERROR(__xludf.DUMMYFUNCTION("""COMPUTED_VALUE"""),3.49790894325028)</f>
        <v>3.4979089432502799</v>
      </c>
      <c r="G1219" s="27">
        <f ca="1">IFERROR(__xludf.DUMMYFUNCTION("""COMPUTED_VALUE"""),3.69526759457064)</f>
        <v>3.6952675945706401</v>
      </c>
      <c r="H1219" s="27">
        <f ca="1">IFERROR(__xludf.DUMMYFUNCTION("""COMPUTED_VALUE"""),3.77095015835159)</f>
        <v>3.7709501583515901</v>
      </c>
      <c r="I1219" s="27">
        <f ca="1">IFERROR(__xludf.DUMMYFUNCTION("""COMPUTED_VALUE"""),3.97753114617254)</f>
        <v>3.9775311461725402</v>
      </c>
      <c r="J1219" s="27">
        <f ca="1">IFERROR(__xludf.DUMMYFUNCTION("""COMPUTED_VALUE"""),4.14117409250456)</f>
        <v>4.1411740925045599</v>
      </c>
      <c r="K1219" s="27">
        <f ca="1">IFERROR(__xludf.DUMMYFUNCTION("""COMPUTED_VALUE"""),4.15095581775151)</f>
        <v>4.1509558177515098</v>
      </c>
      <c r="L1219" s="27">
        <f ca="1">IFERROR(__xludf.DUMMYFUNCTION("""COMPUTED_VALUE"""),4.44621531715345)</f>
        <v>4.4462153171534498</v>
      </c>
      <c r="M1219" s="27">
        <f ca="1">IFERROR(__xludf.DUMMYFUNCTION("""COMPUTED_VALUE"""),3.97011163992014)</f>
        <v>3.9701116399201402</v>
      </c>
      <c r="N1219" s="27">
        <f ca="1">IFERROR(__xludf.DUMMYFUNCTION("""COMPUTED_VALUE"""),7.03311028012256)</f>
        <v>7.0331102801225596</v>
      </c>
      <c r="O1219" s="27">
        <f ca="1">IFERROR(__xludf.DUMMYFUNCTION("""COMPUTED_VALUE"""),1.04685461420178)</f>
        <v>1.0468546142017801</v>
      </c>
      <c r="P1219" s="27">
        <f ca="1">IFERROR(__xludf.DUMMYFUNCTION("""COMPUTED_VALUE"""),5.95539548836547)</f>
        <v>5.9553954883654701</v>
      </c>
      <c r="Q1219" s="28">
        <f ca="1">IFERROR(__xludf.DUMMYFUNCTION("""COMPUTED_VALUE"""),3.95395918128955)</f>
        <v>3.9539591812895498</v>
      </c>
      <c r="R1219" s="20"/>
    </row>
    <row r="1220" spans="1:18" ht="13.2" collapsed="1" x14ac:dyDescent="0.25">
      <c r="A1220" s="1"/>
      <c r="B1220" s="31" t="str">
        <f ca="1">IFERROR(__xludf.DUMMYFUNCTION("""COMPUTED_VALUE"""),"313	Fabricación de insumos textiles y acabado de textiles")</f>
        <v>313	Fabricación de insumos textiles y acabado de textiles</v>
      </c>
      <c r="C1220" s="41"/>
      <c r="D1220" s="42"/>
      <c r="E1220" s="41"/>
      <c r="F1220" s="41"/>
      <c r="G1220" s="43"/>
      <c r="H1220" s="44"/>
      <c r="I1220" s="45"/>
      <c r="J1220" s="45"/>
      <c r="K1220" s="45"/>
      <c r="L1220" s="45"/>
      <c r="M1220" s="45"/>
      <c r="N1220" s="45"/>
      <c r="O1220" s="45"/>
      <c r="P1220" s="45"/>
      <c r="Q1220" s="45"/>
      <c r="R1220" s="10"/>
    </row>
    <row r="1221" spans="1:18" ht="13.2" hidden="1" outlineLevel="1" x14ac:dyDescent="0.25">
      <c r="A1221" s="1"/>
      <c r="B1221" s="46"/>
      <c r="C1221" s="35">
        <f ca="1">IFERROR(__xludf.DUMMYFUNCTION("""COMPUTED_VALUE"""),2010)</f>
        <v>2010</v>
      </c>
      <c r="D1221" s="36">
        <f ca="1">IFERROR(__xludf.DUMMYFUNCTION("""COMPUTED_VALUE"""),2011)</f>
        <v>2011</v>
      </c>
      <c r="E1221" s="36">
        <f ca="1">IFERROR(__xludf.DUMMYFUNCTION("""COMPUTED_VALUE"""),2012)</f>
        <v>2012</v>
      </c>
      <c r="F1221" s="36">
        <f ca="1">IFERROR(__xludf.DUMMYFUNCTION("""COMPUTED_VALUE"""),2013)</f>
        <v>2013</v>
      </c>
      <c r="G1221" s="36">
        <f ca="1">IFERROR(__xludf.DUMMYFUNCTION("""COMPUTED_VALUE"""),2014)</f>
        <v>2014</v>
      </c>
      <c r="H1221" s="36">
        <f ca="1">IFERROR(__xludf.DUMMYFUNCTION("""COMPUTED_VALUE"""),2015)</f>
        <v>2015</v>
      </c>
      <c r="I1221" s="36">
        <f ca="1">IFERROR(__xludf.DUMMYFUNCTION("""COMPUTED_VALUE"""),2016)</f>
        <v>2016</v>
      </c>
      <c r="J1221" s="36">
        <f ca="1">IFERROR(__xludf.DUMMYFUNCTION("""COMPUTED_VALUE"""),2017)</f>
        <v>2017</v>
      </c>
      <c r="K1221" s="36">
        <f ca="1">IFERROR(__xludf.DUMMYFUNCTION("""COMPUTED_VALUE"""),2018)</f>
        <v>2018</v>
      </c>
      <c r="L1221" s="36">
        <f ca="1">IFERROR(__xludf.DUMMYFUNCTION("""COMPUTED_VALUE"""),2019)</f>
        <v>2019</v>
      </c>
      <c r="M1221" s="36">
        <f ca="1">IFERROR(__xludf.DUMMYFUNCTION("""COMPUTED_VALUE"""),2020)</f>
        <v>2020</v>
      </c>
      <c r="N1221" s="36">
        <f ca="1">IFERROR(__xludf.DUMMYFUNCTION("""COMPUTED_VALUE"""),2021)</f>
        <v>2021</v>
      </c>
      <c r="O1221" s="36">
        <f ca="1">IFERROR(__xludf.DUMMYFUNCTION("""COMPUTED_VALUE"""),2022)</f>
        <v>2022</v>
      </c>
      <c r="P1221" s="36">
        <f ca="1">IFERROR(__xludf.DUMMYFUNCTION("""COMPUTED_VALUE"""),2023)</f>
        <v>2023</v>
      </c>
      <c r="Q1221" s="37">
        <f ca="1">IFERROR(__xludf.DUMMYFUNCTION("""COMPUTED_VALUE"""),2024)</f>
        <v>2024</v>
      </c>
      <c r="R1221" s="15"/>
    </row>
    <row r="1222" spans="1:18" ht="13.2" hidden="1" outlineLevel="1" x14ac:dyDescent="0.25">
      <c r="A1222" s="1"/>
      <c r="B1222" s="38" t="str">
        <f ca="1">IFERROR(__xludf.DUMMYFUNCTION("""COMPUTED_VALUE"""),"Carbón mineral")</f>
        <v>Carbón mineral</v>
      </c>
      <c r="C1222" s="17">
        <f ca="1">IFERROR(__xludf.DUMMYFUNCTION("""COMPUTED_VALUE"""),0)</f>
        <v>0</v>
      </c>
      <c r="D1222" s="18">
        <f ca="1">IFERROR(__xludf.DUMMYFUNCTION("""COMPUTED_VALUE"""),0)</f>
        <v>0</v>
      </c>
      <c r="E1222" s="18">
        <f ca="1">IFERROR(__xludf.DUMMYFUNCTION("""COMPUTED_VALUE"""),0)</f>
        <v>0</v>
      </c>
      <c r="F1222" s="18">
        <f ca="1">IFERROR(__xludf.DUMMYFUNCTION("""COMPUTED_VALUE"""),0)</f>
        <v>0</v>
      </c>
      <c r="G1222" s="18">
        <f ca="1">IFERROR(__xludf.DUMMYFUNCTION("""COMPUTED_VALUE"""),0)</f>
        <v>0</v>
      </c>
      <c r="H1222" s="18">
        <f ca="1">IFERROR(__xludf.DUMMYFUNCTION("""COMPUTED_VALUE"""),0)</f>
        <v>0</v>
      </c>
      <c r="I1222" s="18">
        <f ca="1">IFERROR(__xludf.DUMMYFUNCTION("""COMPUTED_VALUE"""),0)</f>
        <v>0</v>
      </c>
      <c r="J1222" s="18">
        <f ca="1">IFERROR(__xludf.DUMMYFUNCTION("""COMPUTED_VALUE"""),0)</f>
        <v>0</v>
      </c>
      <c r="K1222" s="18">
        <f ca="1">IFERROR(__xludf.DUMMYFUNCTION("""COMPUTED_VALUE"""),0)</f>
        <v>0</v>
      </c>
      <c r="L1222" s="18">
        <f ca="1">IFERROR(__xludf.DUMMYFUNCTION("""COMPUTED_VALUE"""),0)</f>
        <v>0</v>
      </c>
      <c r="M1222" s="18">
        <f ca="1">IFERROR(__xludf.DUMMYFUNCTION("""COMPUTED_VALUE"""),0)</f>
        <v>0</v>
      </c>
      <c r="N1222" s="18">
        <f ca="1">IFERROR(__xludf.DUMMYFUNCTION("""COMPUTED_VALUE"""),0)</f>
        <v>0</v>
      </c>
      <c r="O1222" s="18">
        <f ca="1">IFERROR(__xludf.DUMMYFUNCTION("""COMPUTED_VALUE"""),0)</f>
        <v>0</v>
      </c>
      <c r="P1222" s="18">
        <f ca="1">IFERROR(__xludf.DUMMYFUNCTION("""COMPUTED_VALUE"""),0)</f>
        <v>0</v>
      </c>
      <c r="Q1222" s="19">
        <f ca="1">IFERROR(__xludf.DUMMYFUNCTION("""COMPUTED_VALUE"""),0)</f>
        <v>0</v>
      </c>
      <c r="R1222" s="20"/>
    </row>
    <row r="1223" spans="1:18" ht="13.2" hidden="1" outlineLevel="1" x14ac:dyDescent="0.25">
      <c r="A1223" s="1"/>
      <c r="B1223" s="39" t="str">
        <f ca="1">IFERROR(__xludf.DUMMYFUNCTION("""COMPUTED_VALUE"""),"Petróleo crudo")</f>
        <v>Petróleo crudo</v>
      </c>
      <c r="C1223" s="22">
        <f ca="1">IFERROR(__xludf.DUMMYFUNCTION("""COMPUTED_VALUE"""),0)</f>
        <v>0</v>
      </c>
      <c r="D1223" s="23">
        <f ca="1">IFERROR(__xludf.DUMMYFUNCTION("""COMPUTED_VALUE"""),0)</f>
        <v>0</v>
      </c>
      <c r="E1223" s="23">
        <f ca="1">IFERROR(__xludf.DUMMYFUNCTION("""COMPUTED_VALUE"""),0)</f>
        <v>0</v>
      </c>
      <c r="F1223" s="23">
        <f ca="1">IFERROR(__xludf.DUMMYFUNCTION("""COMPUTED_VALUE"""),0)</f>
        <v>0</v>
      </c>
      <c r="G1223" s="23">
        <f ca="1">IFERROR(__xludf.DUMMYFUNCTION("""COMPUTED_VALUE"""),0)</f>
        <v>0</v>
      </c>
      <c r="H1223" s="23">
        <f ca="1">IFERROR(__xludf.DUMMYFUNCTION("""COMPUTED_VALUE"""),0)</f>
        <v>0</v>
      </c>
      <c r="I1223" s="23">
        <f ca="1">IFERROR(__xludf.DUMMYFUNCTION("""COMPUTED_VALUE"""),0)</f>
        <v>0</v>
      </c>
      <c r="J1223" s="23">
        <f ca="1">IFERROR(__xludf.DUMMYFUNCTION("""COMPUTED_VALUE"""),0)</f>
        <v>0</v>
      </c>
      <c r="K1223" s="23">
        <f ca="1">IFERROR(__xludf.DUMMYFUNCTION("""COMPUTED_VALUE"""),0)</f>
        <v>0</v>
      </c>
      <c r="L1223" s="23">
        <f ca="1">IFERROR(__xludf.DUMMYFUNCTION("""COMPUTED_VALUE"""),0)</f>
        <v>0</v>
      </c>
      <c r="M1223" s="23">
        <f ca="1">IFERROR(__xludf.DUMMYFUNCTION("""COMPUTED_VALUE"""),0)</f>
        <v>0</v>
      </c>
      <c r="N1223" s="23">
        <f ca="1">IFERROR(__xludf.DUMMYFUNCTION("""COMPUTED_VALUE"""),0)</f>
        <v>0</v>
      </c>
      <c r="O1223" s="23">
        <f ca="1">IFERROR(__xludf.DUMMYFUNCTION("""COMPUTED_VALUE"""),0)</f>
        <v>0</v>
      </c>
      <c r="P1223" s="23">
        <f ca="1">IFERROR(__xludf.DUMMYFUNCTION("""COMPUTED_VALUE"""),0)</f>
        <v>0</v>
      </c>
      <c r="Q1223" s="24">
        <f ca="1">IFERROR(__xludf.DUMMYFUNCTION("""COMPUTED_VALUE"""),0)</f>
        <v>0</v>
      </c>
      <c r="R1223" s="20"/>
    </row>
    <row r="1224" spans="1:18" ht="13.2" hidden="1" outlineLevel="1" x14ac:dyDescent="0.25">
      <c r="A1224" s="1"/>
      <c r="B1224" s="39" t="str">
        <f ca="1">IFERROR(__xludf.DUMMYFUNCTION("""COMPUTED_VALUE"""),"Condensados")</f>
        <v>Condensados</v>
      </c>
      <c r="C1224" s="22">
        <f ca="1">IFERROR(__xludf.DUMMYFUNCTION("""COMPUTED_VALUE"""),0)</f>
        <v>0</v>
      </c>
      <c r="D1224" s="23">
        <f ca="1">IFERROR(__xludf.DUMMYFUNCTION("""COMPUTED_VALUE"""),0)</f>
        <v>0</v>
      </c>
      <c r="E1224" s="23">
        <f ca="1">IFERROR(__xludf.DUMMYFUNCTION("""COMPUTED_VALUE"""),0)</f>
        <v>0</v>
      </c>
      <c r="F1224" s="23">
        <f ca="1">IFERROR(__xludf.DUMMYFUNCTION("""COMPUTED_VALUE"""),0)</f>
        <v>0</v>
      </c>
      <c r="G1224" s="23">
        <f ca="1">IFERROR(__xludf.DUMMYFUNCTION("""COMPUTED_VALUE"""),0)</f>
        <v>0</v>
      </c>
      <c r="H1224" s="23">
        <f ca="1">IFERROR(__xludf.DUMMYFUNCTION("""COMPUTED_VALUE"""),0)</f>
        <v>0</v>
      </c>
      <c r="I1224" s="23">
        <f ca="1">IFERROR(__xludf.DUMMYFUNCTION("""COMPUTED_VALUE"""),0)</f>
        <v>0</v>
      </c>
      <c r="J1224" s="23">
        <f ca="1">IFERROR(__xludf.DUMMYFUNCTION("""COMPUTED_VALUE"""),0)</f>
        <v>0</v>
      </c>
      <c r="K1224" s="23">
        <f ca="1">IFERROR(__xludf.DUMMYFUNCTION("""COMPUTED_VALUE"""),0)</f>
        <v>0</v>
      </c>
      <c r="L1224" s="23">
        <f ca="1">IFERROR(__xludf.DUMMYFUNCTION("""COMPUTED_VALUE"""),0)</f>
        <v>0</v>
      </c>
      <c r="M1224" s="23">
        <f ca="1">IFERROR(__xludf.DUMMYFUNCTION("""COMPUTED_VALUE"""),0)</f>
        <v>0</v>
      </c>
      <c r="N1224" s="23">
        <f ca="1">IFERROR(__xludf.DUMMYFUNCTION("""COMPUTED_VALUE"""),0)</f>
        <v>0</v>
      </c>
      <c r="O1224" s="23">
        <f ca="1">IFERROR(__xludf.DUMMYFUNCTION("""COMPUTED_VALUE"""),0)</f>
        <v>0</v>
      </c>
      <c r="P1224" s="23">
        <f ca="1">IFERROR(__xludf.DUMMYFUNCTION("""COMPUTED_VALUE"""),0)</f>
        <v>0</v>
      </c>
      <c r="Q1224" s="24">
        <f ca="1">IFERROR(__xludf.DUMMYFUNCTION("""COMPUTED_VALUE"""),0)</f>
        <v>0</v>
      </c>
      <c r="R1224" s="20"/>
    </row>
    <row r="1225" spans="1:18" ht="13.2" hidden="1" outlineLevel="1" x14ac:dyDescent="0.25">
      <c r="A1225" s="1"/>
      <c r="B1225" s="39" t="str">
        <f ca="1">IFERROR(__xludf.DUMMYFUNCTION("""COMPUTED_VALUE"""),"Gas natural")</f>
        <v>Gas natural</v>
      </c>
      <c r="C1225" s="22">
        <f ca="1">IFERROR(__xludf.DUMMYFUNCTION("""COMPUTED_VALUE"""),0)</f>
        <v>0</v>
      </c>
      <c r="D1225" s="23">
        <f ca="1">IFERROR(__xludf.DUMMYFUNCTION("""COMPUTED_VALUE"""),0)</f>
        <v>0</v>
      </c>
      <c r="E1225" s="23">
        <f ca="1">IFERROR(__xludf.DUMMYFUNCTION("""COMPUTED_VALUE"""),0)</f>
        <v>0</v>
      </c>
      <c r="F1225" s="23">
        <f ca="1">IFERROR(__xludf.DUMMYFUNCTION("""COMPUTED_VALUE"""),0)</f>
        <v>0</v>
      </c>
      <c r="G1225" s="23">
        <f ca="1">IFERROR(__xludf.DUMMYFUNCTION("""COMPUTED_VALUE"""),0)</f>
        <v>0</v>
      </c>
      <c r="H1225" s="23">
        <f ca="1">IFERROR(__xludf.DUMMYFUNCTION("""COMPUTED_VALUE"""),0)</f>
        <v>0</v>
      </c>
      <c r="I1225" s="23">
        <f ca="1">IFERROR(__xludf.DUMMYFUNCTION("""COMPUTED_VALUE"""),0)</f>
        <v>0</v>
      </c>
      <c r="J1225" s="23">
        <f ca="1">IFERROR(__xludf.DUMMYFUNCTION("""COMPUTED_VALUE"""),0)</f>
        <v>0</v>
      </c>
      <c r="K1225" s="23">
        <f ca="1">IFERROR(__xludf.DUMMYFUNCTION("""COMPUTED_VALUE"""),0)</f>
        <v>0</v>
      </c>
      <c r="L1225" s="23">
        <f ca="1">IFERROR(__xludf.DUMMYFUNCTION("""COMPUTED_VALUE"""),0)</f>
        <v>0</v>
      </c>
      <c r="M1225" s="23">
        <f ca="1">IFERROR(__xludf.DUMMYFUNCTION("""COMPUTED_VALUE"""),0)</f>
        <v>0</v>
      </c>
      <c r="N1225" s="23">
        <f ca="1">IFERROR(__xludf.DUMMYFUNCTION("""COMPUTED_VALUE"""),0)</f>
        <v>0</v>
      </c>
      <c r="O1225" s="23">
        <f ca="1">IFERROR(__xludf.DUMMYFUNCTION("""COMPUTED_VALUE"""),0)</f>
        <v>0</v>
      </c>
      <c r="P1225" s="23">
        <f ca="1">IFERROR(__xludf.DUMMYFUNCTION("""COMPUTED_VALUE"""),0)</f>
        <v>0</v>
      </c>
      <c r="Q1225" s="24">
        <f ca="1">IFERROR(__xludf.DUMMYFUNCTION("""COMPUTED_VALUE"""),0)</f>
        <v>0</v>
      </c>
      <c r="R1225" s="20"/>
    </row>
    <row r="1226" spans="1:18" ht="13.2" hidden="1" outlineLevel="1" x14ac:dyDescent="0.25">
      <c r="A1226" s="1"/>
      <c r="B1226" s="39" t="str">
        <f ca="1">IFERROR(__xludf.DUMMYFUNCTION("""COMPUTED_VALUE"""),"Energía Nuclear")</f>
        <v>Energía Nuclear</v>
      </c>
      <c r="C1226" s="22">
        <f ca="1">IFERROR(__xludf.DUMMYFUNCTION("""COMPUTED_VALUE"""),0)</f>
        <v>0</v>
      </c>
      <c r="D1226" s="23">
        <f ca="1">IFERROR(__xludf.DUMMYFUNCTION("""COMPUTED_VALUE"""),0)</f>
        <v>0</v>
      </c>
      <c r="E1226" s="23">
        <f ca="1">IFERROR(__xludf.DUMMYFUNCTION("""COMPUTED_VALUE"""),0)</f>
        <v>0</v>
      </c>
      <c r="F1226" s="23">
        <f ca="1">IFERROR(__xludf.DUMMYFUNCTION("""COMPUTED_VALUE"""),0)</f>
        <v>0</v>
      </c>
      <c r="G1226" s="23">
        <f ca="1">IFERROR(__xludf.DUMMYFUNCTION("""COMPUTED_VALUE"""),0)</f>
        <v>0</v>
      </c>
      <c r="H1226" s="23">
        <f ca="1">IFERROR(__xludf.DUMMYFUNCTION("""COMPUTED_VALUE"""),0)</f>
        <v>0</v>
      </c>
      <c r="I1226" s="23">
        <f ca="1">IFERROR(__xludf.DUMMYFUNCTION("""COMPUTED_VALUE"""),0)</f>
        <v>0</v>
      </c>
      <c r="J1226" s="23">
        <f ca="1">IFERROR(__xludf.DUMMYFUNCTION("""COMPUTED_VALUE"""),0)</f>
        <v>0</v>
      </c>
      <c r="K1226" s="23">
        <f ca="1">IFERROR(__xludf.DUMMYFUNCTION("""COMPUTED_VALUE"""),0)</f>
        <v>0</v>
      </c>
      <c r="L1226" s="23">
        <f ca="1">IFERROR(__xludf.DUMMYFUNCTION("""COMPUTED_VALUE"""),0)</f>
        <v>0</v>
      </c>
      <c r="M1226" s="23">
        <f ca="1">IFERROR(__xludf.DUMMYFUNCTION("""COMPUTED_VALUE"""),0)</f>
        <v>0</v>
      </c>
      <c r="N1226" s="23">
        <f ca="1">IFERROR(__xludf.DUMMYFUNCTION("""COMPUTED_VALUE"""),0)</f>
        <v>0</v>
      </c>
      <c r="O1226" s="23">
        <f ca="1">IFERROR(__xludf.DUMMYFUNCTION("""COMPUTED_VALUE"""),0)</f>
        <v>0</v>
      </c>
      <c r="P1226" s="23">
        <f ca="1">IFERROR(__xludf.DUMMYFUNCTION("""COMPUTED_VALUE"""),0)</f>
        <v>0</v>
      </c>
      <c r="Q1226" s="24">
        <f ca="1">IFERROR(__xludf.DUMMYFUNCTION("""COMPUTED_VALUE"""),0)</f>
        <v>0</v>
      </c>
      <c r="R1226" s="20"/>
    </row>
    <row r="1227" spans="1:18" ht="13.2" hidden="1" outlineLevel="1" x14ac:dyDescent="0.25">
      <c r="A1227" s="1"/>
      <c r="B1227" s="39" t="str">
        <f ca="1">IFERROR(__xludf.DUMMYFUNCTION("""COMPUTED_VALUE"""),"Energia Hidraúlica")</f>
        <v>Energia Hidraúlica</v>
      </c>
      <c r="C1227" s="22">
        <f ca="1">IFERROR(__xludf.DUMMYFUNCTION("""COMPUTED_VALUE"""),0)</f>
        <v>0</v>
      </c>
      <c r="D1227" s="23">
        <f ca="1">IFERROR(__xludf.DUMMYFUNCTION("""COMPUTED_VALUE"""),0)</f>
        <v>0</v>
      </c>
      <c r="E1227" s="23">
        <f ca="1">IFERROR(__xludf.DUMMYFUNCTION("""COMPUTED_VALUE"""),0)</f>
        <v>0</v>
      </c>
      <c r="F1227" s="23">
        <f ca="1">IFERROR(__xludf.DUMMYFUNCTION("""COMPUTED_VALUE"""),0)</f>
        <v>0</v>
      </c>
      <c r="G1227" s="23">
        <f ca="1">IFERROR(__xludf.DUMMYFUNCTION("""COMPUTED_VALUE"""),0)</f>
        <v>0</v>
      </c>
      <c r="H1227" s="23">
        <f ca="1">IFERROR(__xludf.DUMMYFUNCTION("""COMPUTED_VALUE"""),0)</f>
        <v>0</v>
      </c>
      <c r="I1227" s="23">
        <f ca="1">IFERROR(__xludf.DUMMYFUNCTION("""COMPUTED_VALUE"""),0)</f>
        <v>0</v>
      </c>
      <c r="J1227" s="23">
        <f ca="1">IFERROR(__xludf.DUMMYFUNCTION("""COMPUTED_VALUE"""),0)</f>
        <v>0</v>
      </c>
      <c r="K1227" s="23">
        <f ca="1">IFERROR(__xludf.DUMMYFUNCTION("""COMPUTED_VALUE"""),0)</f>
        <v>0</v>
      </c>
      <c r="L1227" s="23">
        <f ca="1">IFERROR(__xludf.DUMMYFUNCTION("""COMPUTED_VALUE"""),0)</f>
        <v>0</v>
      </c>
      <c r="M1227" s="23">
        <f ca="1">IFERROR(__xludf.DUMMYFUNCTION("""COMPUTED_VALUE"""),0)</f>
        <v>0</v>
      </c>
      <c r="N1227" s="23">
        <f ca="1">IFERROR(__xludf.DUMMYFUNCTION("""COMPUTED_VALUE"""),0)</f>
        <v>0</v>
      </c>
      <c r="O1227" s="23">
        <f ca="1">IFERROR(__xludf.DUMMYFUNCTION("""COMPUTED_VALUE"""),0)</f>
        <v>0</v>
      </c>
      <c r="P1227" s="23">
        <f ca="1">IFERROR(__xludf.DUMMYFUNCTION("""COMPUTED_VALUE"""),0)</f>
        <v>0</v>
      </c>
      <c r="Q1227" s="24">
        <f ca="1">IFERROR(__xludf.DUMMYFUNCTION("""COMPUTED_VALUE"""),0)</f>
        <v>0</v>
      </c>
      <c r="R1227" s="20"/>
    </row>
    <row r="1228" spans="1:18" ht="13.2" hidden="1" outlineLevel="1" x14ac:dyDescent="0.25">
      <c r="A1228" s="1"/>
      <c r="B1228" s="39" t="str">
        <f ca="1">IFERROR(__xludf.DUMMYFUNCTION("""COMPUTED_VALUE"""),"Geoenergía")</f>
        <v>Geoenergía</v>
      </c>
      <c r="C1228" s="22">
        <f ca="1">IFERROR(__xludf.DUMMYFUNCTION("""COMPUTED_VALUE"""),0)</f>
        <v>0</v>
      </c>
      <c r="D1228" s="23">
        <f ca="1">IFERROR(__xludf.DUMMYFUNCTION("""COMPUTED_VALUE"""),0)</f>
        <v>0</v>
      </c>
      <c r="E1228" s="23">
        <f ca="1">IFERROR(__xludf.DUMMYFUNCTION("""COMPUTED_VALUE"""),0)</f>
        <v>0</v>
      </c>
      <c r="F1228" s="23">
        <f ca="1">IFERROR(__xludf.DUMMYFUNCTION("""COMPUTED_VALUE"""),0)</f>
        <v>0</v>
      </c>
      <c r="G1228" s="23">
        <f ca="1">IFERROR(__xludf.DUMMYFUNCTION("""COMPUTED_VALUE"""),0)</f>
        <v>0</v>
      </c>
      <c r="H1228" s="23">
        <f ca="1">IFERROR(__xludf.DUMMYFUNCTION("""COMPUTED_VALUE"""),0)</f>
        <v>0</v>
      </c>
      <c r="I1228" s="23">
        <f ca="1">IFERROR(__xludf.DUMMYFUNCTION("""COMPUTED_VALUE"""),0)</f>
        <v>0</v>
      </c>
      <c r="J1228" s="23">
        <f ca="1">IFERROR(__xludf.DUMMYFUNCTION("""COMPUTED_VALUE"""),0)</f>
        <v>0</v>
      </c>
      <c r="K1228" s="23">
        <f ca="1">IFERROR(__xludf.DUMMYFUNCTION("""COMPUTED_VALUE"""),0)</f>
        <v>0</v>
      </c>
      <c r="L1228" s="23">
        <f ca="1">IFERROR(__xludf.DUMMYFUNCTION("""COMPUTED_VALUE"""),0)</f>
        <v>0</v>
      </c>
      <c r="M1228" s="23">
        <f ca="1">IFERROR(__xludf.DUMMYFUNCTION("""COMPUTED_VALUE"""),0)</f>
        <v>0</v>
      </c>
      <c r="N1228" s="23">
        <f ca="1">IFERROR(__xludf.DUMMYFUNCTION("""COMPUTED_VALUE"""),0)</f>
        <v>0</v>
      </c>
      <c r="O1228" s="23">
        <f ca="1">IFERROR(__xludf.DUMMYFUNCTION("""COMPUTED_VALUE"""),0)</f>
        <v>0</v>
      </c>
      <c r="P1228" s="23">
        <f ca="1">IFERROR(__xludf.DUMMYFUNCTION("""COMPUTED_VALUE"""),0)</f>
        <v>0</v>
      </c>
      <c r="Q1228" s="24">
        <f ca="1">IFERROR(__xludf.DUMMYFUNCTION("""COMPUTED_VALUE"""),0)</f>
        <v>0</v>
      </c>
      <c r="R1228" s="20"/>
    </row>
    <row r="1229" spans="1:18" ht="13.2" hidden="1" outlineLevel="1" x14ac:dyDescent="0.25">
      <c r="A1229" s="1"/>
      <c r="B1229" s="39" t="str">
        <f ca="1">IFERROR(__xludf.DUMMYFUNCTION("""COMPUTED_VALUE"""),"Energía solar")</f>
        <v>Energía solar</v>
      </c>
      <c r="C1229" s="22">
        <f ca="1">IFERROR(__xludf.DUMMYFUNCTION("""COMPUTED_VALUE"""),0)</f>
        <v>0</v>
      </c>
      <c r="D1229" s="23">
        <f ca="1">IFERROR(__xludf.DUMMYFUNCTION("""COMPUTED_VALUE"""),0)</f>
        <v>0</v>
      </c>
      <c r="E1229" s="23">
        <f ca="1">IFERROR(__xludf.DUMMYFUNCTION("""COMPUTED_VALUE"""),0)</f>
        <v>0</v>
      </c>
      <c r="F1229" s="23">
        <f ca="1">IFERROR(__xludf.DUMMYFUNCTION("""COMPUTED_VALUE"""),0)</f>
        <v>0</v>
      </c>
      <c r="G1229" s="23">
        <f ca="1">IFERROR(__xludf.DUMMYFUNCTION("""COMPUTED_VALUE"""),0)</f>
        <v>0</v>
      </c>
      <c r="H1229" s="23">
        <f ca="1">IFERROR(__xludf.DUMMYFUNCTION("""COMPUTED_VALUE"""),0)</f>
        <v>0</v>
      </c>
      <c r="I1229" s="23">
        <f ca="1">IFERROR(__xludf.DUMMYFUNCTION("""COMPUTED_VALUE"""),0)</f>
        <v>0</v>
      </c>
      <c r="J1229" s="23">
        <f ca="1">IFERROR(__xludf.DUMMYFUNCTION("""COMPUTED_VALUE"""),0)</f>
        <v>0</v>
      </c>
      <c r="K1229" s="23">
        <f ca="1">IFERROR(__xludf.DUMMYFUNCTION("""COMPUTED_VALUE"""),0)</f>
        <v>0</v>
      </c>
      <c r="L1229" s="23">
        <f ca="1">IFERROR(__xludf.DUMMYFUNCTION("""COMPUTED_VALUE"""),0)</f>
        <v>0</v>
      </c>
      <c r="M1229" s="23">
        <f ca="1">IFERROR(__xludf.DUMMYFUNCTION("""COMPUTED_VALUE"""),0)</f>
        <v>0</v>
      </c>
      <c r="N1229" s="23">
        <f ca="1">IFERROR(__xludf.DUMMYFUNCTION("""COMPUTED_VALUE"""),0)</f>
        <v>0</v>
      </c>
      <c r="O1229" s="23">
        <f ca="1">IFERROR(__xludf.DUMMYFUNCTION("""COMPUTED_VALUE"""),0)</f>
        <v>0</v>
      </c>
      <c r="P1229" s="23">
        <f ca="1">IFERROR(__xludf.DUMMYFUNCTION("""COMPUTED_VALUE"""),0)</f>
        <v>0</v>
      </c>
      <c r="Q1229" s="24">
        <f ca="1">IFERROR(__xludf.DUMMYFUNCTION("""COMPUTED_VALUE"""),0)</f>
        <v>0</v>
      </c>
      <c r="R1229" s="20"/>
    </row>
    <row r="1230" spans="1:18" ht="13.2" hidden="1" outlineLevel="1" x14ac:dyDescent="0.25">
      <c r="A1230" s="1"/>
      <c r="B1230" s="39" t="str">
        <f ca="1">IFERROR(__xludf.DUMMYFUNCTION("""COMPUTED_VALUE"""),"Energía eólica")</f>
        <v>Energía eólica</v>
      </c>
      <c r="C1230" s="22">
        <f ca="1">IFERROR(__xludf.DUMMYFUNCTION("""COMPUTED_VALUE"""),0)</f>
        <v>0</v>
      </c>
      <c r="D1230" s="23">
        <f ca="1">IFERROR(__xludf.DUMMYFUNCTION("""COMPUTED_VALUE"""),0)</f>
        <v>0</v>
      </c>
      <c r="E1230" s="23">
        <f ca="1">IFERROR(__xludf.DUMMYFUNCTION("""COMPUTED_VALUE"""),0)</f>
        <v>0</v>
      </c>
      <c r="F1230" s="23">
        <f ca="1">IFERROR(__xludf.DUMMYFUNCTION("""COMPUTED_VALUE"""),0)</f>
        <v>0</v>
      </c>
      <c r="G1230" s="23">
        <f ca="1">IFERROR(__xludf.DUMMYFUNCTION("""COMPUTED_VALUE"""),0)</f>
        <v>0</v>
      </c>
      <c r="H1230" s="23">
        <f ca="1">IFERROR(__xludf.DUMMYFUNCTION("""COMPUTED_VALUE"""),0)</f>
        <v>0</v>
      </c>
      <c r="I1230" s="23">
        <f ca="1">IFERROR(__xludf.DUMMYFUNCTION("""COMPUTED_VALUE"""),0)</f>
        <v>0</v>
      </c>
      <c r="J1230" s="23">
        <f ca="1">IFERROR(__xludf.DUMMYFUNCTION("""COMPUTED_VALUE"""),0)</f>
        <v>0</v>
      </c>
      <c r="K1230" s="23">
        <f ca="1">IFERROR(__xludf.DUMMYFUNCTION("""COMPUTED_VALUE"""),0)</f>
        <v>0</v>
      </c>
      <c r="L1230" s="23">
        <f ca="1">IFERROR(__xludf.DUMMYFUNCTION("""COMPUTED_VALUE"""),0)</f>
        <v>0</v>
      </c>
      <c r="M1230" s="23">
        <f ca="1">IFERROR(__xludf.DUMMYFUNCTION("""COMPUTED_VALUE"""),0)</f>
        <v>0</v>
      </c>
      <c r="N1230" s="23">
        <f ca="1">IFERROR(__xludf.DUMMYFUNCTION("""COMPUTED_VALUE"""),0)</f>
        <v>0</v>
      </c>
      <c r="O1230" s="23">
        <f ca="1">IFERROR(__xludf.DUMMYFUNCTION("""COMPUTED_VALUE"""),0)</f>
        <v>0</v>
      </c>
      <c r="P1230" s="23">
        <f ca="1">IFERROR(__xludf.DUMMYFUNCTION("""COMPUTED_VALUE"""),0)</f>
        <v>0</v>
      </c>
      <c r="Q1230" s="24">
        <f ca="1">IFERROR(__xludf.DUMMYFUNCTION("""COMPUTED_VALUE"""),0)</f>
        <v>0</v>
      </c>
      <c r="R1230" s="20"/>
    </row>
    <row r="1231" spans="1:18" ht="13.2" hidden="1" outlineLevel="1" x14ac:dyDescent="0.25">
      <c r="A1231" s="1"/>
      <c r="B1231" s="39" t="str">
        <f ca="1">IFERROR(__xludf.DUMMYFUNCTION("""COMPUTED_VALUE"""),"Bagazo de caña")</f>
        <v>Bagazo de caña</v>
      </c>
      <c r="C1231" s="22">
        <f ca="1">IFERROR(__xludf.DUMMYFUNCTION("""COMPUTED_VALUE"""),0)</f>
        <v>0</v>
      </c>
      <c r="D1231" s="23">
        <f ca="1">IFERROR(__xludf.DUMMYFUNCTION("""COMPUTED_VALUE"""),0)</f>
        <v>0</v>
      </c>
      <c r="E1231" s="23">
        <f ca="1">IFERROR(__xludf.DUMMYFUNCTION("""COMPUTED_VALUE"""),0)</f>
        <v>0</v>
      </c>
      <c r="F1231" s="23">
        <f ca="1">IFERROR(__xludf.DUMMYFUNCTION("""COMPUTED_VALUE"""),0)</f>
        <v>0</v>
      </c>
      <c r="G1231" s="23">
        <f ca="1">IFERROR(__xludf.DUMMYFUNCTION("""COMPUTED_VALUE"""),0)</f>
        <v>0</v>
      </c>
      <c r="H1231" s="23">
        <f ca="1">IFERROR(__xludf.DUMMYFUNCTION("""COMPUTED_VALUE"""),0)</f>
        <v>0</v>
      </c>
      <c r="I1231" s="23">
        <f ca="1">IFERROR(__xludf.DUMMYFUNCTION("""COMPUTED_VALUE"""),0)</f>
        <v>0</v>
      </c>
      <c r="J1231" s="23">
        <f ca="1">IFERROR(__xludf.DUMMYFUNCTION("""COMPUTED_VALUE"""),0)</f>
        <v>0</v>
      </c>
      <c r="K1231" s="23">
        <f ca="1">IFERROR(__xludf.DUMMYFUNCTION("""COMPUTED_VALUE"""),0)</f>
        <v>0</v>
      </c>
      <c r="L1231" s="23">
        <f ca="1">IFERROR(__xludf.DUMMYFUNCTION("""COMPUTED_VALUE"""),0)</f>
        <v>0</v>
      </c>
      <c r="M1231" s="23">
        <f ca="1">IFERROR(__xludf.DUMMYFUNCTION("""COMPUTED_VALUE"""),0)</f>
        <v>0</v>
      </c>
      <c r="N1231" s="23">
        <f ca="1">IFERROR(__xludf.DUMMYFUNCTION("""COMPUTED_VALUE"""),0)</f>
        <v>0</v>
      </c>
      <c r="O1231" s="23">
        <f ca="1">IFERROR(__xludf.DUMMYFUNCTION("""COMPUTED_VALUE"""),0)</f>
        <v>0</v>
      </c>
      <c r="P1231" s="23">
        <f ca="1">IFERROR(__xludf.DUMMYFUNCTION("""COMPUTED_VALUE"""),0)</f>
        <v>0</v>
      </c>
      <c r="Q1231" s="24">
        <f ca="1">IFERROR(__xludf.DUMMYFUNCTION("""COMPUTED_VALUE"""),0)</f>
        <v>0</v>
      </c>
      <c r="R1231" s="20"/>
    </row>
    <row r="1232" spans="1:18" ht="13.2" hidden="1" outlineLevel="1" x14ac:dyDescent="0.25">
      <c r="A1232" s="1"/>
      <c r="B1232" s="39" t="str">
        <f ca="1">IFERROR(__xludf.DUMMYFUNCTION("""COMPUTED_VALUE"""),"Leña")</f>
        <v>Leña</v>
      </c>
      <c r="C1232" s="22">
        <f ca="1">IFERROR(__xludf.DUMMYFUNCTION("""COMPUTED_VALUE"""),0)</f>
        <v>0</v>
      </c>
      <c r="D1232" s="23">
        <f ca="1">IFERROR(__xludf.DUMMYFUNCTION("""COMPUTED_VALUE"""),0)</f>
        <v>0</v>
      </c>
      <c r="E1232" s="23">
        <f ca="1">IFERROR(__xludf.DUMMYFUNCTION("""COMPUTED_VALUE"""),0)</f>
        <v>0</v>
      </c>
      <c r="F1232" s="23">
        <f ca="1">IFERROR(__xludf.DUMMYFUNCTION("""COMPUTED_VALUE"""),0)</f>
        <v>0</v>
      </c>
      <c r="G1232" s="23">
        <f ca="1">IFERROR(__xludf.DUMMYFUNCTION("""COMPUTED_VALUE"""),0)</f>
        <v>0</v>
      </c>
      <c r="H1232" s="23">
        <f ca="1">IFERROR(__xludf.DUMMYFUNCTION("""COMPUTED_VALUE"""),0)</f>
        <v>0</v>
      </c>
      <c r="I1232" s="23">
        <f ca="1">IFERROR(__xludf.DUMMYFUNCTION("""COMPUTED_VALUE"""),0)</f>
        <v>0</v>
      </c>
      <c r="J1232" s="23">
        <f ca="1">IFERROR(__xludf.DUMMYFUNCTION("""COMPUTED_VALUE"""),0)</f>
        <v>0</v>
      </c>
      <c r="K1232" s="23">
        <f ca="1">IFERROR(__xludf.DUMMYFUNCTION("""COMPUTED_VALUE"""),0)</f>
        <v>0</v>
      </c>
      <c r="L1232" s="23">
        <f ca="1">IFERROR(__xludf.DUMMYFUNCTION("""COMPUTED_VALUE"""),0)</f>
        <v>0</v>
      </c>
      <c r="M1232" s="23">
        <f ca="1">IFERROR(__xludf.DUMMYFUNCTION("""COMPUTED_VALUE"""),0)</f>
        <v>0</v>
      </c>
      <c r="N1232" s="23">
        <f ca="1">IFERROR(__xludf.DUMMYFUNCTION("""COMPUTED_VALUE"""),0)</f>
        <v>0</v>
      </c>
      <c r="O1232" s="23">
        <f ca="1">IFERROR(__xludf.DUMMYFUNCTION("""COMPUTED_VALUE"""),0)</f>
        <v>0</v>
      </c>
      <c r="P1232" s="23">
        <f ca="1">IFERROR(__xludf.DUMMYFUNCTION("""COMPUTED_VALUE"""),0)</f>
        <v>0</v>
      </c>
      <c r="Q1232" s="24">
        <f ca="1">IFERROR(__xludf.DUMMYFUNCTION("""COMPUTED_VALUE"""),0)</f>
        <v>0</v>
      </c>
      <c r="R1232" s="20"/>
    </row>
    <row r="1233" spans="1:18" ht="13.2" hidden="1" outlineLevel="1" x14ac:dyDescent="0.25">
      <c r="A1233" s="1"/>
      <c r="B1233" s="39" t="str">
        <f ca="1">IFERROR(__xludf.DUMMYFUNCTION("""COMPUTED_VALUE"""),"Biogás")</f>
        <v>Biogás</v>
      </c>
      <c r="C1233" s="22">
        <f ca="1">IFERROR(__xludf.DUMMYFUNCTION("""COMPUTED_VALUE"""),0)</f>
        <v>0</v>
      </c>
      <c r="D1233" s="23">
        <f ca="1">IFERROR(__xludf.DUMMYFUNCTION("""COMPUTED_VALUE"""),0)</f>
        <v>0</v>
      </c>
      <c r="E1233" s="23">
        <f ca="1">IFERROR(__xludf.DUMMYFUNCTION("""COMPUTED_VALUE"""),0)</f>
        <v>0</v>
      </c>
      <c r="F1233" s="23">
        <f ca="1">IFERROR(__xludf.DUMMYFUNCTION("""COMPUTED_VALUE"""),0)</f>
        <v>0</v>
      </c>
      <c r="G1233" s="23">
        <f ca="1">IFERROR(__xludf.DUMMYFUNCTION("""COMPUTED_VALUE"""),0)</f>
        <v>0</v>
      </c>
      <c r="H1233" s="23">
        <f ca="1">IFERROR(__xludf.DUMMYFUNCTION("""COMPUTED_VALUE"""),0)</f>
        <v>0</v>
      </c>
      <c r="I1233" s="23">
        <f ca="1">IFERROR(__xludf.DUMMYFUNCTION("""COMPUTED_VALUE"""),0)</f>
        <v>0</v>
      </c>
      <c r="J1233" s="23">
        <f ca="1">IFERROR(__xludf.DUMMYFUNCTION("""COMPUTED_VALUE"""),0)</f>
        <v>0</v>
      </c>
      <c r="K1233" s="23">
        <f ca="1">IFERROR(__xludf.DUMMYFUNCTION("""COMPUTED_VALUE"""),0)</f>
        <v>0</v>
      </c>
      <c r="L1233" s="23">
        <f ca="1">IFERROR(__xludf.DUMMYFUNCTION("""COMPUTED_VALUE"""),0)</f>
        <v>0</v>
      </c>
      <c r="M1233" s="23">
        <f ca="1">IFERROR(__xludf.DUMMYFUNCTION("""COMPUTED_VALUE"""),0)</f>
        <v>0</v>
      </c>
      <c r="N1233" s="23">
        <f ca="1">IFERROR(__xludf.DUMMYFUNCTION("""COMPUTED_VALUE"""),0)</f>
        <v>0</v>
      </c>
      <c r="O1233" s="23">
        <f ca="1">IFERROR(__xludf.DUMMYFUNCTION("""COMPUTED_VALUE"""),0)</f>
        <v>0</v>
      </c>
      <c r="P1233" s="23">
        <f ca="1">IFERROR(__xludf.DUMMYFUNCTION("""COMPUTED_VALUE"""),0)</f>
        <v>0</v>
      </c>
      <c r="Q1233" s="24">
        <f ca="1">IFERROR(__xludf.DUMMYFUNCTION("""COMPUTED_VALUE"""),0)</f>
        <v>0</v>
      </c>
      <c r="R1233" s="20"/>
    </row>
    <row r="1234" spans="1:18" ht="13.2" hidden="1" outlineLevel="1" x14ac:dyDescent="0.25">
      <c r="A1234" s="1"/>
      <c r="B1234" s="39" t="str">
        <f ca="1">IFERROR(__xludf.DUMMYFUNCTION("""COMPUTED_VALUE"""),"Coque de carbón")</f>
        <v>Coque de carbón</v>
      </c>
      <c r="C1234" s="22">
        <f ca="1">IFERROR(__xludf.DUMMYFUNCTION("""COMPUTED_VALUE"""),0)</f>
        <v>0</v>
      </c>
      <c r="D1234" s="23">
        <f ca="1">IFERROR(__xludf.DUMMYFUNCTION("""COMPUTED_VALUE"""),0)</f>
        <v>0</v>
      </c>
      <c r="E1234" s="23">
        <f ca="1">IFERROR(__xludf.DUMMYFUNCTION("""COMPUTED_VALUE"""),0)</f>
        <v>0</v>
      </c>
      <c r="F1234" s="23">
        <f ca="1">IFERROR(__xludf.DUMMYFUNCTION("""COMPUTED_VALUE"""),0)</f>
        <v>0</v>
      </c>
      <c r="G1234" s="23">
        <f ca="1">IFERROR(__xludf.DUMMYFUNCTION("""COMPUTED_VALUE"""),0)</f>
        <v>0</v>
      </c>
      <c r="H1234" s="23">
        <f ca="1">IFERROR(__xludf.DUMMYFUNCTION("""COMPUTED_VALUE"""),0)</f>
        <v>0</v>
      </c>
      <c r="I1234" s="23">
        <f ca="1">IFERROR(__xludf.DUMMYFUNCTION("""COMPUTED_VALUE"""),0)</f>
        <v>0</v>
      </c>
      <c r="J1234" s="23">
        <f ca="1">IFERROR(__xludf.DUMMYFUNCTION("""COMPUTED_VALUE"""),0)</f>
        <v>0</v>
      </c>
      <c r="K1234" s="23">
        <f ca="1">IFERROR(__xludf.DUMMYFUNCTION("""COMPUTED_VALUE"""),0)</f>
        <v>0</v>
      </c>
      <c r="L1234" s="23">
        <f ca="1">IFERROR(__xludf.DUMMYFUNCTION("""COMPUTED_VALUE"""),0)</f>
        <v>0</v>
      </c>
      <c r="M1234" s="23">
        <f ca="1">IFERROR(__xludf.DUMMYFUNCTION("""COMPUTED_VALUE"""),0)</f>
        <v>0</v>
      </c>
      <c r="N1234" s="23">
        <f ca="1">IFERROR(__xludf.DUMMYFUNCTION("""COMPUTED_VALUE"""),0)</f>
        <v>0</v>
      </c>
      <c r="O1234" s="23">
        <f ca="1">IFERROR(__xludf.DUMMYFUNCTION("""COMPUTED_VALUE"""),0)</f>
        <v>0</v>
      </c>
      <c r="P1234" s="23">
        <f ca="1">IFERROR(__xludf.DUMMYFUNCTION("""COMPUTED_VALUE"""),0)</f>
        <v>0</v>
      </c>
      <c r="Q1234" s="24">
        <f ca="1">IFERROR(__xludf.DUMMYFUNCTION("""COMPUTED_VALUE"""),0)</f>
        <v>0</v>
      </c>
      <c r="R1234" s="20"/>
    </row>
    <row r="1235" spans="1:18" ht="13.2" hidden="1" outlineLevel="1" x14ac:dyDescent="0.25">
      <c r="A1235" s="1"/>
      <c r="B1235" s="39" t="str">
        <f ca="1">IFERROR(__xludf.DUMMYFUNCTION("""COMPUTED_VALUE"""),"Coque de petróleo")</f>
        <v>Coque de petróleo</v>
      </c>
      <c r="C1235" s="22">
        <f ca="1">IFERROR(__xludf.DUMMYFUNCTION("""COMPUTED_VALUE"""),0)</f>
        <v>0</v>
      </c>
      <c r="D1235" s="23">
        <f ca="1">IFERROR(__xludf.DUMMYFUNCTION("""COMPUTED_VALUE"""),0)</f>
        <v>0</v>
      </c>
      <c r="E1235" s="23">
        <f ca="1">IFERROR(__xludf.DUMMYFUNCTION("""COMPUTED_VALUE"""),0)</f>
        <v>0</v>
      </c>
      <c r="F1235" s="23">
        <f ca="1">IFERROR(__xludf.DUMMYFUNCTION("""COMPUTED_VALUE"""),0)</f>
        <v>0</v>
      </c>
      <c r="G1235" s="23">
        <f ca="1">IFERROR(__xludf.DUMMYFUNCTION("""COMPUTED_VALUE"""),0)</f>
        <v>0</v>
      </c>
      <c r="H1235" s="23">
        <f ca="1">IFERROR(__xludf.DUMMYFUNCTION("""COMPUTED_VALUE"""),0)</f>
        <v>0</v>
      </c>
      <c r="I1235" s="23">
        <f ca="1">IFERROR(__xludf.DUMMYFUNCTION("""COMPUTED_VALUE"""),0)</f>
        <v>0</v>
      </c>
      <c r="J1235" s="23">
        <f ca="1">IFERROR(__xludf.DUMMYFUNCTION("""COMPUTED_VALUE"""),0)</f>
        <v>0</v>
      </c>
      <c r="K1235" s="23">
        <f ca="1">IFERROR(__xludf.DUMMYFUNCTION("""COMPUTED_VALUE"""),0)</f>
        <v>0</v>
      </c>
      <c r="L1235" s="23">
        <f ca="1">IFERROR(__xludf.DUMMYFUNCTION("""COMPUTED_VALUE"""),0)</f>
        <v>0</v>
      </c>
      <c r="M1235" s="23">
        <f ca="1">IFERROR(__xludf.DUMMYFUNCTION("""COMPUTED_VALUE"""),0)</f>
        <v>0</v>
      </c>
      <c r="N1235" s="23">
        <f ca="1">IFERROR(__xludf.DUMMYFUNCTION("""COMPUTED_VALUE"""),0)</f>
        <v>0</v>
      </c>
      <c r="O1235" s="23">
        <f ca="1">IFERROR(__xludf.DUMMYFUNCTION("""COMPUTED_VALUE"""),0)</f>
        <v>0</v>
      </c>
      <c r="P1235" s="23">
        <f ca="1">IFERROR(__xludf.DUMMYFUNCTION("""COMPUTED_VALUE"""),0)</f>
        <v>0</v>
      </c>
      <c r="Q1235" s="24">
        <f ca="1">IFERROR(__xludf.DUMMYFUNCTION("""COMPUTED_VALUE"""),0)</f>
        <v>0</v>
      </c>
      <c r="R1235" s="20"/>
    </row>
    <row r="1236" spans="1:18" ht="13.2" hidden="1" outlineLevel="1" x14ac:dyDescent="0.25">
      <c r="A1236" s="1"/>
      <c r="B1236" s="39" t="str">
        <f ca="1">IFERROR(__xludf.DUMMYFUNCTION("""COMPUTED_VALUE"""),"Gas licuado de petróleo")</f>
        <v>Gas licuado de petróleo</v>
      </c>
      <c r="C1236" s="22">
        <f ca="1">IFERROR(__xludf.DUMMYFUNCTION("""COMPUTED_VALUE"""),0.0227010349331198)</f>
        <v>2.2701034933119799E-2</v>
      </c>
      <c r="D1236" s="23">
        <f ca="1">IFERROR(__xludf.DUMMYFUNCTION("""COMPUTED_VALUE"""),0.0141330712245284)</f>
        <v>1.41330712245284E-2</v>
      </c>
      <c r="E1236" s="23">
        <f ca="1">IFERROR(__xludf.DUMMYFUNCTION("""COMPUTED_VALUE"""),0.0269083686773721)</f>
        <v>2.6908368677372101E-2</v>
      </c>
      <c r="F1236" s="23">
        <f ca="1">IFERROR(__xludf.DUMMYFUNCTION("""COMPUTED_VALUE"""),0.0210379145153629)</f>
        <v>2.1037914515362899E-2</v>
      </c>
      <c r="G1236" s="23">
        <f ca="1">IFERROR(__xludf.DUMMYFUNCTION("""COMPUTED_VALUE"""),0.0230789037416574)</f>
        <v>2.30789037416574E-2</v>
      </c>
      <c r="H1236" s="23">
        <f ca="1">IFERROR(__xludf.DUMMYFUNCTION("""COMPUTED_VALUE"""),0.0238586991962169)</f>
        <v>2.3858699196216901E-2</v>
      </c>
      <c r="I1236" s="23">
        <f ca="1">IFERROR(__xludf.DUMMYFUNCTION("""COMPUTED_VALUE"""),0.0248018946594889)</f>
        <v>2.4801894659488899E-2</v>
      </c>
      <c r="J1236" s="23">
        <f ca="1">IFERROR(__xludf.DUMMYFUNCTION("""COMPUTED_VALUE"""),0.0235574881568417)</f>
        <v>2.3557488156841701E-2</v>
      </c>
      <c r="K1236" s="23">
        <f ca="1">IFERROR(__xludf.DUMMYFUNCTION("""COMPUTED_VALUE"""),0.0255847957322404)</f>
        <v>2.5584795732240401E-2</v>
      </c>
      <c r="L1236" s="23">
        <f ca="1">IFERROR(__xludf.DUMMYFUNCTION("""COMPUTED_VALUE"""),0.0323681799146569)</f>
        <v>3.2368179914656903E-2</v>
      </c>
      <c r="M1236" s="23">
        <f ca="1">IFERROR(__xludf.DUMMYFUNCTION("""COMPUTED_VALUE"""),0.0152999368857272)</f>
        <v>1.52999368857272E-2</v>
      </c>
      <c r="N1236" s="23">
        <f ca="1">IFERROR(__xludf.DUMMYFUNCTION("""COMPUTED_VALUE"""),0.0243405099743941)</f>
        <v>2.43405099743941E-2</v>
      </c>
      <c r="O1236" s="23">
        <f ca="1">IFERROR(__xludf.DUMMYFUNCTION("""COMPUTED_VALUE"""),0.021872241804068)</f>
        <v>2.1872241804068E-2</v>
      </c>
      <c r="P1236" s="23">
        <f ca="1">IFERROR(__xludf.DUMMYFUNCTION("""COMPUTED_VALUE"""),0.0247370799805672)</f>
        <v>2.4737079980567199E-2</v>
      </c>
      <c r="Q1236" s="24">
        <f ca="1">IFERROR(__xludf.DUMMYFUNCTION("""COMPUTED_VALUE"""),0.0194936857187213)</f>
        <v>1.9493685718721301E-2</v>
      </c>
      <c r="R1236" s="20"/>
    </row>
    <row r="1237" spans="1:18" ht="13.2" hidden="1" outlineLevel="1" x14ac:dyDescent="0.25">
      <c r="A1237" s="1"/>
      <c r="B1237" s="39" t="str">
        <f ca="1">IFERROR(__xludf.DUMMYFUNCTION("""COMPUTED_VALUE"""),"Gasolinas y naftas")</f>
        <v>Gasolinas y naftas</v>
      </c>
      <c r="C1237" s="22">
        <f ca="1">IFERROR(__xludf.DUMMYFUNCTION("""COMPUTED_VALUE"""),0)</f>
        <v>0</v>
      </c>
      <c r="D1237" s="23">
        <f ca="1">IFERROR(__xludf.DUMMYFUNCTION("""COMPUTED_VALUE"""),0)</f>
        <v>0</v>
      </c>
      <c r="E1237" s="23">
        <f ca="1">IFERROR(__xludf.DUMMYFUNCTION("""COMPUTED_VALUE"""),0)</f>
        <v>0</v>
      </c>
      <c r="F1237" s="23">
        <f ca="1">IFERROR(__xludf.DUMMYFUNCTION("""COMPUTED_VALUE"""),0)</f>
        <v>0</v>
      </c>
      <c r="G1237" s="23">
        <f ca="1">IFERROR(__xludf.DUMMYFUNCTION("""COMPUTED_VALUE"""),0)</f>
        <v>0</v>
      </c>
      <c r="H1237" s="23">
        <f ca="1">IFERROR(__xludf.DUMMYFUNCTION("""COMPUTED_VALUE"""),0)</f>
        <v>0</v>
      </c>
      <c r="I1237" s="23">
        <f ca="1">IFERROR(__xludf.DUMMYFUNCTION("""COMPUTED_VALUE"""),0)</f>
        <v>0</v>
      </c>
      <c r="J1237" s="23">
        <f ca="1">IFERROR(__xludf.DUMMYFUNCTION("""COMPUTED_VALUE"""),0)</f>
        <v>0</v>
      </c>
      <c r="K1237" s="23">
        <f ca="1">IFERROR(__xludf.DUMMYFUNCTION("""COMPUTED_VALUE"""),0)</f>
        <v>0</v>
      </c>
      <c r="L1237" s="23">
        <f ca="1">IFERROR(__xludf.DUMMYFUNCTION("""COMPUTED_VALUE"""),0)</f>
        <v>0</v>
      </c>
      <c r="M1237" s="23">
        <f ca="1">IFERROR(__xludf.DUMMYFUNCTION("""COMPUTED_VALUE"""),0)</f>
        <v>0</v>
      </c>
      <c r="N1237" s="23">
        <f ca="1">IFERROR(__xludf.DUMMYFUNCTION("""COMPUTED_VALUE"""),0)</f>
        <v>0</v>
      </c>
      <c r="O1237" s="23">
        <f ca="1">IFERROR(__xludf.DUMMYFUNCTION("""COMPUTED_VALUE"""),0)</f>
        <v>0</v>
      </c>
      <c r="P1237" s="23">
        <f ca="1">IFERROR(__xludf.DUMMYFUNCTION("""COMPUTED_VALUE"""),0)</f>
        <v>0</v>
      </c>
      <c r="Q1237" s="24">
        <f ca="1">IFERROR(__xludf.DUMMYFUNCTION("""COMPUTED_VALUE"""),0)</f>
        <v>0</v>
      </c>
      <c r="R1237" s="20"/>
    </row>
    <row r="1238" spans="1:18" ht="13.2" hidden="1" outlineLevel="1" x14ac:dyDescent="0.25">
      <c r="A1238" s="1"/>
      <c r="B1238" s="39" t="str">
        <f ca="1">IFERROR(__xludf.DUMMYFUNCTION("""COMPUTED_VALUE"""),"Querosenos")</f>
        <v>Querosenos</v>
      </c>
      <c r="C1238" s="22">
        <f ca="1">IFERROR(__xludf.DUMMYFUNCTION("""COMPUTED_VALUE"""),0)</f>
        <v>0</v>
      </c>
      <c r="D1238" s="23">
        <f ca="1">IFERROR(__xludf.DUMMYFUNCTION("""COMPUTED_VALUE"""),0)</f>
        <v>0</v>
      </c>
      <c r="E1238" s="23">
        <f ca="1">IFERROR(__xludf.DUMMYFUNCTION("""COMPUTED_VALUE"""),0)</f>
        <v>0</v>
      </c>
      <c r="F1238" s="23">
        <f ca="1">IFERROR(__xludf.DUMMYFUNCTION("""COMPUTED_VALUE"""),0)</f>
        <v>0</v>
      </c>
      <c r="G1238" s="23">
        <f ca="1">IFERROR(__xludf.DUMMYFUNCTION("""COMPUTED_VALUE"""),0)</f>
        <v>0</v>
      </c>
      <c r="H1238" s="23">
        <f ca="1">IFERROR(__xludf.DUMMYFUNCTION("""COMPUTED_VALUE"""),0)</f>
        <v>0</v>
      </c>
      <c r="I1238" s="23">
        <f ca="1">IFERROR(__xludf.DUMMYFUNCTION("""COMPUTED_VALUE"""),0)</f>
        <v>0</v>
      </c>
      <c r="J1238" s="23">
        <f ca="1">IFERROR(__xludf.DUMMYFUNCTION("""COMPUTED_VALUE"""),0)</f>
        <v>0</v>
      </c>
      <c r="K1238" s="23">
        <f ca="1">IFERROR(__xludf.DUMMYFUNCTION("""COMPUTED_VALUE"""),0)</f>
        <v>0</v>
      </c>
      <c r="L1238" s="23">
        <f ca="1">IFERROR(__xludf.DUMMYFUNCTION("""COMPUTED_VALUE"""),0)</f>
        <v>0</v>
      </c>
      <c r="M1238" s="23">
        <f ca="1">IFERROR(__xludf.DUMMYFUNCTION("""COMPUTED_VALUE"""),0)</f>
        <v>0</v>
      </c>
      <c r="N1238" s="23">
        <f ca="1">IFERROR(__xludf.DUMMYFUNCTION("""COMPUTED_VALUE"""),0)</f>
        <v>0</v>
      </c>
      <c r="O1238" s="23">
        <f ca="1">IFERROR(__xludf.DUMMYFUNCTION("""COMPUTED_VALUE"""),0)</f>
        <v>0</v>
      </c>
      <c r="P1238" s="23">
        <f ca="1">IFERROR(__xludf.DUMMYFUNCTION("""COMPUTED_VALUE"""),0)</f>
        <v>0</v>
      </c>
      <c r="Q1238" s="24">
        <f ca="1">IFERROR(__xludf.DUMMYFUNCTION("""COMPUTED_VALUE"""),0)</f>
        <v>0</v>
      </c>
      <c r="R1238" s="20"/>
    </row>
    <row r="1239" spans="1:18" ht="13.2" hidden="1" outlineLevel="1" x14ac:dyDescent="0.25">
      <c r="A1239" s="1"/>
      <c r="B1239" s="39" t="str">
        <f ca="1">IFERROR(__xludf.DUMMYFUNCTION("""COMPUTED_VALUE"""),"Diesel")</f>
        <v>Diesel</v>
      </c>
      <c r="C1239" s="22">
        <f ca="1">IFERROR(__xludf.DUMMYFUNCTION("""COMPUTED_VALUE"""),0.599559344419831)</f>
        <v>0.59955934441983105</v>
      </c>
      <c r="D1239" s="23">
        <f ca="1">IFERROR(__xludf.DUMMYFUNCTION("""COMPUTED_VALUE"""),0.797144605874139)</f>
        <v>0.79714460587413905</v>
      </c>
      <c r="E1239" s="23">
        <f ca="1">IFERROR(__xludf.DUMMYFUNCTION("""COMPUTED_VALUE"""),0.812348921247967)</f>
        <v>0.81234892124796698</v>
      </c>
      <c r="F1239" s="23">
        <f ca="1">IFERROR(__xludf.DUMMYFUNCTION("""COMPUTED_VALUE"""),0.780510850518937)</f>
        <v>0.78051085051893698</v>
      </c>
      <c r="G1239" s="23">
        <f ca="1">IFERROR(__xludf.DUMMYFUNCTION("""COMPUTED_VALUE"""),0.769516687578419)</f>
        <v>0.76951668757841896</v>
      </c>
      <c r="H1239" s="23">
        <f ca="1">IFERROR(__xludf.DUMMYFUNCTION("""COMPUTED_VALUE"""),0.80131296439933)</f>
        <v>0.80131296439932997</v>
      </c>
      <c r="I1239" s="23">
        <f ca="1">IFERROR(__xludf.DUMMYFUNCTION("""COMPUTED_VALUE"""),0.773757570279309)</f>
        <v>0.77375757027930903</v>
      </c>
      <c r="J1239" s="23">
        <f ca="1">IFERROR(__xludf.DUMMYFUNCTION("""COMPUTED_VALUE"""),0.788294713241344)</f>
        <v>0.78829471324134404</v>
      </c>
      <c r="K1239" s="23">
        <f ca="1">IFERROR(__xludf.DUMMYFUNCTION("""COMPUTED_VALUE"""),0.938563930393559)</f>
        <v>0.93856393039355901</v>
      </c>
      <c r="L1239" s="23">
        <f ca="1">IFERROR(__xludf.DUMMYFUNCTION("""COMPUTED_VALUE"""),0.885702234908908)</f>
        <v>0.88570223490890798</v>
      </c>
      <c r="M1239" s="23">
        <f ca="1">IFERROR(__xludf.DUMMYFUNCTION("""COMPUTED_VALUE"""),0.442405248023546)</f>
        <v>0.44240524802354603</v>
      </c>
      <c r="N1239" s="23">
        <f ca="1">IFERROR(__xludf.DUMMYFUNCTION("""COMPUTED_VALUE"""),0.711773241836439)</f>
        <v>0.71177324183643897</v>
      </c>
      <c r="O1239" s="23">
        <f ca="1">IFERROR(__xludf.DUMMYFUNCTION("""COMPUTED_VALUE"""),0.665515923834316)</f>
        <v>0.66551592383431601</v>
      </c>
      <c r="P1239" s="23">
        <f ca="1">IFERROR(__xludf.DUMMYFUNCTION("""COMPUTED_VALUE"""),0.641600643434498)</f>
        <v>0.64160064343449796</v>
      </c>
      <c r="Q1239" s="24">
        <f ca="1">IFERROR(__xludf.DUMMYFUNCTION("""COMPUTED_VALUE"""),0.840308103790396)</f>
        <v>0.840308103790396</v>
      </c>
      <c r="R1239" s="20"/>
    </row>
    <row r="1240" spans="1:18" ht="13.2" hidden="1" outlineLevel="1" x14ac:dyDescent="0.25">
      <c r="A1240" s="1"/>
      <c r="B1240" s="39" t="str">
        <f ca="1">IFERROR(__xludf.DUMMYFUNCTION("""COMPUTED_VALUE"""),"Combustóleo")</f>
        <v>Combustóleo</v>
      </c>
      <c r="C1240" s="22">
        <f ca="1">IFERROR(__xludf.DUMMYFUNCTION("""COMPUTED_VALUE"""),0.148340724974099)</f>
        <v>0.148340724974099</v>
      </c>
      <c r="D1240" s="23">
        <f ca="1">IFERROR(__xludf.DUMMYFUNCTION("""COMPUTED_VALUE"""),0.102482707891318)</f>
        <v>0.102482707891318</v>
      </c>
      <c r="E1240" s="23">
        <f ca="1">IFERROR(__xludf.DUMMYFUNCTION("""COMPUTED_VALUE"""),0.101421477310554)</f>
        <v>0.101421477310554</v>
      </c>
      <c r="F1240" s="23">
        <f ca="1">IFERROR(__xludf.DUMMYFUNCTION("""COMPUTED_VALUE"""),0.0308660043913963)</f>
        <v>3.08660043913963E-2</v>
      </c>
      <c r="G1240" s="23">
        <f ca="1">IFERROR(__xludf.DUMMYFUNCTION("""COMPUTED_VALUE"""),0.0294433810296888)</f>
        <v>2.9443381029688801E-2</v>
      </c>
      <c r="H1240" s="23">
        <f ca="1">IFERROR(__xludf.DUMMYFUNCTION("""COMPUTED_VALUE"""),0.0277339565740748)</f>
        <v>2.7733956574074799E-2</v>
      </c>
      <c r="I1240" s="23">
        <f ca="1">IFERROR(__xludf.DUMMYFUNCTION("""COMPUTED_VALUE"""),0.0239764622595163)</f>
        <v>2.3976462259516301E-2</v>
      </c>
      <c r="J1240" s="23">
        <f ca="1">IFERROR(__xludf.DUMMYFUNCTION("""COMPUTED_VALUE"""),0.0258586624567516)</f>
        <v>2.5858662456751599E-2</v>
      </c>
      <c r="K1240" s="23">
        <f ca="1">IFERROR(__xludf.DUMMYFUNCTION("""COMPUTED_VALUE"""),0.0267517289334056)</f>
        <v>2.6751728933405598E-2</v>
      </c>
      <c r="L1240" s="23">
        <f ca="1">IFERROR(__xludf.DUMMYFUNCTION("""COMPUTED_VALUE"""),0.025300983838638)</f>
        <v>2.5300983838637998E-2</v>
      </c>
      <c r="M1240" s="23">
        <f ca="1">IFERROR(__xludf.DUMMYFUNCTION("""COMPUTED_VALUE"""),0.0173321170660484)</f>
        <v>1.73321170660484E-2</v>
      </c>
      <c r="N1240" s="23">
        <f ca="1">IFERROR(__xludf.DUMMYFUNCTION("""COMPUTED_VALUE"""),0.0264726937772596)</f>
        <v>2.6472693777259599E-2</v>
      </c>
      <c r="O1240" s="23">
        <f ca="1">IFERROR(__xludf.DUMMYFUNCTION("""COMPUTED_VALUE"""),0.0283929161359784)</f>
        <v>2.8392916135978399E-2</v>
      </c>
      <c r="P1240" s="23">
        <f ca="1">IFERROR(__xludf.DUMMYFUNCTION("""COMPUTED_VALUE"""),0.0271379230141638)</f>
        <v>2.71379230141638E-2</v>
      </c>
      <c r="Q1240" s="24">
        <f ca="1">IFERROR(__xludf.DUMMYFUNCTION("""COMPUTED_VALUE"""),0.0195661466450326)</f>
        <v>1.95661466450326E-2</v>
      </c>
      <c r="R1240" s="20"/>
    </row>
    <row r="1241" spans="1:18" ht="13.2" hidden="1" outlineLevel="1" x14ac:dyDescent="0.25">
      <c r="A1241" s="1"/>
      <c r="B1241" s="39" t="str">
        <f ca="1">IFERROR(__xludf.DUMMYFUNCTION("""COMPUTED_VALUE"""),"Otros energéticos")</f>
        <v>Otros energéticos</v>
      </c>
      <c r="C1241" s="22">
        <f ca="1">IFERROR(__xludf.DUMMYFUNCTION("""COMPUTED_VALUE"""),0)</f>
        <v>0</v>
      </c>
      <c r="D1241" s="23">
        <f ca="1">IFERROR(__xludf.DUMMYFUNCTION("""COMPUTED_VALUE"""),0)</f>
        <v>0</v>
      </c>
      <c r="E1241" s="23">
        <f ca="1">IFERROR(__xludf.DUMMYFUNCTION("""COMPUTED_VALUE"""),0)</f>
        <v>0</v>
      </c>
      <c r="F1241" s="23">
        <f ca="1">IFERROR(__xludf.DUMMYFUNCTION("""COMPUTED_VALUE"""),0)</f>
        <v>0</v>
      </c>
      <c r="G1241" s="23">
        <f ca="1">IFERROR(__xludf.DUMMYFUNCTION("""COMPUTED_VALUE"""),0)</f>
        <v>0</v>
      </c>
      <c r="H1241" s="23">
        <f ca="1">IFERROR(__xludf.DUMMYFUNCTION("""COMPUTED_VALUE"""),0)</f>
        <v>0</v>
      </c>
      <c r="I1241" s="23">
        <f ca="1">IFERROR(__xludf.DUMMYFUNCTION("""COMPUTED_VALUE"""),0)</f>
        <v>0</v>
      </c>
      <c r="J1241" s="23">
        <f ca="1">IFERROR(__xludf.DUMMYFUNCTION("""COMPUTED_VALUE"""),0)</f>
        <v>0</v>
      </c>
      <c r="K1241" s="23">
        <f ca="1">IFERROR(__xludf.DUMMYFUNCTION("""COMPUTED_VALUE"""),0)</f>
        <v>0</v>
      </c>
      <c r="L1241" s="23">
        <f ca="1">IFERROR(__xludf.DUMMYFUNCTION("""COMPUTED_VALUE"""),0)</f>
        <v>0</v>
      </c>
      <c r="M1241" s="23">
        <f ca="1">IFERROR(__xludf.DUMMYFUNCTION("""COMPUTED_VALUE"""),0)</f>
        <v>0</v>
      </c>
      <c r="N1241" s="23">
        <f ca="1">IFERROR(__xludf.DUMMYFUNCTION("""COMPUTED_VALUE"""),0)</f>
        <v>0</v>
      </c>
      <c r="O1241" s="23">
        <f ca="1">IFERROR(__xludf.DUMMYFUNCTION("""COMPUTED_VALUE"""),0)</f>
        <v>0</v>
      </c>
      <c r="P1241" s="23">
        <f ca="1">IFERROR(__xludf.DUMMYFUNCTION("""COMPUTED_VALUE"""),0)</f>
        <v>0</v>
      </c>
      <c r="Q1241" s="24">
        <f ca="1">IFERROR(__xludf.DUMMYFUNCTION("""COMPUTED_VALUE"""),0)</f>
        <v>0</v>
      </c>
      <c r="R1241" s="20"/>
    </row>
    <row r="1242" spans="1:18" ht="13.2" hidden="1" outlineLevel="1" x14ac:dyDescent="0.25">
      <c r="A1242" s="1"/>
      <c r="B1242" s="39" t="str">
        <f ca="1">IFERROR(__xludf.DUMMYFUNCTION("""COMPUTED_VALUE"""),"Gas natural seco")</f>
        <v>Gas natural seco</v>
      </c>
      <c r="C1242" s="22">
        <f ca="1">IFERROR(__xludf.DUMMYFUNCTION("""COMPUTED_VALUE"""),7.19094897506912)</f>
        <v>7.1909489750691202</v>
      </c>
      <c r="D1242" s="23">
        <f ca="1">IFERROR(__xludf.DUMMYFUNCTION("""COMPUTED_VALUE"""),5.46410668713251)</f>
        <v>5.4641066871325101</v>
      </c>
      <c r="E1242" s="23">
        <f ca="1">IFERROR(__xludf.DUMMYFUNCTION("""COMPUTED_VALUE"""),5.29340847996868)</f>
        <v>5.2934084799686802</v>
      </c>
      <c r="F1242" s="23">
        <f ca="1">IFERROR(__xludf.DUMMYFUNCTION("""COMPUTED_VALUE"""),7.4416885864515)</f>
        <v>7.4416885864514999</v>
      </c>
      <c r="G1242" s="23">
        <f ca="1">IFERROR(__xludf.DUMMYFUNCTION("""COMPUTED_VALUE"""),8.54603169340936)</f>
        <v>8.5460316934093594</v>
      </c>
      <c r="H1242" s="23">
        <f ca="1">IFERROR(__xludf.DUMMYFUNCTION("""COMPUTED_VALUE"""),9.0256317570898)</f>
        <v>9.0256317570897995</v>
      </c>
      <c r="I1242" s="23">
        <f ca="1">IFERROR(__xludf.DUMMYFUNCTION("""COMPUTED_VALUE"""),9.06013981697248)</f>
        <v>9.0601398169724803</v>
      </c>
      <c r="J1242" s="23">
        <f ca="1">IFERROR(__xludf.DUMMYFUNCTION("""COMPUTED_VALUE"""),8.41524255618641)</f>
        <v>8.4152425561864099</v>
      </c>
      <c r="K1242" s="23">
        <f ca="1">IFERROR(__xludf.DUMMYFUNCTION("""COMPUTED_VALUE"""),10.1755904453441)</f>
        <v>10.175590445344101</v>
      </c>
      <c r="L1242" s="23">
        <f ca="1">IFERROR(__xludf.DUMMYFUNCTION("""COMPUTED_VALUE"""),10.1480620357352)</f>
        <v>10.148062035735199</v>
      </c>
      <c r="M1242" s="23">
        <f ca="1">IFERROR(__xludf.DUMMYFUNCTION("""COMPUTED_VALUE"""),6.6533522929206)</f>
        <v>6.6533522929205997</v>
      </c>
      <c r="N1242" s="23">
        <f ca="1">IFERROR(__xludf.DUMMYFUNCTION("""COMPUTED_VALUE"""),10.9066209605096)</f>
        <v>10.906620960509599</v>
      </c>
      <c r="O1242" s="23">
        <f ca="1">IFERROR(__xludf.DUMMYFUNCTION("""COMPUTED_VALUE"""),12.6259857369313)</f>
        <v>12.6259857369313</v>
      </c>
      <c r="P1242" s="23">
        <f ca="1">IFERROR(__xludf.DUMMYFUNCTION("""COMPUTED_VALUE"""),12.7046042678901)</f>
        <v>12.704604267890099</v>
      </c>
      <c r="Q1242" s="24">
        <f ca="1">IFERROR(__xludf.DUMMYFUNCTION("""COMPUTED_VALUE"""),13.3936293662004)</f>
        <v>13.3936293662004</v>
      </c>
      <c r="R1242" s="20"/>
    </row>
    <row r="1243" spans="1:18" ht="13.2" hidden="1" outlineLevel="1" x14ac:dyDescent="0.25">
      <c r="A1243" s="1"/>
      <c r="B1243" s="40" t="str">
        <f ca="1">IFERROR(__xludf.DUMMYFUNCTION("""COMPUTED_VALUE"""),"Energía eléctrica")</f>
        <v>Energía eléctrica</v>
      </c>
      <c r="C1243" s="26">
        <f ca="1">IFERROR(__xludf.DUMMYFUNCTION("""COMPUTED_VALUE"""),1.56928616996167)</f>
        <v>1.56928616996167</v>
      </c>
      <c r="D1243" s="27">
        <f ca="1">IFERROR(__xludf.DUMMYFUNCTION("""COMPUTED_VALUE"""),1.24302552231253)</f>
        <v>1.2430255223125299</v>
      </c>
      <c r="E1243" s="27">
        <f ca="1">IFERROR(__xludf.DUMMYFUNCTION("""COMPUTED_VALUE"""),0.937420175892966)</f>
        <v>0.937420175892966</v>
      </c>
      <c r="F1243" s="27">
        <f ca="1">IFERROR(__xludf.DUMMYFUNCTION("""COMPUTED_VALUE"""),1.57065728159606)</f>
        <v>1.57065728159606</v>
      </c>
      <c r="G1243" s="27">
        <f ca="1">IFERROR(__xludf.DUMMYFUNCTION("""COMPUTED_VALUE"""),1.46276029892083)</f>
        <v>1.4627602989208299</v>
      </c>
      <c r="H1243" s="27">
        <f ca="1">IFERROR(__xludf.DUMMYFUNCTION("""COMPUTED_VALUE"""),1.58575657097189)</f>
        <v>1.5857565709718899</v>
      </c>
      <c r="I1243" s="27">
        <f ca="1">IFERROR(__xludf.DUMMYFUNCTION("""COMPUTED_VALUE"""),1.51452934028554)</f>
        <v>1.51452934028554</v>
      </c>
      <c r="J1243" s="27">
        <f ca="1">IFERROR(__xludf.DUMMYFUNCTION("""COMPUTED_VALUE"""),1.3493325584744)</f>
        <v>1.3493325584744</v>
      </c>
      <c r="K1243" s="27">
        <f ca="1">IFERROR(__xludf.DUMMYFUNCTION("""COMPUTED_VALUE"""),1.58256129210127)</f>
        <v>1.5825612921012699</v>
      </c>
      <c r="L1243" s="27">
        <f ca="1">IFERROR(__xludf.DUMMYFUNCTION("""COMPUTED_VALUE"""),1.52300659473774)</f>
        <v>1.52300659473774</v>
      </c>
      <c r="M1243" s="27">
        <f ca="1">IFERROR(__xludf.DUMMYFUNCTION("""COMPUTED_VALUE"""),0.899550949305137)</f>
        <v>0.89955094930513702</v>
      </c>
      <c r="N1243" s="27">
        <f ca="1">IFERROR(__xludf.DUMMYFUNCTION("""COMPUTED_VALUE"""),2.20404296115581)</f>
        <v>2.2040429611558099</v>
      </c>
      <c r="O1243" s="27">
        <f ca="1">IFERROR(__xludf.DUMMYFUNCTION("""COMPUTED_VALUE"""),0.15681052928969)</f>
        <v>0.15681052928969</v>
      </c>
      <c r="P1243" s="27">
        <f ca="1">IFERROR(__xludf.DUMMYFUNCTION("""COMPUTED_VALUE"""),2.33909610489185)</f>
        <v>2.3390961048918499</v>
      </c>
      <c r="Q1243" s="28">
        <f ca="1">IFERROR(__xludf.DUMMYFUNCTION("""COMPUTED_VALUE"""),1.9295320804693)</f>
        <v>1.9295320804692999</v>
      </c>
      <c r="R1243" s="20"/>
    </row>
    <row r="1244" spans="1:18" ht="13.2" collapsed="1" x14ac:dyDescent="0.25">
      <c r="A1244" s="1"/>
      <c r="B1244" s="31" t="str">
        <f ca="1">IFERROR(__xludf.DUMMYFUNCTION("""COMPUTED_VALUE"""),"314	Fabricación de productos textiles, excepto prendas de vestir")</f>
        <v>314	Fabricación de productos textiles, excepto prendas de vestir</v>
      </c>
      <c r="C1244" s="41"/>
      <c r="D1244" s="42"/>
      <c r="E1244" s="41"/>
      <c r="F1244" s="41"/>
      <c r="G1244" s="43"/>
      <c r="H1244" s="44"/>
      <c r="I1244" s="45"/>
      <c r="J1244" s="45"/>
      <c r="K1244" s="45"/>
      <c r="L1244" s="45"/>
      <c r="M1244" s="45"/>
      <c r="N1244" s="45"/>
      <c r="O1244" s="45"/>
      <c r="P1244" s="45"/>
      <c r="Q1244" s="45"/>
      <c r="R1244" s="10"/>
    </row>
    <row r="1245" spans="1:18" ht="13.2" hidden="1" outlineLevel="1" x14ac:dyDescent="0.25">
      <c r="A1245" s="1"/>
      <c r="B1245" s="46"/>
      <c r="C1245" s="35">
        <f ca="1">IFERROR(__xludf.DUMMYFUNCTION("""COMPUTED_VALUE"""),2010)</f>
        <v>2010</v>
      </c>
      <c r="D1245" s="36">
        <f ca="1">IFERROR(__xludf.DUMMYFUNCTION("""COMPUTED_VALUE"""),2011)</f>
        <v>2011</v>
      </c>
      <c r="E1245" s="36">
        <f ca="1">IFERROR(__xludf.DUMMYFUNCTION("""COMPUTED_VALUE"""),2012)</f>
        <v>2012</v>
      </c>
      <c r="F1245" s="36">
        <f ca="1">IFERROR(__xludf.DUMMYFUNCTION("""COMPUTED_VALUE"""),2013)</f>
        <v>2013</v>
      </c>
      <c r="G1245" s="36">
        <f ca="1">IFERROR(__xludf.DUMMYFUNCTION("""COMPUTED_VALUE"""),2014)</f>
        <v>2014</v>
      </c>
      <c r="H1245" s="36">
        <f ca="1">IFERROR(__xludf.DUMMYFUNCTION("""COMPUTED_VALUE"""),2015)</f>
        <v>2015</v>
      </c>
      <c r="I1245" s="36">
        <f ca="1">IFERROR(__xludf.DUMMYFUNCTION("""COMPUTED_VALUE"""),2016)</f>
        <v>2016</v>
      </c>
      <c r="J1245" s="36">
        <f ca="1">IFERROR(__xludf.DUMMYFUNCTION("""COMPUTED_VALUE"""),2017)</f>
        <v>2017</v>
      </c>
      <c r="K1245" s="36">
        <f ca="1">IFERROR(__xludf.DUMMYFUNCTION("""COMPUTED_VALUE"""),2018)</f>
        <v>2018</v>
      </c>
      <c r="L1245" s="36">
        <f ca="1">IFERROR(__xludf.DUMMYFUNCTION("""COMPUTED_VALUE"""),2019)</f>
        <v>2019</v>
      </c>
      <c r="M1245" s="36">
        <f ca="1">IFERROR(__xludf.DUMMYFUNCTION("""COMPUTED_VALUE"""),2020)</f>
        <v>2020</v>
      </c>
      <c r="N1245" s="36">
        <f ca="1">IFERROR(__xludf.DUMMYFUNCTION("""COMPUTED_VALUE"""),2021)</f>
        <v>2021</v>
      </c>
      <c r="O1245" s="36">
        <f ca="1">IFERROR(__xludf.DUMMYFUNCTION("""COMPUTED_VALUE"""),2022)</f>
        <v>2022</v>
      </c>
      <c r="P1245" s="36">
        <f ca="1">IFERROR(__xludf.DUMMYFUNCTION("""COMPUTED_VALUE"""),2023)</f>
        <v>2023</v>
      </c>
      <c r="Q1245" s="37">
        <f ca="1">IFERROR(__xludf.DUMMYFUNCTION("""COMPUTED_VALUE"""),2024)</f>
        <v>2024</v>
      </c>
      <c r="R1245" s="15"/>
    </row>
    <row r="1246" spans="1:18" ht="13.2" hidden="1" outlineLevel="1" x14ac:dyDescent="0.25">
      <c r="A1246" s="1"/>
      <c r="B1246" s="38" t="str">
        <f ca="1">IFERROR(__xludf.DUMMYFUNCTION("""COMPUTED_VALUE"""),"Carbón mineral")</f>
        <v>Carbón mineral</v>
      </c>
      <c r="C1246" s="17">
        <f ca="1">IFERROR(__xludf.DUMMYFUNCTION("""COMPUTED_VALUE"""),0)</f>
        <v>0</v>
      </c>
      <c r="D1246" s="18">
        <f ca="1">IFERROR(__xludf.DUMMYFUNCTION("""COMPUTED_VALUE"""),0)</f>
        <v>0</v>
      </c>
      <c r="E1246" s="18">
        <f ca="1">IFERROR(__xludf.DUMMYFUNCTION("""COMPUTED_VALUE"""),0)</f>
        <v>0</v>
      </c>
      <c r="F1246" s="18">
        <f ca="1">IFERROR(__xludf.DUMMYFUNCTION("""COMPUTED_VALUE"""),0)</f>
        <v>0</v>
      </c>
      <c r="G1246" s="18">
        <f ca="1">IFERROR(__xludf.DUMMYFUNCTION("""COMPUTED_VALUE"""),0)</f>
        <v>0</v>
      </c>
      <c r="H1246" s="18">
        <f ca="1">IFERROR(__xludf.DUMMYFUNCTION("""COMPUTED_VALUE"""),0)</f>
        <v>0</v>
      </c>
      <c r="I1246" s="18">
        <f ca="1">IFERROR(__xludf.DUMMYFUNCTION("""COMPUTED_VALUE"""),0)</f>
        <v>0</v>
      </c>
      <c r="J1246" s="18">
        <f ca="1">IFERROR(__xludf.DUMMYFUNCTION("""COMPUTED_VALUE"""),0)</f>
        <v>0</v>
      </c>
      <c r="K1246" s="18">
        <f ca="1">IFERROR(__xludf.DUMMYFUNCTION("""COMPUTED_VALUE"""),0)</f>
        <v>0</v>
      </c>
      <c r="L1246" s="18">
        <f ca="1">IFERROR(__xludf.DUMMYFUNCTION("""COMPUTED_VALUE"""),0)</f>
        <v>0</v>
      </c>
      <c r="M1246" s="18">
        <f ca="1">IFERROR(__xludf.DUMMYFUNCTION("""COMPUTED_VALUE"""),0)</f>
        <v>0</v>
      </c>
      <c r="N1246" s="18">
        <f ca="1">IFERROR(__xludf.DUMMYFUNCTION("""COMPUTED_VALUE"""),0)</f>
        <v>0</v>
      </c>
      <c r="O1246" s="18">
        <f ca="1">IFERROR(__xludf.DUMMYFUNCTION("""COMPUTED_VALUE"""),0)</f>
        <v>0</v>
      </c>
      <c r="P1246" s="18">
        <f ca="1">IFERROR(__xludf.DUMMYFUNCTION("""COMPUTED_VALUE"""),0)</f>
        <v>0</v>
      </c>
      <c r="Q1246" s="19">
        <f ca="1">IFERROR(__xludf.DUMMYFUNCTION("""COMPUTED_VALUE"""),0)</f>
        <v>0</v>
      </c>
      <c r="R1246" s="20"/>
    </row>
    <row r="1247" spans="1:18" ht="13.2" hidden="1" outlineLevel="1" x14ac:dyDescent="0.25">
      <c r="A1247" s="1"/>
      <c r="B1247" s="39" t="str">
        <f ca="1">IFERROR(__xludf.DUMMYFUNCTION("""COMPUTED_VALUE"""),"Petróleo crudo")</f>
        <v>Petróleo crudo</v>
      </c>
      <c r="C1247" s="22">
        <f ca="1">IFERROR(__xludf.DUMMYFUNCTION("""COMPUTED_VALUE"""),0)</f>
        <v>0</v>
      </c>
      <c r="D1247" s="23">
        <f ca="1">IFERROR(__xludf.DUMMYFUNCTION("""COMPUTED_VALUE"""),0)</f>
        <v>0</v>
      </c>
      <c r="E1247" s="23">
        <f ca="1">IFERROR(__xludf.DUMMYFUNCTION("""COMPUTED_VALUE"""),0)</f>
        <v>0</v>
      </c>
      <c r="F1247" s="23">
        <f ca="1">IFERROR(__xludf.DUMMYFUNCTION("""COMPUTED_VALUE"""),0)</f>
        <v>0</v>
      </c>
      <c r="G1247" s="23">
        <f ca="1">IFERROR(__xludf.DUMMYFUNCTION("""COMPUTED_VALUE"""),0)</f>
        <v>0</v>
      </c>
      <c r="H1247" s="23">
        <f ca="1">IFERROR(__xludf.DUMMYFUNCTION("""COMPUTED_VALUE"""),0)</f>
        <v>0</v>
      </c>
      <c r="I1247" s="23">
        <f ca="1">IFERROR(__xludf.DUMMYFUNCTION("""COMPUTED_VALUE"""),0)</f>
        <v>0</v>
      </c>
      <c r="J1247" s="23">
        <f ca="1">IFERROR(__xludf.DUMMYFUNCTION("""COMPUTED_VALUE"""),0)</f>
        <v>0</v>
      </c>
      <c r="K1247" s="23">
        <f ca="1">IFERROR(__xludf.DUMMYFUNCTION("""COMPUTED_VALUE"""),0)</f>
        <v>0</v>
      </c>
      <c r="L1247" s="23">
        <f ca="1">IFERROR(__xludf.DUMMYFUNCTION("""COMPUTED_VALUE"""),0)</f>
        <v>0</v>
      </c>
      <c r="M1247" s="23">
        <f ca="1">IFERROR(__xludf.DUMMYFUNCTION("""COMPUTED_VALUE"""),0)</f>
        <v>0</v>
      </c>
      <c r="N1247" s="23">
        <f ca="1">IFERROR(__xludf.DUMMYFUNCTION("""COMPUTED_VALUE"""),0)</f>
        <v>0</v>
      </c>
      <c r="O1247" s="23">
        <f ca="1">IFERROR(__xludf.DUMMYFUNCTION("""COMPUTED_VALUE"""),0)</f>
        <v>0</v>
      </c>
      <c r="P1247" s="23">
        <f ca="1">IFERROR(__xludf.DUMMYFUNCTION("""COMPUTED_VALUE"""),0)</f>
        <v>0</v>
      </c>
      <c r="Q1247" s="24">
        <f ca="1">IFERROR(__xludf.DUMMYFUNCTION("""COMPUTED_VALUE"""),0)</f>
        <v>0</v>
      </c>
      <c r="R1247" s="20"/>
    </row>
    <row r="1248" spans="1:18" ht="13.2" hidden="1" outlineLevel="1" x14ac:dyDescent="0.25">
      <c r="A1248" s="1"/>
      <c r="B1248" s="39" t="str">
        <f ca="1">IFERROR(__xludf.DUMMYFUNCTION("""COMPUTED_VALUE"""),"Condensados")</f>
        <v>Condensados</v>
      </c>
      <c r="C1248" s="22">
        <f ca="1">IFERROR(__xludf.DUMMYFUNCTION("""COMPUTED_VALUE"""),0)</f>
        <v>0</v>
      </c>
      <c r="D1248" s="23">
        <f ca="1">IFERROR(__xludf.DUMMYFUNCTION("""COMPUTED_VALUE"""),0)</f>
        <v>0</v>
      </c>
      <c r="E1248" s="23">
        <f ca="1">IFERROR(__xludf.DUMMYFUNCTION("""COMPUTED_VALUE"""),0)</f>
        <v>0</v>
      </c>
      <c r="F1248" s="23">
        <f ca="1">IFERROR(__xludf.DUMMYFUNCTION("""COMPUTED_VALUE"""),0)</f>
        <v>0</v>
      </c>
      <c r="G1248" s="23">
        <f ca="1">IFERROR(__xludf.DUMMYFUNCTION("""COMPUTED_VALUE"""),0)</f>
        <v>0</v>
      </c>
      <c r="H1248" s="23">
        <f ca="1">IFERROR(__xludf.DUMMYFUNCTION("""COMPUTED_VALUE"""),0)</f>
        <v>0</v>
      </c>
      <c r="I1248" s="23">
        <f ca="1">IFERROR(__xludf.DUMMYFUNCTION("""COMPUTED_VALUE"""),0)</f>
        <v>0</v>
      </c>
      <c r="J1248" s="23">
        <f ca="1">IFERROR(__xludf.DUMMYFUNCTION("""COMPUTED_VALUE"""),0)</f>
        <v>0</v>
      </c>
      <c r="K1248" s="23">
        <f ca="1">IFERROR(__xludf.DUMMYFUNCTION("""COMPUTED_VALUE"""),0)</f>
        <v>0</v>
      </c>
      <c r="L1248" s="23">
        <f ca="1">IFERROR(__xludf.DUMMYFUNCTION("""COMPUTED_VALUE"""),0)</f>
        <v>0</v>
      </c>
      <c r="M1248" s="23">
        <f ca="1">IFERROR(__xludf.DUMMYFUNCTION("""COMPUTED_VALUE"""),0)</f>
        <v>0</v>
      </c>
      <c r="N1248" s="23">
        <f ca="1">IFERROR(__xludf.DUMMYFUNCTION("""COMPUTED_VALUE"""),0)</f>
        <v>0</v>
      </c>
      <c r="O1248" s="23">
        <f ca="1">IFERROR(__xludf.DUMMYFUNCTION("""COMPUTED_VALUE"""),0)</f>
        <v>0</v>
      </c>
      <c r="P1248" s="23">
        <f ca="1">IFERROR(__xludf.DUMMYFUNCTION("""COMPUTED_VALUE"""),0)</f>
        <v>0</v>
      </c>
      <c r="Q1248" s="24">
        <f ca="1">IFERROR(__xludf.DUMMYFUNCTION("""COMPUTED_VALUE"""),0)</f>
        <v>0</v>
      </c>
      <c r="R1248" s="20"/>
    </row>
    <row r="1249" spans="1:18" ht="13.2" hidden="1" outlineLevel="1" x14ac:dyDescent="0.25">
      <c r="A1249" s="1"/>
      <c r="B1249" s="39" t="str">
        <f ca="1">IFERROR(__xludf.DUMMYFUNCTION("""COMPUTED_VALUE"""),"Gas natural")</f>
        <v>Gas natural</v>
      </c>
      <c r="C1249" s="22">
        <f ca="1">IFERROR(__xludf.DUMMYFUNCTION("""COMPUTED_VALUE"""),0)</f>
        <v>0</v>
      </c>
      <c r="D1249" s="23">
        <f ca="1">IFERROR(__xludf.DUMMYFUNCTION("""COMPUTED_VALUE"""),0)</f>
        <v>0</v>
      </c>
      <c r="E1249" s="23">
        <f ca="1">IFERROR(__xludf.DUMMYFUNCTION("""COMPUTED_VALUE"""),0)</f>
        <v>0</v>
      </c>
      <c r="F1249" s="23">
        <f ca="1">IFERROR(__xludf.DUMMYFUNCTION("""COMPUTED_VALUE"""),0)</f>
        <v>0</v>
      </c>
      <c r="G1249" s="23">
        <f ca="1">IFERROR(__xludf.DUMMYFUNCTION("""COMPUTED_VALUE"""),0)</f>
        <v>0</v>
      </c>
      <c r="H1249" s="23">
        <f ca="1">IFERROR(__xludf.DUMMYFUNCTION("""COMPUTED_VALUE"""),0)</f>
        <v>0</v>
      </c>
      <c r="I1249" s="23">
        <f ca="1">IFERROR(__xludf.DUMMYFUNCTION("""COMPUTED_VALUE"""),0)</f>
        <v>0</v>
      </c>
      <c r="J1249" s="23">
        <f ca="1">IFERROR(__xludf.DUMMYFUNCTION("""COMPUTED_VALUE"""),0)</f>
        <v>0</v>
      </c>
      <c r="K1249" s="23">
        <f ca="1">IFERROR(__xludf.DUMMYFUNCTION("""COMPUTED_VALUE"""),0)</f>
        <v>0</v>
      </c>
      <c r="L1249" s="23">
        <f ca="1">IFERROR(__xludf.DUMMYFUNCTION("""COMPUTED_VALUE"""),0)</f>
        <v>0</v>
      </c>
      <c r="M1249" s="23">
        <f ca="1">IFERROR(__xludf.DUMMYFUNCTION("""COMPUTED_VALUE"""),0)</f>
        <v>0</v>
      </c>
      <c r="N1249" s="23">
        <f ca="1">IFERROR(__xludf.DUMMYFUNCTION("""COMPUTED_VALUE"""),0)</f>
        <v>0</v>
      </c>
      <c r="O1249" s="23">
        <f ca="1">IFERROR(__xludf.DUMMYFUNCTION("""COMPUTED_VALUE"""),0)</f>
        <v>0</v>
      </c>
      <c r="P1249" s="23">
        <f ca="1">IFERROR(__xludf.DUMMYFUNCTION("""COMPUTED_VALUE"""),0)</f>
        <v>0</v>
      </c>
      <c r="Q1249" s="24">
        <f ca="1">IFERROR(__xludf.DUMMYFUNCTION("""COMPUTED_VALUE"""),0)</f>
        <v>0</v>
      </c>
      <c r="R1249" s="20"/>
    </row>
    <row r="1250" spans="1:18" ht="13.2" hidden="1" outlineLevel="1" x14ac:dyDescent="0.25">
      <c r="A1250" s="1"/>
      <c r="B1250" s="39" t="str">
        <f ca="1">IFERROR(__xludf.DUMMYFUNCTION("""COMPUTED_VALUE"""),"Energía Nuclear")</f>
        <v>Energía Nuclear</v>
      </c>
      <c r="C1250" s="22">
        <f ca="1">IFERROR(__xludf.DUMMYFUNCTION("""COMPUTED_VALUE"""),0)</f>
        <v>0</v>
      </c>
      <c r="D1250" s="23">
        <f ca="1">IFERROR(__xludf.DUMMYFUNCTION("""COMPUTED_VALUE"""),0)</f>
        <v>0</v>
      </c>
      <c r="E1250" s="23">
        <f ca="1">IFERROR(__xludf.DUMMYFUNCTION("""COMPUTED_VALUE"""),0)</f>
        <v>0</v>
      </c>
      <c r="F1250" s="23">
        <f ca="1">IFERROR(__xludf.DUMMYFUNCTION("""COMPUTED_VALUE"""),0)</f>
        <v>0</v>
      </c>
      <c r="G1250" s="23">
        <f ca="1">IFERROR(__xludf.DUMMYFUNCTION("""COMPUTED_VALUE"""),0)</f>
        <v>0</v>
      </c>
      <c r="H1250" s="23">
        <f ca="1">IFERROR(__xludf.DUMMYFUNCTION("""COMPUTED_VALUE"""),0)</f>
        <v>0</v>
      </c>
      <c r="I1250" s="23">
        <f ca="1">IFERROR(__xludf.DUMMYFUNCTION("""COMPUTED_VALUE"""),0)</f>
        <v>0</v>
      </c>
      <c r="J1250" s="23">
        <f ca="1">IFERROR(__xludf.DUMMYFUNCTION("""COMPUTED_VALUE"""),0)</f>
        <v>0</v>
      </c>
      <c r="K1250" s="23">
        <f ca="1">IFERROR(__xludf.DUMMYFUNCTION("""COMPUTED_VALUE"""),0)</f>
        <v>0</v>
      </c>
      <c r="L1250" s="23">
        <f ca="1">IFERROR(__xludf.DUMMYFUNCTION("""COMPUTED_VALUE"""),0)</f>
        <v>0</v>
      </c>
      <c r="M1250" s="23">
        <f ca="1">IFERROR(__xludf.DUMMYFUNCTION("""COMPUTED_VALUE"""),0)</f>
        <v>0</v>
      </c>
      <c r="N1250" s="23">
        <f ca="1">IFERROR(__xludf.DUMMYFUNCTION("""COMPUTED_VALUE"""),0)</f>
        <v>0</v>
      </c>
      <c r="O1250" s="23">
        <f ca="1">IFERROR(__xludf.DUMMYFUNCTION("""COMPUTED_VALUE"""),0)</f>
        <v>0</v>
      </c>
      <c r="P1250" s="23">
        <f ca="1">IFERROR(__xludf.DUMMYFUNCTION("""COMPUTED_VALUE"""),0)</f>
        <v>0</v>
      </c>
      <c r="Q1250" s="24">
        <f ca="1">IFERROR(__xludf.DUMMYFUNCTION("""COMPUTED_VALUE"""),0)</f>
        <v>0</v>
      </c>
      <c r="R1250" s="20"/>
    </row>
    <row r="1251" spans="1:18" ht="13.2" hidden="1" outlineLevel="1" x14ac:dyDescent="0.25">
      <c r="A1251" s="1"/>
      <c r="B1251" s="39" t="str">
        <f ca="1">IFERROR(__xludf.DUMMYFUNCTION("""COMPUTED_VALUE"""),"Energia Hidraúlica")</f>
        <v>Energia Hidraúlica</v>
      </c>
      <c r="C1251" s="22">
        <f ca="1">IFERROR(__xludf.DUMMYFUNCTION("""COMPUTED_VALUE"""),0)</f>
        <v>0</v>
      </c>
      <c r="D1251" s="23">
        <f ca="1">IFERROR(__xludf.DUMMYFUNCTION("""COMPUTED_VALUE"""),0)</f>
        <v>0</v>
      </c>
      <c r="E1251" s="23">
        <f ca="1">IFERROR(__xludf.DUMMYFUNCTION("""COMPUTED_VALUE"""),0)</f>
        <v>0</v>
      </c>
      <c r="F1251" s="23">
        <f ca="1">IFERROR(__xludf.DUMMYFUNCTION("""COMPUTED_VALUE"""),0)</f>
        <v>0</v>
      </c>
      <c r="G1251" s="23">
        <f ca="1">IFERROR(__xludf.DUMMYFUNCTION("""COMPUTED_VALUE"""),0)</f>
        <v>0</v>
      </c>
      <c r="H1251" s="23">
        <f ca="1">IFERROR(__xludf.DUMMYFUNCTION("""COMPUTED_VALUE"""),0)</f>
        <v>0</v>
      </c>
      <c r="I1251" s="23">
        <f ca="1">IFERROR(__xludf.DUMMYFUNCTION("""COMPUTED_VALUE"""),0)</f>
        <v>0</v>
      </c>
      <c r="J1251" s="23">
        <f ca="1">IFERROR(__xludf.DUMMYFUNCTION("""COMPUTED_VALUE"""),0)</f>
        <v>0</v>
      </c>
      <c r="K1251" s="23">
        <f ca="1">IFERROR(__xludf.DUMMYFUNCTION("""COMPUTED_VALUE"""),0)</f>
        <v>0</v>
      </c>
      <c r="L1251" s="23">
        <f ca="1">IFERROR(__xludf.DUMMYFUNCTION("""COMPUTED_VALUE"""),0)</f>
        <v>0</v>
      </c>
      <c r="M1251" s="23">
        <f ca="1">IFERROR(__xludf.DUMMYFUNCTION("""COMPUTED_VALUE"""),0)</f>
        <v>0</v>
      </c>
      <c r="N1251" s="23">
        <f ca="1">IFERROR(__xludf.DUMMYFUNCTION("""COMPUTED_VALUE"""),0)</f>
        <v>0</v>
      </c>
      <c r="O1251" s="23">
        <f ca="1">IFERROR(__xludf.DUMMYFUNCTION("""COMPUTED_VALUE"""),0)</f>
        <v>0</v>
      </c>
      <c r="P1251" s="23">
        <f ca="1">IFERROR(__xludf.DUMMYFUNCTION("""COMPUTED_VALUE"""),0)</f>
        <v>0</v>
      </c>
      <c r="Q1251" s="24">
        <f ca="1">IFERROR(__xludf.DUMMYFUNCTION("""COMPUTED_VALUE"""),0)</f>
        <v>0</v>
      </c>
      <c r="R1251" s="20"/>
    </row>
    <row r="1252" spans="1:18" ht="13.2" hidden="1" outlineLevel="1" x14ac:dyDescent="0.25">
      <c r="A1252" s="1"/>
      <c r="B1252" s="39" t="str">
        <f ca="1">IFERROR(__xludf.DUMMYFUNCTION("""COMPUTED_VALUE"""),"Geoenergía")</f>
        <v>Geoenergía</v>
      </c>
      <c r="C1252" s="22">
        <f ca="1">IFERROR(__xludf.DUMMYFUNCTION("""COMPUTED_VALUE"""),0)</f>
        <v>0</v>
      </c>
      <c r="D1252" s="23">
        <f ca="1">IFERROR(__xludf.DUMMYFUNCTION("""COMPUTED_VALUE"""),0)</f>
        <v>0</v>
      </c>
      <c r="E1252" s="23">
        <f ca="1">IFERROR(__xludf.DUMMYFUNCTION("""COMPUTED_VALUE"""),0)</f>
        <v>0</v>
      </c>
      <c r="F1252" s="23">
        <f ca="1">IFERROR(__xludf.DUMMYFUNCTION("""COMPUTED_VALUE"""),0)</f>
        <v>0</v>
      </c>
      <c r="G1252" s="23">
        <f ca="1">IFERROR(__xludf.DUMMYFUNCTION("""COMPUTED_VALUE"""),0)</f>
        <v>0</v>
      </c>
      <c r="H1252" s="23">
        <f ca="1">IFERROR(__xludf.DUMMYFUNCTION("""COMPUTED_VALUE"""),0)</f>
        <v>0</v>
      </c>
      <c r="I1252" s="23">
        <f ca="1">IFERROR(__xludf.DUMMYFUNCTION("""COMPUTED_VALUE"""),0)</f>
        <v>0</v>
      </c>
      <c r="J1252" s="23">
        <f ca="1">IFERROR(__xludf.DUMMYFUNCTION("""COMPUTED_VALUE"""),0)</f>
        <v>0</v>
      </c>
      <c r="K1252" s="23">
        <f ca="1">IFERROR(__xludf.DUMMYFUNCTION("""COMPUTED_VALUE"""),0)</f>
        <v>0</v>
      </c>
      <c r="L1252" s="23">
        <f ca="1">IFERROR(__xludf.DUMMYFUNCTION("""COMPUTED_VALUE"""),0)</f>
        <v>0</v>
      </c>
      <c r="M1252" s="23">
        <f ca="1">IFERROR(__xludf.DUMMYFUNCTION("""COMPUTED_VALUE"""),0)</f>
        <v>0</v>
      </c>
      <c r="N1252" s="23">
        <f ca="1">IFERROR(__xludf.DUMMYFUNCTION("""COMPUTED_VALUE"""),0)</f>
        <v>0</v>
      </c>
      <c r="O1252" s="23">
        <f ca="1">IFERROR(__xludf.DUMMYFUNCTION("""COMPUTED_VALUE"""),0)</f>
        <v>0</v>
      </c>
      <c r="P1252" s="23">
        <f ca="1">IFERROR(__xludf.DUMMYFUNCTION("""COMPUTED_VALUE"""),0)</f>
        <v>0</v>
      </c>
      <c r="Q1252" s="24">
        <f ca="1">IFERROR(__xludf.DUMMYFUNCTION("""COMPUTED_VALUE"""),0)</f>
        <v>0</v>
      </c>
      <c r="R1252" s="20"/>
    </row>
    <row r="1253" spans="1:18" ht="13.2" hidden="1" outlineLevel="1" x14ac:dyDescent="0.25">
      <c r="A1253" s="1"/>
      <c r="B1253" s="39" t="str">
        <f ca="1">IFERROR(__xludf.DUMMYFUNCTION("""COMPUTED_VALUE"""),"Energía solar")</f>
        <v>Energía solar</v>
      </c>
      <c r="C1253" s="22">
        <f ca="1">IFERROR(__xludf.DUMMYFUNCTION("""COMPUTED_VALUE"""),0)</f>
        <v>0</v>
      </c>
      <c r="D1253" s="23">
        <f ca="1">IFERROR(__xludf.DUMMYFUNCTION("""COMPUTED_VALUE"""),0)</f>
        <v>0</v>
      </c>
      <c r="E1253" s="23">
        <f ca="1">IFERROR(__xludf.DUMMYFUNCTION("""COMPUTED_VALUE"""),0)</f>
        <v>0</v>
      </c>
      <c r="F1253" s="23">
        <f ca="1">IFERROR(__xludf.DUMMYFUNCTION("""COMPUTED_VALUE"""),0)</f>
        <v>0</v>
      </c>
      <c r="G1253" s="23">
        <f ca="1">IFERROR(__xludf.DUMMYFUNCTION("""COMPUTED_VALUE"""),0)</f>
        <v>0</v>
      </c>
      <c r="H1253" s="23">
        <f ca="1">IFERROR(__xludf.DUMMYFUNCTION("""COMPUTED_VALUE"""),0)</f>
        <v>0</v>
      </c>
      <c r="I1253" s="23">
        <f ca="1">IFERROR(__xludf.DUMMYFUNCTION("""COMPUTED_VALUE"""),0)</f>
        <v>0</v>
      </c>
      <c r="J1253" s="23">
        <f ca="1">IFERROR(__xludf.DUMMYFUNCTION("""COMPUTED_VALUE"""),0)</f>
        <v>0</v>
      </c>
      <c r="K1253" s="23">
        <f ca="1">IFERROR(__xludf.DUMMYFUNCTION("""COMPUTED_VALUE"""),0)</f>
        <v>0</v>
      </c>
      <c r="L1253" s="23">
        <f ca="1">IFERROR(__xludf.DUMMYFUNCTION("""COMPUTED_VALUE"""),0)</f>
        <v>0</v>
      </c>
      <c r="M1253" s="23">
        <f ca="1">IFERROR(__xludf.DUMMYFUNCTION("""COMPUTED_VALUE"""),0)</f>
        <v>0</v>
      </c>
      <c r="N1253" s="23">
        <f ca="1">IFERROR(__xludf.DUMMYFUNCTION("""COMPUTED_VALUE"""),0)</f>
        <v>0</v>
      </c>
      <c r="O1253" s="23">
        <f ca="1">IFERROR(__xludf.DUMMYFUNCTION("""COMPUTED_VALUE"""),0)</f>
        <v>0</v>
      </c>
      <c r="P1253" s="23">
        <f ca="1">IFERROR(__xludf.DUMMYFUNCTION("""COMPUTED_VALUE"""),0)</f>
        <v>0</v>
      </c>
      <c r="Q1253" s="24">
        <f ca="1">IFERROR(__xludf.DUMMYFUNCTION("""COMPUTED_VALUE"""),0)</f>
        <v>0</v>
      </c>
      <c r="R1253" s="20"/>
    </row>
    <row r="1254" spans="1:18" ht="13.2" hidden="1" outlineLevel="1" x14ac:dyDescent="0.25">
      <c r="A1254" s="1"/>
      <c r="B1254" s="39" t="str">
        <f ca="1">IFERROR(__xludf.DUMMYFUNCTION("""COMPUTED_VALUE"""),"Energía eólica")</f>
        <v>Energía eólica</v>
      </c>
      <c r="C1254" s="22">
        <f ca="1">IFERROR(__xludf.DUMMYFUNCTION("""COMPUTED_VALUE"""),0)</f>
        <v>0</v>
      </c>
      <c r="D1254" s="23">
        <f ca="1">IFERROR(__xludf.DUMMYFUNCTION("""COMPUTED_VALUE"""),0)</f>
        <v>0</v>
      </c>
      <c r="E1254" s="23">
        <f ca="1">IFERROR(__xludf.DUMMYFUNCTION("""COMPUTED_VALUE"""),0)</f>
        <v>0</v>
      </c>
      <c r="F1254" s="23">
        <f ca="1">IFERROR(__xludf.DUMMYFUNCTION("""COMPUTED_VALUE"""),0)</f>
        <v>0</v>
      </c>
      <c r="G1254" s="23">
        <f ca="1">IFERROR(__xludf.DUMMYFUNCTION("""COMPUTED_VALUE"""),0)</f>
        <v>0</v>
      </c>
      <c r="H1254" s="23">
        <f ca="1">IFERROR(__xludf.DUMMYFUNCTION("""COMPUTED_VALUE"""),0)</f>
        <v>0</v>
      </c>
      <c r="I1254" s="23">
        <f ca="1">IFERROR(__xludf.DUMMYFUNCTION("""COMPUTED_VALUE"""),0)</f>
        <v>0</v>
      </c>
      <c r="J1254" s="23">
        <f ca="1">IFERROR(__xludf.DUMMYFUNCTION("""COMPUTED_VALUE"""),0)</f>
        <v>0</v>
      </c>
      <c r="K1254" s="23">
        <f ca="1">IFERROR(__xludf.DUMMYFUNCTION("""COMPUTED_VALUE"""),0)</f>
        <v>0</v>
      </c>
      <c r="L1254" s="23">
        <f ca="1">IFERROR(__xludf.DUMMYFUNCTION("""COMPUTED_VALUE"""),0)</f>
        <v>0</v>
      </c>
      <c r="M1254" s="23">
        <f ca="1">IFERROR(__xludf.DUMMYFUNCTION("""COMPUTED_VALUE"""),0)</f>
        <v>0</v>
      </c>
      <c r="N1254" s="23">
        <f ca="1">IFERROR(__xludf.DUMMYFUNCTION("""COMPUTED_VALUE"""),0)</f>
        <v>0</v>
      </c>
      <c r="O1254" s="23">
        <f ca="1">IFERROR(__xludf.DUMMYFUNCTION("""COMPUTED_VALUE"""),0)</f>
        <v>0</v>
      </c>
      <c r="P1254" s="23">
        <f ca="1">IFERROR(__xludf.DUMMYFUNCTION("""COMPUTED_VALUE"""),0)</f>
        <v>0</v>
      </c>
      <c r="Q1254" s="24">
        <f ca="1">IFERROR(__xludf.DUMMYFUNCTION("""COMPUTED_VALUE"""),0)</f>
        <v>0</v>
      </c>
      <c r="R1254" s="20"/>
    </row>
    <row r="1255" spans="1:18" ht="13.2" hidden="1" outlineLevel="1" x14ac:dyDescent="0.25">
      <c r="A1255" s="1"/>
      <c r="B1255" s="39" t="str">
        <f ca="1">IFERROR(__xludf.DUMMYFUNCTION("""COMPUTED_VALUE"""),"Bagazo de caña")</f>
        <v>Bagazo de caña</v>
      </c>
      <c r="C1255" s="22">
        <f ca="1">IFERROR(__xludf.DUMMYFUNCTION("""COMPUTED_VALUE"""),0)</f>
        <v>0</v>
      </c>
      <c r="D1255" s="23">
        <f ca="1">IFERROR(__xludf.DUMMYFUNCTION("""COMPUTED_VALUE"""),0)</f>
        <v>0</v>
      </c>
      <c r="E1255" s="23">
        <f ca="1">IFERROR(__xludf.DUMMYFUNCTION("""COMPUTED_VALUE"""),0)</f>
        <v>0</v>
      </c>
      <c r="F1255" s="23">
        <f ca="1">IFERROR(__xludf.DUMMYFUNCTION("""COMPUTED_VALUE"""),0)</f>
        <v>0</v>
      </c>
      <c r="G1255" s="23">
        <f ca="1">IFERROR(__xludf.DUMMYFUNCTION("""COMPUTED_VALUE"""),0)</f>
        <v>0</v>
      </c>
      <c r="H1255" s="23">
        <f ca="1">IFERROR(__xludf.DUMMYFUNCTION("""COMPUTED_VALUE"""),0)</f>
        <v>0</v>
      </c>
      <c r="I1255" s="23">
        <f ca="1">IFERROR(__xludf.DUMMYFUNCTION("""COMPUTED_VALUE"""),0)</f>
        <v>0</v>
      </c>
      <c r="J1255" s="23">
        <f ca="1">IFERROR(__xludf.DUMMYFUNCTION("""COMPUTED_VALUE"""),0)</f>
        <v>0</v>
      </c>
      <c r="K1255" s="23">
        <f ca="1">IFERROR(__xludf.DUMMYFUNCTION("""COMPUTED_VALUE"""),0)</f>
        <v>0</v>
      </c>
      <c r="L1255" s="23">
        <f ca="1">IFERROR(__xludf.DUMMYFUNCTION("""COMPUTED_VALUE"""),0)</f>
        <v>0</v>
      </c>
      <c r="M1255" s="23">
        <f ca="1">IFERROR(__xludf.DUMMYFUNCTION("""COMPUTED_VALUE"""),0)</f>
        <v>0</v>
      </c>
      <c r="N1255" s="23">
        <f ca="1">IFERROR(__xludf.DUMMYFUNCTION("""COMPUTED_VALUE"""),0)</f>
        <v>0</v>
      </c>
      <c r="O1255" s="23">
        <f ca="1">IFERROR(__xludf.DUMMYFUNCTION("""COMPUTED_VALUE"""),0)</f>
        <v>0</v>
      </c>
      <c r="P1255" s="23">
        <f ca="1">IFERROR(__xludf.DUMMYFUNCTION("""COMPUTED_VALUE"""),0)</f>
        <v>0</v>
      </c>
      <c r="Q1255" s="24">
        <f ca="1">IFERROR(__xludf.DUMMYFUNCTION("""COMPUTED_VALUE"""),0)</f>
        <v>0</v>
      </c>
      <c r="R1255" s="20"/>
    </row>
    <row r="1256" spans="1:18" ht="13.2" hidden="1" outlineLevel="1" x14ac:dyDescent="0.25">
      <c r="A1256" s="1"/>
      <c r="B1256" s="39" t="str">
        <f ca="1">IFERROR(__xludf.DUMMYFUNCTION("""COMPUTED_VALUE"""),"Leña")</f>
        <v>Leña</v>
      </c>
      <c r="C1256" s="22">
        <f ca="1">IFERROR(__xludf.DUMMYFUNCTION("""COMPUTED_VALUE"""),0)</f>
        <v>0</v>
      </c>
      <c r="D1256" s="23">
        <f ca="1">IFERROR(__xludf.DUMMYFUNCTION("""COMPUTED_VALUE"""),0)</f>
        <v>0</v>
      </c>
      <c r="E1256" s="23">
        <f ca="1">IFERROR(__xludf.DUMMYFUNCTION("""COMPUTED_VALUE"""),0)</f>
        <v>0</v>
      </c>
      <c r="F1256" s="23">
        <f ca="1">IFERROR(__xludf.DUMMYFUNCTION("""COMPUTED_VALUE"""),0)</f>
        <v>0</v>
      </c>
      <c r="G1256" s="23">
        <f ca="1">IFERROR(__xludf.DUMMYFUNCTION("""COMPUTED_VALUE"""),0)</f>
        <v>0</v>
      </c>
      <c r="H1256" s="23">
        <f ca="1">IFERROR(__xludf.DUMMYFUNCTION("""COMPUTED_VALUE"""),0)</f>
        <v>0</v>
      </c>
      <c r="I1256" s="23">
        <f ca="1">IFERROR(__xludf.DUMMYFUNCTION("""COMPUTED_VALUE"""),0)</f>
        <v>0</v>
      </c>
      <c r="J1256" s="23">
        <f ca="1">IFERROR(__xludf.DUMMYFUNCTION("""COMPUTED_VALUE"""),0)</f>
        <v>0</v>
      </c>
      <c r="K1256" s="23">
        <f ca="1">IFERROR(__xludf.DUMMYFUNCTION("""COMPUTED_VALUE"""),0)</f>
        <v>0</v>
      </c>
      <c r="L1256" s="23">
        <f ca="1">IFERROR(__xludf.DUMMYFUNCTION("""COMPUTED_VALUE"""),0)</f>
        <v>0</v>
      </c>
      <c r="M1256" s="23">
        <f ca="1">IFERROR(__xludf.DUMMYFUNCTION("""COMPUTED_VALUE"""),0)</f>
        <v>0</v>
      </c>
      <c r="N1256" s="23">
        <f ca="1">IFERROR(__xludf.DUMMYFUNCTION("""COMPUTED_VALUE"""),0)</f>
        <v>0</v>
      </c>
      <c r="O1256" s="23">
        <f ca="1">IFERROR(__xludf.DUMMYFUNCTION("""COMPUTED_VALUE"""),0)</f>
        <v>0</v>
      </c>
      <c r="P1256" s="23">
        <f ca="1">IFERROR(__xludf.DUMMYFUNCTION("""COMPUTED_VALUE"""),0)</f>
        <v>0</v>
      </c>
      <c r="Q1256" s="24">
        <f ca="1">IFERROR(__xludf.DUMMYFUNCTION("""COMPUTED_VALUE"""),0)</f>
        <v>0</v>
      </c>
      <c r="R1256" s="20"/>
    </row>
    <row r="1257" spans="1:18" ht="13.2" hidden="1" outlineLevel="1" x14ac:dyDescent="0.25">
      <c r="A1257" s="1"/>
      <c r="B1257" s="39" t="str">
        <f ca="1">IFERROR(__xludf.DUMMYFUNCTION("""COMPUTED_VALUE"""),"Biogás")</f>
        <v>Biogás</v>
      </c>
      <c r="C1257" s="22">
        <f ca="1">IFERROR(__xludf.DUMMYFUNCTION("""COMPUTED_VALUE"""),0)</f>
        <v>0</v>
      </c>
      <c r="D1257" s="23">
        <f ca="1">IFERROR(__xludf.DUMMYFUNCTION("""COMPUTED_VALUE"""),0)</f>
        <v>0</v>
      </c>
      <c r="E1257" s="23">
        <f ca="1">IFERROR(__xludf.DUMMYFUNCTION("""COMPUTED_VALUE"""),0)</f>
        <v>0</v>
      </c>
      <c r="F1257" s="23">
        <f ca="1">IFERROR(__xludf.DUMMYFUNCTION("""COMPUTED_VALUE"""),0)</f>
        <v>0</v>
      </c>
      <c r="G1257" s="23">
        <f ca="1">IFERROR(__xludf.DUMMYFUNCTION("""COMPUTED_VALUE"""),0)</f>
        <v>0</v>
      </c>
      <c r="H1257" s="23">
        <f ca="1">IFERROR(__xludf.DUMMYFUNCTION("""COMPUTED_VALUE"""),0)</f>
        <v>0</v>
      </c>
      <c r="I1257" s="23">
        <f ca="1">IFERROR(__xludf.DUMMYFUNCTION("""COMPUTED_VALUE"""),0)</f>
        <v>0</v>
      </c>
      <c r="J1257" s="23">
        <f ca="1">IFERROR(__xludf.DUMMYFUNCTION("""COMPUTED_VALUE"""),0)</f>
        <v>0</v>
      </c>
      <c r="K1257" s="23">
        <f ca="1">IFERROR(__xludf.DUMMYFUNCTION("""COMPUTED_VALUE"""),0)</f>
        <v>0</v>
      </c>
      <c r="L1257" s="23">
        <f ca="1">IFERROR(__xludf.DUMMYFUNCTION("""COMPUTED_VALUE"""),0)</f>
        <v>0</v>
      </c>
      <c r="M1257" s="23">
        <f ca="1">IFERROR(__xludf.DUMMYFUNCTION("""COMPUTED_VALUE"""),0)</f>
        <v>0</v>
      </c>
      <c r="N1257" s="23">
        <f ca="1">IFERROR(__xludf.DUMMYFUNCTION("""COMPUTED_VALUE"""),0)</f>
        <v>0</v>
      </c>
      <c r="O1257" s="23">
        <f ca="1">IFERROR(__xludf.DUMMYFUNCTION("""COMPUTED_VALUE"""),0)</f>
        <v>0</v>
      </c>
      <c r="P1257" s="23">
        <f ca="1">IFERROR(__xludf.DUMMYFUNCTION("""COMPUTED_VALUE"""),0)</f>
        <v>0</v>
      </c>
      <c r="Q1257" s="24">
        <f ca="1">IFERROR(__xludf.DUMMYFUNCTION("""COMPUTED_VALUE"""),0)</f>
        <v>0</v>
      </c>
      <c r="R1257" s="20"/>
    </row>
    <row r="1258" spans="1:18" ht="13.2" hidden="1" outlineLevel="1" x14ac:dyDescent="0.25">
      <c r="A1258" s="1"/>
      <c r="B1258" s="39" t="str">
        <f ca="1">IFERROR(__xludf.DUMMYFUNCTION("""COMPUTED_VALUE"""),"Coque de carbón")</f>
        <v>Coque de carbón</v>
      </c>
      <c r="C1258" s="22">
        <f ca="1">IFERROR(__xludf.DUMMYFUNCTION("""COMPUTED_VALUE"""),0)</f>
        <v>0</v>
      </c>
      <c r="D1258" s="23">
        <f ca="1">IFERROR(__xludf.DUMMYFUNCTION("""COMPUTED_VALUE"""),0)</f>
        <v>0</v>
      </c>
      <c r="E1258" s="23">
        <f ca="1">IFERROR(__xludf.DUMMYFUNCTION("""COMPUTED_VALUE"""),0)</f>
        <v>0</v>
      </c>
      <c r="F1258" s="23">
        <f ca="1">IFERROR(__xludf.DUMMYFUNCTION("""COMPUTED_VALUE"""),0)</f>
        <v>0</v>
      </c>
      <c r="G1258" s="23">
        <f ca="1">IFERROR(__xludf.DUMMYFUNCTION("""COMPUTED_VALUE"""),0)</f>
        <v>0</v>
      </c>
      <c r="H1258" s="23">
        <f ca="1">IFERROR(__xludf.DUMMYFUNCTION("""COMPUTED_VALUE"""),0)</f>
        <v>0</v>
      </c>
      <c r="I1258" s="23">
        <f ca="1">IFERROR(__xludf.DUMMYFUNCTION("""COMPUTED_VALUE"""),0)</f>
        <v>0</v>
      </c>
      <c r="J1258" s="23">
        <f ca="1">IFERROR(__xludf.DUMMYFUNCTION("""COMPUTED_VALUE"""),0)</f>
        <v>0</v>
      </c>
      <c r="K1258" s="23">
        <f ca="1">IFERROR(__xludf.DUMMYFUNCTION("""COMPUTED_VALUE"""),0)</f>
        <v>0</v>
      </c>
      <c r="L1258" s="23">
        <f ca="1">IFERROR(__xludf.DUMMYFUNCTION("""COMPUTED_VALUE"""),0)</f>
        <v>0</v>
      </c>
      <c r="M1258" s="23">
        <f ca="1">IFERROR(__xludf.DUMMYFUNCTION("""COMPUTED_VALUE"""),0)</f>
        <v>0</v>
      </c>
      <c r="N1258" s="23">
        <f ca="1">IFERROR(__xludf.DUMMYFUNCTION("""COMPUTED_VALUE"""),0)</f>
        <v>0</v>
      </c>
      <c r="O1258" s="23">
        <f ca="1">IFERROR(__xludf.DUMMYFUNCTION("""COMPUTED_VALUE"""),0)</f>
        <v>0</v>
      </c>
      <c r="P1258" s="23">
        <f ca="1">IFERROR(__xludf.DUMMYFUNCTION("""COMPUTED_VALUE"""),0)</f>
        <v>0</v>
      </c>
      <c r="Q1258" s="24">
        <f ca="1">IFERROR(__xludf.DUMMYFUNCTION("""COMPUTED_VALUE"""),0)</f>
        <v>0</v>
      </c>
      <c r="R1258" s="20"/>
    </row>
    <row r="1259" spans="1:18" ht="13.2" hidden="1" outlineLevel="1" x14ac:dyDescent="0.25">
      <c r="A1259" s="1"/>
      <c r="B1259" s="39" t="str">
        <f ca="1">IFERROR(__xludf.DUMMYFUNCTION("""COMPUTED_VALUE"""),"Coque de petróleo")</f>
        <v>Coque de petróleo</v>
      </c>
      <c r="C1259" s="22">
        <f ca="1">IFERROR(__xludf.DUMMYFUNCTION("""COMPUTED_VALUE"""),0)</f>
        <v>0</v>
      </c>
      <c r="D1259" s="23">
        <f ca="1">IFERROR(__xludf.DUMMYFUNCTION("""COMPUTED_VALUE"""),0)</f>
        <v>0</v>
      </c>
      <c r="E1259" s="23">
        <f ca="1">IFERROR(__xludf.DUMMYFUNCTION("""COMPUTED_VALUE"""),0)</f>
        <v>0</v>
      </c>
      <c r="F1259" s="23">
        <f ca="1">IFERROR(__xludf.DUMMYFUNCTION("""COMPUTED_VALUE"""),0)</f>
        <v>0</v>
      </c>
      <c r="G1259" s="23">
        <f ca="1">IFERROR(__xludf.DUMMYFUNCTION("""COMPUTED_VALUE"""),0)</f>
        <v>0</v>
      </c>
      <c r="H1259" s="23">
        <f ca="1">IFERROR(__xludf.DUMMYFUNCTION("""COMPUTED_VALUE"""),0)</f>
        <v>0</v>
      </c>
      <c r="I1259" s="23">
        <f ca="1">IFERROR(__xludf.DUMMYFUNCTION("""COMPUTED_VALUE"""),0)</f>
        <v>0</v>
      </c>
      <c r="J1259" s="23">
        <f ca="1">IFERROR(__xludf.DUMMYFUNCTION("""COMPUTED_VALUE"""),0)</f>
        <v>0</v>
      </c>
      <c r="K1259" s="23">
        <f ca="1">IFERROR(__xludf.DUMMYFUNCTION("""COMPUTED_VALUE"""),0)</f>
        <v>0</v>
      </c>
      <c r="L1259" s="23">
        <f ca="1">IFERROR(__xludf.DUMMYFUNCTION("""COMPUTED_VALUE"""),0)</f>
        <v>0</v>
      </c>
      <c r="M1259" s="23">
        <f ca="1">IFERROR(__xludf.DUMMYFUNCTION("""COMPUTED_VALUE"""),0)</f>
        <v>0</v>
      </c>
      <c r="N1259" s="23">
        <f ca="1">IFERROR(__xludf.DUMMYFUNCTION("""COMPUTED_VALUE"""),0)</f>
        <v>0</v>
      </c>
      <c r="O1259" s="23">
        <f ca="1">IFERROR(__xludf.DUMMYFUNCTION("""COMPUTED_VALUE"""),0)</f>
        <v>0</v>
      </c>
      <c r="P1259" s="23">
        <f ca="1">IFERROR(__xludf.DUMMYFUNCTION("""COMPUTED_VALUE"""),0)</f>
        <v>0</v>
      </c>
      <c r="Q1259" s="24">
        <f ca="1">IFERROR(__xludf.DUMMYFUNCTION("""COMPUTED_VALUE"""),0)</f>
        <v>0</v>
      </c>
      <c r="R1259" s="20"/>
    </row>
    <row r="1260" spans="1:18" ht="13.2" hidden="1" outlineLevel="1" x14ac:dyDescent="0.25">
      <c r="A1260" s="1"/>
      <c r="B1260" s="39" t="str">
        <f ca="1">IFERROR(__xludf.DUMMYFUNCTION("""COMPUTED_VALUE"""),"Gas licuado de petróleo")</f>
        <v>Gas licuado de petróleo</v>
      </c>
      <c r="C1260" s="22">
        <f ca="1">IFERROR(__xludf.DUMMYFUNCTION("""COMPUTED_VALUE"""),0.00397408954512002)</f>
        <v>3.9740895451200204E-3</v>
      </c>
      <c r="D1260" s="23">
        <f ca="1">IFERROR(__xludf.DUMMYFUNCTION("""COMPUTED_VALUE"""),0.00262412784855193)</f>
        <v>2.6241278485519301E-3</v>
      </c>
      <c r="E1260" s="23">
        <f ca="1">IFERROR(__xludf.DUMMYFUNCTION("""COMPUTED_VALUE"""),0.00624492251907067)</f>
        <v>6.2449225190706701E-3</v>
      </c>
      <c r="F1260" s="23">
        <f ca="1">IFERROR(__xludf.DUMMYFUNCTION("""COMPUTED_VALUE"""),0.00354598593561923)</f>
        <v>3.5459859356192299E-3</v>
      </c>
      <c r="G1260" s="23">
        <f ca="1">IFERROR(__xludf.DUMMYFUNCTION("""COMPUTED_VALUE"""),0.00592748114551594)</f>
        <v>5.9274811455159396E-3</v>
      </c>
      <c r="H1260" s="23">
        <f ca="1">IFERROR(__xludf.DUMMYFUNCTION("""COMPUTED_VALUE"""),0.00653385363550402)</f>
        <v>6.5338536355040201E-3</v>
      </c>
      <c r="I1260" s="23">
        <f ca="1">IFERROR(__xludf.DUMMYFUNCTION("""COMPUTED_VALUE"""),0.00414573831307887)</f>
        <v>4.1457383130788696E-3</v>
      </c>
      <c r="J1260" s="23">
        <f ca="1">IFERROR(__xludf.DUMMYFUNCTION("""COMPUTED_VALUE"""),0.00601629822988397)</f>
        <v>6.0162982298839702E-3</v>
      </c>
      <c r="K1260" s="23">
        <f ca="1">IFERROR(__xludf.DUMMYFUNCTION("""COMPUTED_VALUE"""),0.00377246218617086)</f>
        <v>3.7724621861708598E-3</v>
      </c>
      <c r="L1260" s="23">
        <f ca="1">IFERROR(__xludf.DUMMYFUNCTION("""COMPUTED_VALUE"""),0.00533764853969459)</f>
        <v>5.3376485396945898E-3</v>
      </c>
      <c r="M1260" s="23">
        <f ca="1">IFERROR(__xludf.DUMMYFUNCTION("""COMPUTED_VALUE"""),0.00302734966309524)</f>
        <v>3.0273496630952401E-3</v>
      </c>
      <c r="N1260" s="23">
        <f ca="1">IFERROR(__xludf.DUMMYFUNCTION("""COMPUTED_VALUE"""),0.00359844024280665)</f>
        <v>3.5984402428066498E-3</v>
      </c>
      <c r="O1260" s="23">
        <f ca="1">IFERROR(__xludf.DUMMYFUNCTION("""COMPUTED_VALUE"""),0.00541699537785696)</f>
        <v>5.4169953778569601E-3</v>
      </c>
      <c r="P1260" s="23">
        <f ca="1">IFERROR(__xludf.DUMMYFUNCTION("""COMPUTED_VALUE"""),0.0043883142576773)</f>
        <v>4.3883142576772996E-3</v>
      </c>
      <c r="Q1260" s="24">
        <f ca="1">IFERROR(__xludf.DUMMYFUNCTION("""COMPUTED_VALUE"""),0.00474941715229474)</f>
        <v>4.7494171522947399E-3</v>
      </c>
      <c r="R1260" s="20"/>
    </row>
    <row r="1261" spans="1:18" ht="13.2" hidden="1" outlineLevel="1" x14ac:dyDescent="0.25">
      <c r="A1261" s="1"/>
      <c r="B1261" s="39" t="str">
        <f ca="1">IFERROR(__xludf.DUMMYFUNCTION("""COMPUTED_VALUE"""),"Gasolinas y naftas")</f>
        <v>Gasolinas y naftas</v>
      </c>
      <c r="C1261" s="22">
        <f ca="1">IFERROR(__xludf.DUMMYFUNCTION("""COMPUTED_VALUE"""),0)</f>
        <v>0</v>
      </c>
      <c r="D1261" s="23">
        <f ca="1">IFERROR(__xludf.DUMMYFUNCTION("""COMPUTED_VALUE"""),0)</f>
        <v>0</v>
      </c>
      <c r="E1261" s="23">
        <f ca="1">IFERROR(__xludf.DUMMYFUNCTION("""COMPUTED_VALUE"""),0)</f>
        <v>0</v>
      </c>
      <c r="F1261" s="23">
        <f ca="1">IFERROR(__xludf.DUMMYFUNCTION("""COMPUTED_VALUE"""),0)</f>
        <v>0</v>
      </c>
      <c r="G1261" s="23">
        <f ca="1">IFERROR(__xludf.DUMMYFUNCTION("""COMPUTED_VALUE"""),0)</f>
        <v>0</v>
      </c>
      <c r="H1261" s="23">
        <f ca="1">IFERROR(__xludf.DUMMYFUNCTION("""COMPUTED_VALUE"""),0)</f>
        <v>0</v>
      </c>
      <c r="I1261" s="23">
        <f ca="1">IFERROR(__xludf.DUMMYFUNCTION("""COMPUTED_VALUE"""),0)</f>
        <v>0</v>
      </c>
      <c r="J1261" s="23">
        <f ca="1">IFERROR(__xludf.DUMMYFUNCTION("""COMPUTED_VALUE"""),0)</f>
        <v>0</v>
      </c>
      <c r="K1261" s="23">
        <f ca="1">IFERROR(__xludf.DUMMYFUNCTION("""COMPUTED_VALUE"""),0)</f>
        <v>0</v>
      </c>
      <c r="L1261" s="23">
        <f ca="1">IFERROR(__xludf.DUMMYFUNCTION("""COMPUTED_VALUE"""),0)</f>
        <v>0</v>
      </c>
      <c r="M1261" s="23">
        <f ca="1">IFERROR(__xludf.DUMMYFUNCTION("""COMPUTED_VALUE"""),0)</f>
        <v>0</v>
      </c>
      <c r="N1261" s="23">
        <f ca="1">IFERROR(__xludf.DUMMYFUNCTION("""COMPUTED_VALUE"""),0)</f>
        <v>0</v>
      </c>
      <c r="O1261" s="23">
        <f ca="1">IFERROR(__xludf.DUMMYFUNCTION("""COMPUTED_VALUE"""),0)</f>
        <v>0</v>
      </c>
      <c r="P1261" s="23">
        <f ca="1">IFERROR(__xludf.DUMMYFUNCTION("""COMPUTED_VALUE"""),0)</f>
        <v>0</v>
      </c>
      <c r="Q1261" s="24">
        <f ca="1">IFERROR(__xludf.DUMMYFUNCTION("""COMPUTED_VALUE"""),0)</f>
        <v>0</v>
      </c>
      <c r="R1261" s="20"/>
    </row>
    <row r="1262" spans="1:18" ht="13.2" hidden="1" outlineLevel="1" x14ac:dyDescent="0.25">
      <c r="A1262" s="1"/>
      <c r="B1262" s="39" t="str">
        <f ca="1">IFERROR(__xludf.DUMMYFUNCTION("""COMPUTED_VALUE"""),"Querosenos")</f>
        <v>Querosenos</v>
      </c>
      <c r="C1262" s="22">
        <f ca="1">IFERROR(__xludf.DUMMYFUNCTION("""COMPUTED_VALUE"""),0)</f>
        <v>0</v>
      </c>
      <c r="D1262" s="23">
        <f ca="1">IFERROR(__xludf.DUMMYFUNCTION("""COMPUTED_VALUE"""),0)</f>
        <v>0</v>
      </c>
      <c r="E1262" s="23">
        <f ca="1">IFERROR(__xludf.DUMMYFUNCTION("""COMPUTED_VALUE"""),0)</f>
        <v>0</v>
      </c>
      <c r="F1262" s="23">
        <f ca="1">IFERROR(__xludf.DUMMYFUNCTION("""COMPUTED_VALUE"""),0)</f>
        <v>0</v>
      </c>
      <c r="G1262" s="23">
        <f ca="1">IFERROR(__xludf.DUMMYFUNCTION("""COMPUTED_VALUE"""),0)</f>
        <v>0</v>
      </c>
      <c r="H1262" s="23">
        <f ca="1">IFERROR(__xludf.DUMMYFUNCTION("""COMPUTED_VALUE"""),0)</f>
        <v>0</v>
      </c>
      <c r="I1262" s="23">
        <f ca="1">IFERROR(__xludf.DUMMYFUNCTION("""COMPUTED_VALUE"""),0)</f>
        <v>0</v>
      </c>
      <c r="J1262" s="23">
        <f ca="1">IFERROR(__xludf.DUMMYFUNCTION("""COMPUTED_VALUE"""),0)</f>
        <v>0</v>
      </c>
      <c r="K1262" s="23">
        <f ca="1">IFERROR(__xludf.DUMMYFUNCTION("""COMPUTED_VALUE"""),0)</f>
        <v>0</v>
      </c>
      <c r="L1262" s="23">
        <f ca="1">IFERROR(__xludf.DUMMYFUNCTION("""COMPUTED_VALUE"""),0)</f>
        <v>0</v>
      </c>
      <c r="M1262" s="23">
        <f ca="1">IFERROR(__xludf.DUMMYFUNCTION("""COMPUTED_VALUE"""),0)</f>
        <v>0</v>
      </c>
      <c r="N1262" s="23">
        <f ca="1">IFERROR(__xludf.DUMMYFUNCTION("""COMPUTED_VALUE"""),0)</f>
        <v>0</v>
      </c>
      <c r="O1262" s="23">
        <f ca="1">IFERROR(__xludf.DUMMYFUNCTION("""COMPUTED_VALUE"""),0)</f>
        <v>0</v>
      </c>
      <c r="P1262" s="23">
        <f ca="1">IFERROR(__xludf.DUMMYFUNCTION("""COMPUTED_VALUE"""),0)</f>
        <v>0</v>
      </c>
      <c r="Q1262" s="24">
        <f ca="1">IFERROR(__xludf.DUMMYFUNCTION("""COMPUTED_VALUE"""),0)</f>
        <v>0</v>
      </c>
      <c r="R1262" s="20"/>
    </row>
    <row r="1263" spans="1:18" ht="13.2" hidden="1" outlineLevel="1" x14ac:dyDescent="0.25">
      <c r="A1263" s="1"/>
      <c r="B1263" s="39" t="str">
        <f ca="1">IFERROR(__xludf.DUMMYFUNCTION("""COMPUTED_VALUE"""),"Diesel")</f>
        <v>Diesel</v>
      </c>
      <c r="C1263" s="22">
        <f ca="1">IFERROR(__xludf.DUMMYFUNCTION("""COMPUTED_VALUE"""),0)</f>
        <v>0</v>
      </c>
      <c r="D1263" s="23">
        <f ca="1">IFERROR(__xludf.DUMMYFUNCTION("""COMPUTED_VALUE"""),0)</f>
        <v>0</v>
      </c>
      <c r="E1263" s="23">
        <f ca="1">IFERROR(__xludf.DUMMYFUNCTION("""COMPUTED_VALUE"""),0)</f>
        <v>0</v>
      </c>
      <c r="F1263" s="23">
        <f ca="1">IFERROR(__xludf.DUMMYFUNCTION("""COMPUTED_VALUE"""),0)</f>
        <v>0</v>
      </c>
      <c r="G1263" s="23">
        <f ca="1">IFERROR(__xludf.DUMMYFUNCTION("""COMPUTED_VALUE"""),0)</f>
        <v>0</v>
      </c>
      <c r="H1263" s="23">
        <f ca="1">IFERROR(__xludf.DUMMYFUNCTION("""COMPUTED_VALUE"""),0)</f>
        <v>0</v>
      </c>
      <c r="I1263" s="23">
        <f ca="1">IFERROR(__xludf.DUMMYFUNCTION("""COMPUTED_VALUE"""),0)</f>
        <v>0</v>
      </c>
      <c r="J1263" s="23">
        <f ca="1">IFERROR(__xludf.DUMMYFUNCTION("""COMPUTED_VALUE"""),0)</f>
        <v>0</v>
      </c>
      <c r="K1263" s="23">
        <f ca="1">IFERROR(__xludf.DUMMYFUNCTION("""COMPUTED_VALUE"""),0)</f>
        <v>0</v>
      </c>
      <c r="L1263" s="23">
        <f ca="1">IFERROR(__xludf.DUMMYFUNCTION("""COMPUTED_VALUE"""),0)</f>
        <v>0</v>
      </c>
      <c r="M1263" s="23">
        <f ca="1">IFERROR(__xludf.DUMMYFUNCTION("""COMPUTED_VALUE"""),0)</f>
        <v>0</v>
      </c>
      <c r="N1263" s="23">
        <f ca="1">IFERROR(__xludf.DUMMYFUNCTION("""COMPUTED_VALUE"""),0)</f>
        <v>0</v>
      </c>
      <c r="O1263" s="23">
        <f ca="1">IFERROR(__xludf.DUMMYFUNCTION("""COMPUTED_VALUE"""),0)</f>
        <v>0</v>
      </c>
      <c r="P1263" s="23">
        <f ca="1">IFERROR(__xludf.DUMMYFUNCTION("""COMPUTED_VALUE"""),0)</f>
        <v>0</v>
      </c>
      <c r="Q1263" s="24">
        <f ca="1">IFERROR(__xludf.DUMMYFUNCTION("""COMPUTED_VALUE"""),0)</f>
        <v>0</v>
      </c>
      <c r="R1263" s="20"/>
    </row>
    <row r="1264" spans="1:18" ht="13.2" hidden="1" outlineLevel="1" x14ac:dyDescent="0.25">
      <c r="A1264" s="1"/>
      <c r="B1264" s="39" t="str">
        <f ca="1">IFERROR(__xludf.DUMMYFUNCTION("""COMPUTED_VALUE"""),"Combustóleo")</f>
        <v>Combustóleo</v>
      </c>
      <c r="C1264" s="22">
        <f ca="1">IFERROR(__xludf.DUMMYFUNCTION("""COMPUTED_VALUE"""),0)</f>
        <v>0</v>
      </c>
      <c r="D1264" s="23">
        <f ca="1">IFERROR(__xludf.DUMMYFUNCTION("""COMPUTED_VALUE"""),0)</f>
        <v>0</v>
      </c>
      <c r="E1264" s="23">
        <f ca="1">IFERROR(__xludf.DUMMYFUNCTION("""COMPUTED_VALUE"""),0)</f>
        <v>0</v>
      </c>
      <c r="F1264" s="23">
        <f ca="1">IFERROR(__xludf.DUMMYFUNCTION("""COMPUTED_VALUE"""),0)</f>
        <v>0</v>
      </c>
      <c r="G1264" s="23">
        <f ca="1">IFERROR(__xludf.DUMMYFUNCTION("""COMPUTED_VALUE"""),0)</f>
        <v>0</v>
      </c>
      <c r="H1264" s="23">
        <f ca="1">IFERROR(__xludf.DUMMYFUNCTION("""COMPUTED_VALUE"""),0)</f>
        <v>0</v>
      </c>
      <c r="I1264" s="23">
        <f ca="1">IFERROR(__xludf.DUMMYFUNCTION("""COMPUTED_VALUE"""),0)</f>
        <v>0</v>
      </c>
      <c r="J1264" s="23">
        <f ca="1">IFERROR(__xludf.DUMMYFUNCTION("""COMPUTED_VALUE"""),0)</f>
        <v>0</v>
      </c>
      <c r="K1264" s="23">
        <f ca="1">IFERROR(__xludf.DUMMYFUNCTION("""COMPUTED_VALUE"""),0)</f>
        <v>0</v>
      </c>
      <c r="L1264" s="23">
        <f ca="1">IFERROR(__xludf.DUMMYFUNCTION("""COMPUTED_VALUE"""),0)</f>
        <v>0</v>
      </c>
      <c r="M1264" s="23">
        <f ca="1">IFERROR(__xludf.DUMMYFUNCTION("""COMPUTED_VALUE"""),0)</f>
        <v>0</v>
      </c>
      <c r="N1264" s="23">
        <f ca="1">IFERROR(__xludf.DUMMYFUNCTION("""COMPUTED_VALUE"""),0)</f>
        <v>0</v>
      </c>
      <c r="O1264" s="23">
        <f ca="1">IFERROR(__xludf.DUMMYFUNCTION("""COMPUTED_VALUE"""),0)</f>
        <v>0</v>
      </c>
      <c r="P1264" s="23">
        <f ca="1">IFERROR(__xludf.DUMMYFUNCTION("""COMPUTED_VALUE"""),0)</f>
        <v>0</v>
      </c>
      <c r="Q1264" s="24">
        <f ca="1">IFERROR(__xludf.DUMMYFUNCTION("""COMPUTED_VALUE"""),0)</f>
        <v>0</v>
      </c>
      <c r="R1264" s="20"/>
    </row>
    <row r="1265" spans="1:18" ht="13.2" hidden="1" outlineLevel="1" x14ac:dyDescent="0.25">
      <c r="A1265" s="1"/>
      <c r="B1265" s="39" t="str">
        <f ca="1">IFERROR(__xludf.DUMMYFUNCTION("""COMPUTED_VALUE"""),"Otros energéticos")</f>
        <v>Otros energéticos</v>
      </c>
      <c r="C1265" s="22">
        <f ca="1">IFERROR(__xludf.DUMMYFUNCTION("""COMPUTED_VALUE"""),0)</f>
        <v>0</v>
      </c>
      <c r="D1265" s="23">
        <f ca="1">IFERROR(__xludf.DUMMYFUNCTION("""COMPUTED_VALUE"""),0)</f>
        <v>0</v>
      </c>
      <c r="E1265" s="23">
        <f ca="1">IFERROR(__xludf.DUMMYFUNCTION("""COMPUTED_VALUE"""),0)</f>
        <v>0</v>
      </c>
      <c r="F1265" s="23">
        <f ca="1">IFERROR(__xludf.DUMMYFUNCTION("""COMPUTED_VALUE"""),0)</f>
        <v>0</v>
      </c>
      <c r="G1265" s="23">
        <f ca="1">IFERROR(__xludf.DUMMYFUNCTION("""COMPUTED_VALUE"""),0)</f>
        <v>0</v>
      </c>
      <c r="H1265" s="23">
        <f ca="1">IFERROR(__xludf.DUMMYFUNCTION("""COMPUTED_VALUE"""),0)</f>
        <v>0</v>
      </c>
      <c r="I1265" s="23">
        <f ca="1">IFERROR(__xludf.DUMMYFUNCTION("""COMPUTED_VALUE"""),0)</f>
        <v>0</v>
      </c>
      <c r="J1265" s="23">
        <f ca="1">IFERROR(__xludf.DUMMYFUNCTION("""COMPUTED_VALUE"""),0)</f>
        <v>0</v>
      </c>
      <c r="K1265" s="23">
        <f ca="1">IFERROR(__xludf.DUMMYFUNCTION("""COMPUTED_VALUE"""),0)</f>
        <v>0</v>
      </c>
      <c r="L1265" s="23">
        <f ca="1">IFERROR(__xludf.DUMMYFUNCTION("""COMPUTED_VALUE"""),0)</f>
        <v>0</v>
      </c>
      <c r="M1265" s="23">
        <f ca="1">IFERROR(__xludf.DUMMYFUNCTION("""COMPUTED_VALUE"""),0)</f>
        <v>0</v>
      </c>
      <c r="N1265" s="23">
        <f ca="1">IFERROR(__xludf.DUMMYFUNCTION("""COMPUTED_VALUE"""),0)</f>
        <v>0</v>
      </c>
      <c r="O1265" s="23">
        <f ca="1">IFERROR(__xludf.DUMMYFUNCTION("""COMPUTED_VALUE"""),0)</f>
        <v>0</v>
      </c>
      <c r="P1265" s="23">
        <f ca="1">IFERROR(__xludf.DUMMYFUNCTION("""COMPUTED_VALUE"""),0)</f>
        <v>0</v>
      </c>
      <c r="Q1265" s="24">
        <f ca="1">IFERROR(__xludf.DUMMYFUNCTION("""COMPUTED_VALUE"""),0)</f>
        <v>0</v>
      </c>
      <c r="R1265" s="20"/>
    </row>
    <row r="1266" spans="1:18" ht="13.2" hidden="1" outlineLevel="1" x14ac:dyDescent="0.25">
      <c r="A1266" s="1"/>
      <c r="B1266" s="39" t="str">
        <f ca="1">IFERROR(__xludf.DUMMYFUNCTION("""COMPUTED_VALUE"""),"Gas natural seco")</f>
        <v>Gas natural seco</v>
      </c>
      <c r="C1266" s="22">
        <f ca="1">IFERROR(__xludf.DUMMYFUNCTION("""COMPUTED_VALUE"""),0)</f>
        <v>0</v>
      </c>
      <c r="D1266" s="23">
        <f ca="1">IFERROR(__xludf.DUMMYFUNCTION("""COMPUTED_VALUE"""),0)</f>
        <v>0</v>
      </c>
      <c r="E1266" s="23">
        <f ca="1">IFERROR(__xludf.DUMMYFUNCTION("""COMPUTED_VALUE"""),0)</f>
        <v>0</v>
      </c>
      <c r="F1266" s="23">
        <f ca="1">IFERROR(__xludf.DUMMYFUNCTION("""COMPUTED_VALUE"""),0)</f>
        <v>0</v>
      </c>
      <c r="G1266" s="23">
        <f ca="1">IFERROR(__xludf.DUMMYFUNCTION("""COMPUTED_VALUE"""),0)</f>
        <v>0</v>
      </c>
      <c r="H1266" s="23">
        <f ca="1">IFERROR(__xludf.DUMMYFUNCTION("""COMPUTED_VALUE"""),0)</f>
        <v>0</v>
      </c>
      <c r="I1266" s="23">
        <f ca="1">IFERROR(__xludf.DUMMYFUNCTION("""COMPUTED_VALUE"""),0)</f>
        <v>0</v>
      </c>
      <c r="J1266" s="23">
        <f ca="1">IFERROR(__xludf.DUMMYFUNCTION("""COMPUTED_VALUE"""),0)</f>
        <v>0</v>
      </c>
      <c r="K1266" s="23">
        <f ca="1">IFERROR(__xludf.DUMMYFUNCTION("""COMPUTED_VALUE"""),0)</f>
        <v>0</v>
      </c>
      <c r="L1266" s="23">
        <f ca="1">IFERROR(__xludf.DUMMYFUNCTION("""COMPUTED_VALUE"""),0)</f>
        <v>0</v>
      </c>
      <c r="M1266" s="23">
        <f ca="1">IFERROR(__xludf.DUMMYFUNCTION("""COMPUTED_VALUE"""),0)</f>
        <v>0</v>
      </c>
      <c r="N1266" s="23">
        <f ca="1">IFERROR(__xludf.DUMMYFUNCTION("""COMPUTED_VALUE"""),0)</f>
        <v>0</v>
      </c>
      <c r="O1266" s="23">
        <f ca="1">IFERROR(__xludf.DUMMYFUNCTION("""COMPUTED_VALUE"""),0)</f>
        <v>0</v>
      </c>
      <c r="P1266" s="23">
        <f ca="1">IFERROR(__xludf.DUMMYFUNCTION("""COMPUTED_VALUE"""),0)</f>
        <v>0</v>
      </c>
      <c r="Q1266" s="24">
        <f ca="1">IFERROR(__xludf.DUMMYFUNCTION("""COMPUTED_VALUE"""),0)</f>
        <v>0</v>
      </c>
      <c r="R1266" s="20"/>
    </row>
    <row r="1267" spans="1:18" ht="13.2" hidden="1" outlineLevel="1" x14ac:dyDescent="0.25">
      <c r="A1267" s="1"/>
      <c r="B1267" s="40" t="str">
        <f ca="1">IFERROR(__xludf.DUMMYFUNCTION("""COMPUTED_VALUE"""),"Energía eléctrica")</f>
        <v>Energía eléctrica</v>
      </c>
      <c r="C1267" s="26">
        <f ca="1">IFERROR(__xludf.DUMMYFUNCTION("""COMPUTED_VALUE"""),1.47087809351072)</f>
        <v>1.47087809351072</v>
      </c>
      <c r="D1267" s="27">
        <f ca="1">IFERROR(__xludf.DUMMYFUNCTION("""COMPUTED_VALUE"""),1.37173881026812)</f>
        <v>1.3717388102681201</v>
      </c>
      <c r="E1267" s="27">
        <f ca="1">IFERROR(__xludf.DUMMYFUNCTION("""COMPUTED_VALUE"""),1.09998690375654)</f>
        <v>1.09998690375654</v>
      </c>
      <c r="F1267" s="27">
        <f ca="1">IFERROR(__xludf.DUMMYFUNCTION("""COMPUTED_VALUE"""),1.22198022292849)</f>
        <v>1.22198022292849</v>
      </c>
      <c r="G1267" s="27">
        <f ca="1">IFERROR(__xludf.DUMMYFUNCTION("""COMPUTED_VALUE"""),1.6266091142578)</f>
        <v>1.6266091142578001</v>
      </c>
      <c r="H1267" s="27">
        <f ca="1">IFERROR(__xludf.DUMMYFUNCTION("""COMPUTED_VALUE"""),1.46910710039933)</f>
        <v>1.4691071003993299</v>
      </c>
      <c r="I1267" s="27">
        <f ca="1">IFERROR(__xludf.DUMMYFUNCTION("""COMPUTED_VALUE"""),1.23190990357549)</f>
        <v>1.2319099035754899</v>
      </c>
      <c r="J1267" s="27">
        <f ca="1">IFERROR(__xludf.DUMMYFUNCTION("""COMPUTED_VALUE"""),1.4037178707549)</f>
        <v>1.4037178707549001</v>
      </c>
      <c r="K1267" s="27">
        <f ca="1">IFERROR(__xludf.DUMMYFUNCTION("""COMPUTED_VALUE"""),1.38139533504505)</f>
        <v>1.3813953350450501</v>
      </c>
      <c r="L1267" s="27">
        <f ca="1">IFERROR(__xludf.DUMMYFUNCTION("""COMPUTED_VALUE"""),1.28331112699)</f>
        <v>1.2833111269899999</v>
      </c>
      <c r="M1267" s="27">
        <f ca="1">IFERROR(__xludf.DUMMYFUNCTION("""COMPUTED_VALUE"""),1.01812189635205)</f>
        <v>1.01812189635205</v>
      </c>
      <c r="N1267" s="27">
        <f ca="1">IFERROR(__xludf.DUMMYFUNCTION("""COMPUTED_VALUE"""),2.24334603987244)</f>
        <v>2.2433460398724399</v>
      </c>
      <c r="O1267" s="27">
        <f ca="1">IFERROR(__xludf.DUMMYFUNCTION("""COMPUTED_VALUE"""),0.180038263848365)</f>
        <v>0.18003826384836499</v>
      </c>
      <c r="P1267" s="27">
        <f ca="1">IFERROR(__xludf.DUMMYFUNCTION("""COMPUTED_VALUE"""),1.90944231585516)</f>
        <v>1.9094423158551601</v>
      </c>
      <c r="Q1267" s="28">
        <f ca="1">IFERROR(__xludf.DUMMYFUNCTION("""COMPUTED_VALUE"""),1.62112326432871)</f>
        <v>1.6211232643287099</v>
      </c>
      <c r="R1267" s="20"/>
    </row>
    <row r="1268" spans="1:18" ht="13.2" collapsed="1" x14ac:dyDescent="0.25">
      <c r="A1268" s="1"/>
      <c r="B1268" s="31" t="str">
        <f ca="1">IFERROR(__xludf.DUMMYFUNCTION("""COMPUTED_VALUE"""),"315	Fabricación de prendas de vestir")</f>
        <v>315	Fabricación de prendas de vestir</v>
      </c>
      <c r="C1268" s="41"/>
      <c r="D1268" s="42"/>
      <c r="E1268" s="41"/>
      <c r="F1268" s="41"/>
      <c r="G1268" s="43"/>
      <c r="H1268" s="44"/>
      <c r="I1268" s="45"/>
      <c r="J1268" s="45"/>
      <c r="K1268" s="45"/>
      <c r="L1268" s="45"/>
      <c r="M1268" s="45"/>
      <c r="N1268" s="45"/>
      <c r="O1268" s="45"/>
      <c r="P1268" s="45"/>
      <c r="Q1268" s="45"/>
      <c r="R1268" s="10"/>
    </row>
    <row r="1269" spans="1:18" ht="13.2" hidden="1" outlineLevel="1" x14ac:dyDescent="0.25">
      <c r="A1269" s="1"/>
      <c r="B1269" s="46"/>
      <c r="C1269" s="35">
        <f ca="1">IFERROR(__xludf.DUMMYFUNCTION("""COMPUTED_VALUE"""),2010)</f>
        <v>2010</v>
      </c>
      <c r="D1269" s="36">
        <f ca="1">IFERROR(__xludf.DUMMYFUNCTION("""COMPUTED_VALUE"""),2011)</f>
        <v>2011</v>
      </c>
      <c r="E1269" s="36">
        <f ca="1">IFERROR(__xludf.DUMMYFUNCTION("""COMPUTED_VALUE"""),2012)</f>
        <v>2012</v>
      </c>
      <c r="F1269" s="36">
        <f ca="1">IFERROR(__xludf.DUMMYFUNCTION("""COMPUTED_VALUE"""),2013)</f>
        <v>2013</v>
      </c>
      <c r="G1269" s="36">
        <f ca="1">IFERROR(__xludf.DUMMYFUNCTION("""COMPUTED_VALUE"""),2014)</f>
        <v>2014</v>
      </c>
      <c r="H1269" s="36">
        <f ca="1">IFERROR(__xludf.DUMMYFUNCTION("""COMPUTED_VALUE"""),2015)</f>
        <v>2015</v>
      </c>
      <c r="I1269" s="36">
        <f ca="1">IFERROR(__xludf.DUMMYFUNCTION("""COMPUTED_VALUE"""),2016)</f>
        <v>2016</v>
      </c>
      <c r="J1269" s="36">
        <f ca="1">IFERROR(__xludf.DUMMYFUNCTION("""COMPUTED_VALUE"""),2017)</f>
        <v>2017</v>
      </c>
      <c r="K1269" s="36">
        <f ca="1">IFERROR(__xludf.DUMMYFUNCTION("""COMPUTED_VALUE"""),2018)</f>
        <v>2018</v>
      </c>
      <c r="L1269" s="36">
        <f ca="1">IFERROR(__xludf.DUMMYFUNCTION("""COMPUTED_VALUE"""),2019)</f>
        <v>2019</v>
      </c>
      <c r="M1269" s="36">
        <f ca="1">IFERROR(__xludf.DUMMYFUNCTION("""COMPUTED_VALUE"""),2020)</f>
        <v>2020</v>
      </c>
      <c r="N1269" s="36">
        <f ca="1">IFERROR(__xludf.DUMMYFUNCTION("""COMPUTED_VALUE"""),2021)</f>
        <v>2021</v>
      </c>
      <c r="O1269" s="36">
        <f ca="1">IFERROR(__xludf.DUMMYFUNCTION("""COMPUTED_VALUE"""),2022)</f>
        <v>2022</v>
      </c>
      <c r="P1269" s="36">
        <f ca="1">IFERROR(__xludf.DUMMYFUNCTION("""COMPUTED_VALUE"""),2023)</f>
        <v>2023</v>
      </c>
      <c r="Q1269" s="37">
        <f ca="1">IFERROR(__xludf.DUMMYFUNCTION("""COMPUTED_VALUE"""),2024)</f>
        <v>2024</v>
      </c>
      <c r="R1269" s="15"/>
    </row>
    <row r="1270" spans="1:18" ht="13.2" hidden="1" outlineLevel="1" x14ac:dyDescent="0.25">
      <c r="A1270" s="1"/>
      <c r="B1270" s="38" t="str">
        <f ca="1">IFERROR(__xludf.DUMMYFUNCTION("""COMPUTED_VALUE"""),"Carbón mineral")</f>
        <v>Carbón mineral</v>
      </c>
      <c r="C1270" s="17">
        <f ca="1">IFERROR(__xludf.DUMMYFUNCTION("""COMPUTED_VALUE"""),0)</f>
        <v>0</v>
      </c>
      <c r="D1270" s="18">
        <f ca="1">IFERROR(__xludf.DUMMYFUNCTION("""COMPUTED_VALUE"""),0)</f>
        <v>0</v>
      </c>
      <c r="E1270" s="18">
        <f ca="1">IFERROR(__xludf.DUMMYFUNCTION("""COMPUTED_VALUE"""),0)</f>
        <v>0</v>
      </c>
      <c r="F1270" s="18">
        <f ca="1">IFERROR(__xludf.DUMMYFUNCTION("""COMPUTED_VALUE"""),0)</f>
        <v>0</v>
      </c>
      <c r="G1270" s="18">
        <f ca="1">IFERROR(__xludf.DUMMYFUNCTION("""COMPUTED_VALUE"""),0)</f>
        <v>0</v>
      </c>
      <c r="H1270" s="18">
        <f ca="1">IFERROR(__xludf.DUMMYFUNCTION("""COMPUTED_VALUE"""),0)</f>
        <v>0</v>
      </c>
      <c r="I1270" s="18">
        <f ca="1">IFERROR(__xludf.DUMMYFUNCTION("""COMPUTED_VALUE"""),0)</f>
        <v>0</v>
      </c>
      <c r="J1270" s="18">
        <f ca="1">IFERROR(__xludf.DUMMYFUNCTION("""COMPUTED_VALUE"""),0)</f>
        <v>0</v>
      </c>
      <c r="K1270" s="18">
        <f ca="1">IFERROR(__xludf.DUMMYFUNCTION("""COMPUTED_VALUE"""),0)</f>
        <v>0</v>
      </c>
      <c r="L1270" s="18">
        <f ca="1">IFERROR(__xludf.DUMMYFUNCTION("""COMPUTED_VALUE"""),0)</f>
        <v>0</v>
      </c>
      <c r="M1270" s="18">
        <f ca="1">IFERROR(__xludf.DUMMYFUNCTION("""COMPUTED_VALUE"""),0)</f>
        <v>0</v>
      </c>
      <c r="N1270" s="18">
        <f ca="1">IFERROR(__xludf.DUMMYFUNCTION("""COMPUTED_VALUE"""),0)</f>
        <v>0</v>
      </c>
      <c r="O1270" s="18">
        <f ca="1">IFERROR(__xludf.DUMMYFUNCTION("""COMPUTED_VALUE"""),0)</f>
        <v>0</v>
      </c>
      <c r="P1270" s="18">
        <f ca="1">IFERROR(__xludf.DUMMYFUNCTION("""COMPUTED_VALUE"""),0)</f>
        <v>0</v>
      </c>
      <c r="Q1270" s="19">
        <f ca="1">IFERROR(__xludf.DUMMYFUNCTION("""COMPUTED_VALUE"""),0)</f>
        <v>0</v>
      </c>
      <c r="R1270" s="20"/>
    </row>
    <row r="1271" spans="1:18" ht="13.2" hidden="1" outlineLevel="1" x14ac:dyDescent="0.25">
      <c r="A1271" s="1"/>
      <c r="B1271" s="39" t="str">
        <f ca="1">IFERROR(__xludf.DUMMYFUNCTION("""COMPUTED_VALUE"""),"Petróleo crudo")</f>
        <v>Petróleo crudo</v>
      </c>
      <c r="C1271" s="22">
        <f ca="1">IFERROR(__xludf.DUMMYFUNCTION("""COMPUTED_VALUE"""),0)</f>
        <v>0</v>
      </c>
      <c r="D1271" s="23">
        <f ca="1">IFERROR(__xludf.DUMMYFUNCTION("""COMPUTED_VALUE"""),0)</f>
        <v>0</v>
      </c>
      <c r="E1271" s="23">
        <f ca="1">IFERROR(__xludf.DUMMYFUNCTION("""COMPUTED_VALUE"""),0)</f>
        <v>0</v>
      </c>
      <c r="F1271" s="23">
        <f ca="1">IFERROR(__xludf.DUMMYFUNCTION("""COMPUTED_VALUE"""),0)</f>
        <v>0</v>
      </c>
      <c r="G1271" s="23">
        <f ca="1">IFERROR(__xludf.DUMMYFUNCTION("""COMPUTED_VALUE"""),0)</f>
        <v>0</v>
      </c>
      <c r="H1271" s="23">
        <f ca="1">IFERROR(__xludf.DUMMYFUNCTION("""COMPUTED_VALUE"""),0)</f>
        <v>0</v>
      </c>
      <c r="I1271" s="23">
        <f ca="1">IFERROR(__xludf.DUMMYFUNCTION("""COMPUTED_VALUE"""),0)</f>
        <v>0</v>
      </c>
      <c r="J1271" s="23">
        <f ca="1">IFERROR(__xludf.DUMMYFUNCTION("""COMPUTED_VALUE"""),0)</f>
        <v>0</v>
      </c>
      <c r="K1271" s="23">
        <f ca="1">IFERROR(__xludf.DUMMYFUNCTION("""COMPUTED_VALUE"""),0)</f>
        <v>0</v>
      </c>
      <c r="L1271" s="23">
        <f ca="1">IFERROR(__xludf.DUMMYFUNCTION("""COMPUTED_VALUE"""),0)</f>
        <v>0</v>
      </c>
      <c r="M1271" s="23">
        <f ca="1">IFERROR(__xludf.DUMMYFUNCTION("""COMPUTED_VALUE"""),0)</f>
        <v>0</v>
      </c>
      <c r="N1271" s="23">
        <f ca="1">IFERROR(__xludf.DUMMYFUNCTION("""COMPUTED_VALUE"""),0)</f>
        <v>0</v>
      </c>
      <c r="O1271" s="23">
        <f ca="1">IFERROR(__xludf.DUMMYFUNCTION("""COMPUTED_VALUE"""),0)</f>
        <v>0</v>
      </c>
      <c r="P1271" s="23">
        <f ca="1">IFERROR(__xludf.DUMMYFUNCTION("""COMPUTED_VALUE"""),0)</f>
        <v>0</v>
      </c>
      <c r="Q1271" s="24">
        <f ca="1">IFERROR(__xludf.DUMMYFUNCTION("""COMPUTED_VALUE"""),0)</f>
        <v>0</v>
      </c>
      <c r="R1271" s="20"/>
    </row>
    <row r="1272" spans="1:18" ht="13.2" hidden="1" outlineLevel="1" x14ac:dyDescent="0.25">
      <c r="A1272" s="1"/>
      <c r="B1272" s="39" t="str">
        <f ca="1">IFERROR(__xludf.DUMMYFUNCTION("""COMPUTED_VALUE"""),"Condensados")</f>
        <v>Condensados</v>
      </c>
      <c r="C1272" s="22">
        <f ca="1">IFERROR(__xludf.DUMMYFUNCTION("""COMPUTED_VALUE"""),0)</f>
        <v>0</v>
      </c>
      <c r="D1272" s="23">
        <f ca="1">IFERROR(__xludf.DUMMYFUNCTION("""COMPUTED_VALUE"""),0)</f>
        <v>0</v>
      </c>
      <c r="E1272" s="23">
        <f ca="1">IFERROR(__xludf.DUMMYFUNCTION("""COMPUTED_VALUE"""),0)</f>
        <v>0</v>
      </c>
      <c r="F1272" s="23">
        <f ca="1">IFERROR(__xludf.DUMMYFUNCTION("""COMPUTED_VALUE"""),0)</f>
        <v>0</v>
      </c>
      <c r="G1272" s="23">
        <f ca="1">IFERROR(__xludf.DUMMYFUNCTION("""COMPUTED_VALUE"""),0)</f>
        <v>0</v>
      </c>
      <c r="H1272" s="23">
        <f ca="1">IFERROR(__xludf.DUMMYFUNCTION("""COMPUTED_VALUE"""),0)</f>
        <v>0</v>
      </c>
      <c r="I1272" s="23">
        <f ca="1">IFERROR(__xludf.DUMMYFUNCTION("""COMPUTED_VALUE"""),0)</f>
        <v>0</v>
      </c>
      <c r="J1272" s="23">
        <f ca="1">IFERROR(__xludf.DUMMYFUNCTION("""COMPUTED_VALUE"""),0)</f>
        <v>0</v>
      </c>
      <c r="K1272" s="23">
        <f ca="1">IFERROR(__xludf.DUMMYFUNCTION("""COMPUTED_VALUE"""),0)</f>
        <v>0</v>
      </c>
      <c r="L1272" s="23">
        <f ca="1">IFERROR(__xludf.DUMMYFUNCTION("""COMPUTED_VALUE"""),0)</f>
        <v>0</v>
      </c>
      <c r="M1272" s="23">
        <f ca="1">IFERROR(__xludf.DUMMYFUNCTION("""COMPUTED_VALUE"""),0)</f>
        <v>0</v>
      </c>
      <c r="N1272" s="23">
        <f ca="1">IFERROR(__xludf.DUMMYFUNCTION("""COMPUTED_VALUE"""),0)</f>
        <v>0</v>
      </c>
      <c r="O1272" s="23">
        <f ca="1">IFERROR(__xludf.DUMMYFUNCTION("""COMPUTED_VALUE"""),0)</f>
        <v>0</v>
      </c>
      <c r="P1272" s="23">
        <f ca="1">IFERROR(__xludf.DUMMYFUNCTION("""COMPUTED_VALUE"""),0)</f>
        <v>0</v>
      </c>
      <c r="Q1272" s="24">
        <f ca="1">IFERROR(__xludf.DUMMYFUNCTION("""COMPUTED_VALUE"""),0)</f>
        <v>0</v>
      </c>
      <c r="R1272" s="20"/>
    </row>
    <row r="1273" spans="1:18" ht="13.2" hidden="1" outlineLevel="1" x14ac:dyDescent="0.25">
      <c r="A1273" s="1"/>
      <c r="B1273" s="39" t="str">
        <f ca="1">IFERROR(__xludf.DUMMYFUNCTION("""COMPUTED_VALUE"""),"Gas natural")</f>
        <v>Gas natural</v>
      </c>
      <c r="C1273" s="22">
        <f ca="1">IFERROR(__xludf.DUMMYFUNCTION("""COMPUTED_VALUE"""),0)</f>
        <v>0</v>
      </c>
      <c r="D1273" s="23">
        <f ca="1">IFERROR(__xludf.DUMMYFUNCTION("""COMPUTED_VALUE"""),0)</f>
        <v>0</v>
      </c>
      <c r="E1273" s="23">
        <f ca="1">IFERROR(__xludf.DUMMYFUNCTION("""COMPUTED_VALUE"""),0)</f>
        <v>0</v>
      </c>
      <c r="F1273" s="23">
        <f ca="1">IFERROR(__xludf.DUMMYFUNCTION("""COMPUTED_VALUE"""),0)</f>
        <v>0</v>
      </c>
      <c r="G1273" s="23">
        <f ca="1">IFERROR(__xludf.DUMMYFUNCTION("""COMPUTED_VALUE"""),0)</f>
        <v>0</v>
      </c>
      <c r="H1273" s="23">
        <f ca="1">IFERROR(__xludf.DUMMYFUNCTION("""COMPUTED_VALUE"""),0)</f>
        <v>0</v>
      </c>
      <c r="I1273" s="23">
        <f ca="1">IFERROR(__xludf.DUMMYFUNCTION("""COMPUTED_VALUE"""),0)</f>
        <v>0</v>
      </c>
      <c r="J1273" s="23">
        <f ca="1">IFERROR(__xludf.DUMMYFUNCTION("""COMPUTED_VALUE"""),0)</f>
        <v>0</v>
      </c>
      <c r="K1273" s="23">
        <f ca="1">IFERROR(__xludf.DUMMYFUNCTION("""COMPUTED_VALUE"""),0)</f>
        <v>0</v>
      </c>
      <c r="L1273" s="23">
        <f ca="1">IFERROR(__xludf.DUMMYFUNCTION("""COMPUTED_VALUE"""),0)</f>
        <v>0</v>
      </c>
      <c r="M1273" s="23">
        <f ca="1">IFERROR(__xludf.DUMMYFUNCTION("""COMPUTED_VALUE"""),0)</f>
        <v>0</v>
      </c>
      <c r="N1273" s="23">
        <f ca="1">IFERROR(__xludf.DUMMYFUNCTION("""COMPUTED_VALUE"""),0)</f>
        <v>0</v>
      </c>
      <c r="O1273" s="23">
        <f ca="1">IFERROR(__xludf.DUMMYFUNCTION("""COMPUTED_VALUE"""),0)</f>
        <v>0</v>
      </c>
      <c r="P1273" s="23">
        <f ca="1">IFERROR(__xludf.DUMMYFUNCTION("""COMPUTED_VALUE"""),0)</f>
        <v>0</v>
      </c>
      <c r="Q1273" s="24">
        <f ca="1">IFERROR(__xludf.DUMMYFUNCTION("""COMPUTED_VALUE"""),0)</f>
        <v>0</v>
      </c>
      <c r="R1273" s="20"/>
    </row>
    <row r="1274" spans="1:18" ht="13.2" hidden="1" outlineLevel="1" x14ac:dyDescent="0.25">
      <c r="A1274" s="1"/>
      <c r="B1274" s="39" t="str">
        <f ca="1">IFERROR(__xludf.DUMMYFUNCTION("""COMPUTED_VALUE"""),"Energía Nuclear")</f>
        <v>Energía Nuclear</v>
      </c>
      <c r="C1274" s="22">
        <f ca="1">IFERROR(__xludf.DUMMYFUNCTION("""COMPUTED_VALUE"""),0)</f>
        <v>0</v>
      </c>
      <c r="D1274" s="23">
        <f ca="1">IFERROR(__xludf.DUMMYFUNCTION("""COMPUTED_VALUE"""),0)</f>
        <v>0</v>
      </c>
      <c r="E1274" s="23">
        <f ca="1">IFERROR(__xludf.DUMMYFUNCTION("""COMPUTED_VALUE"""),0)</f>
        <v>0</v>
      </c>
      <c r="F1274" s="23">
        <f ca="1">IFERROR(__xludf.DUMMYFUNCTION("""COMPUTED_VALUE"""),0)</f>
        <v>0</v>
      </c>
      <c r="G1274" s="23">
        <f ca="1">IFERROR(__xludf.DUMMYFUNCTION("""COMPUTED_VALUE"""),0)</f>
        <v>0</v>
      </c>
      <c r="H1274" s="23">
        <f ca="1">IFERROR(__xludf.DUMMYFUNCTION("""COMPUTED_VALUE"""),0)</f>
        <v>0</v>
      </c>
      <c r="I1274" s="23">
        <f ca="1">IFERROR(__xludf.DUMMYFUNCTION("""COMPUTED_VALUE"""),0)</f>
        <v>0</v>
      </c>
      <c r="J1274" s="23">
        <f ca="1">IFERROR(__xludf.DUMMYFUNCTION("""COMPUTED_VALUE"""),0)</f>
        <v>0</v>
      </c>
      <c r="K1274" s="23">
        <f ca="1">IFERROR(__xludf.DUMMYFUNCTION("""COMPUTED_VALUE"""),0)</f>
        <v>0</v>
      </c>
      <c r="L1274" s="23">
        <f ca="1">IFERROR(__xludf.DUMMYFUNCTION("""COMPUTED_VALUE"""),0)</f>
        <v>0</v>
      </c>
      <c r="M1274" s="23">
        <f ca="1">IFERROR(__xludf.DUMMYFUNCTION("""COMPUTED_VALUE"""),0)</f>
        <v>0</v>
      </c>
      <c r="N1274" s="23">
        <f ca="1">IFERROR(__xludf.DUMMYFUNCTION("""COMPUTED_VALUE"""),0)</f>
        <v>0</v>
      </c>
      <c r="O1274" s="23">
        <f ca="1">IFERROR(__xludf.DUMMYFUNCTION("""COMPUTED_VALUE"""),0)</f>
        <v>0</v>
      </c>
      <c r="P1274" s="23">
        <f ca="1">IFERROR(__xludf.DUMMYFUNCTION("""COMPUTED_VALUE"""),0)</f>
        <v>0</v>
      </c>
      <c r="Q1274" s="24">
        <f ca="1">IFERROR(__xludf.DUMMYFUNCTION("""COMPUTED_VALUE"""),0)</f>
        <v>0</v>
      </c>
      <c r="R1274" s="20"/>
    </row>
    <row r="1275" spans="1:18" ht="13.2" hidden="1" outlineLevel="1" x14ac:dyDescent="0.25">
      <c r="A1275" s="1"/>
      <c r="B1275" s="39" t="str">
        <f ca="1">IFERROR(__xludf.DUMMYFUNCTION("""COMPUTED_VALUE"""),"Energia Hidraúlica")</f>
        <v>Energia Hidraúlica</v>
      </c>
      <c r="C1275" s="22">
        <f ca="1">IFERROR(__xludf.DUMMYFUNCTION("""COMPUTED_VALUE"""),0)</f>
        <v>0</v>
      </c>
      <c r="D1275" s="23">
        <f ca="1">IFERROR(__xludf.DUMMYFUNCTION("""COMPUTED_VALUE"""),0)</f>
        <v>0</v>
      </c>
      <c r="E1275" s="23">
        <f ca="1">IFERROR(__xludf.DUMMYFUNCTION("""COMPUTED_VALUE"""),0)</f>
        <v>0</v>
      </c>
      <c r="F1275" s="23">
        <f ca="1">IFERROR(__xludf.DUMMYFUNCTION("""COMPUTED_VALUE"""),0)</f>
        <v>0</v>
      </c>
      <c r="G1275" s="23">
        <f ca="1">IFERROR(__xludf.DUMMYFUNCTION("""COMPUTED_VALUE"""),0)</f>
        <v>0</v>
      </c>
      <c r="H1275" s="23">
        <f ca="1">IFERROR(__xludf.DUMMYFUNCTION("""COMPUTED_VALUE"""),0)</f>
        <v>0</v>
      </c>
      <c r="I1275" s="23">
        <f ca="1">IFERROR(__xludf.DUMMYFUNCTION("""COMPUTED_VALUE"""),0)</f>
        <v>0</v>
      </c>
      <c r="J1275" s="23">
        <f ca="1">IFERROR(__xludf.DUMMYFUNCTION("""COMPUTED_VALUE"""),0)</f>
        <v>0</v>
      </c>
      <c r="K1275" s="23">
        <f ca="1">IFERROR(__xludf.DUMMYFUNCTION("""COMPUTED_VALUE"""),0)</f>
        <v>0</v>
      </c>
      <c r="L1275" s="23">
        <f ca="1">IFERROR(__xludf.DUMMYFUNCTION("""COMPUTED_VALUE"""),0)</f>
        <v>0</v>
      </c>
      <c r="M1275" s="23">
        <f ca="1">IFERROR(__xludf.DUMMYFUNCTION("""COMPUTED_VALUE"""),0)</f>
        <v>0</v>
      </c>
      <c r="N1275" s="23">
        <f ca="1">IFERROR(__xludf.DUMMYFUNCTION("""COMPUTED_VALUE"""),0)</f>
        <v>0</v>
      </c>
      <c r="O1275" s="23">
        <f ca="1">IFERROR(__xludf.DUMMYFUNCTION("""COMPUTED_VALUE"""),0)</f>
        <v>0</v>
      </c>
      <c r="P1275" s="23">
        <f ca="1">IFERROR(__xludf.DUMMYFUNCTION("""COMPUTED_VALUE"""),0)</f>
        <v>0</v>
      </c>
      <c r="Q1275" s="24">
        <f ca="1">IFERROR(__xludf.DUMMYFUNCTION("""COMPUTED_VALUE"""),0)</f>
        <v>0</v>
      </c>
      <c r="R1275" s="20"/>
    </row>
    <row r="1276" spans="1:18" ht="13.2" hidden="1" outlineLevel="1" x14ac:dyDescent="0.25">
      <c r="A1276" s="1"/>
      <c r="B1276" s="39" t="str">
        <f ca="1">IFERROR(__xludf.DUMMYFUNCTION("""COMPUTED_VALUE"""),"Geoenergía")</f>
        <v>Geoenergía</v>
      </c>
      <c r="C1276" s="22">
        <f ca="1">IFERROR(__xludf.DUMMYFUNCTION("""COMPUTED_VALUE"""),0)</f>
        <v>0</v>
      </c>
      <c r="D1276" s="23">
        <f ca="1">IFERROR(__xludf.DUMMYFUNCTION("""COMPUTED_VALUE"""),0)</f>
        <v>0</v>
      </c>
      <c r="E1276" s="23">
        <f ca="1">IFERROR(__xludf.DUMMYFUNCTION("""COMPUTED_VALUE"""),0)</f>
        <v>0</v>
      </c>
      <c r="F1276" s="23">
        <f ca="1">IFERROR(__xludf.DUMMYFUNCTION("""COMPUTED_VALUE"""),0)</f>
        <v>0</v>
      </c>
      <c r="G1276" s="23">
        <f ca="1">IFERROR(__xludf.DUMMYFUNCTION("""COMPUTED_VALUE"""),0)</f>
        <v>0</v>
      </c>
      <c r="H1276" s="23">
        <f ca="1">IFERROR(__xludf.DUMMYFUNCTION("""COMPUTED_VALUE"""),0)</f>
        <v>0</v>
      </c>
      <c r="I1276" s="23">
        <f ca="1">IFERROR(__xludf.DUMMYFUNCTION("""COMPUTED_VALUE"""),0)</f>
        <v>0</v>
      </c>
      <c r="J1276" s="23">
        <f ca="1">IFERROR(__xludf.DUMMYFUNCTION("""COMPUTED_VALUE"""),0)</f>
        <v>0</v>
      </c>
      <c r="K1276" s="23">
        <f ca="1">IFERROR(__xludf.DUMMYFUNCTION("""COMPUTED_VALUE"""),0)</f>
        <v>0</v>
      </c>
      <c r="L1276" s="23">
        <f ca="1">IFERROR(__xludf.DUMMYFUNCTION("""COMPUTED_VALUE"""),0)</f>
        <v>0</v>
      </c>
      <c r="M1276" s="23">
        <f ca="1">IFERROR(__xludf.DUMMYFUNCTION("""COMPUTED_VALUE"""),0)</f>
        <v>0</v>
      </c>
      <c r="N1276" s="23">
        <f ca="1">IFERROR(__xludf.DUMMYFUNCTION("""COMPUTED_VALUE"""),0)</f>
        <v>0</v>
      </c>
      <c r="O1276" s="23">
        <f ca="1">IFERROR(__xludf.DUMMYFUNCTION("""COMPUTED_VALUE"""),0)</f>
        <v>0</v>
      </c>
      <c r="P1276" s="23">
        <f ca="1">IFERROR(__xludf.DUMMYFUNCTION("""COMPUTED_VALUE"""),0)</f>
        <v>0</v>
      </c>
      <c r="Q1276" s="24">
        <f ca="1">IFERROR(__xludf.DUMMYFUNCTION("""COMPUTED_VALUE"""),0)</f>
        <v>0</v>
      </c>
      <c r="R1276" s="20"/>
    </row>
    <row r="1277" spans="1:18" ht="13.2" hidden="1" outlineLevel="1" x14ac:dyDescent="0.25">
      <c r="A1277" s="1"/>
      <c r="B1277" s="39" t="str">
        <f ca="1">IFERROR(__xludf.DUMMYFUNCTION("""COMPUTED_VALUE"""),"Energía solar")</f>
        <v>Energía solar</v>
      </c>
      <c r="C1277" s="22">
        <f ca="1">IFERROR(__xludf.DUMMYFUNCTION("""COMPUTED_VALUE"""),0)</f>
        <v>0</v>
      </c>
      <c r="D1277" s="23">
        <f ca="1">IFERROR(__xludf.DUMMYFUNCTION("""COMPUTED_VALUE"""),0)</f>
        <v>0</v>
      </c>
      <c r="E1277" s="23">
        <f ca="1">IFERROR(__xludf.DUMMYFUNCTION("""COMPUTED_VALUE"""),0)</f>
        <v>0</v>
      </c>
      <c r="F1277" s="23">
        <f ca="1">IFERROR(__xludf.DUMMYFUNCTION("""COMPUTED_VALUE"""),0)</f>
        <v>0</v>
      </c>
      <c r="G1277" s="23">
        <f ca="1">IFERROR(__xludf.DUMMYFUNCTION("""COMPUTED_VALUE"""),0)</f>
        <v>0</v>
      </c>
      <c r="H1277" s="23">
        <f ca="1">IFERROR(__xludf.DUMMYFUNCTION("""COMPUTED_VALUE"""),0)</f>
        <v>0</v>
      </c>
      <c r="I1277" s="23">
        <f ca="1">IFERROR(__xludf.DUMMYFUNCTION("""COMPUTED_VALUE"""),0)</f>
        <v>0</v>
      </c>
      <c r="J1277" s="23">
        <f ca="1">IFERROR(__xludf.DUMMYFUNCTION("""COMPUTED_VALUE"""),0)</f>
        <v>0</v>
      </c>
      <c r="K1277" s="23">
        <f ca="1">IFERROR(__xludf.DUMMYFUNCTION("""COMPUTED_VALUE"""),0)</f>
        <v>0</v>
      </c>
      <c r="L1277" s="23">
        <f ca="1">IFERROR(__xludf.DUMMYFUNCTION("""COMPUTED_VALUE"""),0)</f>
        <v>0</v>
      </c>
      <c r="M1277" s="23">
        <f ca="1">IFERROR(__xludf.DUMMYFUNCTION("""COMPUTED_VALUE"""),0)</f>
        <v>0</v>
      </c>
      <c r="N1277" s="23">
        <f ca="1">IFERROR(__xludf.DUMMYFUNCTION("""COMPUTED_VALUE"""),0)</f>
        <v>0</v>
      </c>
      <c r="O1277" s="23">
        <f ca="1">IFERROR(__xludf.DUMMYFUNCTION("""COMPUTED_VALUE"""),0)</f>
        <v>0</v>
      </c>
      <c r="P1277" s="23">
        <f ca="1">IFERROR(__xludf.DUMMYFUNCTION("""COMPUTED_VALUE"""),0)</f>
        <v>0</v>
      </c>
      <c r="Q1277" s="24">
        <f ca="1">IFERROR(__xludf.DUMMYFUNCTION("""COMPUTED_VALUE"""),0)</f>
        <v>0</v>
      </c>
      <c r="R1277" s="20"/>
    </row>
    <row r="1278" spans="1:18" ht="13.2" hidden="1" outlineLevel="1" x14ac:dyDescent="0.25">
      <c r="A1278" s="1"/>
      <c r="B1278" s="39" t="str">
        <f ca="1">IFERROR(__xludf.DUMMYFUNCTION("""COMPUTED_VALUE"""),"Energía eólica")</f>
        <v>Energía eólica</v>
      </c>
      <c r="C1278" s="22">
        <f ca="1">IFERROR(__xludf.DUMMYFUNCTION("""COMPUTED_VALUE"""),0)</f>
        <v>0</v>
      </c>
      <c r="D1278" s="23">
        <f ca="1">IFERROR(__xludf.DUMMYFUNCTION("""COMPUTED_VALUE"""),0)</f>
        <v>0</v>
      </c>
      <c r="E1278" s="23">
        <f ca="1">IFERROR(__xludf.DUMMYFUNCTION("""COMPUTED_VALUE"""),0)</f>
        <v>0</v>
      </c>
      <c r="F1278" s="23">
        <f ca="1">IFERROR(__xludf.DUMMYFUNCTION("""COMPUTED_VALUE"""),0)</f>
        <v>0</v>
      </c>
      <c r="G1278" s="23">
        <f ca="1">IFERROR(__xludf.DUMMYFUNCTION("""COMPUTED_VALUE"""),0)</f>
        <v>0</v>
      </c>
      <c r="H1278" s="23">
        <f ca="1">IFERROR(__xludf.DUMMYFUNCTION("""COMPUTED_VALUE"""),0)</f>
        <v>0</v>
      </c>
      <c r="I1278" s="23">
        <f ca="1">IFERROR(__xludf.DUMMYFUNCTION("""COMPUTED_VALUE"""),0)</f>
        <v>0</v>
      </c>
      <c r="J1278" s="23">
        <f ca="1">IFERROR(__xludf.DUMMYFUNCTION("""COMPUTED_VALUE"""),0)</f>
        <v>0</v>
      </c>
      <c r="K1278" s="23">
        <f ca="1">IFERROR(__xludf.DUMMYFUNCTION("""COMPUTED_VALUE"""),0)</f>
        <v>0</v>
      </c>
      <c r="L1278" s="23">
        <f ca="1">IFERROR(__xludf.DUMMYFUNCTION("""COMPUTED_VALUE"""),0)</f>
        <v>0</v>
      </c>
      <c r="M1278" s="23">
        <f ca="1">IFERROR(__xludf.DUMMYFUNCTION("""COMPUTED_VALUE"""),0)</f>
        <v>0</v>
      </c>
      <c r="N1278" s="23">
        <f ca="1">IFERROR(__xludf.DUMMYFUNCTION("""COMPUTED_VALUE"""),0)</f>
        <v>0</v>
      </c>
      <c r="O1278" s="23">
        <f ca="1">IFERROR(__xludf.DUMMYFUNCTION("""COMPUTED_VALUE"""),0)</f>
        <v>0</v>
      </c>
      <c r="P1278" s="23">
        <f ca="1">IFERROR(__xludf.DUMMYFUNCTION("""COMPUTED_VALUE"""),0)</f>
        <v>0</v>
      </c>
      <c r="Q1278" s="24">
        <f ca="1">IFERROR(__xludf.DUMMYFUNCTION("""COMPUTED_VALUE"""),0)</f>
        <v>0</v>
      </c>
      <c r="R1278" s="20"/>
    </row>
    <row r="1279" spans="1:18" ht="13.2" hidden="1" outlineLevel="1" x14ac:dyDescent="0.25">
      <c r="A1279" s="1"/>
      <c r="B1279" s="39" t="str">
        <f ca="1">IFERROR(__xludf.DUMMYFUNCTION("""COMPUTED_VALUE"""),"Bagazo de caña")</f>
        <v>Bagazo de caña</v>
      </c>
      <c r="C1279" s="22">
        <f ca="1">IFERROR(__xludf.DUMMYFUNCTION("""COMPUTED_VALUE"""),0)</f>
        <v>0</v>
      </c>
      <c r="D1279" s="23">
        <f ca="1">IFERROR(__xludf.DUMMYFUNCTION("""COMPUTED_VALUE"""),0)</f>
        <v>0</v>
      </c>
      <c r="E1279" s="23">
        <f ca="1">IFERROR(__xludf.DUMMYFUNCTION("""COMPUTED_VALUE"""),0)</f>
        <v>0</v>
      </c>
      <c r="F1279" s="23">
        <f ca="1">IFERROR(__xludf.DUMMYFUNCTION("""COMPUTED_VALUE"""),0)</f>
        <v>0</v>
      </c>
      <c r="G1279" s="23">
        <f ca="1">IFERROR(__xludf.DUMMYFUNCTION("""COMPUTED_VALUE"""),0)</f>
        <v>0</v>
      </c>
      <c r="H1279" s="23">
        <f ca="1">IFERROR(__xludf.DUMMYFUNCTION("""COMPUTED_VALUE"""),0)</f>
        <v>0</v>
      </c>
      <c r="I1279" s="23">
        <f ca="1">IFERROR(__xludf.DUMMYFUNCTION("""COMPUTED_VALUE"""),0)</f>
        <v>0</v>
      </c>
      <c r="J1279" s="23">
        <f ca="1">IFERROR(__xludf.DUMMYFUNCTION("""COMPUTED_VALUE"""),0)</f>
        <v>0</v>
      </c>
      <c r="K1279" s="23">
        <f ca="1">IFERROR(__xludf.DUMMYFUNCTION("""COMPUTED_VALUE"""),0)</f>
        <v>0</v>
      </c>
      <c r="L1279" s="23">
        <f ca="1">IFERROR(__xludf.DUMMYFUNCTION("""COMPUTED_VALUE"""),0)</f>
        <v>0</v>
      </c>
      <c r="M1279" s="23">
        <f ca="1">IFERROR(__xludf.DUMMYFUNCTION("""COMPUTED_VALUE"""),0)</f>
        <v>0</v>
      </c>
      <c r="N1279" s="23">
        <f ca="1">IFERROR(__xludf.DUMMYFUNCTION("""COMPUTED_VALUE"""),0)</f>
        <v>0</v>
      </c>
      <c r="O1279" s="23">
        <f ca="1">IFERROR(__xludf.DUMMYFUNCTION("""COMPUTED_VALUE"""),0)</f>
        <v>0</v>
      </c>
      <c r="P1279" s="23">
        <f ca="1">IFERROR(__xludf.DUMMYFUNCTION("""COMPUTED_VALUE"""),0)</f>
        <v>0</v>
      </c>
      <c r="Q1279" s="24">
        <f ca="1">IFERROR(__xludf.DUMMYFUNCTION("""COMPUTED_VALUE"""),0)</f>
        <v>0</v>
      </c>
      <c r="R1279" s="20"/>
    </row>
    <row r="1280" spans="1:18" ht="13.2" hidden="1" outlineLevel="1" x14ac:dyDescent="0.25">
      <c r="A1280" s="1"/>
      <c r="B1280" s="39" t="str">
        <f ca="1">IFERROR(__xludf.DUMMYFUNCTION("""COMPUTED_VALUE"""),"Leña")</f>
        <v>Leña</v>
      </c>
      <c r="C1280" s="22">
        <f ca="1">IFERROR(__xludf.DUMMYFUNCTION("""COMPUTED_VALUE"""),0)</f>
        <v>0</v>
      </c>
      <c r="D1280" s="23">
        <f ca="1">IFERROR(__xludf.DUMMYFUNCTION("""COMPUTED_VALUE"""),0)</f>
        <v>0</v>
      </c>
      <c r="E1280" s="23">
        <f ca="1">IFERROR(__xludf.DUMMYFUNCTION("""COMPUTED_VALUE"""),0)</f>
        <v>0</v>
      </c>
      <c r="F1280" s="23">
        <f ca="1">IFERROR(__xludf.DUMMYFUNCTION("""COMPUTED_VALUE"""),0)</f>
        <v>0</v>
      </c>
      <c r="G1280" s="23">
        <f ca="1">IFERROR(__xludf.DUMMYFUNCTION("""COMPUTED_VALUE"""),0)</f>
        <v>0</v>
      </c>
      <c r="H1280" s="23">
        <f ca="1">IFERROR(__xludf.DUMMYFUNCTION("""COMPUTED_VALUE"""),0)</f>
        <v>0</v>
      </c>
      <c r="I1280" s="23">
        <f ca="1">IFERROR(__xludf.DUMMYFUNCTION("""COMPUTED_VALUE"""),0)</f>
        <v>0</v>
      </c>
      <c r="J1280" s="23">
        <f ca="1">IFERROR(__xludf.DUMMYFUNCTION("""COMPUTED_VALUE"""),0)</f>
        <v>0</v>
      </c>
      <c r="K1280" s="23">
        <f ca="1">IFERROR(__xludf.DUMMYFUNCTION("""COMPUTED_VALUE"""),0)</f>
        <v>0</v>
      </c>
      <c r="L1280" s="23">
        <f ca="1">IFERROR(__xludf.DUMMYFUNCTION("""COMPUTED_VALUE"""),0)</f>
        <v>0</v>
      </c>
      <c r="M1280" s="23">
        <f ca="1">IFERROR(__xludf.DUMMYFUNCTION("""COMPUTED_VALUE"""),0)</f>
        <v>0</v>
      </c>
      <c r="N1280" s="23">
        <f ca="1">IFERROR(__xludf.DUMMYFUNCTION("""COMPUTED_VALUE"""),0)</f>
        <v>0</v>
      </c>
      <c r="O1280" s="23">
        <f ca="1">IFERROR(__xludf.DUMMYFUNCTION("""COMPUTED_VALUE"""),0)</f>
        <v>0</v>
      </c>
      <c r="P1280" s="23">
        <f ca="1">IFERROR(__xludf.DUMMYFUNCTION("""COMPUTED_VALUE"""),0)</f>
        <v>0</v>
      </c>
      <c r="Q1280" s="24">
        <f ca="1">IFERROR(__xludf.DUMMYFUNCTION("""COMPUTED_VALUE"""),0)</f>
        <v>0</v>
      </c>
      <c r="R1280" s="20"/>
    </row>
    <row r="1281" spans="1:18" ht="13.2" hidden="1" outlineLevel="1" x14ac:dyDescent="0.25">
      <c r="A1281" s="1"/>
      <c r="B1281" s="39" t="str">
        <f ca="1">IFERROR(__xludf.DUMMYFUNCTION("""COMPUTED_VALUE"""),"Biogás")</f>
        <v>Biogás</v>
      </c>
      <c r="C1281" s="22">
        <f ca="1">IFERROR(__xludf.DUMMYFUNCTION("""COMPUTED_VALUE"""),0)</f>
        <v>0</v>
      </c>
      <c r="D1281" s="23">
        <f ca="1">IFERROR(__xludf.DUMMYFUNCTION("""COMPUTED_VALUE"""),0)</f>
        <v>0</v>
      </c>
      <c r="E1281" s="23">
        <f ca="1">IFERROR(__xludf.DUMMYFUNCTION("""COMPUTED_VALUE"""),0)</f>
        <v>0</v>
      </c>
      <c r="F1281" s="23">
        <f ca="1">IFERROR(__xludf.DUMMYFUNCTION("""COMPUTED_VALUE"""),0)</f>
        <v>0</v>
      </c>
      <c r="G1281" s="23">
        <f ca="1">IFERROR(__xludf.DUMMYFUNCTION("""COMPUTED_VALUE"""),0)</f>
        <v>0</v>
      </c>
      <c r="H1281" s="23">
        <f ca="1">IFERROR(__xludf.DUMMYFUNCTION("""COMPUTED_VALUE"""),0)</f>
        <v>0</v>
      </c>
      <c r="I1281" s="23">
        <f ca="1">IFERROR(__xludf.DUMMYFUNCTION("""COMPUTED_VALUE"""),0)</f>
        <v>0</v>
      </c>
      <c r="J1281" s="23">
        <f ca="1">IFERROR(__xludf.DUMMYFUNCTION("""COMPUTED_VALUE"""),0)</f>
        <v>0</v>
      </c>
      <c r="K1281" s="23">
        <f ca="1">IFERROR(__xludf.DUMMYFUNCTION("""COMPUTED_VALUE"""),0)</f>
        <v>0</v>
      </c>
      <c r="L1281" s="23">
        <f ca="1">IFERROR(__xludf.DUMMYFUNCTION("""COMPUTED_VALUE"""),0)</f>
        <v>0</v>
      </c>
      <c r="M1281" s="23">
        <f ca="1">IFERROR(__xludf.DUMMYFUNCTION("""COMPUTED_VALUE"""),0)</f>
        <v>0</v>
      </c>
      <c r="N1281" s="23">
        <f ca="1">IFERROR(__xludf.DUMMYFUNCTION("""COMPUTED_VALUE"""),0)</f>
        <v>0</v>
      </c>
      <c r="O1281" s="23">
        <f ca="1">IFERROR(__xludf.DUMMYFUNCTION("""COMPUTED_VALUE"""),0)</f>
        <v>0</v>
      </c>
      <c r="P1281" s="23">
        <f ca="1">IFERROR(__xludf.DUMMYFUNCTION("""COMPUTED_VALUE"""),0)</f>
        <v>0</v>
      </c>
      <c r="Q1281" s="24">
        <f ca="1">IFERROR(__xludf.DUMMYFUNCTION("""COMPUTED_VALUE"""),0)</f>
        <v>0</v>
      </c>
      <c r="R1281" s="20"/>
    </row>
    <row r="1282" spans="1:18" ht="13.2" hidden="1" outlineLevel="1" x14ac:dyDescent="0.25">
      <c r="A1282" s="1"/>
      <c r="B1282" s="39" t="str">
        <f ca="1">IFERROR(__xludf.DUMMYFUNCTION("""COMPUTED_VALUE"""),"Coque de carbón")</f>
        <v>Coque de carbón</v>
      </c>
      <c r="C1282" s="22">
        <f ca="1">IFERROR(__xludf.DUMMYFUNCTION("""COMPUTED_VALUE"""),0)</f>
        <v>0</v>
      </c>
      <c r="D1282" s="23">
        <f ca="1">IFERROR(__xludf.DUMMYFUNCTION("""COMPUTED_VALUE"""),0)</f>
        <v>0</v>
      </c>
      <c r="E1282" s="23">
        <f ca="1">IFERROR(__xludf.DUMMYFUNCTION("""COMPUTED_VALUE"""),0)</f>
        <v>0</v>
      </c>
      <c r="F1282" s="23">
        <f ca="1">IFERROR(__xludf.DUMMYFUNCTION("""COMPUTED_VALUE"""),0)</f>
        <v>0</v>
      </c>
      <c r="G1282" s="23">
        <f ca="1">IFERROR(__xludf.DUMMYFUNCTION("""COMPUTED_VALUE"""),0)</f>
        <v>0</v>
      </c>
      <c r="H1282" s="23">
        <f ca="1">IFERROR(__xludf.DUMMYFUNCTION("""COMPUTED_VALUE"""),0)</f>
        <v>0</v>
      </c>
      <c r="I1282" s="23">
        <f ca="1">IFERROR(__xludf.DUMMYFUNCTION("""COMPUTED_VALUE"""),0)</f>
        <v>0</v>
      </c>
      <c r="J1282" s="23">
        <f ca="1">IFERROR(__xludf.DUMMYFUNCTION("""COMPUTED_VALUE"""),0)</f>
        <v>0</v>
      </c>
      <c r="K1282" s="23">
        <f ca="1">IFERROR(__xludf.DUMMYFUNCTION("""COMPUTED_VALUE"""),0)</f>
        <v>0</v>
      </c>
      <c r="L1282" s="23">
        <f ca="1">IFERROR(__xludf.DUMMYFUNCTION("""COMPUTED_VALUE"""),0)</f>
        <v>0</v>
      </c>
      <c r="M1282" s="23">
        <f ca="1">IFERROR(__xludf.DUMMYFUNCTION("""COMPUTED_VALUE"""),0)</f>
        <v>0</v>
      </c>
      <c r="N1282" s="23">
        <f ca="1">IFERROR(__xludf.DUMMYFUNCTION("""COMPUTED_VALUE"""),0)</f>
        <v>0</v>
      </c>
      <c r="O1282" s="23">
        <f ca="1">IFERROR(__xludf.DUMMYFUNCTION("""COMPUTED_VALUE"""),0)</f>
        <v>0</v>
      </c>
      <c r="P1282" s="23">
        <f ca="1">IFERROR(__xludf.DUMMYFUNCTION("""COMPUTED_VALUE"""),0)</f>
        <v>0</v>
      </c>
      <c r="Q1282" s="24">
        <f ca="1">IFERROR(__xludf.DUMMYFUNCTION("""COMPUTED_VALUE"""),0)</f>
        <v>0</v>
      </c>
      <c r="R1282" s="20"/>
    </row>
    <row r="1283" spans="1:18" ht="13.2" hidden="1" outlineLevel="1" x14ac:dyDescent="0.25">
      <c r="A1283" s="1"/>
      <c r="B1283" s="39" t="str">
        <f ca="1">IFERROR(__xludf.DUMMYFUNCTION("""COMPUTED_VALUE"""),"Coque de petróleo")</f>
        <v>Coque de petróleo</v>
      </c>
      <c r="C1283" s="22">
        <f ca="1">IFERROR(__xludf.DUMMYFUNCTION("""COMPUTED_VALUE"""),0)</f>
        <v>0</v>
      </c>
      <c r="D1283" s="23">
        <f ca="1">IFERROR(__xludf.DUMMYFUNCTION("""COMPUTED_VALUE"""),0)</f>
        <v>0</v>
      </c>
      <c r="E1283" s="23">
        <f ca="1">IFERROR(__xludf.DUMMYFUNCTION("""COMPUTED_VALUE"""),0)</f>
        <v>0</v>
      </c>
      <c r="F1283" s="23">
        <f ca="1">IFERROR(__xludf.DUMMYFUNCTION("""COMPUTED_VALUE"""),0)</f>
        <v>0</v>
      </c>
      <c r="G1283" s="23">
        <f ca="1">IFERROR(__xludf.DUMMYFUNCTION("""COMPUTED_VALUE"""),0)</f>
        <v>0</v>
      </c>
      <c r="H1283" s="23">
        <f ca="1">IFERROR(__xludf.DUMMYFUNCTION("""COMPUTED_VALUE"""),0)</f>
        <v>0</v>
      </c>
      <c r="I1283" s="23">
        <f ca="1">IFERROR(__xludf.DUMMYFUNCTION("""COMPUTED_VALUE"""),0)</f>
        <v>0</v>
      </c>
      <c r="J1283" s="23">
        <f ca="1">IFERROR(__xludf.DUMMYFUNCTION("""COMPUTED_VALUE"""),0)</f>
        <v>0</v>
      </c>
      <c r="K1283" s="23">
        <f ca="1">IFERROR(__xludf.DUMMYFUNCTION("""COMPUTED_VALUE"""),0)</f>
        <v>0</v>
      </c>
      <c r="L1283" s="23">
        <f ca="1">IFERROR(__xludf.DUMMYFUNCTION("""COMPUTED_VALUE"""),0)</f>
        <v>0</v>
      </c>
      <c r="M1283" s="23">
        <f ca="1">IFERROR(__xludf.DUMMYFUNCTION("""COMPUTED_VALUE"""),0)</f>
        <v>0</v>
      </c>
      <c r="N1283" s="23">
        <f ca="1">IFERROR(__xludf.DUMMYFUNCTION("""COMPUTED_VALUE"""),0)</f>
        <v>0</v>
      </c>
      <c r="O1283" s="23">
        <f ca="1">IFERROR(__xludf.DUMMYFUNCTION("""COMPUTED_VALUE"""),0)</f>
        <v>0</v>
      </c>
      <c r="P1283" s="23">
        <f ca="1">IFERROR(__xludf.DUMMYFUNCTION("""COMPUTED_VALUE"""),0)</f>
        <v>0</v>
      </c>
      <c r="Q1283" s="24">
        <f ca="1">IFERROR(__xludf.DUMMYFUNCTION("""COMPUTED_VALUE"""),0)</f>
        <v>0</v>
      </c>
      <c r="R1283" s="20"/>
    </row>
    <row r="1284" spans="1:18" ht="13.2" hidden="1" outlineLevel="1" x14ac:dyDescent="0.25">
      <c r="A1284" s="1"/>
      <c r="B1284" s="39" t="str">
        <f ca="1">IFERROR(__xludf.DUMMYFUNCTION("""COMPUTED_VALUE"""),"Gas licuado de petróleo")</f>
        <v>Gas licuado de petróleo</v>
      </c>
      <c r="C1284" s="22">
        <f ca="1">IFERROR(__xludf.DUMMYFUNCTION("""COMPUTED_VALUE"""),0.00277457388124004)</f>
        <v>2.7745738812400399E-3</v>
      </c>
      <c r="D1284" s="23">
        <f ca="1">IFERROR(__xludf.DUMMYFUNCTION("""COMPUTED_VALUE"""),0.000966209332646612)</f>
        <v>9.6620933264661196E-4</v>
      </c>
      <c r="E1284" s="23">
        <f ca="1">IFERROR(__xludf.DUMMYFUNCTION("""COMPUTED_VALUE"""),0.00104859564878792)</f>
        <v>1.0485956487879199E-3</v>
      </c>
      <c r="F1284" s="23">
        <f ca="1">IFERROR(__xludf.DUMMYFUNCTION("""COMPUTED_VALUE"""),0.00534205181262409)</f>
        <v>5.34205181262409E-3</v>
      </c>
      <c r="G1284" s="23">
        <f ca="1">IFERROR(__xludf.DUMMYFUNCTION("""COMPUTED_VALUE"""),0.00160934653810097)</f>
        <v>1.60934653810097E-3</v>
      </c>
      <c r="H1284" s="23">
        <f ca="1">IFERROR(__xludf.DUMMYFUNCTION("""COMPUTED_VALUE"""),0.00291369738111973)</f>
        <v>2.9136973811197302E-3</v>
      </c>
      <c r="I1284" s="23">
        <f ca="1">IFERROR(__xludf.DUMMYFUNCTION("""COMPUTED_VALUE"""),0.00427967760200497)</f>
        <v>4.2796776020049701E-3</v>
      </c>
      <c r="J1284" s="23">
        <f ca="1">IFERROR(__xludf.DUMMYFUNCTION("""COMPUTED_VALUE"""),0.00250663587374406)</f>
        <v>2.5066358737440599E-3</v>
      </c>
      <c r="K1284" s="23">
        <f ca="1">IFERROR(__xludf.DUMMYFUNCTION("""COMPUTED_VALUE"""),0.00372958164210044)</f>
        <v>3.7295816421004401E-3</v>
      </c>
      <c r="L1284" s="23">
        <f ca="1">IFERROR(__xludf.DUMMYFUNCTION("""COMPUTED_VALUE"""),0.00735587197868964)</f>
        <v>7.3558719786896397E-3</v>
      </c>
      <c r="M1284" s="23">
        <f ca="1">IFERROR(__xludf.DUMMYFUNCTION("""COMPUTED_VALUE"""),0.00125377539634935)</f>
        <v>1.25377539634935E-3</v>
      </c>
      <c r="N1284" s="23">
        <f ca="1">IFERROR(__xludf.DUMMYFUNCTION("""COMPUTED_VALUE"""),0.00427713654257485)</f>
        <v>4.2771365425748496E-3</v>
      </c>
      <c r="O1284" s="23">
        <f ca="1">IFERROR(__xludf.DUMMYFUNCTION("""COMPUTED_VALUE"""),0.00375336048375769)</f>
        <v>3.75336048375769E-3</v>
      </c>
      <c r="P1284" s="23">
        <f ca="1">IFERROR(__xludf.DUMMYFUNCTION("""COMPUTED_VALUE"""),0.00555962743974294)</f>
        <v>5.5596274397429401E-3</v>
      </c>
      <c r="Q1284" s="24">
        <f ca="1">IFERROR(__xludf.DUMMYFUNCTION("""COMPUTED_VALUE"""),0.000852627437222401)</f>
        <v>8.5262743722240098E-4</v>
      </c>
      <c r="R1284" s="20"/>
    </row>
    <row r="1285" spans="1:18" ht="13.2" hidden="1" outlineLevel="1" x14ac:dyDescent="0.25">
      <c r="A1285" s="1"/>
      <c r="B1285" s="39" t="str">
        <f ca="1">IFERROR(__xludf.DUMMYFUNCTION("""COMPUTED_VALUE"""),"Gasolinas y naftas")</f>
        <v>Gasolinas y naftas</v>
      </c>
      <c r="C1285" s="22">
        <f ca="1">IFERROR(__xludf.DUMMYFUNCTION("""COMPUTED_VALUE"""),0)</f>
        <v>0</v>
      </c>
      <c r="D1285" s="23">
        <f ca="1">IFERROR(__xludf.DUMMYFUNCTION("""COMPUTED_VALUE"""),0)</f>
        <v>0</v>
      </c>
      <c r="E1285" s="23">
        <f ca="1">IFERROR(__xludf.DUMMYFUNCTION("""COMPUTED_VALUE"""),0)</f>
        <v>0</v>
      </c>
      <c r="F1285" s="23">
        <f ca="1">IFERROR(__xludf.DUMMYFUNCTION("""COMPUTED_VALUE"""),0)</f>
        <v>0</v>
      </c>
      <c r="G1285" s="23">
        <f ca="1">IFERROR(__xludf.DUMMYFUNCTION("""COMPUTED_VALUE"""),0)</f>
        <v>0</v>
      </c>
      <c r="H1285" s="23">
        <f ca="1">IFERROR(__xludf.DUMMYFUNCTION("""COMPUTED_VALUE"""),0)</f>
        <v>0</v>
      </c>
      <c r="I1285" s="23">
        <f ca="1">IFERROR(__xludf.DUMMYFUNCTION("""COMPUTED_VALUE"""),0)</f>
        <v>0</v>
      </c>
      <c r="J1285" s="23">
        <f ca="1">IFERROR(__xludf.DUMMYFUNCTION("""COMPUTED_VALUE"""),0)</f>
        <v>0</v>
      </c>
      <c r="K1285" s="23">
        <f ca="1">IFERROR(__xludf.DUMMYFUNCTION("""COMPUTED_VALUE"""),0)</f>
        <v>0</v>
      </c>
      <c r="L1285" s="23">
        <f ca="1">IFERROR(__xludf.DUMMYFUNCTION("""COMPUTED_VALUE"""),0)</f>
        <v>0</v>
      </c>
      <c r="M1285" s="23">
        <f ca="1">IFERROR(__xludf.DUMMYFUNCTION("""COMPUTED_VALUE"""),0)</f>
        <v>0</v>
      </c>
      <c r="N1285" s="23">
        <f ca="1">IFERROR(__xludf.DUMMYFUNCTION("""COMPUTED_VALUE"""),0)</f>
        <v>0</v>
      </c>
      <c r="O1285" s="23">
        <f ca="1">IFERROR(__xludf.DUMMYFUNCTION("""COMPUTED_VALUE"""),0)</f>
        <v>0</v>
      </c>
      <c r="P1285" s="23">
        <f ca="1">IFERROR(__xludf.DUMMYFUNCTION("""COMPUTED_VALUE"""),0)</f>
        <v>0</v>
      </c>
      <c r="Q1285" s="24">
        <f ca="1">IFERROR(__xludf.DUMMYFUNCTION("""COMPUTED_VALUE"""),0)</f>
        <v>0</v>
      </c>
      <c r="R1285" s="20"/>
    </row>
    <row r="1286" spans="1:18" ht="13.2" hidden="1" outlineLevel="1" x14ac:dyDescent="0.25">
      <c r="A1286" s="1"/>
      <c r="B1286" s="39" t="str">
        <f ca="1">IFERROR(__xludf.DUMMYFUNCTION("""COMPUTED_VALUE"""),"Querosenos")</f>
        <v>Querosenos</v>
      </c>
      <c r="C1286" s="22">
        <f ca="1">IFERROR(__xludf.DUMMYFUNCTION("""COMPUTED_VALUE"""),0)</f>
        <v>0</v>
      </c>
      <c r="D1286" s="23">
        <f ca="1">IFERROR(__xludf.DUMMYFUNCTION("""COMPUTED_VALUE"""),0)</f>
        <v>0</v>
      </c>
      <c r="E1286" s="23">
        <f ca="1">IFERROR(__xludf.DUMMYFUNCTION("""COMPUTED_VALUE"""),0)</f>
        <v>0</v>
      </c>
      <c r="F1286" s="23">
        <f ca="1">IFERROR(__xludf.DUMMYFUNCTION("""COMPUTED_VALUE"""),0)</f>
        <v>0</v>
      </c>
      <c r="G1286" s="23">
        <f ca="1">IFERROR(__xludf.DUMMYFUNCTION("""COMPUTED_VALUE"""),0)</f>
        <v>0</v>
      </c>
      <c r="H1286" s="23">
        <f ca="1">IFERROR(__xludf.DUMMYFUNCTION("""COMPUTED_VALUE"""),0)</f>
        <v>0</v>
      </c>
      <c r="I1286" s="23">
        <f ca="1">IFERROR(__xludf.DUMMYFUNCTION("""COMPUTED_VALUE"""),0)</f>
        <v>0</v>
      </c>
      <c r="J1286" s="23">
        <f ca="1">IFERROR(__xludf.DUMMYFUNCTION("""COMPUTED_VALUE"""),0)</f>
        <v>0</v>
      </c>
      <c r="K1286" s="23">
        <f ca="1">IFERROR(__xludf.DUMMYFUNCTION("""COMPUTED_VALUE"""),0)</f>
        <v>0</v>
      </c>
      <c r="L1286" s="23">
        <f ca="1">IFERROR(__xludf.DUMMYFUNCTION("""COMPUTED_VALUE"""),0)</f>
        <v>0</v>
      </c>
      <c r="M1286" s="23">
        <f ca="1">IFERROR(__xludf.DUMMYFUNCTION("""COMPUTED_VALUE"""),0)</f>
        <v>0</v>
      </c>
      <c r="N1286" s="23">
        <f ca="1">IFERROR(__xludf.DUMMYFUNCTION("""COMPUTED_VALUE"""),0)</f>
        <v>0</v>
      </c>
      <c r="O1286" s="23">
        <f ca="1">IFERROR(__xludf.DUMMYFUNCTION("""COMPUTED_VALUE"""),0)</f>
        <v>0</v>
      </c>
      <c r="P1286" s="23">
        <f ca="1">IFERROR(__xludf.DUMMYFUNCTION("""COMPUTED_VALUE"""),0)</f>
        <v>0</v>
      </c>
      <c r="Q1286" s="24">
        <f ca="1">IFERROR(__xludf.DUMMYFUNCTION("""COMPUTED_VALUE"""),0)</f>
        <v>0</v>
      </c>
      <c r="R1286" s="20"/>
    </row>
    <row r="1287" spans="1:18" ht="13.2" hidden="1" outlineLevel="1" x14ac:dyDescent="0.25">
      <c r="A1287" s="1"/>
      <c r="B1287" s="39" t="str">
        <f ca="1">IFERROR(__xludf.DUMMYFUNCTION("""COMPUTED_VALUE"""),"Diesel")</f>
        <v>Diesel</v>
      </c>
      <c r="C1287" s="22">
        <f ca="1">IFERROR(__xludf.DUMMYFUNCTION("""COMPUTED_VALUE"""),0)</f>
        <v>0</v>
      </c>
      <c r="D1287" s="23">
        <f ca="1">IFERROR(__xludf.DUMMYFUNCTION("""COMPUTED_VALUE"""),0)</f>
        <v>0</v>
      </c>
      <c r="E1287" s="23">
        <f ca="1">IFERROR(__xludf.DUMMYFUNCTION("""COMPUTED_VALUE"""),0)</f>
        <v>0</v>
      </c>
      <c r="F1287" s="23">
        <f ca="1">IFERROR(__xludf.DUMMYFUNCTION("""COMPUTED_VALUE"""),0)</f>
        <v>0</v>
      </c>
      <c r="G1287" s="23">
        <f ca="1">IFERROR(__xludf.DUMMYFUNCTION("""COMPUTED_VALUE"""),0)</f>
        <v>0</v>
      </c>
      <c r="H1287" s="23">
        <f ca="1">IFERROR(__xludf.DUMMYFUNCTION("""COMPUTED_VALUE"""),0)</f>
        <v>0</v>
      </c>
      <c r="I1287" s="23">
        <f ca="1">IFERROR(__xludf.DUMMYFUNCTION("""COMPUTED_VALUE"""),0)</f>
        <v>0</v>
      </c>
      <c r="J1287" s="23">
        <f ca="1">IFERROR(__xludf.DUMMYFUNCTION("""COMPUTED_VALUE"""),0)</f>
        <v>0</v>
      </c>
      <c r="K1287" s="23">
        <f ca="1">IFERROR(__xludf.DUMMYFUNCTION("""COMPUTED_VALUE"""),0)</f>
        <v>0</v>
      </c>
      <c r="L1287" s="23">
        <f ca="1">IFERROR(__xludf.DUMMYFUNCTION("""COMPUTED_VALUE"""),0)</f>
        <v>0</v>
      </c>
      <c r="M1287" s="23">
        <f ca="1">IFERROR(__xludf.DUMMYFUNCTION("""COMPUTED_VALUE"""),0)</f>
        <v>0</v>
      </c>
      <c r="N1287" s="23">
        <f ca="1">IFERROR(__xludf.DUMMYFUNCTION("""COMPUTED_VALUE"""),0)</f>
        <v>0</v>
      </c>
      <c r="O1287" s="23">
        <f ca="1">IFERROR(__xludf.DUMMYFUNCTION("""COMPUTED_VALUE"""),0)</f>
        <v>0</v>
      </c>
      <c r="P1287" s="23">
        <f ca="1">IFERROR(__xludf.DUMMYFUNCTION("""COMPUTED_VALUE"""),0)</f>
        <v>0</v>
      </c>
      <c r="Q1287" s="24">
        <f ca="1">IFERROR(__xludf.DUMMYFUNCTION("""COMPUTED_VALUE"""),0)</f>
        <v>0</v>
      </c>
      <c r="R1287" s="20"/>
    </row>
    <row r="1288" spans="1:18" ht="13.2" hidden="1" outlineLevel="1" x14ac:dyDescent="0.25">
      <c r="A1288" s="1"/>
      <c r="B1288" s="39" t="str">
        <f ca="1">IFERROR(__xludf.DUMMYFUNCTION("""COMPUTED_VALUE"""),"Combustóleo")</f>
        <v>Combustóleo</v>
      </c>
      <c r="C1288" s="22">
        <f ca="1">IFERROR(__xludf.DUMMYFUNCTION("""COMPUTED_VALUE"""),0)</f>
        <v>0</v>
      </c>
      <c r="D1288" s="23">
        <f ca="1">IFERROR(__xludf.DUMMYFUNCTION("""COMPUTED_VALUE"""),0)</f>
        <v>0</v>
      </c>
      <c r="E1288" s="23">
        <f ca="1">IFERROR(__xludf.DUMMYFUNCTION("""COMPUTED_VALUE"""),0)</f>
        <v>0</v>
      </c>
      <c r="F1288" s="23">
        <f ca="1">IFERROR(__xludf.DUMMYFUNCTION("""COMPUTED_VALUE"""),0)</f>
        <v>0</v>
      </c>
      <c r="G1288" s="23">
        <f ca="1">IFERROR(__xludf.DUMMYFUNCTION("""COMPUTED_VALUE"""),0)</f>
        <v>0</v>
      </c>
      <c r="H1288" s="23">
        <f ca="1">IFERROR(__xludf.DUMMYFUNCTION("""COMPUTED_VALUE"""),0)</f>
        <v>0</v>
      </c>
      <c r="I1288" s="23">
        <f ca="1">IFERROR(__xludf.DUMMYFUNCTION("""COMPUTED_VALUE"""),0)</f>
        <v>0</v>
      </c>
      <c r="J1288" s="23">
        <f ca="1">IFERROR(__xludf.DUMMYFUNCTION("""COMPUTED_VALUE"""),0)</f>
        <v>0</v>
      </c>
      <c r="K1288" s="23">
        <f ca="1">IFERROR(__xludf.DUMMYFUNCTION("""COMPUTED_VALUE"""),0)</f>
        <v>0</v>
      </c>
      <c r="L1288" s="23">
        <f ca="1">IFERROR(__xludf.DUMMYFUNCTION("""COMPUTED_VALUE"""),0)</f>
        <v>0</v>
      </c>
      <c r="M1288" s="23">
        <f ca="1">IFERROR(__xludf.DUMMYFUNCTION("""COMPUTED_VALUE"""),0)</f>
        <v>0</v>
      </c>
      <c r="N1288" s="23">
        <f ca="1">IFERROR(__xludf.DUMMYFUNCTION("""COMPUTED_VALUE"""),0)</f>
        <v>0</v>
      </c>
      <c r="O1288" s="23">
        <f ca="1">IFERROR(__xludf.DUMMYFUNCTION("""COMPUTED_VALUE"""),0)</f>
        <v>0</v>
      </c>
      <c r="P1288" s="23">
        <f ca="1">IFERROR(__xludf.DUMMYFUNCTION("""COMPUTED_VALUE"""),0)</f>
        <v>0</v>
      </c>
      <c r="Q1288" s="24">
        <f ca="1">IFERROR(__xludf.DUMMYFUNCTION("""COMPUTED_VALUE"""),0)</f>
        <v>0</v>
      </c>
      <c r="R1288" s="20"/>
    </row>
    <row r="1289" spans="1:18" ht="13.2" hidden="1" outlineLevel="1" x14ac:dyDescent="0.25">
      <c r="A1289" s="1"/>
      <c r="B1289" s="39" t="str">
        <f ca="1">IFERROR(__xludf.DUMMYFUNCTION("""COMPUTED_VALUE"""),"Otros energéticos")</f>
        <v>Otros energéticos</v>
      </c>
      <c r="C1289" s="22">
        <f ca="1">IFERROR(__xludf.DUMMYFUNCTION("""COMPUTED_VALUE"""),0)</f>
        <v>0</v>
      </c>
      <c r="D1289" s="23">
        <f ca="1">IFERROR(__xludf.DUMMYFUNCTION("""COMPUTED_VALUE"""),0)</f>
        <v>0</v>
      </c>
      <c r="E1289" s="23">
        <f ca="1">IFERROR(__xludf.DUMMYFUNCTION("""COMPUTED_VALUE"""),0)</f>
        <v>0</v>
      </c>
      <c r="F1289" s="23">
        <f ca="1">IFERROR(__xludf.DUMMYFUNCTION("""COMPUTED_VALUE"""),0)</f>
        <v>0</v>
      </c>
      <c r="G1289" s="23">
        <f ca="1">IFERROR(__xludf.DUMMYFUNCTION("""COMPUTED_VALUE"""),0)</f>
        <v>0</v>
      </c>
      <c r="H1289" s="23">
        <f ca="1">IFERROR(__xludf.DUMMYFUNCTION("""COMPUTED_VALUE"""),0)</f>
        <v>0</v>
      </c>
      <c r="I1289" s="23">
        <f ca="1">IFERROR(__xludf.DUMMYFUNCTION("""COMPUTED_VALUE"""),0)</f>
        <v>0</v>
      </c>
      <c r="J1289" s="23">
        <f ca="1">IFERROR(__xludf.DUMMYFUNCTION("""COMPUTED_VALUE"""),0)</f>
        <v>0</v>
      </c>
      <c r="K1289" s="23">
        <f ca="1">IFERROR(__xludf.DUMMYFUNCTION("""COMPUTED_VALUE"""),0)</f>
        <v>0</v>
      </c>
      <c r="L1289" s="23">
        <f ca="1">IFERROR(__xludf.DUMMYFUNCTION("""COMPUTED_VALUE"""),0)</f>
        <v>0</v>
      </c>
      <c r="M1289" s="23">
        <f ca="1">IFERROR(__xludf.DUMMYFUNCTION("""COMPUTED_VALUE"""),0)</f>
        <v>0</v>
      </c>
      <c r="N1289" s="23">
        <f ca="1">IFERROR(__xludf.DUMMYFUNCTION("""COMPUTED_VALUE"""),0)</f>
        <v>0</v>
      </c>
      <c r="O1289" s="23">
        <f ca="1">IFERROR(__xludf.DUMMYFUNCTION("""COMPUTED_VALUE"""),0)</f>
        <v>0</v>
      </c>
      <c r="P1289" s="23">
        <f ca="1">IFERROR(__xludf.DUMMYFUNCTION("""COMPUTED_VALUE"""),0)</f>
        <v>0</v>
      </c>
      <c r="Q1289" s="24">
        <f ca="1">IFERROR(__xludf.DUMMYFUNCTION("""COMPUTED_VALUE"""),0)</f>
        <v>0</v>
      </c>
      <c r="R1289" s="20"/>
    </row>
    <row r="1290" spans="1:18" ht="13.2" hidden="1" outlineLevel="1" x14ac:dyDescent="0.25">
      <c r="A1290" s="1"/>
      <c r="B1290" s="39" t="str">
        <f ca="1">IFERROR(__xludf.DUMMYFUNCTION("""COMPUTED_VALUE"""),"Gas natural seco")</f>
        <v>Gas natural seco</v>
      </c>
      <c r="C1290" s="22">
        <f ca="1">IFERROR(__xludf.DUMMYFUNCTION("""COMPUTED_VALUE"""),0)</f>
        <v>0</v>
      </c>
      <c r="D1290" s="23">
        <f ca="1">IFERROR(__xludf.DUMMYFUNCTION("""COMPUTED_VALUE"""),0)</f>
        <v>0</v>
      </c>
      <c r="E1290" s="23">
        <f ca="1">IFERROR(__xludf.DUMMYFUNCTION("""COMPUTED_VALUE"""),0)</f>
        <v>0</v>
      </c>
      <c r="F1290" s="23">
        <f ca="1">IFERROR(__xludf.DUMMYFUNCTION("""COMPUTED_VALUE"""),0)</f>
        <v>0</v>
      </c>
      <c r="G1290" s="23">
        <f ca="1">IFERROR(__xludf.DUMMYFUNCTION("""COMPUTED_VALUE"""),0)</f>
        <v>0</v>
      </c>
      <c r="H1290" s="23">
        <f ca="1">IFERROR(__xludf.DUMMYFUNCTION("""COMPUTED_VALUE"""),0)</f>
        <v>0</v>
      </c>
      <c r="I1290" s="23">
        <f ca="1">IFERROR(__xludf.DUMMYFUNCTION("""COMPUTED_VALUE"""),0)</f>
        <v>0</v>
      </c>
      <c r="J1290" s="23">
        <f ca="1">IFERROR(__xludf.DUMMYFUNCTION("""COMPUTED_VALUE"""),0)</f>
        <v>0</v>
      </c>
      <c r="K1290" s="23">
        <f ca="1">IFERROR(__xludf.DUMMYFUNCTION("""COMPUTED_VALUE"""),0)</f>
        <v>0</v>
      </c>
      <c r="L1290" s="23">
        <f ca="1">IFERROR(__xludf.DUMMYFUNCTION("""COMPUTED_VALUE"""),0)</f>
        <v>0</v>
      </c>
      <c r="M1290" s="23">
        <f ca="1">IFERROR(__xludf.DUMMYFUNCTION("""COMPUTED_VALUE"""),0)</f>
        <v>0</v>
      </c>
      <c r="N1290" s="23">
        <f ca="1">IFERROR(__xludf.DUMMYFUNCTION("""COMPUTED_VALUE"""),0)</f>
        <v>0</v>
      </c>
      <c r="O1290" s="23">
        <f ca="1">IFERROR(__xludf.DUMMYFUNCTION("""COMPUTED_VALUE"""),0)</f>
        <v>0</v>
      </c>
      <c r="P1290" s="23">
        <f ca="1">IFERROR(__xludf.DUMMYFUNCTION("""COMPUTED_VALUE"""),0)</f>
        <v>0</v>
      </c>
      <c r="Q1290" s="24">
        <f ca="1">IFERROR(__xludf.DUMMYFUNCTION("""COMPUTED_VALUE"""),0)</f>
        <v>0</v>
      </c>
      <c r="R1290" s="20"/>
    </row>
    <row r="1291" spans="1:18" ht="13.2" hidden="1" outlineLevel="1" x14ac:dyDescent="0.25">
      <c r="A1291" s="1"/>
      <c r="B1291" s="40" t="str">
        <f ca="1">IFERROR(__xludf.DUMMYFUNCTION("""COMPUTED_VALUE"""),"Energía eléctrica")</f>
        <v>Energía eléctrica</v>
      </c>
      <c r="C1291" s="26">
        <f ca="1">IFERROR(__xludf.DUMMYFUNCTION("""COMPUTED_VALUE"""),0.992953623861643)</f>
        <v>0.99295362386164299</v>
      </c>
      <c r="D1291" s="27">
        <f ca="1">IFERROR(__xludf.DUMMYFUNCTION("""COMPUTED_VALUE"""),1.39499541681461)</f>
        <v>1.3949954168146099</v>
      </c>
      <c r="E1291" s="27">
        <f ca="1">IFERROR(__xludf.DUMMYFUNCTION("""COMPUTED_VALUE"""),0.839880139174822)</f>
        <v>0.83988013917482196</v>
      </c>
      <c r="F1291" s="27">
        <f ca="1">IFERROR(__xludf.DUMMYFUNCTION("""COMPUTED_VALUE"""),1.23365647547047)</f>
        <v>1.23365647547047</v>
      </c>
      <c r="G1291" s="27">
        <f ca="1">IFERROR(__xludf.DUMMYFUNCTION("""COMPUTED_VALUE"""),1.0068509702457)</f>
        <v>1.0068509702457</v>
      </c>
      <c r="H1291" s="27">
        <f ca="1">IFERROR(__xludf.DUMMYFUNCTION("""COMPUTED_VALUE"""),1.17156642183744)</f>
        <v>1.17156642183744</v>
      </c>
      <c r="I1291" s="27">
        <f ca="1">IFERROR(__xludf.DUMMYFUNCTION("""COMPUTED_VALUE"""),1.34356707611072)</f>
        <v>1.3435670761107199</v>
      </c>
      <c r="J1291" s="27">
        <f ca="1">IFERROR(__xludf.DUMMYFUNCTION("""COMPUTED_VALUE"""),1.36704898595971)</f>
        <v>1.3670489859597099</v>
      </c>
      <c r="K1291" s="27">
        <f ca="1">IFERROR(__xludf.DUMMYFUNCTION("""COMPUTED_VALUE"""),1.21828780229677)</f>
        <v>1.21828780229677</v>
      </c>
      <c r="L1291" s="27">
        <f ca="1">IFERROR(__xludf.DUMMYFUNCTION("""COMPUTED_VALUE"""),1.19527606371036)</f>
        <v>1.1952760637103601</v>
      </c>
      <c r="M1291" s="27">
        <f ca="1">IFERROR(__xludf.DUMMYFUNCTION("""COMPUTED_VALUE"""),0.820686208544139)</f>
        <v>0.82068620854413898</v>
      </c>
      <c r="N1291" s="27">
        <f ca="1">IFERROR(__xludf.DUMMYFUNCTION("""COMPUTED_VALUE"""),1.69371704844461)</f>
        <v>1.69371704844461</v>
      </c>
      <c r="O1291" s="27">
        <f ca="1">IFERROR(__xludf.DUMMYFUNCTION("""COMPUTED_VALUE"""),0.129571579526103)</f>
        <v>0.12957157952610299</v>
      </c>
      <c r="P1291" s="27">
        <f ca="1">IFERROR(__xludf.DUMMYFUNCTION("""COMPUTED_VALUE"""),1.6050554353387)</f>
        <v>1.6050554353387001</v>
      </c>
      <c r="Q1291" s="28">
        <f ca="1">IFERROR(__xludf.DUMMYFUNCTION("""COMPUTED_VALUE"""),1.72129023025471)</f>
        <v>1.72129023025471</v>
      </c>
      <c r="R1291" s="20"/>
    </row>
    <row r="1292" spans="1:18" ht="13.2" collapsed="1" x14ac:dyDescent="0.25">
      <c r="A1292" s="1"/>
      <c r="B1292" s="31" t="str">
        <f ca="1">IFERROR(__xludf.DUMMYFUNCTION("""COMPUTED_VALUE"""),"316	Curtido y acabado de cuero y piel, y fabricación de productos de cuero, piel y materiales sucedáneos")</f>
        <v>316	Curtido y acabado de cuero y piel, y fabricación de productos de cuero, piel y materiales sucedáneos</v>
      </c>
      <c r="C1292" s="41"/>
      <c r="D1292" s="42"/>
      <c r="E1292" s="41"/>
      <c r="F1292" s="41"/>
      <c r="G1292" s="43"/>
      <c r="H1292" s="44"/>
      <c r="I1292" s="45"/>
      <c r="J1292" s="45"/>
      <c r="K1292" s="45"/>
      <c r="L1292" s="45"/>
      <c r="M1292" s="45"/>
      <c r="N1292" s="45"/>
      <c r="O1292" s="45"/>
      <c r="P1292" s="45"/>
      <c r="Q1292" s="45"/>
      <c r="R1292" s="10"/>
    </row>
    <row r="1293" spans="1:18" ht="13.2" hidden="1" outlineLevel="1" x14ac:dyDescent="0.25">
      <c r="A1293" s="1"/>
      <c r="B1293" s="46"/>
      <c r="C1293" s="35">
        <f ca="1">IFERROR(__xludf.DUMMYFUNCTION("""COMPUTED_VALUE"""),2010)</f>
        <v>2010</v>
      </c>
      <c r="D1293" s="36">
        <f ca="1">IFERROR(__xludf.DUMMYFUNCTION("""COMPUTED_VALUE"""),2011)</f>
        <v>2011</v>
      </c>
      <c r="E1293" s="36">
        <f ca="1">IFERROR(__xludf.DUMMYFUNCTION("""COMPUTED_VALUE"""),2012)</f>
        <v>2012</v>
      </c>
      <c r="F1293" s="36">
        <f ca="1">IFERROR(__xludf.DUMMYFUNCTION("""COMPUTED_VALUE"""),2013)</f>
        <v>2013</v>
      </c>
      <c r="G1293" s="36">
        <f ca="1">IFERROR(__xludf.DUMMYFUNCTION("""COMPUTED_VALUE"""),2014)</f>
        <v>2014</v>
      </c>
      <c r="H1293" s="36">
        <f ca="1">IFERROR(__xludf.DUMMYFUNCTION("""COMPUTED_VALUE"""),2015)</f>
        <v>2015</v>
      </c>
      <c r="I1293" s="36">
        <f ca="1">IFERROR(__xludf.DUMMYFUNCTION("""COMPUTED_VALUE"""),2016)</f>
        <v>2016</v>
      </c>
      <c r="J1293" s="36">
        <f ca="1">IFERROR(__xludf.DUMMYFUNCTION("""COMPUTED_VALUE"""),2017)</f>
        <v>2017</v>
      </c>
      <c r="K1293" s="36">
        <f ca="1">IFERROR(__xludf.DUMMYFUNCTION("""COMPUTED_VALUE"""),2018)</f>
        <v>2018</v>
      </c>
      <c r="L1293" s="36">
        <f ca="1">IFERROR(__xludf.DUMMYFUNCTION("""COMPUTED_VALUE"""),2019)</f>
        <v>2019</v>
      </c>
      <c r="M1293" s="36">
        <f ca="1">IFERROR(__xludf.DUMMYFUNCTION("""COMPUTED_VALUE"""),2020)</f>
        <v>2020</v>
      </c>
      <c r="N1293" s="36">
        <f ca="1">IFERROR(__xludf.DUMMYFUNCTION("""COMPUTED_VALUE"""),2021)</f>
        <v>2021</v>
      </c>
      <c r="O1293" s="36">
        <f ca="1">IFERROR(__xludf.DUMMYFUNCTION("""COMPUTED_VALUE"""),2022)</f>
        <v>2022</v>
      </c>
      <c r="P1293" s="36">
        <f ca="1">IFERROR(__xludf.DUMMYFUNCTION("""COMPUTED_VALUE"""),2023)</f>
        <v>2023</v>
      </c>
      <c r="Q1293" s="37">
        <f ca="1">IFERROR(__xludf.DUMMYFUNCTION("""COMPUTED_VALUE"""),2024)</f>
        <v>2024</v>
      </c>
      <c r="R1293" s="15"/>
    </row>
    <row r="1294" spans="1:18" ht="13.2" hidden="1" outlineLevel="1" x14ac:dyDescent="0.25">
      <c r="A1294" s="1"/>
      <c r="B1294" s="38" t="str">
        <f ca="1">IFERROR(__xludf.DUMMYFUNCTION("""COMPUTED_VALUE"""),"Carbón mineral")</f>
        <v>Carbón mineral</v>
      </c>
      <c r="C1294" s="17">
        <f ca="1">IFERROR(__xludf.DUMMYFUNCTION("""COMPUTED_VALUE"""),0)</f>
        <v>0</v>
      </c>
      <c r="D1294" s="18">
        <f ca="1">IFERROR(__xludf.DUMMYFUNCTION("""COMPUTED_VALUE"""),0)</f>
        <v>0</v>
      </c>
      <c r="E1294" s="18">
        <f ca="1">IFERROR(__xludf.DUMMYFUNCTION("""COMPUTED_VALUE"""),0)</f>
        <v>0</v>
      </c>
      <c r="F1294" s="18">
        <f ca="1">IFERROR(__xludf.DUMMYFUNCTION("""COMPUTED_VALUE"""),0)</f>
        <v>0</v>
      </c>
      <c r="G1294" s="18">
        <f ca="1">IFERROR(__xludf.DUMMYFUNCTION("""COMPUTED_VALUE"""),0)</f>
        <v>0</v>
      </c>
      <c r="H1294" s="18">
        <f ca="1">IFERROR(__xludf.DUMMYFUNCTION("""COMPUTED_VALUE"""),0)</f>
        <v>0</v>
      </c>
      <c r="I1294" s="18">
        <f ca="1">IFERROR(__xludf.DUMMYFUNCTION("""COMPUTED_VALUE"""),0)</f>
        <v>0</v>
      </c>
      <c r="J1294" s="18">
        <f ca="1">IFERROR(__xludf.DUMMYFUNCTION("""COMPUTED_VALUE"""),0)</f>
        <v>0</v>
      </c>
      <c r="K1294" s="18">
        <f ca="1">IFERROR(__xludf.DUMMYFUNCTION("""COMPUTED_VALUE"""),0)</f>
        <v>0</v>
      </c>
      <c r="L1294" s="18">
        <f ca="1">IFERROR(__xludf.DUMMYFUNCTION("""COMPUTED_VALUE"""),0)</f>
        <v>0</v>
      </c>
      <c r="M1294" s="18">
        <f ca="1">IFERROR(__xludf.DUMMYFUNCTION("""COMPUTED_VALUE"""),0)</f>
        <v>0</v>
      </c>
      <c r="N1294" s="18">
        <f ca="1">IFERROR(__xludf.DUMMYFUNCTION("""COMPUTED_VALUE"""),0)</f>
        <v>0</v>
      </c>
      <c r="O1294" s="18">
        <f ca="1">IFERROR(__xludf.DUMMYFUNCTION("""COMPUTED_VALUE"""),0)</f>
        <v>0</v>
      </c>
      <c r="P1294" s="18">
        <f ca="1">IFERROR(__xludf.DUMMYFUNCTION("""COMPUTED_VALUE"""),0)</f>
        <v>0</v>
      </c>
      <c r="Q1294" s="19">
        <f ca="1">IFERROR(__xludf.DUMMYFUNCTION("""COMPUTED_VALUE"""),0)</f>
        <v>0</v>
      </c>
      <c r="R1294" s="20"/>
    </row>
    <row r="1295" spans="1:18" ht="13.2" hidden="1" outlineLevel="1" x14ac:dyDescent="0.25">
      <c r="A1295" s="1"/>
      <c r="B1295" s="39" t="str">
        <f ca="1">IFERROR(__xludf.DUMMYFUNCTION("""COMPUTED_VALUE"""),"Petróleo crudo")</f>
        <v>Petróleo crudo</v>
      </c>
      <c r="C1295" s="22">
        <f ca="1">IFERROR(__xludf.DUMMYFUNCTION("""COMPUTED_VALUE"""),0)</f>
        <v>0</v>
      </c>
      <c r="D1295" s="23">
        <f ca="1">IFERROR(__xludf.DUMMYFUNCTION("""COMPUTED_VALUE"""),0)</f>
        <v>0</v>
      </c>
      <c r="E1295" s="23">
        <f ca="1">IFERROR(__xludf.DUMMYFUNCTION("""COMPUTED_VALUE"""),0)</f>
        <v>0</v>
      </c>
      <c r="F1295" s="23">
        <f ca="1">IFERROR(__xludf.DUMMYFUNCTION("""COMPUTED_VALUE"""),0)</f>
        <v>0</v>
      </c>
      <c r="G1295" s="23">
        <f ca="1">IFERROR(__xludf.DUMMYFUNCTION("""COMPUTED_VALUE"""),0)</f>
        <v>0</v>
      </c>
      <c r="H1295" s="23">
        <f ca="1">IFERROR(__xludf.DUMMYFUNCTION("""COMPUTED_VALUE"""),0)</f>
        <v>0</v>
      </c>
      <c r="I1295" s="23">
        <f ca="1">IFERROR(__xludf.DUMMYFUNCTION("""COMPUTED_VALUE"""),0)</f>
        <v>0</v>
      </c>
      <c r="J1295" s="23">
        <f ca="1">IFERROR(__xludf.DUMMYFUNCTION("""COMPUTED_VALUE"""),0)</f>
        <v>0</v>
      </c>
      <c r="K1295" s="23">
        <f ca="1">IFERROR(__xludf.DUMMYFUNCTION("""COMPUTED_VALUE"""),0)</f>
        <v>0</v>
      </c>
      <c r="L1295" s="23">
        <f ca="1">IFERROR(__xludf.DUMMYFUNCTION("""COMPUTED_VALUE"""),0)</f>
        <v>0</v>
      </c>
      <c r="M1295" s="23">
        <f ca="1">IFERROR(__xludf.DUMMYFUNCTION("""COMPUTED_VALUE"""),0)</f>
        <v>0</v>
      </c>
      <c r="N1295" s="23">
        <f ca="1">IFERROR(__xludf.DUMMYFUNCTION("""COMPUTED_VALUE"""),0)</f>
        <v>0</v>
      </c>
      <c r="O1295" s="23">
        <f ca="1">IFERROR(__xludf.DUMMYFUNCTION("""COMPUTED_VALUE"""),0)</f>
        <v>0</v>
      </c>
      <c r="P1295" s="23">
        <f ca="1">IFERROR(__xludf.DUMMYFUNCTION("""COMPUTED_VALUE"""),0)</f>
        <v>0</v>
      </c>
      <c r="Q1295" s="24">
        <f ca="1">IFERROR(__xludf.DUMMYFUNCTION("""COMPUTED_VALUE"""),0)</f>
        <v>0</v>
      </c>
      <c r="R1295" s="20"/>
    </row>
    <row r="1296" spans="1:18" ht="13.2" hidden="1" outlineLevel="1" x14ac:dyDescent="0.25">
      <c r="A1296" s="1"/>
      <c r="B1296" s="39" t="str">
        <f ca="1">IFERROR(__xludf.DUMMYFUNCTION("""COMPUTED_VALUE"""),"Condensados")</f>
        <v>Condensados</v>
      </c>
      <c r="C1296" s="22">
        <f ca="1">IFERROR(__xludf.DUMMYFUNCTION("""COMPUTED_VALUE"""),0)</f>
        <v>0</v>
      </c>
      <c r="D1296" s="23">
        <f ca="1">IFERROR(__xludf.DUMMYFUNCTION("""COMPUTED_VALUE"""),0)</f>
        <v>0</v>
      </c>
      <c r="E1296" s="23">
        <f ca="1">IFERROR(__xludf.DUMMYFUNCTION("""COMPUTED_VALUE"""),0)</f>
        <v>0</v>
      </c>
      <c r="F1296" s="23">
        <f ca="1">IFERROR(__xludf.DUMMYFUNCTION("""COMPUTED_VALUE"""),0)</f>
        <v>0</v>
      </c>
      <c r="G1296" s="23">
        <f ca="1">IFERROR(__xludf.DUMMYFUNCTION("""COMPUTED_VALUE"""),0)</f>
        <v>0</v>
      </c>
      <c r="H1296" s="23">
        <f ca="1">IFERROR(__xludf.DUMMYFUNCTION("""COMPUTED_VALUE"""),0)</f>
        <v>0</v>
      </c>
      <c r="I1296" s="23">
        <f ca="1">IFERROR(__xludf.DUMMYFUNCTION("""COMPUTED_VALUE"""),0)</f>
        <v>0</v>
      </c>
      <c r="J1296" s="23">
        <f ca="1">IFERROR(__xludf.DUMMYFUNCTION("""COMPUTED_VALUE"""),0)</f>
        <v>0</v>
      </c>
      <c r="K1296" s="23">
        <f ca="1">IFERROR(__xludf.DUMMYFUNCTION("""COMPUTED_VALUE"""),0)</f>
        <v>0</v>
      </c>
      <c r="L1296" s="23">
        <f ca="1">IFERROR(__xludf.DUMMYFUNCTION("""COMPUTED_VALUE"""),0)</f>
        <v>0</v>
      </c>
      <c r="M1296" s="23">
        <f ca="1">IFERROR(__xludf.DUMMYFUNCTION("""COMPUTED_VALUE"""),0)</f>
        <v>0</v>
      </c>
      <c r="N1296" s="23">
        <f ca="1">IFERROR(__xludf.DUMMYFUNCTION("""COMPUTED_VALUE"""),0)</f>
        <v>0</v>
      </c>
      <c r="O1296" s="23">
        <f ca="1">IFERROR(__xludf.DUMMYFUNCTION("""COMPUTED_VALUE"""),0)</f>
        <v>0</v>
      </c>
      <c r="P1296" s="23">
        <f ca="1">IFERROR(__xludf.DUMMYFUNCTION("""COMPUTED_VALUE"""),0)</f>
        <v>0</v>
      </c>
      <c r="Q1296" s="24">
        <f ca="1">IFERROR(__xludf.DUMMYFUNCTION("""COMPUTED_VALUE"""),0)</f>
        <v>0</v>
      </c>
      <c r="R1296" s="20"/>
    </row>
    <row r="1297" spans="1:18" ht="13.2" hidden="1" outlineLevel="1" x14ac:dyDescent="0.25">
      <c r="A1297" s="1"/>
      <c r="B1297" s="39" t="str">
        <f ca="1">IFERROR(__xludf.DUMMYFUNCTION("""COMPUTED_VALUE"""),"Gas natural")</f>
        <v>Gas natural</v>
      </c>
      <c r="C1297" s="22">
        <f ca="1">IFERROR(__xludf.DUMMYFUNCTION("""COMPUTED_VALUE"""),0)</f>
        <v>0</v>
      </c>
      <c r="D1297" s="23">
        <f ca="1">IFERROR(__xludf.DUMMYFUNCTION("""COMPUTED_VALUE"""),0)</f>
        <v>0</v>
      </c>
      <c r="E1297" s="23">
        <f ca="1">IFERROR(__xludf.DUMMYFUNCTION("""COMPUTED_VALUE"""),0)</f>
        <v>0</v>
      </c>
      <c r="F1297" s="23">
        <f ca="1">IFERROR(__xludf.DUMMYFUNCTION("""COMPUTED_VALUE"""),0)</f>
        <v>0</v>
      </c>
      <c r="G1297" s="23">
        <f ca="1">IFERROR(__xludf.DUMMYFUNCTION("""COMPUTED_VALUE"""),0)</f>
        <v>0</v>
      </c>
      <c r="H1297" s="23">
        <f ca="1">IFERROR(__xludf.DUMMYFUNCTION("""COMPUTED_VALUE"""),0)</f>
        <v>0</v>
      </c>
      <c r="I1297" s="23">
        <f ca="1">IFERROR(__xludf.DUMMYFUNCTION("""COMPUTED_VALUE"""),0)</f>
        <v>0</v>
      </c>
      <c r="J1297" s="23">
        <f ca="1">IFERROR(__xludf.DUMMYFUNCTION("""COMPUTED_VALUE"""),0)</f>
        <v>0</v>
      </c>
      <c r="K1297" s="23">
        <f ca="1">IFERROR(__xludf.DUMMYFUNCTION("""COMPUTED_VALUE"""),0)</f>
        <v>0</v>
      </c>
      <c r="L1297" s="23">
        <f ca="1">IFERROR(__xludf.DUMMYFUNCTION("""COMPUTED_VALUE"""),0)</f>
        <v>0</v>
      </c>
      <c r="M1297" s="23">
        <f ca="1">IFERROR(__xludf.DUMMYFUNCTION("""COMPUTED_VALUE"""),0)</f>
        <v>0</v>
      </c>
      <c r="N1297" s="23">
        <f ca="1">IFERROR(__xludf.DUMMYFUNCTION("""COMPUTED_VALUE"""),0)</f>
        <v>0</v>
      </c>
      <c r="O1297" s="23">
        <f ca="1">IFERROR(__xludf.DUMMYFUNCTION("""COMPUTED_VALUE"""),0)</f>
        <v>0</v>
      </c>
      <c r="P1297" s="23">
        <f ca="1">IFERROR(__xludf.DUMMYFUNCTION("""COMPUTED_VALUE"""),0)</f>
        <v>0</v>
      </c>
      <c r="Q1297" s="24">
        <f ca="1">IFERROR(__xludf.DUMMYFUNCTION("""COMPUTED_VALUE"""),0)</f>
        <v>0</v>
      </c>
      <c r="R1297" s="20"/>
    </row>
    <row r="1298" spans="1:18" ht="13.2" hidden="1" outlineLevel="1" x14ac:dyDescent="0.25">
      <c r="A1298" s="1"/>
      <c r="B1298" s="39" t="str">
        <f ca="1">IFERROR(__xludf.DUMMYFUNCTION("""COMPUTED_VALUE"""),"Energía Nuclear")</f>
        <v>Energía Nuclear</v>
      </c>
      <c r="C1298" s="22">
        <f ca="1">IFERROR(__xludf.DUMMYFUNCTION("""COMPUTED_VALUE"""),0)</f>
        <v>0</v>
      </c>
      <c r="D1298" s="23">
        <f ca="1">IFERROR(__xludf.DUMMYFUNCTION("""COMPUTED_VALUE"""),0)</f>
        <v>0</v>
      </c>
      <c r="E1298" s="23">
        <f ca="1">IFERROR(__xludf.DUMMYFUNCTION("""COMPUTED_VALUE"""),0)</f>
        <v>0</v>
      </c>
      <c r="F1298" s="23">
        <f ca="1">IFERROR(__xludf.DUMMYFUNCTION("""COMPUTED_VALUE"""),0)</f>
        <v>0</v>
      </c>
      <c r="G1298" s="23">
        <f ca="1">IFERROR(__xludf.DUMMYFUNCTION("""COMPUTED_VALUE"""),0)</f>
        <v>0</v>
      </c>
      <c r="H1298" s="23">
        <f ca="1">IFERROR(__xludf.DUMMYFUNCTION("""COMPUTED_VALUE"""),0)</f>
        <v>0</v>
      </c>
      <c r="I1298" s="23">
        <f ca="1">IFERROR(__xludf.DUMMYFUNCTION("""COMPUTED_VALUE"""),0)</f>
        <v>0</v>
      </c>
      <c r="J1298" s="23">
        <f ca="1">IFERROR(__xludf.DUMMYFUNCTION("""COMPUTED_VALUE"""),0)</f>
        <v>0</v>
      </c>
      <c r="K1298" s="23">
        <f ca="1">IFERROR(__xludf.DUMMYFUNCTION("""COMPUTED_VALUE"""),0)</f>
        <v>0</v>
      </c>
      <c r="L1298" s="23">
        <f ca="1">IFERROR(__xludf.DUMMYFUNCTION("""COMPUTED_VALUE"""),0)</f>
        <v>0</v>
      </c>
      <c r="M1298" s="23">
        <f ca="1">IFERROR(__xludf.DUMMYFUNCTION("""COMPUTED_VALUE"""),0)</f>
        <v>0</v>
      </c>
      <c r="N1298" s="23">
        <f ca="1">IFERROR(__xludf.DUMMYFUNCTION("""COMPUTED_VALUE"""),0)</f>
        <v>0</v>
      </c>
      <c r="O1298" s="23">
        <f ca="1">IFERROR(__xludf.DUMMYFUNCTION("""COMPUTED_VALUE"""),0)</f>
        <v>0</v>
      </c>
      <c r="P1298" s="23">
        <f ca="1">IFERROR(__xludf.DUMMYFUNCTION("""COMPUTED_VALUE"""),0)</f>
        <v>0</v>
      </c>
      <c r="Q1298" s="24">
        <f ca="1">IFERROR(__xludf.DUMMYFUNCTION("""COMPUTED_VALUE"""),0)</f>
        <v>0</v>
      </c>
      <c r="R1298" s="20"/>
    </row>
    <row r="1299" spans="1:18" ht="13.2" hidden="1" outlineLevel="1" x14ac:dyDescent="0.25">
      <c r="A1299" s="1"/>
      <c r="B1299" s="39" t="str">
        <f ca="1">IFERROR(__xludf.DUMMYFUNCTION("""COMPUTED_VALUE"""),"Energia Hidraúlica")</f>
        <v>Energia Hidraúlica</v>
      </c>
      <c r="C1299" s="22">
        <f ca="1">IFERROR(__xludf.DUMMYFUNCTION("""COMPUTED_VALUE"""),0)</f>
        <v>0</v>
      </c>
      <c r="D1299" s="23">
        <f ca="1">IFERROR(__xludf.DUMMYFUNCTION("""COMPUTED_VALUE"""),0)</f>
        <v>0</v>
      </c>
      <c r="E1299" s="23">
        <f ca="1">IFERROR(__xludf.DUMMYFUNCTION("""COMPUTED_VALUE"""),0)</f>
        <v>0</v>
      </c>
      <c r="F1299" s="23">
        <f ca="1">IFERROR(__xludf.DUMMYFUNCTION("""COMPUTED_VALUE"""),0)</f>
        <v>0</v>
      </c>
      <c r="G1299" s="23">
        <f ca="1">IFERROR(__xludf.DUMMYFUNCTION("""COMPUTED_VALUE"""),0)</f>
        <v>0</v>
      </c>
      <c r="H1299" s="23">
        <f ca="1">IFERROR(__xludf.DUMMYFUNCTION("""COMPUTED_VALUE"""),0)</f>
        <v>0</v>
      </c>
      <c r="I1299" s="23">
        <f ca="1">IFERROR(__xludf.DUMMYFUNCTION("""COMPUTED_VALUE"""),0)</f>
        <v>0</v>
      </c>
      <c r="J1299" s="23">
        <f ca="1">IFERROR(__xludf.DUMMYFUNCTION("""COMPUTED_VALUE"""),0)</f>
        <v>0</v>
      </c>
      <c r="K1299" s="23">
        <f ca="1">IFERROR(__xludf.DUMMYFUNCTION("""COMPUTED_VALUE"""),0)</f>
        <v>0</v>
      </c>
      <c r="L1299" s="23">
        <f ca="1">IFERROR(__xludf.DUMMYFUNCTION("""COMPUTED_VALUE"""),0)</f>
        <v>0</v>
      </c>
      <c r="M1299" s="23">
        <f ca="1">IFERROR(__xludf.DUMMYFUNCTION("""COMPUTED_VALUE"""),0)</f>
        <v>0</v>
      </c>
      <c r="N1299" s="23">
        <f ca="1">IFERROR(__xludf.DUMMYFUNCTION("""COMPUTED_VALUE"""),0)</f>
        <v>0</v>
      </c>
      <c r="O1299" s="23">
        <f ca="1">IFERROR(__xludf.DUMMYFUNCTION("""COMPUTED_VALUE"""),0)</f>
        <v>0</v>
      </c>
      <c r="P1299" s="23">
        <f ca="1">IFERROR(__xludf.DUMMYFUNCTION("""COMPUTED_VALUE"""),0)</f>
        <v>0</v>
      </c>
      <c r="Q1299" s="24">
        <f ca="1">IFERROR(__xludf.DUMMYFUNCTION("""COMPUTED_VALUE"""),0)</f>
        <v>0</v>
      </c>
      <c r="R1299" s="20"/>
    </row>
    <row r="1300" spans="1:18" ht="13.2" hidden="1" outlineLevel="1" x14ac:dyDescent="0.25">
      <c r="A1300" s="1"/>
      <c r="B1300" s="39" t="str">
        <f ca="1">IFERROR(__xludf.DUMMYFUNCTION("""COMPUTED_VALUE"""),"Geoenergía")</f>
        <v>Geoenergía</v>
      </c>
      <c r="C1300" s="22">
        <f ca="1">IFERROR(__xludf.DUMMYFUNCTION("""COMPUTED_VALUE"""),0)</f>
        <v>0</v>
      </c>
      <c r="D1300" s="23">
        <f ca="1">IFERROR(__xludf.DUMMYFUNCTION("""COMPUTED_VALUE"""),0)</f>
        <v>0</v>
      </c>
      <c r="E1300" s="23">
        <f ca="1">IFERROR(__xludf.DUMMYFUNCTION("""COMPUTED_VALUE"""),0)</f>
        <v>0</v>
      </c>
      <c r="F1300" s="23">
        <f ca="1">IFERROR(__xludf.DUMMYFUNCTION("""COMPUTED_VALUE"""),0)</f>
        <v>0</v>
      </c>
      <c r="G1300" s="23">
        <f ca="1">IFERROR(__xludf.DUMMYFUNCTION("""COMPUTED_VALUE"""),0)</f>
        <v>0</v>
      </c>
      <c r="H1300" s="23">
        <f ca="1">IFERROR(__xludf.DUMMYFUNCTION("""COMPUTED_VALUE"""),0)</f>
        <v>0</v>
      </c>
      <c r="I1300" s="23">
        <f ca="1">IFERROR(__xludf.DUMMYFUNCTION("""COMPUTED_VALUE"""),0)</f>
        <v>0</v>
      </c>
      <c r="J1300" s="23">
        <f ca="1">IFERROR(__xludf.DUMMYFUNCTION("""COMPUTED_VALUE"""),0)</f>
        <v>0</v>
      </c>
      <c r="K1300" s="23">
        <f ca="1">IFERROR(__xludf.DUMMYFUNCTION("""COMPUTED_VALUE"""),0)</f>
        <v>0</v>
      </c>
      <c r="L1300" s="23">
        <f ca="1">IFERROR(__xludf.DUMMYFUNCTION("""COMPUTED_VALUE"""),0)</f>
        <v>0</v>
      </c>
      <c r="M1300" s="23">
        <f ca="1">IFERROR(__xludf.DUMMYFUNCTION("""COMPUTED_VALUE"""),0)</f>
        <v>0</v>
      </c>
      <c r="N1300" s="23">
        <f ca="1">IFERROR(__xludf.DUMMYFUNCTION("""COMPUTED_VALUE"""),0)</f>
        <v>0</v>
      </c>
      <c r="O1300" s="23">
        <f ca="1">IFERROR(__xludf.DUMMYFUNCTION("""COMPUTED_VALUE"""),0)</f>
        <v>0</v>
      </c>
      <c r="P1300" s="23">
        <f ca="1">IFERROR(__xludf.DUMMYFUNCTION("""COMPUTED_VALUE"""),0)</f>
        <v>0</v>
      </c>
      <c r="Q1300" s="24">
        <f ca="1">IFERROR(__xludf.DUMMYFUNCTION("""COMPUTED_VALUE"""),0)</f>
        <v>0</v>
      </c>
      <c r="R1300" s="20"/>
    </row>
    <row r="1301" spans="1:18" ht="13.2" hidden="1" outlineLevel="1" x14ac:dyDescent="0.25">
      <c r="A1301" s="1"/>
      <c r="B1301" s="39" t="str">
        <f ca="1">IFERROR(__xludf.DUMMYFUNCTION("""COMPUTED_VALUE"""),"Energía solar")</f>
        <v>Energía solar</v>
      </c>
      <c r="C1301" s="22">
        <f ca="1">IFERROR(__xludf.DUMMYFUNCTION("""COMPUTED_VALUE"""),0)</f>
        <v>0</v>
      </c>
      <c r="D1301" s="23">
        <f ca="1">IFERROR(__xludf.DUMMYFUNCTION("""COMPUTED_VALUE"""),0)</f>
        <v>0</v>
      </c>
      <c r="E1301" s="23">
        <f ca="1">IFERROR(__xludf.DUMMYFUNCTION("""COMPUTED_VALUE"""),0)</f>
        <v>0</v>
      </c>
      <c r="F1301" s="23">
        <f ca="1">IFERROR(__xludf.DUMMYFUNCTION("""COMPUTED_VALUE"""),0)</f>
        <v>0</v>
      </c>
      <c r="G1301" s="23">
        <f ca="1">IFERROR(__xludf.DUMMYFUNCTION("""COMPUTED_VALUE"""),0)</f>
        <v>0</v>
      </c>
      <c r="H1301" s="23">
        <f ca="1">IFERROR(__xludf.DUMMYFUNCTION("""COMPUTED_VALUE"""),0)</f>
        <v>0</v>
      </c>
      <c r="I1301" s="23">
        <f ca="1">IFERROR(__xludf.DUMMYFUNCTION("""COMPUTED_VALUE"""),0)</f>
        <v>0</v>
      </c>
      <c r="J1301" s="23">
        <f ca="1">IFERROR(__xludf.DUMMYFUNCTION("""COMPUTED_VALUE"""),0)</f>
        <v>0</v>
      </c>
      <c r="K1301" s="23">
        <f ca="1">IFERROR(__xludf.DUMMYFUNCTION("""COMPUTED_VALUE"""),0)</f>
        <v>0</v>
      </c>
      <c r="L1301" s="23">
        <f ca="1">IFERROR(__xludf.DUMMYFUNCTION("""COMPUTED_VALUE"""),0)</f>
        <v>0</v>
      </c>
      <c r="M1301" s="23">
        <f ca="1">IFERROR(__xludf.DUMMYFUNCTION("""COMPUTED_VALUE"""),0)</f>
        <v>0</v>
      </c>
      <c r="N1301" s="23">
        <f ca="1">IFERROR(__xludf.DUMMYFUNCTION("""COMPUTED_VALUE"""),0)</f>
        <v>0</v>
      </c>
      <c r="O1301" s="23">
        <f ca="1">IFERROR(__xludf.DUMMYFUNCTION("""COMPUTED_VALUE"""),0)</f>
        <v>0</v>
      </c>
      <c r="P1301" s="23">
        <f ca="1">IFERROR(__xludf.DUMMYFUNCTION("""COMPUTED_VALUE"""),0)</f>
        <v>0</v>
      </c>
      <c r="Q1301" s="24">
        <f ca="1">IFERROR(__xludf.DUMMYFUNCTION("""COMPUTED_VALUE"""),0)</f>
        <v>0</v>
      </c>
      <c r="R1301" s="20"/>
    </row>
    <row r="1302" spans="1:18" ht="13.2" hidden="1" outlineLevel="1" x14ac:dyDescent="0.25">
      <c r="A1302" s="1"/>
      <c r="B1302" s="39" t="str">
        <f ca="1">IFERROR(__xludf.DUMMYFUNCTION("""COMPUTED_VALUE"""),"Energía eólica")</f>
        <v>Energía eólica</v>
      </c>
      <c r="C1302" s="22">
        <f ca="1">IFERROR(__xludf.DUMMYFUNCTION("""COMPUTED_VALUE"""),0)</f>
        <v>0</v>
      </c>
      <c r="D1302" s="23">
        <f ca="1">IFERROR(__xludf.DUMMYFUNCTION("""COMPUTED_VALUE"""),0)</f>
        <v>0</v>
      </c>
      <c r="E1302" s="23">
        <f ca="1">IFERROR(__xludf.DUMMYFUNCTION("""COMPUTED_VALUE"""),0)</f>
        <v>0</v>
      </c>
      <c r="F1302" s="23">
        <f ca="1">IFERROR(__xludf.DUMMYFUNCTION("""COMPUTED_VALUE"""),0)</f>
        <v>0</v>
      </c>
      <c r="G1302" s="23">
        <f ca="1">IFERROR(__xludf.DUMMYFUNCTION("""COMPUTED_VALUE"""),0)</f>
        <v>0</v>
      </c>
      <c r="H1302" s="23">
        <f ca="1">IFERROR(__xludf.DUMMYFUNCTION("""COMPUTED_VALUE"""),0)</f>
        <v>0</v>
      </c>
      <c r="I1302" s="23">
        <f ca="1">IFERROR(__xludf.DUMMYFUNCTION("""COMPUTED_VALUE"""),0)</f>
        <v>0</v>
      </c>
      <c r="J1302" s="23">
        <f ca="1">IFERROR(__xludf.DUMMYFUNCTION("""COMPUTED_VALUE"""),0)</f>
        <v>0</v>
      </c>
      <c r="K1302" s="23">
        <f ca="1">IFERROR(__xludf.DUMMYFUNCTION("""COMPUTED_VALUE"""),0)</f>
        <v>0</v>
      </c>
      <c r="L1302" s="23">
        <f ca="1">IFERROR(__xludf.DUMMYFUNCTION("""COMPUTED_VALUE"""),0)</f>
        <v>0</v>
      </c>
      <c r="M1302" s="23">
        <f ca="1">IFERROR(__xludf.DUMMYFUNCTION("""COMPUTED_VALUE"""),0)</f>
        <v>0</v>
      </c>
      <c r="N1302" s="23">
        <f ca="1">IFERROR(__xludf.DUMMYFUNCTION("""COMPUTED_VALUE"""),0)</f>
        <v>0</v>
      </c>
      <c r="O1302" s="23">
        <f ca="1">IFERROR(__xludf.DUMMYFUNCTION("""COMPUTED_VALUE"""),0)</f>
        <v>0</v>
      </c>
      <c r="P1302" s="23">
        <f ca="1">IFERROR(__xludf.DUMMYFUNCTION("""COMPUTED_VALUE"""),0)</f>
        <v>0</v>
      </c>
      <c r="Q1302" s="24">
        <f ca="1">IFERROR(__xludf.DUMMYFUNCTION("""COMPUTED_VALUE"""),0)</f>
        <v>0</v>
      </c>
      <c r="R1302" s="20"/>
    </row>
    <row r="1303" spans="1:18" ht="13.2" hidden="1" outlineLevel="1" x14ac:dyDescent="0.25">
      <c r="A1303" s="1"/>
      <c r="B1303" s="39" t="str">
        <f ca="1">IFERROR(__xludf.DUMMYFUNCTION("""COMPUTED_VALUE"""),"Bagazo de caña")</f>
        <v>Bagazo de caña</v>
      </c>
      <c r="C1303" s="22">
        <f ca="1">IFERROR(__xludf.DUMMYFUNCTION("""COMPUTED_VALUE"""),0)</f>
        <v>0</v>
      </c>
      <c r="D1303" s="23">
        <f ca="1">IFERROR(__xludf.DUMMYFUNCTION("""COMPUTED_VALUE"""),0)</f>
        <v>0</v>
      </c>
      <c r="E1303" s="23">
        <f ca="1">IFERROR(__xludf.DUMMYFUNCTION("""COMPUTED_VALUE"""),0)</f>
        <v>0</v>
      </c>
      <c r="F1303" s="23">
        <f ca="1">IFERROR(__xludf.DUMMYFUNCTION("""COMPUTED_VALUE"""),0)</f>
        <v>0</v>
      </c>
      <c r="G1303" s="23">
        <f ca="1">IFERROR(__xludf.DUMMYFUNCTION("""COMPUTED_VALUE"""),0)</f>
        <v>0</v>
      </c>
      <c r="H1303" s="23">
        <f ca="1">IFERROR(__xludf.DUMMYFUNCTION("""COMPUTED_VALUE"""),0)</f>
        <v>0</v>
      </c>
      <c r="I1303" s="23">
        <f ca="1">IFERROR(__xludf.DUMMYFUNCTION("""COMPUTED_VALUE"""),0)</f>
        <v>0</v>
      </c>
      <c r="J1303" s="23">
        <f ca="1">IFERROR(__xludf.DUMMYFUNCTION("""COMPUTED_VALUE"""),0)</f>
        <v>0</v>
      </c>
      <c r="K1303" s="23">
        <f ca="1">IFERROR(__xludf.DUMMYFUNCTION("""COMPUTED_VALUE"""),0)</f>
        <v>0</v>
      </c>
      <c r="L1303" s="23">
        <f ca="1">IFERROR(__xludf.DUMMYFUNCTION("""COMPUTED_VALUE"""),0)</f>
        <v>0</v>
      </c>
      <c r="M1303" s="23">
        <f ca="1">IFERROR(__xludf.DUMMYFUNCTION("""COMPUTED_VALUE"""),0)</f>
        <v>0</v>
      </c>
      <c r="N1303" s="23">
        <f ca="1">IFERROR(__xludf.DUMMYFUNCTION("""COMPUTED_VALUE"""),0)</f>
        <v>0</v>
      </c>
      <c r="O1303" s="23">
        <f ca="1">IFERROR(__xludf.DUMMYFUNCTION("""COMPUTED_VALUE"""),0)</f>
        <v>0</v>
      </c>
      <c r="P1303" s="23">
        <f ca="1">IFERROR(__xludf.DUMMYFUNCTION("""COMPUTED_VALUE"""),0)</f>
        <v>0</v>
      </c>
      <c r="Q1303" s="24">
        <f ca="1">IFERROR(__xludf.DUMMYFUNCTION("""COMPUTED_VALUE"""),0)</f>
        <v>0</v>
      </c>
      <c r="R1303" s="20"/>
    </row>
    <row r="1304" spans="1:18" ht="13.2" hidden="1" outlineLevel="1" x14ac:dyDescent="0.25">
      <c r="A1304" s="1"/>
      <c r="B1304" s="39" t="str">
        <f ca="1">IFERROR(__xludf.DUMMYFUNCTION("""COMPUTED_VALUE"""),"Leña")</f>
        <v>Leña</v>
      </c>
      <c r="C1304" s="22">
        <f ca="1">IFERROR(__xludf.DUMMYFUNCTION("""COMPUTED_VALUE"""),0)</f>
        <v>0</v>
      </c>
      <c r="D1304" s="23">
        <f ca="1">IFERROR(__xludf.DUMMYFUNCTION("""COMPUTED_VALUE"""),0)</f>
        <v>0</v>
      </c>
      <c r="E1304" s="23">
        <f ca="1">IFERROR(__xludf.DUMMYFUNCTION("""COMPUTED_VALUE"""),0)</f>
        <v>0</v>
      </c>
      <c r="F1304" s="23">
        <f ca="1">IFERROR(__xludf.DUMMYFUNCTION("""COMPUTED_VALUE"""),0)</f>
        <v>0</v>
      </c>
      <c r="G1304" s="23">
        <f ca="1">IFERROR(__xludf.DUMMYFUNCTION("""COMPUTED_VALUE"""),0)</f>
        <v>0</v>
      </c>
      <c r="H1304" s="23">
        <f ca="1">IFERROR(__xludf.DUMMYFUNCTION("""COMPUTED_VALUE"""),0)</f>
        <v>0</v>
      </c>
      <c r="I1304" s="23">
        <f ca="1">IFERROR(__xludf.DUMMYFUNCTION("""COMPUTED_VALUE"""),0)</f>
        <v>0</v>
      </c>
      <c r="J1304" s="23">
        <f ca="1">IFERROR(__xludf.DUMMYFUNCTION("""COMPUTED_VALUE"""),0)</f>
        <v>0</v>
      </c>
      <c r="K1304" s="23">
        <f ca="1">IFERROR(__xludf.DUMMYFUNCTION("""COMPUTED_VALUE"""),0)</f>
        <v>0</v>
      </c>
      <c r="L1304" s="23">
        <f ca="1">IFERROR(__xludf.DUMMYFUNCTION("""COMPUTED_VALUE"""),0)</f>
        <v>0</v>
      </c>
      <c r="M1304" s="23">
        <f ca="1">IFERROR(__xludf.DUMMYFUNCTION("""COMPUTED_VALUE"""),0)</f>
        <v>0</v>
      </c>
      <c r="N1304" s="23">
        <f ca="1">IFERROR(__xludf.DUMMYFUNCTION("""COMPUTED_VALUE"""),0)</f>
        <v>0</v>
      </c>
      <c r="O1304" s="23">
        <f ca="1">IFERROR(__xludf.DUMMYFUNCTION("""COMPUTED_VALUE"""),0)</f>
        <v>0</v>
      </c>
      <c r="P1304" s="23">
        <f ca="1">IFERROR(__xludf.DUMMYFUNCTION("""COMPUTED_VALUE"""),0)</f>
        <v>0</v>
      </c>
      <c r="Q1304" s="24">
        <f ca="1">IFERROR(__xludf.DUMMYFUNCTION("""COMPUTED_VALUE"""),0)</f>
        <v>0</v>
      </c>
      <c r="R1304" s="20"/>
    </row>
    <row r="1305" spans="1:18" ht="13.2" hidden="1" outlineLevel="1" x14ac:dyDescent="0.25">
      <c r="A1305" s="1"/>
      <c r="B1305" s="39" t="str">
        <f ca="1">IFERROR(__xludf.DUMMYFUNCTION("""COMPUTED_VALUE"""),"Biogás")</f>
        <v>Biogás</v>
      </c>
      <c r="C1305" s="22">
        <f ca="1">IFERROR(__xludf.DUMMYFUNCTION("""COMPUTED_VALUE"""),0)</f>
        <v>0</v>
      </c>
      <c r="D1305" s="23">
        <f ca="1">IFERROR(__xludf.DUMMYFUNCTION("""COMPUTED_VALUE"""),0)</f>
        <v>0</v>
      </c>
      <c r="E1305" s="23">
        <f ca="1">IFERROR(__xludf.DUMMYFUNCTION("""COMPUTED_VALUE"""),0)</f>
        <v>0</v>
      </c>
      <c r="F1305" s="23">
        <f ca="1">IFERROR(__xludf.DUMMYFUNCTION("""COMPUTED_VALUE"""),0)</f>
        <v>0</v>
      </c>
      <c r="G1305" s="23">
        <f ca="1">IFERROR(__xludf.DUMMYFUNCTION("""COMPUTED_VALUE"""),0)</f>
        <v>0</v>
      </c>
      <c r="H1305" s="23">
        <f ca="1">IFERROR(__xludf.DUMMYFUNCTION("""COMPUTED_VALUE"""),0)</f>
        <v>0</v>
      </c>
      <c r="I1305" s="23">
        <f ca="1">IFERROR(__xludf.DUMMYFUNCTION("""COMPUTED_VALUE"""),0)</f>
        <v>0</v>
      </c>
      <c r="J1305" s="23">
        <f ca="1">IFERROR(__xludf.DUMMYFUNCTION("""COMPUTED_VALUE"""),0)</f>
        <v>0</v>
      </c>
      <c r="K1305" s="23">
        <f ca="1">IFERROR(__xludf.DUMMYFUNCTION("""COMPUTED_VALUE"""),0)</f>
        <v>0</v>
      </c>
      <c r="L1305" s="23">
        <f ca="1">IFERROR(__xludf.DUMMYFUNCTION("""COMPUTED_VALUE"""),0)</f>
        <v>0</v>
      </c>
      <c r="M1305" s="23">
        <f ca="1">IFERROR(__xludf.DUMMYFUNCTION("""COMPUTED_VALUE"""),0)</f>
        <v>0</v>
      </c>
      <c r="N1305" s="23">
        <f ca="1">IFERROR(__xludf.DUMMYFUNCTION("""COMPUTED_VALUE"""),0)</f>
        <v>0</v>
      </c>
      <c r="O1305" s="23">
        <f ca="1">IFERROR(__xludf.DUMMYFUNCTION("""COMPUTED_VALUE"""),0)</f>
        <v>0</v>
      </c>
      <c r="P1305" s="23">
        <f ca="1">IFERROR(__xludf.DUMMYFUNCTION("""COMPUTED_VALUE"""),0)</f>
        <v>0</v>
      </c>
      <c r="Q1305" s="24">
        <f ca="1">IFERROR(__xludf.DUMMYFUNCTION("""COMPUTED_VALUE"""),0)</f>
        <v>0</v>
      </c>
      <c r="R1305" s="20"/>
    </row>
    <row r="1306" spans="1:18" ht="13.2" hidden="1" outlineLevel="1" x14ac:dyDescent="0.25">
      <c r="A1306" s="1"/>
      <c r="B1306" s="39" t="str">
        <f ca="1">IFERROR(__xludf.DUMMYFUNCTION("""COMPUTED_VALUE"""),"Coque de carbón")</f>
        <v>Coque de carbón</v>
      </c>
      <c r="C1306" s="22">
        <f ca="1">IFERROR(__xludf.DUMMYFUNCTION("""COMPUTED_VALUE"""),0)</f>
        <v>0</v>
      </c>
      <c r="D1306" s="23">
        <f ca="1">IFERROR(__xludf.DUMMYFUNCTION("""COMPUTED_VALUE"""),0)</f>
        <v>0</v>
      </c>
      <c r="E1306" s="23">
        <f ca="1">IFERROR(__xludf.DUMMYFUNCTION("""COMPUTED_VALUE"""),0)</f>
        <v>0</v>
      </c>
      <c r="F1306" s="23">
        <f ca="1">IFERROR(__xludf.DUMMYFUNCTION("""COMPUTED_VALUE"""),0)</f>
        <v>0</v>
      </c>
      <c r="G1306" s="23">
        <f ca="1">IFERROR(__xludf.DUMMYFUNCTION("""COMPUTED_VALUE"""),0)</f>
        <v>0</v>
      </c>
      <c r="H1306" s="23">
        <f ca="1">IFERROR(__xludf.DUMMYFUNCTION("""COMPUTED_VALUE"""),0)</f>
        <v>0</v>
      </c>
      <c r="I1306" s="23">
        <f ca="1">IFERROR(__xludf.DUMMYFUNCTION("""COMPUTED_VALUE"""),0)</f>
        <v>0</v>
      </c>
      <c r="J1306" s="23">
        <f ca="1">IFERROR(__xludf.DUMMYFUNCTION("""COMPUTED_VALUE"""),0)</f>
        <v>0</v>
      </c>
      <c r="K1306" s="23">
        <f ca="1">IFERROR(__xludf.DUMMYFUNCTION("""COMPUTED_VALUE"""),0)</f>
        <v>0</v>
      </c>
      <c r="L1306" s="23">
        <f ca="1">IFERROR(__xludf.DUMMYFUNCTION("""COMPUTED_VALUE"""),0)</f>
        <v>0</v>
      </c>
      <c r="M1306" s="23">
        <f ca="1">IFERROR(__xludf.DUMMYFUNCTION("""COMPUTED_VALUE"""),0)</f>
        <v>0</v>
      </c>
      <c r="N1306" s="23">
        <f ca="1">IFERROR(__xludf.DUMMYFUNCTION("""COMPUTED_VALUE"""),0)</f>
        <v>0</v>
      </c>
      <c r="O1306" s="23">
        <f ca="1">IFERROR(__xludf.DUMMYFUNCTION("""COMPUTED_VALUE"""),0)</f>
        <v>0</v>
      </c>
      <c r="P1306" s="23">
        <f ca="1">IFERROR(__xludf.DUMMYFUNCTION("""COMPUTED_VALUE"""),0)</f>
        <v>0</v>
      </c>
      <c r="Q1306" s="24">
        <f ca="1">IFERROR(__xludf.DUMMYFUNCTION("""COMPUTED_VALUE"""),0)</f>
        <v>0</v>
      </c>
      <c r="R1306" s="20"/>
    </row>
    <row r="1307" spans="1:18" ht="13.2" hidden="1" outlineLevel="1" x14ac:dyDescent="0.25">
      <c r="A1307" s="1"/>
      <c r="B1307" s="39" t="str">
        <f ca="1">IFERROR(__xludf.DUMMYFUNCTION("""COMPUTED_VALUE"""),"Coque de petróleo")</f>
        <v>Coque de petróleo</v>
      </c>
      <c r="C1307" s="22">
        <f ca="1">IFERROR(__xludf.DUMMYFUNCTION("""COMPUTED_VALUE"""),0)</f>
        <v>0</v>
      </c>
      <c r="D1307" s="23">
        <f ca="1">IFERROR(__xludf.DUMMYFUNCTION("""COMPUTED_VALUE"""),0)</f>
        <v>0</v>
      </c>
      <c r="E1307" s="23">
        <f ca="1">IFERROR(__xludf.DUMMYFUNCTION("""COMPUTED_VALUE"""),0)</f>
        <v>0</v>
      </c>
      <c r="F1307" s="23">
        <f ca="1">IFERROR(__xludf.DUMMYFUNCTION("""COMPUTED_VALUE"""),0)</f>
        <v>0</v>
      </c>
      <c r="G1307" s="23">
        <f ca="1">IFERROR(__xludf.DUMMYFUNCTION("""COMPUTED_VALUE"""),0)</f>
        <v>0</v>
      </c>
      <c r="H1307" s="23">
        <f ca="1">IFERROR(__xludf.DUMMYFUNCTION("""COMPUTED_VALUE"""),0)</f>
        <v>0</v>
      </c>
      <c r="I1307" s="23">
        <f ca="1">IFERROR(__xludf.DUMMYFUNCTION("""COMPUTED_VALUE"""),0)</f>
        <v>0</v>
      </c>
      <c r="J1307" s="23">
        <f ca="1">IFERROR(__xludf.DUMMYFUNCTION("""COMPUTED_VALUE"""),0)</f>
        <v>0</v>
      </c>
      <c r="K1307" s="23">
        <f ca="1">IFERROR(__xludf.DUMMYFUNCTION("""COMPUTED_VALUE"""),0)</f>
        <v>0</v>
      </c>
      <c r="L1307" s="23">
        <f ca="1">IFERROR(__xludf.DUMMYFUNCTION("""COMPUTED_VALUE"""),0)</f>
        <v>0</v>
      </c>
      <c r="M1307" s="23">
        <f ca="1">IFERROR(__xludf.DUMMYFUNCTION("""COMPUTED_VALUE"""),0)</f>
        <v>0</v>
      </c>
      <c r="N1307" s="23">
        <f ca="1">IFERROR(__xludf.DUMMYFUNCTION("""COMPUTED_VALUE"""),0)</f>
        <v>0</v>
      </c>
      <c r="O1307" s="23">
        <f ca="1">IFERROR(__xludf.DUMMYFUNCTION("""COMPUTED_VALUE"""),0)</f>
        <v>0</v>
      </c>
      <c r="P1307" s="23">
        <f ca="1">IFERROR(__xludf.DUMMYFUNCTION("""COMPUTED_VALUE"""),0)</f>
        <v>0</v>
      </c>
      <c r="Q1307" s="24">
        <f ca="1">IFERROR(__xludf.DUMMYFUNCTION("""COMPUTED_VALUE"""),0)</f>
        <v>0</v>
      </c>
      <c r="R1307" s="20"/>
    </row>
    <row r="1308" spans="1:18" ht="13.2" hidden="1" outlineLevel="1" x14ac:dyDescent="0.25">
      <c r="A1308" s="1"/>
      <c r="B1308" s="39" t="str">
        <f ca="1">IFERROR(__xludf.DUMMYFUNCTION("""COMPUTED_VALUE"""),"Gas licuado de petróleo")</f>
        <v>Gas licuado de petróleo</v>
      </c>
      <c r="C1308" s="22">
        <f ca="1">IFERROR(__xludf.DUMMYFUNCTION("""COMPUTED_VALUE"""),0)</f>
        <v>0</v>
      </c>
      <c r="D1308" s="23">
        <f ca="1">IFERROR(__xludf.DUMMYFUNCTION("""COMPUTED_VALUE"""),0)</f>
        <v>0</v>
      </c>
      <c r="E1308" s="23">
        <f ca="1">IFERROR(__xludf.DUMMYFUNCTION("""COMPUTED_VALUE"""),0)</f>
        <v>0</v>
      </c>
      <c r="F1308" s="23">
        <f ca="1">IFERROR(__xludf.DUMMYFUNCTION("""COMPUTED_VALUE"""),0)</f>
        <v>0</v>
      </c>
      <c r="G1308" s="23">
        <f ca="1">IFERROR(__xludf.DUMMYFUNCTION("""COMPUTED_VALUE"""),0)</f>
        <v>0</v>
      </c>
      <c r="H1308" s="23">
        <f ca="1">IFERROR(__xludf.DUMMYFUNCTION("""COMPUTED_VALUE"""),0)</f>
        <v>0</v>
      </c>
      <c r="I1308" s="23">
        <f ca="1">IFERROR(__xludf.DUMMYFUNCTION("""COMPUTED_VALUE"""),0)</f>
        <v>0</v>
      </c>
      <c r="J1308" s="23">
        <f ca="1">IFERROR(__xludf.DUMMYFUNCTION("""COMPUTED_VALUE"""),0)</f>
        <v>0</v>
      </c>
      <c r="K1308" s="23">
        <f ca="1">IFERROR(__xludf.DUMMYFUNCTION("""COMPUTED_VALUE"""),0)</f>
        <v>0</v>
      </c>
      <c r="L1308" s="23">
        <f ca="1">IFERROR(__xludf.DUMMYFUNCTION("""COMPUTED_VALUE"""),0)</f>
        <v>0</v>
      </c>
      <c r="M1308" s="23">
        <f ca="1">IFERROR(__xludf.DUMMYFUNCTION("""COMPUTED_VALUE"""),0)</f>
        <v>0</v>
      </c>
      <c r="N1308" s="23">
        <f ca="1">IFERROR(__xludf.DUMMYFUNCTION("""COMPUTED_VALUE"""),0)</f>
        <v>0</v>
      </c>
      <c r="O1308" s="23">
        <f ca="1">IFERROR(__xludf.DUMMYFUNCTION("""COMPUTED_VALUE"""),0)</f>
        <v>0</v>
      </c>
      <c r="P1308" s="23">
        <f ca="1">IFERROR(__xludf.DUMMYFUNCTION("""COMPUTED_VALUE"""),0)</f>
        <v>0</v>
      </c>
      <c r="Q1308" s="24">
        <f ca="1">IFERROR(__xludf.DUMMYFUNCTION("""COMPUTED_VALUE"""),0)</f>
        <v>0</v>
      </c>
      <c r="R1308" s="20"/>
    </row>
    <row r="1309" spans="1:18" ht="13.2" hidden="1" outlineLevel="1" x14ac:dyDescent="0.25">
      <c r="A1309" s="1"/>
      <c r="B1309" s="39" t="str">
        <f ca="1">IFERROR(__xludf.DUMMYFUNCTION("""COMPUTED_VALUE"""),"Gasolinas y naftas")</f>
        <v>Gasolinas y naftas</v>
      </c>
      <c r="C1309" s="22">
        <f ca="1">IFERROR(__xludf.DUMMYFUNCTION("""COMPUTED_VALUE"""),0)</f>
        <v>0</v>
      </c>
      <c r="D1309" s="23">
        <f ca="1">IFERROR(__xludf.DUMMYFUNCTION("""COMPUTED_VALUE"""),0)</f>
        <v>0</v>
      </c>
      <c r="E1309" s="23">
        <f ca="1">IFERROR(__xludf.DUMMYFUNCTION("""COMPUTED_VALUE"""),0)</f>
        <v>0</v>
      </c>
      <c r="F1309" s="23">
        <f ca="1">IFERROR(__xludf.DUMMYFUNCTION("""COMPUTED_VALUE"""),0)</f>
        <v>0</v>
      </c>
      <c r="G1309" s="23">
        <f ca="1">IFERROR(__xludf.DUMMYFUNCTION("""COMPUTED_VALUE"""),0)</f>
        <v>0</v>
      </c>
      <c r="H1309" s="23">
        <f ca="1">IFERROR(__xludf.DUMMYFUNCTION("""COMPUTED_VALUE"""),0)</f>
        <v>0</v>
      </c>
      <c r="I1309" s="23">
        <f ca="1">IFERROR(__xludf.DUMMYFUNCTION("""COMPUTED_VALUE"""),0)</f>
        <v>0</v>
      </c>
      <c r="J1309" s="23">
        <f ca="1">IFERROR(__xludf.DUMMYFUNCTION("""COMPUTED_VALUE"""),0)</f>
        <v>0</v>
      </c>
      <c r="K1309" s="23">
        <f ca="1">IFERROR(__xludf.DUMMYFUNCTION("""COMPUTED_VALUE"""),0)</f>
        <v>0</v>
      </c>
      <c r="L1309" s="23">
        <f ca="1">IFERROR(__xludf.DUMMYFUNCTION("""COMPUTED_VALUE"""),0)</f>
        <v>0</v>
      </c>
      <c r="M1309" s="23">
        <f ca="1">IFERROR(__xludf.DUMMYFUNCTION("""COMPUTED_VALUE"""),0)</f>
        <v>0</v>
      </c>
      <c r="N1309" s="23">
        <f ca="1">IFERROR(__xludf.DUMMYFUNCTION("""COMPUTED_VALUE"""),0)</f>
        <v>0</v>
      </c>
      <c r="O1309" s="23">
        <f ca="1">IFERROR(__xludf.DUMMYFUNCTION("""COMPUTED_VALUE"""),0)</f>
        <v>0</v>
      </c>
      <c r="P1309" s="23">
        <f ca="1">IFERROR(__xludf.DUMMYFUNCTION("""COMPUTED_VALUE"""),0)</f>
        <v>0</v>
      </c>
      <c r="Q1309" s="24">
        <f ca="1">IFERROR(__xludf.DUMMYFUNCTION("""COMPUTED_VALUE"""),0)</f>
        <v>0</v>
      </c>
      <c r="R1309" s="20"/>
    </row>
    <row r="1310" spans="1:18" ht="13.2" hidden="1" outlineLevel="1" x14ac:dyDescent="0.25">
      <c r="A1310" s="1"/>
      <c r="B1310" s="39" t="str">
        <f ca="1">IFERROR(__xludf.DUMMYFUNCTION("""COMPUTED_VALUE"""),"Querosenos")</f>
        <v>Querosenos</v>
      </c>
      <c r="C1310" s="22">
        <f ca="1">IFERROR(__xludf.DUMMYFUNCTION("""COMPUTED_VALUE"""),0)</f>
        <v>0</v>
      </c>
      <c r="D1310" s="23">
        <f ca="1">IFERROR(__xludf.DUMMYFUNCTION("""COMPUTED_VALUE"""),0)</f>
        <v>0</v>
      </c>
      <c r="E1310" s="23">
        <f ca="1">IFERROR(__xludf.DUMMYFUNCTION("""COMPUTED_VALUE"""),0)</f>
        <v>0</v>
      </c>
      <c r="F1310" s="23">
        <f ca="1">IFERROR(__xludf.DUMMYFUNCTION("""COMPUTED_VALUE"""),0)</f>
        <v>0</v>
      </c>
      <c r="G1310" s="23">
        <f ca="1">IFERROR(__xludf.DUMMYFUNCTION("""COMPUTED_VALUE"""),0)</f>
        <v>0</v>
      </c>
      <c r="H1310" s="23">
        <f ca="1">IFERROR(__xludf.DUMMYFUNCTION("""COMPUTED_VALUE"""),0)</f>
        <v>0</v>
      </c>
      <c r="I1310" s="23">
        <f ca="1">IFERROR(__xludf.DUMMYFUNCTION("""COMPUTED_VALUE"""),0)</f>
        <v>0</v>
      </c>
      <c r="J1310" s="23">
        <f ca="1">IFERROR(__xludf.DUMMYFUNCTION("""COMPUTED_VALUE"""),0)</f>
        <v>0</v>
      </c>
      <c r="K1310" s="23">
        <f ca="1">IFERROR(__xludf.DUMMYFUNCTION("""COMPUTED_VALUE"""),0)</f>
        <v>0</v>
      </c>
      <c r="L1310" s="23">
        <f ca="1">IFERROR(__xludf.DUMMYFUNCTION("""COMPUTED_VALUE"""),0)</f>
        <v>0</v>
      </c>
      <c r="M1310" s="23">
        <f ca="1">IFERROR(__xludf.DUMMYFUNCTION("""COMPUTED_VALUE"""),0)</f>
        <v>0</v>
      </c>
      <c r="N1310" s="23">
        <f ca="1">IFERROR(__xludf.DUMMYFUNCTION("""COMPUTED_VALUE"""),0)</f>
        <v>0</v>
      </c>
      <c r="O1310" s="23">
        <f ca="1">IFERROR(__xludf.DUMMYFUNCTION("""COMPUTED_VALUE"""),0)</f>
        <v>0</v>
      </c>
      <c r="P1310" s="23">
        <f ca="1">IFERROR(__xludf.DUMMYFUNCTION("""COMPUTED_VALUE"""),0)</f>
        <v>0</v>
      </c>
      <c r="Q1310" s="24">
        <f ca="1">IFERROR(__xludf.DUMMYFUNCTION("""COMPUTED_VALUE"""),0)</f>
        <v>0</v>
      </c>
      <c r="R1310" s="20"/>
    </row>
    <row r="1311" spans="1:18" ht="13.2" hidden="1" outlineLevel="1" x14ac:dyDescent="0.25">
      <c r="A1311" s="1"/>
      <c r="B1311" s="39" t="str">
        <f ca="1">IFERROR(__xludf.DUMMYFUNCTION("""COMPUTED_VALUE"""),"Diesel")</f>
        <v>Diesel</v>
      </c>
      <c r="C1311" s="22">
        <f ca="1">IFERROR(__xludf.DUMMYFUNCTION("""COMPUTED_VALUE"""),0)</f>
        <v>0</v>
      </c>
      <c r="D1311" s="23">
        <f ca="1">IFERROR(__xludf.DUMMYFUNCTION("""COMPUTED_VALUE"""),0)</f>
        <v>0</v>
      </c>
      <c r="E1311" s="23">
        <f ca="1">IFERROR(__xludf.DUMMYFUNCTION("""COMPUTED_VALUE"""),0)</f>
        <v>0</v>
      </c>
      <c r="F1311" s="23">
        <f ca="1">IFERROR(__xludf.DUMMYFUNCTION("""COMPUTED_VALUE"""),0)</f>
        <v>0</v>
      </c>
      <c r="G1311" s="23">
        <f ca="1">IFERROR(__xludf.DUMMYFUNCTION("""COMPUTED_VALUE"""),0)</f>
        <v>0</v>
      </c>
      <c r="H1311" s="23">
        <f ca="1">IFERROR(__xludf.DUMMYFUNCTION("""COMPUTED_VALUE"""),0)</f>
        <v>0</v>
      </c>
      <c r="I1311" s="23">
        <f ca="1">IFERROR(__xludf.DUMMYFUNCTION("""COMPUTED_VALUE"""),0)</f>
        <v>0</v>
      </c>
      <c r="J1311" s="23">
        <f ca="1">IFERROR(__xludf.DUMMYFUNCTION("""COMPUTED_VALUE"""),0)</f>
        <v>0</v>
      </c>
      <c r="K1311" s="23">
        <f ca="1">IFERROR(__xludf.DUMMYFUNCTION("""COMPUTED_VALUE"""),0)</f>
        <v>0</v>
      </c>
      <c r="L1311" s="23">
        <f ca="1">IFERROR(__xludf.DUMMYFUNCTION("""COMPUTED_VALUE"""),0)</f>
        <v>0</v>
      </c>
      <c r="M1311" s="23">
        <f ca="1">IFERROR(__xludf.DUMMYFUNCTION("""COMPUTED_VALUE"""),0)</f>
        <v>0</v>
      </c>
      <c r="N1311" s="23">
        <f ca="1">IFERROR(__xludf.DUMMYFUNCTION("""COMPUTED_VALUE"""),0)</f>
        <v>0</v>
      </c>
      <c r="O1311" s="23">
        <f ca="1">IFERROR(__xludf.DUMMYFUNCTION("""COMPUTED_VALUE"""),0)</f>
        <v>0</v>
      </c>
      <c r="P1311" s="23">
        <f ca="1">IFERROR(__xludf.DUMMYFUNCTION("""COMPUTED_VALUE"""),0)</f>
        <v>0</v>
      </c>
      <c r="Q1311" s="24">
        <f ca="1">IFERROR(__xludf.DUMMYFUNCTION("""COMPUTED_VALUE"""),0)</f>
        <v>0</v>
      </c>
      <c r="R1311" s="20"/>
    </row>
    <row r="1312" spans="1:18" ht="13.2" hidden="1" outlineLevel="1" x14ac:dyDescent="0.25">
      <c r="A1312" s="1"/>
      <c r="B1312" s="39" t="str">
        <f ca="1">IFERROR(__xludf.DUMMYFUNCTION("""COMPUTED_VALUE"""),"Combustóleo")</f>
        <v>Combustóleo</v>
      </c>
      <c r="C1312" s="22">
        <f ca="1">IFERROR(__xludf.DUMMYFUNCTION("""COMPUTED_VALUE"""),0)</f>
        <v>0</v>
      </c>
      <c r="D1312" s="23">
        <f ca="1">IFERROR(__xludf.DUMMYFUNCTION("""COMPUTED_VALUE"""),0)</f>
        <v>0</v>
      </c>
      <c r="E1312" s="23">
        <f ca="1">IFERROR(__xludf.DUMMYFUNCTION("""COMPUTED_VALUE"""),0)</f>
        <v>0</v>
      </c>
      <c r="F1312" s="23">
        <f ca="1">IFERROR(__xludf.DUMMYFUNCTION("""COMPUTED_VALUE"""),0)</f>
        <v>0</v>
      </c>
      <c r="G1312" s="23">
        <f ca="1">IFERROR(__xludf.DUMMYFUNCTION("""COMPUTED_VALUE"""),0)</f>
        <v>0</v>
      </c>
      <c r="H1312" s="23">
        <f ca="1">IFERROR(__xludf.DUMMYFUNCTION("""COMPUTED_VALUE"""),0)</f>
        <v>0</v>
      </c>
      <c r="I1312" s="23">
        <f ca="1">IFERROR(__xludf.DUMMYFUNCTION("""COMPUTED_VALUE"""),0)</f>
        <v>0</v>
      </c>
      <c r="J1312" s="23">
        <f ca="1">IFERROR(__xludf.DUMMYFUNCTION("""COMPUTED_VALUE"""),0)</f>
        <v>0</v>
      </c>
      <c r="K1312" s="23">
        <f ca="1">IFERROR(__xludf.DUMMYFUNCTION("""COMPUTED_VALUE"""),0)</f>
        <v>0</v>
      </c>
      <c r="L1312" s="23">
        <f ca="1">IFERROR(__xludf.DUMMYFUNCTION("""COMPUTED_VALUE"""),0)</f>
        <v>0</v>
      </c>
      <c r="M1312" s="23">
        <f ca="1">IFERROR(__xludf.DUMMYFUNCTION("""COMPUTED_VALUE"""),0)</f>
        <v>0</v>
      </c>
      <c r="N1312" s="23">
        <f ca="1">IFERROR(__xludf.DUMMYFUNCTION("""COMPUTED_VALUE"""),0)</f>
        <v>0</v>
      </c>
      <c r="O1312" s="23">
        <f ca="1">IFERROR(__xludf.DUMMYFUNCTION("""COMPUTED_VALUE"""),0)</f>
        <v>0</v>
      </c>
      <c r="P1312" s="23">
        <f ca="1">IFERROR(__xludf.DUMMYFUNCTION("""COMPUTED_VALUE"""),0)</f>
        <v>0</v>
      </c>
      <c r="Q1312" s="24">
        <f ca="1">IFERROR(__xludf.DUMMYFUNCTION("""COMPUTED_VALUE"""),0)</f>
        <v>0</v>
      </c>
      <c r="R1312" s="20"/>
    </row>
    <row r="1313" spans="1:18" ht="13.2" hidden="1" outlineLevel="1" x14ac:dyDescent="0.25">
      <c r="A1313" s="1"/>
      <c r="B1313" s="39" t="str">
        <f ca="1">IFERROR(__xludf.DUMMYFUNCTION("""COMPUTED_VALUE"""),"Otros energéticos")</f>
        <v>Otros energéticos</v>
      </c>
      <c r="C1313" s="22">
        <f ca="1">IFERROR(__xludf.DUMMYFUNCTION("""COMPUTED_VALUE"""),0)</f>
        <v>0</v>
      </c>
      <c r="D1313" s="23">
        <f ca="1">IFERROR(__xludf.DUMMYFUNCTION("""COMPUTED_VALUE"""),0)</f>
        <v>0</v>
      </c>
      <c r="E1313" s="23">
        <f ca="1">IFERROR(__xludf.DUMMYFUNCTION("""COMPUTED_VALUE"""),0)</f>
        <v>0</v>
      </c>
      <c r="F1313" s="23">
        <f ca="1">IFERROR(__xludf.DUMMYFUNCTION("""COMPUTED_VALUE"""),0)</f>
        <v>0</v>
      </c>
      <c r="G1313" s="23">
        <f ca="1">IFERROR(__xludf.DUMMYFUNCTION("""COMPUTED_VALUE"""),0)</f>
        <v>0</v>
      </c>
      <c r="H1313" s="23">
        <f ca="1">IFERROR(__xludf.DUMMYFUNCTION("""COMPUTED_VALUE"""),0)</f>
        <v>0</v>
      </c>
      <c r="I1313" s="23">
        <f ca="1">IFERROR(__xludf.DUMMYFUNCTION("""COMPUTED_VALUE"""),0)</f>
        <v>0</v>
      </c>
      <c r="J1313" s="23">
        <f ca="1">IFERROR(__xludf.DUMMYFUNCTION("""COMPUTED_VALUE"""),0)</f>
        <v>0</v>
      </c>
      <c r="K1313" s="23">
        <f ca="1">IFERROR(__xludf.DUMMYFUNCTION("""COMPUTED_VALUE"""),0)</f>
        <v>0</v>
      </c>
      <c r="L1313" s="23">
        <f ca="1">IFERROR(__xludf.DUMMYFUNCTION("""COMPUTED_VALUE"""),0)</f>
        <v>0</v>
      </c>
      <c r="M1313" s="23">
        <f ca="1">IFERROR(__xludf.DUMMYFUNCTION("""COMPUTED_VALUE"""),0)</f>
        <v>0</v>
      </c>
      <c r="N1313" s="23">
        <f ca="1">IFERROR(__xludf.DUMMYFUNCTION("""COMPUTED_VALUE"""),0)</f>
        <v>0</v>
      </c>
      <c r="O1313" s="23">
        <f ca="1">IFERROR(__xludf.DUMMYFUNCTION("""COMPUTED_VALUE"""),0)</f>
        <v>0</v>
      </c>
      <c r="P1313" s="23">
        <f ca="1">IFERROR(__xludf.DUMMYFUNCTION("""COMPUTED_VALUE"""),0)</f>
        <v>0</v>
      </c>
      <c r="Q1313" s="24">
        <f ca="1">IFERROR(__xludf.DUMMYFUNCTION("""COMPUTED_VALUE"""),0)</f>
        <v>0</v>
      </c>
      <c r="R1313" s="20"/>
    </row>
    <row r="1314" spans="1:18" ht="13.2" hidden="1" outlineLevel="1" x14ac:dyDescent="0.25">
      <c r="A1314" s="1"/>
      <c r="B1314" s="39" t="str">
        <f ca="1">IFERROR(__xludf.DUMMYFUNCTION("""COMPUTED_VALUE"""),"Gas natural seco")</f>
        <v>Gas natural seco</v>
      </c>
      <c r="C1314" s="22">
        <f ca="1">IFERROR(__xludf.DUMMYFUNCTION("""COMPUTED_VALUE"""),0)</f>
        <v>0</v>
      </c>
      <c r="D1314" s="23">
        <f ca="1">IFERROR(__xludf.DUMMYFUNCTION("""COMPUTED_VALUE"""),0)</f>
        <v>0</v>
      </c>
      <c r="E1314" s="23">
        <f ca="1">IFERROR(__xludf.DUMMYFUNCTION("""COMPUTED_VALUE"""),0)</f>
        <v>0</v>
      </c>
      <c r="F1314" s="23">
        <f ca="1">IFERROR(__xludf.DUMMYFUNCTION("""COMPUTED_VALUE"""),0)</f>
        <v>0</v>
      </c>
      <c r="G1314" s="23">
        <f ca="1">IFERROR(__xludf.DUMMYFUNCTION("""COMPUTED_VALUE"""),0)</f>
        <v>0</v>
      </c>
      <c r="H1314" s="23">
        <f ca="1">IFERROR(__xludf.DUMMYFUNCTION("""COMPUTED_VALUE"""),0)</f>
        <v>0</v>
      </c>
      <c r="I1314" s="23">
        <f ca="1">IFERROR(__xludf.DUMMYFUNCTION("""COMPUTED_VALUE"""),0)</f>
        <v>0</v>
      </c>
      <c r="J1314" s="23">
        <f ca="1">IFERROR(__xludf.DUMMYFUNCTION("""COMPUTED_VALUE"""),0)</f>
        <v>0</v>
      </c>
      <c r="K1314" s="23">
        <f ca="1">IFERROR(__xludf.DUMMYFUNCTION("""COMPUTED_VALUE"""),0)</f>
        <v>0</v>
      </c>
      <c r="L1314" s="23">
        <f ca="1">IFERROR(__xludf.DUMMYFUNCTION("""COMPUTED_VALUE"""),0)</f>
        <v>0</v>
      </c>
      <c r="M1314" s="23">
        <f ca="1">IFERROR(__xludf.DUMMYFUNCTION("""COMPUTED_VALUE"""),0)</f>
        <v>0</v>
      </c>
      <c r="N1314" s="23">
        <f ca="1">IFERROR(__xludf.DUMMYFUNCTION("""COMPUTED_VALUE"""),0)</f>
        <v>0</v>
      </c>
      <c r="O1314" s="23">
        <f ca="1">IFERROR(__xludf.DUMMYFUNCTION("""COMPUTED_VALUE"""),0)</f>
        <v>0</v>
      </c>
      <c r="P1314" s="23">
        <f ca="1">IFERROR(__xludf.DUMMYFUNCTION("""COMPUTED_VALUE"""),0)</f>
        <v>0</v>
      </c>
      <c r="Q1314" s="24">
        <f ca="1">IFERROR(__xludf.DUMMYFUNCTION("""COMPUTED_VALUE"""),0)</f>
        <v>0</v>
      </c>
      <c r="R1314" s="20"/>
    </row>
    <row r="1315" spans="1:18" ht="13.2" hidden="1" outlineLevel="1" x14ac:dyDescent="0.25">
      <c r="A1315" s="1"/>
      <c r="B1315" s="40" t="str">
        <f ca="1">IFERROR(__xludf.DUMMYFUNCTION("""COMPUTED_VALUE"""),"Energía eléctrica")</f>
        <v>Energía eléctrica</v>
      </c>
      <c r="C1315" s="26">
        <f ca="1">IFERROR(__xludf.DUMMYFUNCTION("""COMPUTED_VALUE"""),0)</f>
        <v>0</v>
      </c>
      <c r="D1315" s="27">
        <f ca="1">IFERROR(__xludf.DUMMYFUNCTION("""COMPUTED_VALUE"""),0)</f>
        <v>0</v>
      </c>
      <c r="E1315" s="27">
        <f ca="1">IFERROR(__xludf.DUMMYFUNCTION("""COMPUTED_VALUE"""),0)</f>
        <v>0</v>
      </c>
      <c r="F1315" s="27">
        <f ca="1">IFERROR(__xludf.DUMMYFUNCTION("""COMPUTED_VALUE"""),0)</f>
        <v>0</v>
      </c>
      <c r="G1315" s="27">
        <f ca="1">IFERROR(__xludf.DUMMYFUNCTION("""COMPUTED_VALUE"""),0)</f>
        <v>0</v>
      </c>
      <c r="H1315" s="27">
        <f ca="1">IFERROR(__xludf.DUMMYFUNCTION("""COMPUTED_VALUE"""),0)</f>
        <v>0</v>
      </c>
      <c r="I1315" s="27">
        <f ca="1">IFERROR(__xludf.DUMMYFUNCTION("""COMPUTED_VALUE"""),0)</f>
        <v>0</v>
      </c>
      <c r="J1315" s="27">
        <f ca="1">IFERROR(__xludf.DUMMYFUNCTION("""COMPUTED_VALUE"""),0)</f>
        <v>0</v>
      </c>
      <c r="K1315" s="27">
        <f ca="1">IFERROR(__xludf.DUMMYFUNCTION("""COMPUTED_VALUE"""),0)</f>
        <v>0</v>
      </c>
      <c r="L1315" s="27">
        <f ca="1">IFERROR(__xludf.DUMMYFUNCTION("""COMPUTED_VALUE"""),0)</f>
        <v>0</v>
      </c>
      <c r="M1315" s="27">
        <f ca="1">IFERROR(__xludf.DUMMYFUNCTION("""COMPUTED_VALUE"""),0)</f>
        <v>0</v>
      </c>
      <c r="N1315" s="27">
        <f ca="1">IFERROR(__xludf.DUMMYFUNCTION("""COMPUTED_VALUE"""),0)</f>
        <v>0</v>
      </c>
      <c r="O1315" s="27">
        <f ca="1">IFERROR(__xludf.DUMMYFUNCTION("""COMPUTED_VALUE"""),0)</f>
        <v>0</v>
      </c>
      <c r="P1315" s="27">
        <f ca="1">IFERROR(__xludf.DUMMYFUNCTION("""COMPUTED_VALUE"""),0)</f>
        <v>0</v>
      </c>
      <c r="Q1315" s="28">
        <f ca="1">IFERROR(__xludf.DUMMYFUNCTION("""COMPUTED_VALUE"""),0)</f>
        <v>0</v>
      </c>
      <c r="R1315" s="20"/>
    </row>
    <row r="1316" spans="1:18" ht="13.2" collapsed="1" x14ac:dyDescent="0.25">
      <c r="A1316" s="1"/>
      <c r="B1316" s="31" t="str">
        <f ca="1">IFERROR(__xludf.DUMMYFUNCTION("""COMPUTED_VALUE"""),"321	Industria de la madera")</f>
        <v>321	Industria de la madera</v>
      </c>
      <c r="C1316" s="41"/>
      <c r="D1316" s="42"/>
      <c r="E1316" s="41"/>
      <c r="F1316" s="41"/>
      <c r="G1316" s="43"/>
      <c r="H1316" s="44"/>
      <c r="I1316" s="45"/>
      <c r="J1316" s="45"/>
      <c r="K1316" s="45"/>
      <c r="L1316" s="45"/>
      <c r="M1316" s="45"/>
      <c r="N1316" s="45"/>
      <c r="O1316" s="45"/>
      <c r="P1316" s="45"/>
      <c r="Q1316" s="45"/>
      <c r="R1316" s="10"/>
    </row>
    <row r="1317" spans="1:18" ht="13.2" hidden="1" outlineLevel="1" x14ac:dyDescent="0.25">
      <c r="A1317" s="1"/>
      <c r="B1317" s="46"/>
      <c r="C1317" s="35">
        <f ca="1">IFERROR(__xludf.DUMMYFUNCTION("""COMPUTED_VALUE"""),2010)</f>
        <v>2010</v>
      </c>
      <c r="D1317" s="36">
        <f ca="1">IFERROR(__xludf.DUMMYFUNCTION("""COMPUTED_VALUE"""),2011)</f>
        <v>2011</v>
      </c>
      <c r="E1317" s="36">
        <f ca="1">IFERROR(__xludf.DUMMYFUNCTION("""COMPUTED_VALUE"""),2012)</f>
        <v>2012</v>
      </c>
      <c r="F1317" s="36">
        <f ca="1">IFERROR(__xludf.DUMMYFUNCTION("""COMPUTED_VALUE"""),2013)</f>
        <v>2013</v>
      </c>
      <c r="G1317" s="36">
        <f ca="1">IFERROR(__xludf.DUMMYFUNCTION("""COMPUTED_VALUE"""),2014)</f>
        <v>2014</v>
      </c>
      <c r="H1317" s="36">
        <f ca="1">IFERROR(__xludf.DUMMYFUNCTION("""COMPUTED_VALUE"""),2015)</f>
        <v>2015</v>
      </c>
      <c r="I1317" s="36">
        <f ca="1">IFERROR(__xludf.DUMMYFUNCTION("""COMPUTED_VALUE"""),2016)</f>
        <v>2016</v>
      </c>
      <c r="J1317" s="36">
        <f ca="1">IFERROR(__xludf.DUMMYFUNCTION("""COMPUTED_VALUE"""),2017)</f>
        <v>2017</v>
      </c>
      <c r="K1317" s="36">
        <f ca="1">IFERROR(__xludf.DUMMYFUNCTION("""COMPUTED_VALUE"""),2018)</f>
        <v>2018</v>
      </c>
      <c r="L1317" s="36">
        <f ca="1">IFERROR(__xludf.DUMMYFUNCTION("""COMPUTED_VALUE"""),2019)</f>
        <v>2019</v>
      </c>
      <c r="M1317" s="36">
        <f ca="1">IFERROR(__xludf.DUMMYFUNCTION("""COMPUTED_VALUE"""),2020)</f>
        <v>2020</v>
      </c>
      <c r="N1317" s="36">
        <f ca="1">IFERROR(__xludf.DUMMYFUNCTION("""COMPUTED_VALUE"""),2021)</f>
        <v>2021</v>
      </c>
      <c r="O1317" s="36">
        <f ca="1">IFERROR(__xludf.DUMMYFUNCTION("""COMPUTED_VALUE"""),2022)</f>
        <v>2022</v>
      </c>
      <c r="P1317" s="36">
        <f ca="1">IFERROR(__xludf.DUMMYFUNCTION("""COMPUTED_VALUE"""),2023)</f>
        <v>2023</v>
      </c>
      <c r="Q1317" s="37">
        <f ca="1">IFERROR(__xludf.DUMMYFUNCTION("""COMPUTED_VALUE"""),2024)</f>
        <v>2024</v>
      </c>
      <c r="R1317" s="15"/>
    </row>
    <row r="1318" spans="1:18" ht="13.2" hidden="1" outlineLevel="1" x14ac:dyDescent="0.25">
      <c r="A1318" s="1"/>
      <c r="B1318" s="38" t="str">
        <f ca="1">IFERROR(__xludf.DUMMYFUNCTION("""COMPUTED_VALUE"""),"Carbón mineral")</f>
        <v>Carbón mineral</v>
      </c>
      <c r="C1318" s="17">
        <f ca="1">IFERROR(__xludf.DUMMYFUNCTION("""COMPUTED_VALUE"""),0)</f>
        <v>0</v>
      </c>
      <c r="D1318" s="18">
        <f ca="1">IFERROR(__xludf.DUMMYFUNCTION("""COMPUTED_VALUE"""),0)</f>
        <v>0</v>
      </c>
      <c r="E1318" s="18">
        <f ca="1">IFERROR(__xludf.DUMMYFUNCTION("""COMPUTED_VALUE"""),0)</f>
        <v>0</v>
      </c>
      <c r="F1318" s="18">
        <f ca="1">IFERROR(__xludf.DUMMYFUNCTION("""COMPUTED_VALUE"""),0)</f>
        <v>0</v>
      </c>
      <c r="G1318" s="18">
        <f ca="1">IFERROR(__xludf.DUMMYFUNCTION("""COMPUTED_VALUE"""),0)</f>
        <v>0</v>
      </c>
      <c r="H1318" s="18">
        <f ca="1">IFERROR(__xludf.DUMMYFUNCTION("""COMPUTED_VALUE"""),0)</f>
        <v>0</v>
      </c>
      <c r="I1318" s="18">
        <f ca="1">IFERROR(__xludf.DUMMYFUNCTION("""COMPUTED_VALUE"""),0)</f>
        <v>0</v>
      </c>
      <c r="J1318" s="18">
        <f ca="1">IFERROR(__xludf.DUMMYFUNCTION("""COMPUTED_VALUE"""),0)</f>
        <v>0</v>
      </c>
      <c r="K1318" s="18">
        <f ca="1">IFERROR(__xludf.DUMMYFUNCTION("""COMPUTED_VALUE"""),0)</f>
        <v>0</v>
      </c>
      <c r="L1318" s="18">
        <f ca="1">IFERROR(__xludf.DUMMYFUNCTION("""COMPUTED_VALUE"""),0)</f>
        <v>0</v>
      </c>
      <c r="M1318" s="18">
        <f ca="1">IFERROR(__xludf.DUMMYFUNCTION("""COMPUTED_VALUE"""),0)</f>
        <v>0</v>
      </c>
      <c r="N1318" s="18">
        <f ca="1">IFERROR(__xludf.DUMMYFUNCTION("""COMPUTED_VALUE"""),0)</f>
        <v>0</v>
      </c>
      <c r="O1318" s="18">
        <f ca="1">IFERROR(__xludf.DUMMYFUNCTION("""COMPUTED_VALUE"""),0)</f>
        <v>0</v>
      </c>
      <c r="P1318" s="18">
        <f ca="1">IFERROR(__xludf.DUMMYFUNCTION("""COMPUTED_VALUE"""),0)</f>
        <v>0</v>
      </c>
      <c r="Q1318" s="19">
        <f ca="1">IFERROR(__xludf.DUMMYFUNCTION("""COMPUTED_VALUE"""),0)</f>
        <v>0</v>
      </c>
      <c r="R1318" s="20"/>
    </row>
    <row r="1319" spans="1:18" ht="13.2" hidden="1" outlineLevel="1" x14ac:dyDescent="0.25">
      <c r="A1319" s="1"/>
      <c r="B1319" s="39" t="str">
        <f ca="1">IFERROR(__xludf.DUMMYFUNCTION("""COMPUTED_VALUE"""),"Petróleo crudo")</f>
        <v>Petróleo crudo</v>
      </c>
      <c r="C1319" s="22">
        <f ca="1">IFERROR(__xludf.DUMMYFUNCTION("""COMPUTED_VALUE"""),0)</f>
        <v>0</v>
      </c>
      <c r="D1319" s="23">
        <f ca="1">IFERROR(__xludf.DUMMYFUNCTION("""COMPUTED_VALUE"""),0)</f>
        <v>0</v>
      </c>
      <c r="E1319" s="23">
        <f ca="1">IFERROR(__xludf.DUMMYFUNCTION("""COMPUTED_VALUE"""),0)</f>
        <v>0</v>
      </c>
      <c r="F1319" s="23">
        <f ca="1">IFERROR(__xludf.DUMMYFUNCTION("""COMPUTED_VALUE"""),0)</f>
        <v>0</v>
      </c>
      <c r="G1319" s="23">
        <f ca="1">IFERROR(__xludf.DUMMYFUNCTION("""COMPUTED_VALUE"""),0)</f>
        <v>0</v>
      </c>
      <c r="H1319" s="23">
        <f ca="1">IFERROR(__xludf.DUMMYFUNCTION("""COMPUTED_VALUE"""),0)</f>
        <v>0</v>
      </c>
      <c r="I1319" s="23">
        <f ca="1">IFERROR(__xludf.DUMMYFUNCTION("""COMPUTED_VALUE"""),0)</f>
        <v>0</v>
      </c>
      <c r="J1319" s="23">
        <f ca="1">IFERROR(__xludf.DUMMYFUNCTION("""COMPUTED_VALUE"""),0)</f>
        <v>0</v>
      </c>
      <c r="K1319" s="23">
        <f ca="1">IFERROR(__xludf.DUMMYFUNCTION("""COMPUTED_VALUE"""),0)</f>
        <v>0</v>
      </c>
      <c r="L1319" s="23">
        <f ca="1">IFERROR(__xludf.DUMMYFUNCTION("""COMPUTED_VALUE"""),0)</f>
        <v>0</v>
      </c>
      <c r="M1319" s="23">
        <f ca="1">IFERROR(__xludf.DUMMYFUNCTION("""COMPUTED_VALUE"""),0)</f>
        <v>0</v>
      </c>
      <c r="N1319" s="23">
        <f ca="1">IFERROR(__xludf.DUMMYFUNCTION("""COMPUTED_VALUE"""),0)</f>
        <v>0</v>
      </c>
      <c r="O1319" s="23">
        <f ca="1">IFERROR(__xludf.DUMMYFUNCTION("""COMPUTED_VALUE"""),0)</f>
        <v>0</v>
      </c>
      <c r="P1319" s="23">
        <f ca="1">IFERROR(__xludf.DUMMYFUNCTION("""COMPUTED_VALUE"""),0)</f>
        <v>0</v>
      </c>
      <c r="Q1319" s="24">
        <f ca="1">IFERROR(__xludf.DUMMYFUNCTION("""COMPUTED_VALUE"""),0)</f>
        <v>0</v>
      </c>
      <c r="R1319" s="20"/>
    </row>
    <row r="1320" spans="1:18" ht="13.2" hidden="1" outlineLevel="1" x14ac:dyDescent="0.25">
      <c r="A1320" s="1"/>
      <c r="B1320" s="39" t="str">
        <f ca="1">IFERROR(__xludf.DUMMYFUNCTION("""COMPUTED_VALUE"""),"Condensados")</f>
        <v>Condensados</v>
      </c>
      <c r="C1320" s="22">
        <f ca="1">IFERROR(__xludf.DUMMYFUNCTION("""COMPUTED_VALUE"""),0)</f>
        <v>0</v>
      </c>
      <c r="D1320" s="23">
        <f ca="1">IFERROR(__xludf.DUMMYFUNCTION("""COMPUTED_VALUE"""),0)</f>
        <v>0</v>
      </c>
      <c r="E1320" s="23">
        <f ca="1">IFERROR(__xludf.DUMMYFUNCTION("""COMPUTED_VALUE"""),0)</f>
        <v>0</v>
      </c>
      <c r="F1320" s="23">
        <f ca="1">IFERROR(__xludf.DUMMYFUNCTION("""COMPUTED_VALUE"""),0)</f>
        <v>0</v>
      </c>
      <c r="G1320" s="23">
        <f ca="1">IFERROR(__xludf.DUMMYFUNCTION("""COMPUTED_VALUE"""),0)</f>
        <v>0</v>
      </c>
      <c r="H1320" s="23">
        <f ca="1">IFERROR(__xludf.DUMMYFUNCTION("""COMPUTED_VALUE"""),0)</f>
        <v>0</v>
      </c>
      <c r="I1320" s="23">
        <f ca="1">IFERROR(__xludf.DUMMYFUNCTION("""COMPUTED_VALUE"""),0)</f>
        <v>0</v>
      </c>
      <c r="J1320" s="23">
        <f ca="1">IFERROR(__xludf.DUMMYFUNCTION("""COMPUTED_VALUE"""),0)</f>
        <v>0</v>
      </c>
      <c r="K1320" s="23">
        <f ca="1">IFERROR(__xludf.DUMMYFUNCTION("""COMPUTED_VALUE"""),0)</f>
        <v>0</v>
      </c>
      <c r="L1320" s="23">
        <f ca="1">IFERROR(__xludf.DUMMYFUNCTION("""COMPUTED_VALUE"""),0)</f>
        <v>0</v>
      </c>
      <c r="M1320" s="23">
        <f ca="1">IFERROR(__xludf.DUMMYFUNCTION("""COMPUTED_VALUE"""),0)</f>
        <v>0</v>
      </c>
      <c r="N1320" s="23">
        <f ca="1">IFERROR(__xludf.DUMMYFUNCTION("""COMPUTED_VALUE"""),0)</f>
        <v>0</v>
      </c>
      <c r="O1320" s="23">
        <f ca="1">IFERROR(__xludf.DUMMYFUNCTION("""COMPUTED_VALUE"""),0)</f>
        <v>0</v>
      </c>
      <c r="P1320" s="23">
        <f ca="1">IFERROR(__xludf.DUMMYFUNCTION("""COMPUTED_VALUE"""),0)</f>
        <v>0</v>
      </c>
      <c r="Q1320" s="24">
        <f ca="1">IFERROR(__xludf.DUMMYFUNCTION("""COMPUTED_VALUE"""),0)</f>
        <v>0</v>
      </c>
      <c r="R1320" s="20"/>
    </row>
    <row r="1321" spans="1:18" ht="13.2" hidden="1" outlineLevel="1" x14ac:dyDescent="0.25">
      <c r="A1321" s="1"/>
      <c r="B1321" s="39" t="str">
        <f ca="1">IFERROR(__xludf.DUMMYFUNCTION("""COMPUTED_VALUE"""),"Gas natural")</f>
        <v>Gas natural</v>
      </c>
      <c r="C1321" s="22">
        <f ca="1">IFERROR(__xludf.DUMMYFUNCTION("""COMPUTED_VALUE"""),0)</f>
        <v>0</v>
      </c>
      <c r="D1321" s="23">
        <f ca="1">IFERROR(__xludf.DUMMYFUNCTION("""COMPUTED_VALUE"""),0)</f>
        <v>0</v>
      </c>
      <c r="E1321" s="23">
        <f ca="1">IFERROR(__xludf.DUMMYFUNCTION("""COMPUTED_VALUE"""),0)</f>
        <v>0</v>
      </c>
      <c r="F1321" s="23">
        <f ca="1">IFERROR(__xludf.DUMMYFUNCTION("""COMPUTED_VALUE"""),0)</f>
        <v>0</v>
      </c>
      <c r="G1321" s="23">
        <f ca="1">IFERROR(__xludf.DUMMYFUNCTION("""COMPUTED_VALUE"""),0)</f>
        <v>0</v>
      </c>
      <c r="H1321" s="23">
        <f ca="1">IFERROR(__xludf.DUMMYFUNCTION("""COMPUTED_VALUE"""),0)</f>
        <v>0</v>
      </c>
      <c r="I1321" s="23">
        <f ca="1">IFERROR(__xludf.DUMMYFUNCTION("""COMPUTED_VALUE"""),0)</f>
        <v>0</v>
      </c>
      <c r="J1321" s="23">
        <f ca="1">IFERROR(__xludf.DUMMYFUNCTION("""COMPUTED_VALUE"""),0)</f>
        <v>0</v>
      </c>
      <c r="K1321" s="23">
        <f ca="1">IFERROR(__xludf.DUMMYFUNCTION("""COMPUTED_VALUE"""),0)</f>
        <v>0</v>
      </c>
      <c r="L1321" s="23">
        <f ca="1">IFERROR(__xludf.DUMMYFUNCTION("""COMPUTED_VALUE"""),0)</f>
        <v>0</v>
      </c>
      <c r="M1321" s="23">
        <f ca="1">IFERROR(__xludf.DUMMYFUNCTION("""COMPUTED_VALUE"""),0)</f>
        <v>0</v>
      </c>
      <c r="N1321" s="23">
        <f ca="1">IFERROR(__xludf.DUMMYFUNCTION("""COMPUTED_VALUE"""),0)</f>
        <v>0</v>
      </c>
      <c r="O1321" s="23">
        <f ca="1">IFERROR(__xludf.DUMMYFUNCTION("""COMPUTED_VALUE"""),0)</f>
        <v>0</v>
      </c>
      <c r="P1321" s="23">
        <f ca="1">IFERROR(__xludf.DUMMYFUNCTION("""COMPUTED_VALUE"""),0)</f>
        <v>0</v>
      </c>
      <c r="Q1321" s="24">
        <f ca="1">IFERROR(__xludf.DUMMYFUNCTION("""COMPUTED_VALUE"""),0)</f>
        <v>0</v>
      </c>
      <c r="R1321" s="20"/>
    </row>
    <row r="1322" spans="1:18" ht="13.2" hidden="1" outlineLevel="1" x14ac:dyDescent="0.25">
      <c r="A1322" s="1"/>
      <c r="B1322" s="39" t="str">
        <f ca="1">IFERROR(__xludf.DUMMYFUNCTION("""COMPUTED_VALUE"""),"Energía Nuclear")</f>
        <v>Energía Nuclear</v>
      </c>
      <c r="C1322" s="22">
        <f ca="1">IFERROR(__xludf.DUMMYFUNCTION("""COMPUTED_VALUE"""),0)</f>
        <v>0</v>
      </c>
      <c r="D1322" s="23">
        <f ca="1">IFERROR(__xludf.DUMMYFUNCTION("""COMPUTED_VALUE"""),0)</f>
        <v>0</v>
      </c>
      <c r="E1322" s="23">
        <f ca="1">IFERROR(__xludf.DUMMYFUNCTION("""COMPUTED_VALUE"""),0)</f>
        <v>0</v>
      </c>
      <c r="F1322" s="23">
        <f ca="1">IFERROR(__xludf.DUMMYFUNCTION("""COMPUTED_VALUE"""),0)</f>
        <v>0</v>
      </c>
      <c r="G1322" s="23">
        <f ca="1">IFERROR(__xludf.DUMMYFUNCTION("""COMPUTED_VALUE"""),0)</f>
        <v>0</v>
      </c>
      <c r="H1322" s="23">
        <f ca="1">IFERROR(__xludf.DUMMYFUNCTION("""COMPUTED_VALUE"""),0)</f>
        <v>0</v>
      </c>
      <c r="I1322" s="23">
        <f ca="1">IFERROR(__xludf.DUMMYFUNCTION("""COMPUTED_VALUE"""),0)</f>
        <v>0</v>
      </c>
      <c r="J1322" s="23">
        <f ca="1">IFERROR(__xludf.DUMMYFUNCTION("""COMPUTED_VALUE"""),0)</f>
        <v>0</v>
      </c>
      <c r="K1322" s="23">
        <f ca="1">IFERROR(__xludf.DUMMYFUNCTION("""COMPUTED_VALUE"""),0)</f>
        <v>0</v>
      </c>
      <c r="L1322" s="23">
        <f ca="1">IFERROR(__xludf.DUMMYFUNCTION("""COMPUTED_VALUE"""),0)</f>
        <v>0</v>
      </c>
      <c r="M1322" s="23">
        <f ca="1">IFERROR(__xludf.DUMMYFUNCTION("""COMPUTED_VALUE"""),0)</f>
        <v>0</v>
      </c>
      <c r="N1322" s="23">
        <f ca="1">IFERROR(__xludf.DUMMYFUNCTION("""COMPUTED_VALUE"""),0)</f>
        <v>0</v>
      </c>
      <c r="O1322" s="23">
        <f ca="1">IFERROR(__xludf.DUMMYFUNCTION("""COMPUTED_VALUE"""),0)</f>
        <v>0</v>
      </c>
      <c r="P1322" s="23">
        <f ca="1">IFERROR(__xludf.DUMMYFUNCTION("""COMPUTED_VALUE"""),0)</f>
        <v>0</v>
      </c>
      <c r="Q1322" s="24">
        <f ca="1">IFERROR(__xludf.DUMMYFUNCTION("""COMPUTED_VALUE"""),0)</f>
        <v>0</v>
      </c>
      <c r="R1322" s="20"/>
    </row>
    <row r="1323" spans="1:18" ht="13.2" hidden="1" outlineLevel="1" x14ac:dyDescent="0.25">
      <c r="A1323" s="1"/>
      <c r="B1323" s="39" t="str">
        <f ca="1">IFERROR(__xludf.DUMMYFUNCTION("""COMPUTED_VALUE"""),"Energia Hidraúlica")</f>
        <v>Energia Hidraúlica</v>
      </c>
      <c r="C1323" s="22">
        <f ca="1">IFERROR(__xludf.DUMMYFUNCTION("""COMPUTED_VALUE"""),0)</f>
        <v>0</v>
      </c>
      <c r="D1323" s="23">
        <f ca="1">IFERROR(__xludf.DUMMYFUNCTION("""COMPUTED_VALUE"""),0)</f>
        <v>0</v>
      </c>
      <c r="E1323" s="23">
        <f ca="1">IFERROR(__xludf.DUMMYFUNCTION("""COMPUTED_VALUE"""),0)</f>
        <v>0</v>
      </c>
      <c r="F1323" s="23">
        <f ca="1">IFERROR(__xludf.DUMMYFUNCTION("""COMPUTED_VALUE"""),0)</f>
        <v>0</v>
      </c>
      <c r="G1323" s="23">
        <f ca="1">IFERROR(__xludf.DUMMYFUNCTION("""COMPUTED_VALUE"""),0)</f>
        <v>0</v>
      </c>
      <c r="H1323" s="23">
        <f ca="1">IFERROR(__xludf.DUMMYFUNCTION("""COMPUTED_VALUE"""),0)</f>
        <v>0</v>
      </c>
      <c r="I1323" s="23">
        <f ca="1">IFERROR(__xludf.DUMMYFUNCTION("""COMPUTED_VALUE"""),0)</f>
        <v>0</v>
      </c>
      <c r="J1323" s="23">
        <f ca="1">IFERROR(__xludf.DUMMYFUNCTION("""COMPUTED_VALUE"""),0)</f>
        <v>0</v>
      </c>
      <c r="K1323" s="23">
        <f ca="1">IFERROR(__xludf.DUMMYFUNCTION("""COMPUTED_VALUE"""),0)</f>
        <v>0</v>
      </c>
      <c r="L1323" s="23">
        <f ca="1">IFERROR(__xludf.DUMMYFUNCTION("""COMPUTED_VALUE"""),0)</f>
        <v>0</v>
      </c>
      <c r="M1323" s="23">
        <f ca="1">IFERROR(__xludf.DUMMYFUNCTION("""COMPUTED_VALUE"""),0)</f>
        <v>0</v>
      </c>
      <c r="N1323" s="23">
        <f ca="1">IFERROR(__xludf.DUMMYFUNCTION("""COMPUTED_VALUE"""),0)</f>
        <v>0</v>
      </c>
      <c r="O1323" s="23">
        <f ca="1">IFERROR(__xludf.DUMMYFUNCTION("""COMPUTED_VALUE"""),0)</f>
        <v>0</v>
      </c>
      <c r="P1323" s="23">
        <f ca="1">IFERROR(__xludf.DUMMYFUNCTION("""COMPUTED_VALUE"""),0)</f>
        <v>0</v>
      </c>
      <c r="Q1323" s="24">
        <f ca="1">IFERROR(__xludf.DUMMYFUNCTION("""COMPUTED_VALUE"""),0)</f>
        <v>0</v>
      </c>
      <c r="R1323" s="20"/>
    </row>
    <row r="1324" spans="1:18" ht="13.2" hidden="1" outlineLevel="1" x14ac:dyDescent="0.25">
      <c r="A1324" s="1"/>
      <c r="B1324" s="39" t="str">
        <f ca="1">IFERROR(__xludf.DUMMYFUNCTION("""COMPUTED_VALUE"""),"Geoenergía")</f>
        <v>Geoenergía</v>
      </c>
      <c r="C1324" s="22">
        <f ca="1">IFERROR(__xludf.DUMMYFUNCTION("""COMPUTED_VALUE"""),0)</f>
        <v>0</v>
      </c>
      <c r="D1324" s="23">
        <f ca="1">IFERROR(__xludf.DUMMYFUNCTION("""COMPUTED_VALUE"""),0)</f>
        <v>0</v>
      </c>
      <c r="E1324" s="23">
        <f ca="1">IFERROR(__xludf.DUMMYFUNCTION("""COMPUTED_VALUE"""),0)</f>
        <v>0</v>
      </c>
      <c r="F1324" s="23">
        <f ca="1">IFERROR(__xludf.DUMMYFUNCTION("""COMPUTED_VALUE"""),0)</f>
        <v>0</v>
      </c>
      <c r="G1324" s="23">
        <f ca="1">IFERROR(__xludf.DUMMYFUNCTION("""COMPUTED_VALUE"""),0)</f>
        <v>0</v>
      </c>
      <c r="H1324" s="23">
        <f ca="1">IFERROR(__xludf.DUMMYFUNCTION("""COMPUTED_VALUE"""),0)</f>
        <v>0</v>
      </c>
      <c r="I1324" s="23">
        <f ca="1">IFERROR(__xludf.DUMMYFUNCTION("""COMPUTED_VALUE"""),0)</f>
        <v>0</v>
      </c>
      <c r="J1324" s="23">
        <f ca="1">IFERROR(__xludf.DUMMYFUNCTION("""COMPUTED_VALUE"""),0)</f>
        <v>0</v>
      </c>
      <c r="K1324" s="23">
        <f ca="1">IFERROR(__xludf.DUMMYFUNCTION("""COMPUTED_VALUE"""),0)</f>
        <v>0</v>
      </c>
      <c r="L1324" s="23">
        <f ca="1">IFERROR(__xludf.DUMMYFUNCTION("""COMPUTED_VALUE"""),0)</f>
        <v>0</v>
      </c>
      <c r="M1324" s="23">
        <f ca="1">IFERROR(__xludf.DUMMYFUNCTION("""COMPUTED_VALUE"""),0)</f>
        <v>0</v>
      </c>
      <c r="N1324" s="23">
        <f ca="1">IFERROR(__xludf.DUMMYFUNCTION("""COMPUTED_VALUE"""),0)</f>
        <v>0</v>
      </c>
      <c r="O1324" s="23">
        <f ca="1">IFERROR(__xludf.DUMMYFUNCTION("""COMPUTED_VALUE"""),0)</f>
        <v>0</v>
      </c>
      <c r="P1324" s="23">
        <f ca="1">IFERROR(__xludf.DUMMYFUNCTION("""COMPUTED_VALUE"""),0)</f>
        <v>0</v>
      </c>
      <c r="Q1324" s="24">
        <f ca="1">IFERROR(__xludf.DUMMYFUNCTION("""COMPUTED_VALUE"""),0)</f>
        <v>0</v>
      </c>
      <c r="R1324" s="20"/>
    </row>
    <row r="1325" spans="1:18" ht="13.2" hidden="1" outlineLevel="1" x14ac:dyDescent="0.25">
      <c r="A1325" s="1"/>
      <c r="B1325" s="39" t="str">
        <f ca="1">IFERROR(__xludf.DUMMYFUNCTION("""COMPUTED_VALUE"""),"Energía solar")</f>
        <v>Energía solar</v>
      </c>
      <c r="C1325" s="22">
        <f ca="1">IFERROR(__xludf.DUMMYFUNCTION("""COMPUTED_VALUE"""),0)</f>
        <v>0</v>
      </c>
      <c r="D1325" s="23">
        <f ca="1">IFERROR(__xludf.DUMMYFUNCTION("""COMPUTED_VALUE"""),0)</f>
        <v>0</v>
      </c>
      <c r="E1325" s="23">
        <f ca="1">IFERROR(__xludf.DUMMYFUNCTION("""COMPUTED_VALUE"""),0)</f>
        <v>0</v>
      </c>
      <c r="F1325" s="23">
        <f ca="1">IFERROR(__xludf.DUMMYFUNCTION("""COMPUTED_VALUE"""),0)</f>
        <v>0</v>
      </c>
      <c r="G1325" s="23">
        <f ca="1">IFERROR(__xludf.DUMMYFUNCTION("""COMPUTED_VALUE"""),0)</f>
        <v>0</v>
      </c>
      <c r="H1325" s="23">
        <f ca="1">IFERROR(__xludf.DUMMYFUNCTION("""COMPUTED_VALUE"""),0)</f>
        <v>0</v>
      </c>
      <c r="I1325" s="23">
        <f ca="1">IFERROR(__xludf.DUMMYFUNCTION("""COMPUTED_VALUE"""),0)</f>
        <v>0</v>
      </c>
      <c r="J1325" s="23">
        <f ca="1">IFERROR(__xludf.DUMMYFUNCTION("""COMPUTED_VALUE"""),0)</f>
        <v>0</v>
      </c>
      <c r="K1325" s="23">
        <f ca="1">IFERROR(__xludf.DUMMYFUNCTION("""COMPUTED_VALUE"""),0)</f>
        <v>0</v>
      </c>
      <c r="L1325" s="23">
        <f ca="1">IFERROR(__xludf.DUMMYFUNCTION("""COMPUTED_VALUE"""),0)</f>
        <v>0</v>
      </c>
      <c r="M1325" s="23">
        <f ca="1">IFERROR(__xludf.DUMMYFUNCTION("""COMPUTED_VALUE"""),0)</f>
        <v>0</v>
      </c>
      <c r="N1325" s="23">
        <f ca="1">IFERROR(__xludf.DUMMYFUNCTION("""COMPUTED_VALUE"""),0)</f>
        <v>0</v>
      </c>
      <c r="O1325" s="23">
        <f ca="1">IFERROR(__xludf.DUMMYFUNCTION("""COMPUTED_VALUE"""),0)</f>
        <v>0</v>
      </c>
      <c r="P1325" s="23">
        <f ca="1">IFERROR(__xludf.DUMMYFUNCTION("""COMPUTED_VALUE"""),0)</f>
        <v>0</v>
      </c>
      <c r="Q1325" s="24">
        <f ca="1">IFERROR(__xludf.DUMMYFUNCTION("""COMPUTED_VALUE"""),0)</f>
        <v>0</v>
      </c>
      <c r="R1325" s="20"/>
    </row>
    <row r="1326" spans="1:18" ht="13.2" hidden="1" outlineLevel="1" x14ac:dyDescent="0.25">
      <c r="A1326" s="1"/>
      <c r="B1326" s="39" t="str">
        <f ca="1">IFERROR(__xludf.DUMMYFUNCTION("""COMPUTED_VALUE"""),"Energía eólica")</f>
        <v>Energía eólica</v>
      </c>
      <c r="C1326" s="22">
        <f ca="1">IFERROR(__xludf.DUMMYFUNCTION("""COMPUTED_VALUE"""),0)</f>
        <v>0</v>
      </c>
      <c r="D1326" s="23">
        <f ca="1">IFERROR(__xludf.DUMMYFUNCTION("""COMPUTED_VALUE"""),0)</f>
        <v>0</v>
      </c>
      <c r="E1326" s="23">
        <f ca="1">IFERROR(__xludf.DUMMYFUNCTION("""COMPUTED_VALUE"""),0)</f>
        <v>0</v>
      </c>
      <c r="F1326" s="23">
        <f ca="1">IFERROR(__xludf.DUMMYFUNCTION("""COMPUTED_VALUE"""),0)</f>
        <v>0</v>
      </c>
      <c r="G1326" s="23">
        <f ca="1">IFERROR(__xludf.DUMMYFUNCTION("""COMPUTED_VALUE"""),0)</f>
        <v>0</v>
      </c>
      <c r="H1326" s="23">
        <f ca="1">IFERROR(__xludf.DUMMYFUNCTION("""COMPUTED_VALUE"""),0)</f>
        <v>0</v>
      </c>
      <c r="I1326" s="23">
        <f ca="1">IFERROR(__xludf.DUMMYFUNCTION("""COMPUTED_VALUE"""),0)</f>
        <v>0</v>
      </c>
      <c r="J1326" s="23">
        <f ca="1">IFERROR(__xludf.DUMMYFUNCTION("""COMPUTED_VALUE"""),0)</f>
        <v>0</v>
      </c>
      <c r="K1326" s="23">
        <f ca="1">IFERROR(__xludf.DUMMYFUNCTION("""COMPUTED_VALUE"""),0)</f>
        <v>0</v>
      </c>
      <c r="L1326" s="23">
        <f ca="1">IFERROR(__xludf.DUMMYFUNCTION("""COMPUTED_VALUE"""),0)</f>
        <v>0</v>
      </c>
      <c r="M1326" s="23">
        <f ca="1">IFERROR(__xludf.DUMMYFUNCTION("""COMPUTED_VALUE"""),0)</f>
        <v>0</v>
      </c>
      <c r="N1326" s="23">
        <f ca="1">IFERROR(__xludf.DUMMYFUNCTION("""COMPUTED_VALUE"""),0)</f>
        <v>0</v>
      </c>
      <c r="O1326" s="23">
        <f ca="1">IFERROR(__xludf.DUMMYFUNCTION("""COMPUTED_VALUE"""),0)</f>
        <v>0</v>
      </c>
      <c r="P1326" s="23">
        <f ca="1">IFERROR(__xludf.DUMMYFUNCTION("""COMPUTED_VALUE"""),0)</f>
        <v>0</v>
      </c>
      <c r="Q1326" s="24">
        <f ca="1">IFERROR(__xludf.DUMMYFUNCTION("""COMPUTED_VALUE"""),0)</f>
        <v>0</v>
      </c>
      <c r="R1326" s="20"/>
    </row>
    <row r="1327" spans="1:18" ht="13.2" hidden="1" outlineLevel="1" x14ac:dyDescent="0.25">
      <c r="A1327" s="1"/>
      <c r="B1327" s="39" t="str">
        <f ca="1">IFERROR(__xludf.DUMMYFUNCTION("""COMPUTED_VALUE"""),"Bagazo de caña")</f>
        <v>Bagazo de caña</v>
      </c>
      <c r="C1327" s="22">
        <f ca="1">IFERROR(__xludf.DUMMYFUNCTION("""COMPUTED_VALUE"""),0)</f>
        <v>0</v>
      </c>
      <c r="D1327" s="23">
        <f ca="1">IFERROR(__xludf.DUMMYFUNCTION("""COMPUTED_VALUE"""),0)</f>
        <v>0</v>
      </c>
      <c r="E1327" s="23">
        <f ca="1">IFERROR(__xludf.DUMMYFUNCTION("""COMPUTED_VALUE"""),0)</f>
        <v>0</v>
      </c>
      <c r="F1327" s="23">
        <f ca="1">IFERROR(__xludf.DUMMYFUNCTION("""COMPUTED_VALUE"""),0)</f>
        <v>0</v>
      </c>
      <c r="G1327" s="23">
        <f ca="1">IFERROR(__xludf.DUMMYFUNCTION("""COMPUTED_VALUE"""),0)</f>
        <v>0</v>
      </c>
      <c r="H1327" s="23">
        <f ca="1">IFERROR(__xludf.DUMMYFUNCTION("""COMPUTED_VALUE"""),0)</f>
        <v>0</v>
      </c>
      <c r="I1327" s="23">
        <f ca="1">IFERROR(__xludf.DUMMYFUNCTION("""COMPUTED_VALUE"""),0)</f>
        <v>0</v>
      </c>
      <c r="J1327" s="23">
        <f ca="1">IFERROR(__xludf.DUMMYFUNCTION("""COMPUTED_VALUE"""),0)</f>
        <v>0</v>
      </c>
      <c r="K1327" s="23">
        <f ca="1">IFERROR(__xludf.DUMMYFUNCTION("""COMPUTED_VALUE"""),0)</f>
        <v>0</v>
      </c>
      <c r="L1327" s="23">
        <f ca="1">IFERROR(__xludf.DUMMYFUNCTION("""COMPUTED_VALUE"""),0)</f>
        <v>0</v>
      </c>
      <c r="M1327" s="23">
        <f ca="1">IFERROR(__xludf.DUMMYFUNCTION("""COMPUTED_VALUE"""),0)</f>
        <v>0</v>
      </c>
      <c r="N1327" s="23">
        <f ca="1">IFERROR(__xludf.DUMMYFUNCTION("""COMPUTED_VALUE"""),0)</f>
        <v>0</v>
      </c>
      <c r="O1327" s="23">
        <f ca="1">IFERROR(__xludf.DUMMYFUNCTION("""COMPUTED_VALUE"""),0)</f>
        <v>0</v>
      </c>
      <c r="P1327" s="23">
        <f ca="1">IFERROR(__xludf.DUMMYFUNCTION("""COMPUTED_VALUE"""),0)</f>
        <v>0</v>
      </c>
      <c r="Q1327" s="24">
        <f ca="1">IFERROR(__xludf.DUMMYFUNCTION("""COMPUTED_VALUE"""),0)</f>
        <v>0</v>
      </c>
      <c r="R1327" s="20"/>
    </row>
    <row r="1328" spans="1:18" ht="13.2" hidden="1" outlineLevel="1" x14ac:dyDescent="0.25">
      <c r="A1328" s="1"/>
      <c r="B1328" s="39" t="str">
        <f ca="1">IFERROR(__xludf.DUMMYFUNCTION("""COMPUTED_VALUE"""),"Leña")</f>
        <v>Leña</v>
      </c>
      <c r="C1328" s="22">
        <f ca="1">IFERROR(__xludf.DUMMYFUNCTION("""COMPUTED_VALUE"""),0)</f>
        <v>0</v>
      </c>
      <c r="D1328" s="23">
        <f ca="1">IFERROR(__xludf.DUMMYFUNCTION("""COMPUTED_VALUE"""),0)</f>
        <v>0</v>
      </c>
      <c r="E1328" s="23">
        <f ca="1">IFERROR(__xludf.DUMMYFUNCTION("""COMPUTED_VALUE"""),0)</f>
        <v>0</v>
      </c>
      <c r="F1328" s="23">
        <f ca="1">IFERROR(__xludf.DUMMYFUNCTION("""COMPUTED_VALUE"""),0)</f>
        <v>0</v>
      </c>
      <c r="G1328" s="23">
        <f ca="1">IFERROR(__xludf.DUMMYFUNCTION("""COMPUTED_VALUE"""),0)</f>
        <v>0</v>
      </c>
      <c r="H1328" s="23">
        <f ca="1">IFERROR(__xludf.DUMMYFUNCTION("""COMPUTED_VALUE"""),0)</f>
        <v>0</v>
      </c>
      <c r="I1328" s="23">
        <f ca="1">IFERROR(__xludf.DUMMYFUNCTION("""COMPUTED_VALUE"""),0)</f>
        <v>0</v>
      </c>
      <c r="J1328" s="23">
        <f ca="1">IFERROR(__xludf.DUMMYFUNCTION("""COMPUTED_VALUE"""),0)</f>
        <v>0</v>
      </c>
      <c r="K1328" s="23">
        <f ca="1">IFERROR(__xludf.DUMMYFUNCTION("""COMPUTED_VALUE"""),0)</f>
        <v>0</v>
      </c>
      <c r="L1328" s="23">
        <f ca="1">IFERROR(__xludf.DUMMYFUNCTION("""COMPUTED_VALUE"""),0)</f>
        <v>0</v>
      </c>
      <c r="M1328" s="23">
        <f ca="1">IFERROR(__xludf.DUMMYFUNCTION("""COMPUTED_VALUE"""),0)</f>
        <v>0</v>
      </c>
      <c r="N1328" s="23">
        <f ca="1">IFERROR(__xludf.DUMMYFUNCTION("""COMPUTED_VALUE"""),0)</f>
        <v>0</v>
      </c>
      <c r="O1328" s="23">
        <f ca="1">IFERROR(__xludf.DUMMYFUNCTION("""COMPUTED_VALUE"""),0)</f>
        <v>0</v>
      </c>
      <c r="P1328" s="23">
        <f ca="1">IFERROR(__xludf.DUMMYFUNCTION("""COMPUTED_VALUE"""),0)</f>
        <v>0</v>
      </c>
      <c r="Q1328" s="24">
        <f ca="1">IFERROR(__xludf.DUMMYFUNCTION("""COMPUTED_VALUE"""),0)</f>
        <v>0</v>
      </c>
      <c r="R1328" s="20"/>
    </row>
    <row r="1329" spans="1:18" ht="13.2" hidden="1" outlineLevel="1" x14ac:dyDescent="0.25">
      <c r="A1329" s="1"/>
      <c r="B1329" s="39" t="str">
        <f ca="1">IFERROR(__xludf.DUMMYFUNCTION("""COMPUTED_VALUE"""),"Biogás")</f>
        <v>Biogás</v>
      </c>
      <c r="C1329" s="22">
        <f ca="1">IFERROR(__xludf.DUMMYFUNCTION("""COMPUTED_VALUE"""),0)</f>
        <v>0</v>
      </c>
      <c r="D1329" s="23">
        <f ca="1">IFERROR(__xludf.DUMMYFUNCTION("""COMPUTED_VALUE"""),0)</f>
        <v>0</v>
      </c>
      <c r="E1329" s="23">
        <f ca="1">IFERROR(__xludf.DUMMYFUNCTION("""COMPUTED_VALUE"""),0)</f>
        <v>0</v>
      </c>
      <c r="F1329" s="23">
        <f ca="1">IFERROR(__xludf.DUMMYFUNCTION("""COMPUTED_VALUE"""),0)</f>
        <v>0</v>
      </c>
      <c r="G1329" s="23">
        <f ca="1">IFERROR(__xludf.DUMMYFUNCTION("""COMPUTED_VALUE"""),0)</f>
        <v>0</v>
      </c>
      <c r="H1329" s="23">
        <f ca="1">IFERROR(__xludf.DUMMYFUNCTION("""COMPUTED_VALUE"""),0)</f>
        <v>0</v>
      </c>
      <c r="I1329" s="23">
        <f ca="1">IFERROR(__xludf.DUMMYFUNCTION("""COMPUTED_VALUE"""),0)</f>
        <v>0</v>
      </c>
      <c r="J1329" s="23">
        <f ca="1">IFERROR(__xludf.DUMMYFUNCTION("""COMPUTED_VALUE"""),0)</f>
        <v>0</v>
      </c>
      <c r="K1329" s="23">
        <f ca="1">IFERROR(__xludf.DUMMYFUNCTION("""COMPUTED_VALUE"""),0)</f>
        <v>0</v>
      </c>
      <c r="L1329" s="23">
        <f ca="1">IFERROR(__xludf.DUMMYFUNCTION("""COMPUTED_VALUE"""),0)</f>
        <v>0</v>
      </c>
      <c r="M1329" s="23">
        <f ca="1">IFERROR(__xludf.DUMMYFUNCTION("""COMPUTED_VALUE"""),0)</f>
        <v>0</v>
      </c>
      <c r="N1329" s="23">
        <f ca="1">IFERROR(__xludf.DUMMYFUNCTION("""COMPUTED_VALUE"""),0)</f>
        <v>0</v>
      </c>
      <c r="O1329" s="23">
        <f ca="1">IFERROR(__xludf.DUMMYFUNCTION("""COMPUTED_VALUE"""),0)</f>
        <v>0</v>
      </c>
      <c r="P1329" s="23">
        <f ca="1">IFERROR(__xludf.DUMMYFUNCTION("""COMPUTED_VALUE"""),0)</f>
        <v>0</v>
      </c>
      <c r="Q1329" s="24">
        <f ca="1">IFERROR(__xludf.DUMMYFUNCTION("""COMPUTED_VALUE"""),0)</f>
        <v>0</v>
      </c>
      <c r="R1329" s="20"/>
    </row>
    <row r="1330" spans="1:18" ht="13.2" hidden="1" outlineLevel="1" x14ac:dyDescent="0.25">
      <c r="A1330" s="1"/>
      <c r="B1330" s="39" t="str">
        <f ca="1">IFERROR(__xludf.DUMMYFUNCTION("""COMPUTED_VALUE"""),"Coque de carbón")</f>
        <v>Coque de carbón</v>
      </c>
      <c r="C1330" s="22">
        <f ca="1">IFERROR(__xludf.DUMMYFUNCTION("""COMPUTED_VALUE"""),0)</f>
        <v>0</v>
      </c>
      <c r="D1330" s="23">
        <f ca="1">IFERROR(__xludf.DUMMYFUNCTION("""COMPUTED_VALUE"""),0)</f>
        <v>0</v>
      </c>
      <c r="E1330" s="23">
        <f ca="1">IFERROR(__xludf.DUMMYFUNCTION("""COMPUTED_VALUE"""),0)</f>
        <v>0</v>
      </c>
      <c r="F1330" s="23">
        <f ca="1">IFERROR(__xludf.DUMMYFUNCTION("""COMPUTED_VALUE"""),0)</f>
        <v>0</v>
      </c>
      <c r="G1330" s="23">
        <f ca="1">IFERROR(__xludf.DUMMYFUNCTION("""COMPUTED_VALUE"""),0)</f>
        <v>0</v>
      </c>
      <c r="H1330" s="23">
        <f ca="1">IFERROR(__xludf.DUMMYFUNCTION("""COMPUTED_VALUE"""),0)</f>
        <v>0</v>
      </c>
      <c r="I1330" s="23">
        <f ca="1">IFERROR(__xludf.DUMMYFUNCTION("""COMPUTED_VALUE"""),0)</f>
        <v>0</v>
      </c>
      <c r="J1330" s="23">
        <f ca="1">IFERROR(__xludf.DUMMYFUNCTION("""COMPUTED_VALUE"""),0)</f>
        <v>0</v>
      </c>
      <c r="K1330" s="23">
        <f ca="1">IFERROR(__xludf.DUMMYFUNCTION("""COMPUTED_VALUE"""),0)</f>
        <v>0</v>
      </c>
      <c r="L1330" s="23">
        <f ca="1">IFERROR(__xludf.DUMMYFUNCTION("""COMPUTED_VALUE"""),0)</f>
        <v>0</v>
      </c>
      <c r="M1330" s="23">
        <f ca="1">IFERROR(__xludf.DUMMYFUNCTION("""COMPUTED_VALUE"""),0)</f>
        <v>0</v>
      </c>
      <c r="N1330" s="23">
        <f ca="1">IFERROR(__xludf.DUMMYFUNCTION("""COMPUTED_VALUE"""),0)</f>
        <v>0</v>
      </c>
      <c r="O1330" s="23">
        <f ca="1">IFERROR(__xludf.DUMMYFUNCTION("""COMPUTED_VALUE"""),0)</f>
        <v>0</v>
      </c>
      <c r="P1330" s="23">
        <f ca="1">IFERROR(__xludf.DUMMYFUNCTION("""COMPUTED_VALUE"""),0)</f>
        <v>0</v>
      </c>
      <c r="Q1330" s="24">
        <f ca="1">IFERROR(__xludf.DUMMYFUNCTION("""COMPUTED_VALUE"""),0)</f>
        <v>0</v>
      </c>
      <c r="R1330" s="20"/>
    </row>
    <row r="1331" spans="1:18" ht="13.2" hidden="1" outlineLevel="1" x14ac:dyDescent="0.25">
      <c r="A1331" s="1"/>
      <c r="B1331" s="39" t="str">
        <f ca="1">IFERROR(__xludf.DUMMYFUNCTION("""COMPUTED_VALUE"""),"Coque de petróleo")</f>
        <v>Coque de petróleo</v>
      </c>
      <c r="C1331" s="22">
        <f ca="1">IFERROR(__xludf.DUMMYFUNCTION("""COMPUTED_VALUE"""),0)</f>
        <v>0</v>
      </c>
      <c r="D1331" s="23">
        <f ca="1">IFERROR(__xludf.DUMMYFUNCTION("""COMPUTED_VALUE"""),0)</f>
        <v>0</v>
      </c>
      <c r="E1331" s="23">
        <f ca="1">IFERROR(__xludf.DUMMYFUNCTION("""COMPUTED_VALUE"""),0)</f>
        <v>0</v>
      </c>
      <c r="F1331" s="23">
        <f ca="1">IFERROR(__xludf.DUMMYFUNCTION("""COMPUTED_VALUE"""),0)</f>
        <v>0</v>
      </c>
      <c r="G1331" s="23">
        <f ca="1">IFERROR(__xludf.DUMMYFUNCTION("""COMPUTED_VALUE"""),0)</f>
        <v>0</v>
      </c>
      <c r="H1331" s="23">
        <f ca="1">IFERROR(__xludf.DUMMYFUNCTION("""COMPUTED_VALUE"""),0)</f>
        <v>0</v>
      </c>
      <c r="I1331" s="23">
        <f ca="1">IFERROR(__xludf.DUMMYFUNCTION("""COMPUTED_VALUE"""),0)</f>
        <v>0</v>
      </c>
      <c r="J1331" s="23">
        <f ca="1">IFERROR(__xludf.DUMMYFUNCTION("""COMPUTED_VALUE"""),0)</f>
        <v>0</v>
      </c>
      <c r="K1331" s="23">
        <f ca="1">IFERROR(__xludf.DUMMYFUNCTION("""COMPUTED_VALUE"""),0)</f>
        <v>0</v>
      </c>
      <c r="L1331" s="23">
        <f ca="1">IFERROR(__xludf.DUMMYFUNCTION("""COMPUTED_VALUE"""),0)</f>
        <v>0</v>
      </c>
      <c r="M1331" s="23">
        <f ca="1">IFERROR(__xludf.DUMMYFUNCTION("""COMPUTED_VALUE"""),0)</f>
        <v>0</v>
      </c>
      <c r="N1331" s="23">
        <f ca="1">IFERROR(__xludf.DUMMYFUNCTION("""COMPUTED_VALUE"""),0)</f>
        <v>0</v>
      </c>
      <c r="O1331" s="23">
        <f ca="1">IFERROR(__xludf.DUMMYFUNCTION("""COMPUTED_VALUE"""),0)</f>
        <v>0</v>
      </c>
      <c r="P1331" s="23">
        <f ca="1">IFERROR(__xludf.DUMMYFUNCTION("""COMPUTED_VALUE"""),0)</f>
        <v>0</v>
      </c>
      <c r="Q1331" s="24">
        <f ca="1">IFERROR(__xludf.DUMMYFUNCTION("""COMPUTED_VALUE"""),0)</f>
        <v>0</v>
      </c>
      <c r="R1331" s="20"/>
    </row>
    <row r="1332" spans="1:18" ht="13.2" hidden="1" outlineLevel="1" x14ac:dyDescent="0.25">
      <c r="A1332" s="1"/>
      <c r="B1332" s="39" t="str">
        <f ca="1">IFERROR(__xludf.DUMMYFUNCTION("""COMPUTED_VALUE"""),"Gas licuado de petróleo")</f>
        <v>Gas licuado de petróleo</v>
      </c>
      <c r="C1332" s="22">
        <f ca="1">IFERROR(__xludf.DUMMYFUNCTION("""COMPUTED_VALUE"""),0)</f>
        <v>0</v>
      </c>
      <c r="D1332" s="23">
        <f ca="1">IFERROR(__xludf.DUMMYFUNCTION("""COMPUTED_VALUE"""),0)</f>
        <v>0</v>
      </c>
      <c r="E1332" s="23">
        <f ca="1">IFERROR(__xludf.DUMMYFUNCTION("""COMPUTED_VALUE"""),0)</f>
        <v>0</v>
      </c>
      <c r="F1332" s="23">
        <f ca="1">IFERROR(__xludf.DUMMYFUNCTION("""COMPUTED_VALUE"""),0)</f>
        <v>0</v>
      </c>
      <c r="G1332" s="23">
        <f ca="1">IFERROR(__xludf.DUMMYFUNCTION("""COMPUTED_VALUE"""),0)</f>
        <v>0</v>
      </c>
      <c r="H1332" s="23">
        <f ca="1">IFERROR(__xludf.DUMMYFUNCTION("""COMPUTED_VALUE"""),0)</f>
        <v>0</v>
      </c>
      <c r="I1332" s="23">
        <f ca="1">IFERROR(__xludf.DUMMYFUNCTION("""COMPUTED_VALUE"""),0)</f>
        <v>0</v>
      </c>
      <c r="J1332" s="23">
        <f ca="1">IFERROR(__xludf.DUMMYFUNCTION("""COMPUTED_VALUE"""),0)</f>
        <v>0</v>
      </c>
      <c r="K1332" s="23">
        <f ca="1">IFERROR(__xludf.DUMMYFUNCTION("""COMPUTED_VALUE"""),0)</f>
        <v>0</v>
      </c>
      <c r="L1332" s="23">
        <f ca="1">IFERROR(__xludf.DUMMYFUNCTION("""COMPUTED_VALUE"""),0)</f>
        <v>0</v>
      </c>
      <c r="M1332" s="23">
        <f ca="1">IFERROR(__xludf.DUMMYFUNCTION("""COMPUTED_VALUE"""),0)</f>
        <v>0</v>
      </c>
      <c r="N1332" s="23">
        <f ca="1">IFERROR(__xludf.DUMMYFUNCTION("""COMPUTED_VALUE"""),0)</f>
        <v>0</v>
      </c>
      <c r="O1332" s="23">
        <f ca="1">IFERROR(__xludf.DUMMYFUNCTION("""COMPUTED_VALUE"""),0)</f>
        <v>0</v>
      </c>
      <c r="P1332" s="23">
        <f ca="1">IFERROR(__xludf.DUMMYFUNCTION("""COMPUTED_VALUE"""),0)</f>
        <v>0</v>
      </c>
      <c r="Q1332" s="24">
        <f ca="1">IFERROR(__xludf.DUMMYFUNCTION("""COMPUTED_VALUE"""),0)</f>
        <v>0</v>
      </c>
      <c r="R1332" s="20"/>
    </row>
    <row r="1333" spans="1:18" ht="13.2" hidden="1" outlineLevel="1" x14ac:dyDescent="0.25">
      <c r="A1333" s="1"/>
      <c r="B1333" s="39" t="str">
        <f ca="1">IFERROR(__xludf.DUMMYFUNCTION("""COMPUTED_VALUE"""),"Gasolinas y naftas")</f>
        <v>Gasolinas y naftas</v>
      </c>
      <c r="C1333" s="22">
        <f ca="1">IFERROR(__xludf.DUMMYFUNCTION("""COMPUTED_VALUE"""),0)</f>
        <v>0</v>
      </c>
      <c r="D1333" s="23">
        <f ca="1">IFERROR(__xludf.DUMMYFUNCTION("""COMPUTED_VALUE"""),0)</f>
        <v>0</v>
      </c>
      <c r="E1333" s="23">
        <f ca="1">IFERROR(__xludf.DUMMYFUNCTION("""COMPUTED_VALUE"""),0)</f>
        <v>0</v>
      </c>
      <c r="F1333" s="23">
        <f ca="1">IFERROR(__xludf.DUMMYFUNCTION("""COMPUTED_VALUE"""),0)</f>
        <v>0</v>
      </c>
      <c r="G1333" s="23">
        <f ca="1">IFERROR(__xludf.DUMMYFUNCTION("""COMPUTED_VALUE"""),0)</f>
        <v>0</v>
      </c>
      <c r="H1333" s="23">
        <f ca="1">IFERROR(__xludf.DUMMYFUNCTION("""COMPUTED_VALUE"""),0)</f>
        <v>0</v>
      </c>
      <c r="I1333" s="23">
        <f ca="1">IFERROR(__xludf.DUMMYFUNCTION("""COMPUTED_VALUE"""),0)</f>
        <v>0</v>
      </c>
      <c r="J1333" s="23">
        <f ca="1">IFERROR(__xludf.DUMMYFUNCTION("""COMPUTED_VALUE"""),0)</f>
        <v>0</v>
      </c>
      <c r="K1333" s="23">
        <f ca="1">IFERROR(__xludf.DUMMYFUNCTION("""COMPUTED_VALUE"""),0)</f>
        <v>0</v>
      </c>
      <c r="L1333" s="23">
        <f ca="1">IFERROR(__xludf.DUMMYFUNCTION("""COMPUTED_VALUE"""),0)</f>
        <v>0</v>
      </c>
      <c r="M1333" s="23">
        <f ca="1">IFERROR(__xludf.DUMMYFUNCTION("""COMPUTED_VALUE"""),0)</f>
        <v>0</v>
      </c>
      <c r="N1333" s="23">
        <f ca="1">IFERROR(__xludf.DUMMYFUNCTION("""COMPUTED_VALUE"""),0)</f>
        <v>0</v>
      </c>
      <c r="O1333" s="23">
        <f ca="1">IFERROR(__xludf.DUMMYFUNCTION("""COMPUTED_VALUE"""),0)</f>
        <v>0</v>
      </c>
      <c r="P1333" s="23">
        <f ca="1">IFERROR(__xludf.DUMMYFUNCTION("""COMPUTED_VALUE"""),0)</f>
        <v>0</v>
      </c>
      <c r="Q1333" s="24">
        <f ca="1">IFERROR(__xludf.DUMMYFUNCTION("""COMPUTED_VALUE"""),0)</f>
        <v>0</v>
      </c>
      <c r="R1333" s="20"/>
    </row>
    <row r="1334" spans="1:18" ht="13.2" hidden="1" outlineLevel="1" x14ac:dyDescent="0.25">
      <c r="A1334" s="1"/>
      <c r="B1334" s="39" t="str">
        <f ca="1">IFERROR(__xludf.DUMMYFUNCTION("""COMPUTED_VALUE"""),"Querosenos")</f>
        <v>Querosenos</v>
      </c>
      <c r="C1334" s="22">
        <f ca="1">IFERROR(__xludf.DUMMYFUNCTION("""COMPUTED_VALUE"""),0)</f>
        <v>0</v>
      </c>
      <c r="D1334" s="23">
        <f ca="1">IFERROR(__xludf.DUMMYFUNCTION("""COMPUTED_VALUE"""),0)</f>
        <v>0</v>
      </c>
      <c r="E1334" s="23">
        <f ca="1">IFERROR(__xludf.DUMMYFUNCTION("""COMPUTED_VALUE"""),0)</f>
        <v>0</v>
      </c>
      <c r="F1334" s="23">
        <f ca="1">IFERROR(__xludf.DUMMYFUNCTION("""COMPUTED_VALUE"""),0)</f>
        <v>0</v>
      </c>
      <c r="G1334" s="23">
        <f ca="1">IFERROR(__xludf.DUMMYFUNCTION("""COMPUTED_VALUE"""),0)</f>
        <v>0</v>
      </c>
      <c r="H1334" s="23">
        <f ca="1">IFERROR(__xludf.DUMMYFUNCTION("""COMPUTED_VALUE"""),0)</f>
        <v>0</v>
      </c>
      <c r="I1334" s="23">
        <f ca="1">IFERROR(__xludf.DUMMYFUNCTION("""COMPUTED_VALUE"""),0)</f>
        <v>0</v>
      </c>
      <c r="J1334" s="23">
        <f ca="1">IFERROR(__xludf.DUMMYFUNCTION("""COMPUTED_VALUE"""),0)</f>
        <v>0</v>
      </c>
      <c r="K1334" s="23">
        <f ca="1">IFERROR(__xludf.DUMMYFUNCTION("""COMPUTED_VALUE"""),0)</f>
        <v>0</v>
      </c>
      <c r="L1334" s="23">
        <f ca="1">IFERROR(__xludf.DUMMYFUNCTION("""COMPUTED_VALUE"""),0)</f>
        <v>0</v>
      </c>
      <c r="M1334" s="23">
        <f ca="1">IFERROR(__xludf.DUMMYFUNCTION("""COMPUTED_VALUE"""),0)</f>
        <v>0</v>
      </c>
      <c r="N1334" s="23">
        <f ca="1">IFERROR(__xludf.DUMMYFUNCTION("""COMPUTED_VALUE"""),0)</f>
        <v>0</v>
      </c>
      <c r="O1334" s="23">
        <f ca="1">IFERROR(__xludf.DUMMYFUNCTION("""COMPUTED_VALUE"""),0)</f>
        <v>0</v>
      </c>
      <c r="P1334" s="23">
        <f ca="1">IFERROR(__xludf.DUMMYFUNCTION("""COMPUTED_VALUE"""),0)</f>
        <v>0</v>
      </c>
      <c r="Q1334" s="24">
        <f ca="1">IFERROR(__xludf.DUMMYFUNCTION("""COMPUTED_VALUE"""),0)</f>
        <v>0</v>
      </c>
      <c r="R1334" s="20"/>
    </row>
    <row r="1335" spans="1:18" ht="13.2" hidden="1" outlineLevel="1" x14ac:dyDescent="0.25">
      <c r="A1335" s="1"/>
      <c r="B1335" s="39" t="str">
        <f ca="1">IFERROR(__xludf.DUMMYFUNCTION("""COMPUTED_VALUE"""),"Diesel")</f>
        <v>Diesel</v>
      </c>
      <c r="C1335" s="22">
        <f ca="1">IFERROR(__xludf.DUMMYFUNCTION("""COMPUTED_VALUE"""),0)</f>
        <v>0</v>
      </c>
      <c r="D1335" s="23">
        <f ca="1">IFERROR(__xludf.DUMMYFUNCTION("""COMPUTED_VALUE"""),0)</f>
        <v>0</v>
      </c>
      <c r="E1335" s="23">
        <f ca="1">IFERROR(__xludf.DUMMYFUNCTION("""COMPUTED_VALUE"""),0)</f>
        <v>0</v>
      </c>
      <c r="F1335" s="23">
        <f ca="1">IFERROR(__xludf.DUMMYFUNCTION("""COMPUTED_VALUE"""),0)</f>
        <v>0</v>
      </c>
      <c r="G1335" s="23">
        <f ca="1">IFERROR(__xludf.DUMMYFUNCTION("""COMPUTED_VALUE"""),0)</f>
        <v>0</v>
      </c>
      <c r="H1335" s="23">
        <f ca="1">IFERROR(__xludf.DUMMYFUNCTION("""COMPUTED_VALUE"""),0)</f>
        <v>0</v>
      </c>
      <c r="I1335" s="23">
        <f ca="1">IFERROR(__xludf.DUMMYFUNCTION("""COMPUTED_VALUE"""),0)</f>
        <v>0</v>
      </c>
      <c r="J1335" s="23">
        <f ca="1">IFERROR(__xludf.DUMMYFUNCTION("""COMPUTED_VALUE"""),0)</f>
        <v>0</v>
      </c>
      <c r="K1335" s="23">
        <f ca="1">IFERROR(__xludf.DUMMYFUNCTION("""COMPUTED_VALUE"""),0)</f>
        <v>0</v>
      </c>
      <c r="L1335" s="23">
        <f ca="1">IFERROR(__xludf.DUMMYFUNCTION("""COMPUTED_VALUE"""),0)</f>
        <v>0</v>
      </c>
      <c r="M1335" s="23">
        <f ca="1">IFERROR(__xludf.DUMMYFUNCTION("""COMPUTED_VALUE"""),0)</f>
        <v>0</v>
      </c>
      <c r="N1335" s="23">
        <f ca="1">IFERROR(__xludf.DUMMYFUNCTION("""COMPUTED_VALUE"""),0)</f>
        <v>0</v>
      </c>
      <c r="O1335" s="23">
        <f ca="1">IFERROR(__xludf.DUMMYFUNCTION("""COMPUTED_VALUE"""),0)</f>
        <v>0</v>
      </c>
      <c r="P1335" s="23">
        <f ca="1">IFERROR(__xludf.DUMMYFUNCTION("""COMPUTED_VALUE"""),0)</f>
        <v>0</v>
      </c>
      <c r="Q1335" s="24">
        <f ca="1">IFERROR(__xludf.DUMMYFUNCTION("""COMPUTED_VALUE"""),0)</f>
        <v>0</v>
      </c>
      <c r="R1335" s="20"/>
    </row>
    <row r="1336" spans="1:18" ht="13.2" hidden="1" outlineLevel="1" x14ac:dyDescent="0.25">
      <c r="A1336" s="1"/>
      <c r="B1336" s="39" t="str">
        <f ca="1">IFERROR(__xludf.DUMMYFUNCTION("""COMPUTED_VALUE"""),"Combustóleo")</f>
        <v>Combustóleo</v>
      </c>
      <c r="C1336" s="22">
        <f ca="1">IFERROR(__xludf.DUMMYFUNCTION("""COMPUTED_VALUE"""),0)</f>
        <v>0</v>
      </c>
      <c r="D1336" s="23">
        <f ca="1">IFERROR(__xludf.DUMMYFUNCTION("""COMPUTED_VALUE"""),0)</f>
        <v>0</v>
      </c>
      <c r="E1336" s="23">
        <f ca="1">IFERROR(__xludf.DUMMYFUNCTION("""COMPUTED_VALUE"""),0)</f>
        <v>0</v>
      </c>
      <c r="F1336" s="23">
        <f ca="1">IFERROR(__xludf.DUMMYFUNCTION("""COMPUTED_VALUE"""),0)</f>
        <v>0</v>
      </c>
      <c r="G1336" s="23">
        <f ca="1">IFERROR(__xludf.DUMMYFUNCTION("""COMPUTED_VALUE"""),0)</f>
        <v>0</v>
      </c>
      <c r="H1336" s="23">
        <f ca="1">IFERROR(__xludf.DUMMYFUNCTION("""COMPUTED_VALUE"""),0)</f>
        <v>0</v>
      </c>
      <c r="I1336" s="23">
        <f ca="1">IFERROR(__xludf.DUMMYFUNCTION("""COMPUTED_VALUE"""),0)</f>
        <v>0</v>
      </c>
      <c r="J1336" s="23">
        <f ca="1">IFERROR(__xludf.DUMMYFUNCTION("""COMPUTED_VALUE"""),0)</f>
        <v>0</v>
      </c>
      <c r="K1336" s="23">
        <f ca="1">IFERROR(__xludf.DUMMYFUNCTION("""COMPUTED_VALUE"""),0)</f>
        <v>0</v>
      </c>
      <c r="L1336" s="23">
        <f ca="1">IFERROR(__xludf.DUMMYFUNCTION("""COMPUTED_VALUE"""),0)</f>
        <v>0</v>
      </c>
      <c r="M1336" s="23">
        <f ca="1">IFERROR(__xludf.DUMMYFUNCTION("""COMPUTED_VALUE"""),0)</f>
        <v>0</v>
      </c>
      <c r="N1336" s="23">
        <f ca="1">IFERROR(__xludf.DUMMYFUNCTION("""COMPUTED_VALUE"""),0)</f>
        <v>0</v>
      </c>
      <c r="O1336" s="23">
        <f ca="1">IFERROR(__xludf.DUMMYFUNCTION("""COMPUTED_VALUE"""),0)</f>
        <v>0</v>
      </c>
      <c r="P1336" s="23">
        <f ca="1">IFERROR(__xludf.DUMMYFUNCTION("""COMPUTED_VALUE"""),0)</f>
        <v>0</v>
      </c>
      <c r="Q1336" s="24">
        <f ca="1">IFERROR(__xludf.DUMMYFUNCTION("""COMPUTED_VALUE"""),0)</f>
        <v>0</v>
      </c>
      <c r="R1336" s="20"/>
    </row>
    <row r="1337" spans="1:18" ht="13.2" hidden="1" outlineLevel="1" x14ac:dyDescent="0.25">
      <c r="A1337" s="1"/>
      <c r="B1337" s="39" t="str">
        <f ca="1">IFERROR(__xludf.DUMMYFUNCTION("""COMPUTED_VALUE"""),"Otros energéticos")</f>
        <v>Otros energéticos</v>
      </c>
      <c r="C1337" s="22">
        <f ca="1">IFERROR(__xludf.DUMMYFUNCTION("""COMPUTED_VALUE"""),0)</f>
        <v>0</v>
      </c>
      <c r="D1337" s="23">
        <f ca="1">IFERROR(__xludf.DUMMYFUNCTION("""COMPUTED_VALUE"""),0)</f>
        <v>0</v>
      </c>
      <c r="E1337" s="23">
        <f ca="1">IFERROR(__xludf.DUMMYFUNCTION("""COMPUTED_VALUE"""),0)</f>
        <v>0</v>
      </c>
      <c r="F1337" s="23">
        <f ca="1">IFERROR(__xludf.DUMMYFUNCTION("""COMPUTED_VALUE"""),0)</f>
        <v>0</v>
      </c>
      <c r="G1337" s="23">
        <f ca="1">IFERROR(__xludf.DUMMYFUNCTION("""COMPUTED_VALUE"""),0)</f>
        <v>0</v>
      </c>
      <c r="H1337" s="23">
        <f ca="1">IFERROR(__xludf.DUMMYFUNCTION("""COMPUTED_VALUE"""),0)</f>
        <v>0</v>
      </c>
      <c r="I1337" s="23">
        <f ca="1">IFERROR(__xludf.DUMMYFUNCTION("""COMPUTED_VALUE"""),0)</f>
        <v>0</v>
      </c>
      <c r="J1337" s="23">
        <f ca="1">IFERROR(__xludf.DUMMYFUNCTION("""COMPUTED_VALUE"""),0)</f>
        <v>0</v>
      </c>
      <c r="K1337" s="23">
        <f ca="1">IFERROR(__xludf.DUMMYFUNCTION("""COMPUTED_VALUE"""),0)</f>
        <v>0</v>
      </c>
      <c r="L1337" s="23">
        <f ca="1">IFERROR(__xludf.DUMMYFUNCTION("""COMPUTED_VALUE"""),0)</f>
        <v>0</v>
      </c>
      <c r="M1337" s="23">
        <f ca="1">IFERROR(__xludf.DUMMYFUNCTION("""COMPUTED_VALUE"""),0)</f>
        <v>0</v>
      </c>
      <c r="N1337" s="23">
        <f ca="1">IFERROR(__xludf.DUMMYFUNCTION("""COMPUTED_VALUE"""),0)</f>
        <v>0</v>
      </c>
      <c r="O1337" s="23">
        <f ca="1">IFERROR(__xludf.DUMMYFUNCTION("""COMPUTED_VALUE"""),0)</f>
        <v>0</v>
      </c>
      <c r="P1337" s="23">
        <f ca="1">IFERROR(__xludf.DUMMYFUNCTION("""COMPUTED_VALUE"""),0)</f>
        <v>0</v>
      </c>
      <c r="Q1337" s="24">
        <f ca="1">IFERROR(__xludf.DUMMYFUNCTION("""COMPUTED_VALUE"""),0)</f>
        <v>0</v>
      </c>
      <c r="R1337" s="20"/>
    </row>
    <row r="1338" spans="1:18" ht="13.2" hidden="1" outlineLevel="1" x14ac:dyDescent="0.25">
      <c r="A1338" s="1"/>
      <c r="B1338" s="39" t="str">
        <f ca="1">IFERROR(__xludf.DUMMYFUNCTION("""COMPUTED_VALUE"""),"Gas natural seco")</f>
        <v>Gas natural seco</v>
      </c>
      <c r="C1338" s="22">
        <f ca="1">IFERROR(__xludf.DUMMYFUNCTION("""COMPUTED_VALUE"""),0)</f>
        <v>0</v>
      </c>
      <c r="D1338" s="23">
        <f ca="1">IFERROR(__xludf.DUMMYFUNCTION("""COMPUTED_VALUE"""),0)</f>
        <v>0</v>
      </c>
      <c r="E1338" s="23">
        <f ca="1">IFERROR(__xludf.DUMMYFUNCTION("""COMPUTED_VALUE"""),0)</f>
        <v>0</v>
      </c>
      <c r="F1338" s="23">
        <f ca="1">IFERROR(__xludf.DUMMYFUNCTION("""COMPUTED_VALUE"""),0)</f>
        <v>0</v>
      </c>
      <c r="G1338" s="23">
        <f ca="1">IFERROR(__xludf.DUMMYFUNCTION("""COMPUTED_VALUE"""),0)</f>
        <v>0</v>
      </c>
      <c r="H1338" s="23">
        <f ca="1">IFERROR(__xludf.DUMMYFUNCTION("""COMPUTED_VALUE"""),0)</f>
        <v>0</v>
      </c>
      <c r="I1338" s="23">
        <f ca="1">IFERROR(__xludf.DUMMYFUNCTION("""COMPUTED_VALUE"""),0)</f>
        <v>0</v>
      </c>
      <c r="J1338" s="23">
        <f ca="1">IFERROR(__xludf.DUMMYFUNCTION("""COMPUTED_VALUE"""),0)</f>
        <v>0</v>
      </c>
      <c r="K1338" s="23">
        <f ca="1">IFERROR(__xludf.DUMMYFUNCTION("""COMPUTED_VALUE"""),0)</f>
        <v>0</v>
      </c>
      <c r="L1338" s="23">
        <f ca="1">IFERROR(__xludf.DUMMYFUNCTION("""COMPUTED_VALUE"""),0)</f>
        <v>0</v>
      </c>
      <c r="M1338" s="23">
        <f ca="1">IFERROR(__xludf.DUMMYFUNCTION("""COMPUTED_VALUE"""),0)</f>
        <v>0</v>
      </c>
      <c r="N1338" s="23">
        <f ca="1">IFERROR(__xludf.DUMMYFUNCTION("""COMPUTED_VALUE"""),0)</f>
        <v>0</v>
      </c>
      <c r="O1338" s="23">
        <f ca="1">IFERROR(__xludf.DUMMYFUNCTION("""COMPUTED_VALUE"""),0)</f>
        <v>0</v>
      </c>
      <c r="P1338" s="23">
        <f ca="1">IFERROR(__xludf.DUMMYFUNCTION("""COMPUTED_VALUE"""),0)</f>
        <v>0</v>
      </c>
      <c r="Q1338" s="24">
        <f ca="1">IFERROR(__xludf.DUMMYFUNCTION("""COMPUTED_VALUE"""),0)</f>
        <v>0</v>
      </c>
      <c r="R1338" s="20"/>
    </row>
    <row r="1339" spans="1:18" ht="13.2" hidden="1" outlineLevel="1" x14ac:dyDescent="0.25">
      <c r="A1339" s="1"/>
      <c r="B1339" s="40" t="str">
        <f ca="1">IFERROR(__xludf.DUMMYFUNCTION("""COMPUTED_VALUE"""),"Energía eléctrica")</f>
        <v>Energía eléctrica</v>
      </c>
      <c r="C1339" s="26">
        <f ca="1">IFERROR(__xludf.DUMMYFUNCTION("""COMPUTED_VALUE"""),0)</f>
        <v>0</v>
      </c>
      <c r="D1339" s="27">
        <f ca="1">IFERROR(__xludf.DUMMYFUNCTION("""COMPUTED_VALUE"""),0)</f>
        <v>0</v>
      </c>
      <c r="E1339" s="27">
        <f ca="1">IFERROR(__xludf.DUMMYFUNCTION("""COMPUTED_VALUE"""),0)</f>
        <v>0</v>
      </c>
      <c r="F1339" s="27">
        <f ca="1">IFERROR(__xludf.DUMMYFUNCTION("""COMPUTED_VALUE"""),0)</f>
        <v>0</v>
      </c>
      <c r="G1339" s="27">
        <f ca="1">IFERROR(__xludf.DUMMYFUNCTION("""COMPUTED_VALUE"""),0)</f>
        <v>0</v>
      </c>
      <c r="H1339" s="27">
        <f ca="1">IFERROR(__xludf.DUMMYFUNCTION("""COMPUTED_VALUE"""),0)</f>
        <v>0</v>
      </c>
      <c r="I1339" s="27">
        <f ca="1">IFERROR(__xludf.DUMMYFUNCTION("""COMPUTED_VALUE"""),0)</f>
        <v>0</v>
      </c>
      <c r="J1339" s="27">
        <f ca="1">IFERROR(__xludf.DUMMYFUNCTION("""COMPUTED_VALUE"""),0)</f>
        <v>0</v>
      </c>
      <c r="K1339" s="27">
        <f ca="1">IFERROR(__xludf.DUMMYFUNCTION("""COMPUTED_VALUE"""),0)</f>
        <v>0</v>
      </c>
      <c r="L1339" s="27">
        <f ca="1">IFERROR(__xludf.DUMMYFUNCTION("""COMPUTED_VALUE"""),0)</f>
        <v>0</v>
      </c>
      <c r="M1339" s="27">
        <f ca="1">IFERROR(__xludf.DUMMYFUNCTION("""COMPUTED_VALUE"""),0)</f>
        <v>0</v>
      </c>
      <c r="N1339" s="27">
        <f ca="1">IFERROR(__xludf.DUMMYFUNCTION("""COMPUTED_VALUE"""),0)</f>
        <v>0</v>
      </c>
      <c r="O1339" s="27">
        <f ca="1">IFERROR(__xludf.DUMMYFUNCTION("""COMPUTED_VALUE"""),0)</f>
        <v>0</v>
      </c>
      <c r="P1339" s="27">
        <f ca="1">IFERROR(__xludf.DUMMYFUNCTION("""COMPUTED_VALUE"""),0)</f>
        <v>0</v>
      </c>
      <c r="Q1339" s="28">
        <f ca="1">IFERROR(__xludf.DUMMYFUNCTION("""COMPUTED_VALUE"""),0)</f>
        <v>0</v>
      </c>
      <c r="R1339" s="20"/>
    </row>
    <row r="1340" spans="1:18" ht="13.2" collapsed="1" x14ac:dyDescent="0.25">
      <c r="A1340" s="1"/>
      <c r="B1340" s="31" t="str">
        <f ca="1">IFERROR(__xludf.DUMMYFUNCTION("""COMPUTED_VALUE"""),"322	Industria del papel")</f>
        <v>322	Industria del papel</v>
      </c>
      <c r="C1340" s="41"/>
      <c r="D1340" s="42"/>
      <c r="E1340" s="41"/>
      <c r="F1340" s="41"/>
      <c r="G1340" s="43"/>
      <c r="H1340" s="44"/>
      <c r="I1340" s="45"/>
      <c r="J1340" s="45"/>
      <c r="K1340" s="45"/>
      <c r="L1340" s="45"/>
      <c r="M1340" s="45"/>
      <c r="N1340" s="45"/>
      <c r="O1340" s="45"/>
      <c r="P1340" s="45"/>
      <c r="Q1340" s="45"/>
      <c r="R1340" s="10"/>
    </row>
    <row r="1341" spans="1:18" ht="13.2" hidden="1" outlineLevel="1" x14ac:dyDescent="0.25">
      <c r="A1341" s="1"/>
      <c r="B1341" s="46"/>
      <c r="C1341" s="35">
        <f ca="1">IFERROR(__xludf.DUMMYFUNCTION("""COMPUTED_VALUE"""),2010)</f>
        <v>2010</v>
      </c>
      <c r="D1341" s="36">
        <f ca="1">IFERROR(__xludf.DUMMYFUNCTION("""COMPUTED_VALUE"""),2011)</f>
        <v>2011</v>
      </c>
      <c r="E1341" s="36">
        <f ca="1">IFERROR(__xludf.DUMMYFUNCTION("""COMPUTED_VALUE"""),2012)</f>
        <v>2012</v>
      </c>
      <c r="F1341" s="36">
        <f ca="1">IFERROR(__xludf.DUMMYFUNCTION("""COMPUTED_VALUE"""),2013)</f>
        <v>2013</v>
      </c>
      <c r="G1341" s="36">
        <f ca="1">IFERROR(__xludf.DUMMYFUNCTION("""COMPUTED_VALUE"""),2014)</f>
        <v>2014</v>
      </c>
      <c r="H1341" s="36">
        <f ca="1">IFERROR(__xludf.DUMMYFUNCTION("""COMPUTED_VALUE"""),2015)</f>
        <v>2015</v>
      </c>
      <c r="I1341" s="36">
        <f ca="1">IFERROR(__xludf.DUMMYFUNCTION("""COMPUTED_VALUE"""),2016)</f>
        <v>2016</v>
      </c>
      <c r="J1341" s="36">
        <f ca="1">IFERROR(__xludf.DUMMYFUNCTION("""COMPUTED_VALUE"""),2017)</f>
        <v>2017</v>
      </c>
      <c r="K1341" s="36">
        <f ca="1">IFERROR(__xludf.DUMMYFUNCTION("""COMPUTED_VALUE"""),2018)</f>
        <v>2018</v>
      </c>
      <c r="L1341" s="36">
        <f ca="1">IFERROR(__xludf.DUMMYFUNCTION("""COMPUTED_VALUE"""),2019)</f>
        <v>2019</v>
      </c>
      <c r="M1341" s="36">
        <f ca="1">IFERROR(__xludf.DUMMYFUNCTION("""COMPUTED_VALUE"""),2020)</f>
        <v>2020</v>
      </c>
      <c r="N1341" s="36">
        <f ca="1">IFERROR(__xludf.DUMMYFUNCTION("""COMPUTED_VALUE"""),2021)</f>
        <v>2021</v>
      </c>
      <c r="O1341" s="36">
        <f ca="1">IFERROR(__xludf.DUMMYFUNCTION("""COMPUTED_VALUE"""),2022)</f>
        <v>2022</v>
      </c>
      <c r="P1341" s="36">
        <f ca="1">IFERROR(__xludf.DUMMYFUNCTION("""COMPUTED_VALUE"""),2023)</f>
        <v>2023</v>
      </c>
      <c r="Q1341" s="37">
        <f ca="1">IFERROR(__xludf.DUMMYFUNCTION("""COMPUTED_VALUE"""),2024)</f>
        <v>2024</v>
      </c>
      <c r="R1341" s="15"/>
    </row>
    <row r="1342" spans="1:18" ht="13.2" hidden="1" outlineLevel="1" x14ac:dyDescent="0.25">
      <c r="A1342" s="1"/>
      <c r="B1342" s="38" t="str">
        <f ca="1">IFERROR(__xludf.DUMMYFUNCTION("""COMPUTED_VALUE"""),"Carbón mineral")</f>
        <v>Carbón mineral</v>
      </c>
      <c r="C1342" s="17">
        <f ca="1">IFERROR(__xludf.DUMMYFUNCTION("""COMPUTED_VALUE"""),0)</f>
        <v>0</v>
      </c>
      <c r="D1342" s="18">
        <f ca="1">IFERROR(__xludf.DUMMYFUNCTION("""COMPUTED_VALUE"""),0)</f>
        <v>0</v>
      </c>
      <c r="E1342" s="18">
        <f ca="1">IFERROR(__xludf.DUMMYFUNCTION("""COMPUTED_VALUE"""),0)</f>
        <v>0</v>
      </c>
      <c r="F1342" s="18">
        <f ca="1">IFERROR(__xludf.DUMMYFUNCTION("""COMPUTED_VALUE"""),0)</f>
        <v>0</v>
      </c>
      <c r="G1342" s="18">
        <f ca="1">IFERROR(__xludf.DUMMYFUNCTION("""COMPUTED_VALUE"""),0)</f>
        <v>0</v>
      </c>
      <c r="H1342" s="18">
        <f ca="1">IFERROR(__xludf.DUMMYFUNCTION("""COMPUTED_VALUE"""),0)</f>
        <v>0</v>
      </c>
      <c r="I1342" s="18">
        <f ca="1">IFERROR(__xludf.DUMMYFUNCTION("""COMPUTED_VALUE"""),0)</f>
        <v>0</v>
      </c>
      <c r="J1342" s="18">
        <f ca="1">IFERROR(__xludf.DUMMYFUNCTION("""COMPUTED_VALUE"""),0)</f>
        <v>0</v>
      </c>
      <c r="K1342" s="18">
        <f ca="1">IFERROR(__xludf.DUMMYFUNCTION("""COMPUTED_VALUE"""),0)</f>
        <v>0</v>
      </c>
      <c r="L1342" s="18">
        <f ca="1">IFERROR(__xludf.DUMMYFUNCTION("""COMPUTED_VALUE"""),0)</f>
        <v>0</v>
      </c>
      <c r="M1342" s="18">
        <f ca="1">IFERROR(__xludf.DUMMYFUNCTION("""COMPUTED_VALUE"""),0)</f>
        <v>0</v>
      </c>
      <c r="N1342" s="18">
        <f ca="1">IFERROR(__xludf.DUMMYFUNCTION("""COMPUTED_VALUE"""),0)</f>
        <v>0</v>
      </c>
      <c r="O1342" s="18">
        <f ca="1">IFERROR(__xludf.DUMMYFUNCTION("""COMPUTED_VALUE"""),0)</f>
        <v>0</v>
      </c>
      <c r="P1342" s="18">
        <f ca="1">IFERROR(__xludf.DUMMYFUNCTION("""COMPUTED_VALUE"""),0)</f>
        <v>0</v>
      </c>
      <c r="Q1342" s="19">
        <f ca="1">IFERROR(__xludf.DUMMYFUNCTION("""COMPUTED_VALUE"""),0)</f>
        <v>0</v>
      </c>
      <c r="R1342" s="20"/>
    </row>
    <row r="1343" spans="1:18" ht="13.2" hidden="1" outlineLevel="1" x14ac:dyDescent="0.25">
      <c r="A1343" s="1"/>
      <c r="B1343" s="39" t="str">
        <f ca="1">IFERROR(__xludf.DUMMYFUNCTION("""COMPUTED_VALUE"""),"Petróleo crudo")</f>
        <v>Petróleo crudo</v>
      </c>
      <c r="C1343" s="22">
        <f ca="1">IFERROR(__xludf.DUMMYFUNCTION("""COMPUTED_VALUE"""),0)</f>
        <v>0</v>
      </c>
      <c r="D1343" s="23">
        <f ca="1">IFERROR(__xludf.DUMMYFUNCTION("""COMPUTED_VALUE"""),0)</f>
        <v>0</v>
      </c>
      <c r="E1343" s="23">
        <f ca="1">IFERROR(__xludf.DUMMYFUNCTION("""COMPUTED_VALUE"""),0)</f>
        <v>0</v>
      </c>
      <c r="F1343" s="23">
        <f ca="1">IFERROR(__xludf.DUMMYFUNCTION("""COMPUTED_VALUE"""),0)</f>
        <v>0</v>
      </c>
      <c r="G1343" s="23">
        <f ca="1">IFERROR(__xludf.DUMMYFUNCTION("""COMPUTED_VALUE"""),0)</f>
        <v>0</v>
      </c>
      <c r="H1343" s="23">
        <f ca="1">IFERROR(__xludf.DUMMYFUNCTION("""COMPUTED_VALUE"""),0)</f>
        <v>0</v>
      </c>
      <c r="I1343" s="23">
        <f ca="1">IFERROR(__xludf.DUMMYFUNCTION("""COMPUTED_VALUE"""),0)</f>
        <v>0</v>
      </c>
      <c r="J1343" s="23">
        <f ca="1">IFERROR(__xludf.DUMMYFUNCTION("""COMPUTED_VALUE"""),0)</f>
        <v>0</v>
      </c>
      <c r="K1343" s="23">
        <f ca="1">IFERROR(__xludf.DUMMYFUNCTION("""COMPUTED_VALUE"""),0)</f>
        <v>0</v>
      </c>
      <c r="L1343" s="23">
        <f ca="1">IFERROR(__xludf.DUMMYFUNCTION("""COMPUTED_VALUE"""),0)</f>
        <v>0</v>
      </c>
      <c r="M1343" s="23">
        <f ca="1">IFERROR(__xludf.DUMMYFUNCTION("""COMPUTED_VALUE"""),0)</f>
        <v>0</v>
      </c>
      <c r="N1343" s="23">
        <f ca="1">IFERROR(__xludf.DUMMYFUNCTION("""COMPUTED_VALUE"""),0)</f>
        <v>0</v>
      </c>
      <c r="O1343" s="23">
        <f ca="1">IFERROR(__xludf.DUMMYFUNCTION("""COMPUTED_VALUE"""),0)</f>
        <v>0</v>
      </c>
      <c r="P1343" s="23">
        <f ca="1">IFERROR(__xludf.DUMMYFUNCTION("""COMPUTED_VALUE"""),0)</f>
        <v>0</v>
      </c>
      <c r="Q1343" s="24">
        <f ca="1">IFERROR(__xludf.DUMMYFUNCTION("""COMPUTED_VALUE"""),0)</f>
        <v>0</v>
      </c>
      <c r="R1343" s="20"/>
    </row>
    <row r="1344" spans="1:18" ht="13.2" hidden="1" outlineLevel="1" x14ac:dyDescent="0.25">
      <c r="A1344" s="1"/>
      <c r="B1344" s="39" t="str">
        <f ca="1">IFERROR(__xludf.DUMMYFUNCTION("""COMPUTED_VALUE"""),"Condensados")</f>
        <v>Condensados</v>
      </c>
      <c r="C1344" s="22">
        <f ca="1">IFERROR(__xludf.DUMMYFUNCTION("""COMPUTED_VALUE"""),0)</f>
        <v>0</v>
      </c>
      <c r="D1344" s="23">
        <f ca="1">IFERROR(__xludf.DUMMYFUNCTION("""COMPUTED_VALUE"""),0)</f>
        <v>0</v>
      </c>
      <c r="E1344" s="23">
        <f ca="1">IFERROR(__xludf.DUMMYFUNCTION("""COMPUTED_VALUE"""),0)</f>
        <v>0</v>
      </c>
      <c r="F1344" s="23">
        <f ca="1">IFERROR(__xludf.DUMMYFUNCTION("""COMPUTED_VALUE"""),0)</f>
        <v>0</v>
      </c>
      <c r="G1344" s="23">
        <f ca="1">IFERROR(__xludf.DUMMYFUNCTION("""COMPUTED_VALUE"""),0)</f>
        <v>0</v>
      </c>
      <c r="H1344" s="23">
        <f ca="1">IFERROR(__xludf.DUMMYFUNCTION("""COMPUTED_VALUE"""),0)</f>
        <v>0</v>
      </c>
      <c r="I1344" s="23">
        <f ca="1">IFERROR(__xludf.DUMMYFUNCTION("""COMPUTED_VALUE"""),0)</f>
        <v>0</v>
      </c>
      <c r="J1344" s="23">
        <f ca="1">IFERROR(__xludf.DUMMYFUNCTION("""COMPUTED_VALUE"""),0)</f>
        <v>0</v>
      </c>
      <c r="K1344" s="23">
        <f ca="1">IFERROR(__xludf.DUMMYFUNCTION("""COMPUTED_VALUE"""),0)</f>
        <v>0</v>
      </c>
      <c r="L1344" s="23">
        <f ca="1">IFERROR(__xludf.DUMMYFUNCTION("""COMPUTED_VALUE"""),0)</f>
        <v>0</v>
      </c>
      <c r="M1344" s="23">
        <f ca="1">IFERROR(__xludf.DUMMYFUNCTION("""COMPUTED_VALUE"""),0)</f>
        <v>0</v>
      </c>
      <c r="N1344" s="23">
        <f ca="1">IFERROR(__xludf.DUMMYFUNCTION("""COMPUTED_VALUE"""),0)</f>
        <v>0</v>
      </c>
      <c r="O1344" s="23">
        <f ca="1">IFERROR(__xludf.DUMMYFUNCTION("""COMPUTED_VALUE"""),0)</f>
        <v>0</v>
      </c>
      <c r="P1344" s="23">
        <f ca="1">IFERROR(__xludf.DUMMYFUNCTION("""COMPUTED_VALUE"""),0)</f>
        <v>0</v>
      </c>
      <c r="Q1344" s="24">
        <f ca="1">IFERROR(__xludf.DUMMYFUNCTION("""COMPUTED_VALUE"""),0)</f>
        <v>0</v>
      </c>
      <c r="R1344" s="20"/>
    </row>
    <row r="1345" spans="1:18" ht="13.2" hidden="1" outlineLevel="1" x14ac:dyDescent="0.25">
      <c r="A1345" s="1"/>
      <c r="B1345" s="39" t="str">
        <f ca="1">IFERROR(__xludf.DUMMYFUNCTION("""COMPUTED_VALUE"""),"Gas natural")</f>
        <v>Gas natural</v>
      </c>
      <c r="C1345" s="22">
        <f ca="1">IFERROR(__xludf.DUMMYFUNCTION("""COMPUTED_VALUE"""),0)</f>
        <v>0</v>
      </c>
      <c r="D1345" s="23">
        <f ca="1">IFERROR(__xludf.DUMMYFUNCTION("""COMPUTED_VALUE"""),0)</f>
        <v>0</v>
      </c>
      <c r="E1345" s="23">
        <f ca="1">IFERROR(__xludf.DUMMYFUNCTION("""COMPUTED_VALUE"""),0)</f>
        <v>0</v>
      </c>
      <c r="F1345" s="23">
        <f ca="1">IFERROR(__xludf.DUMMYFUNCTION("""COMPUTED_VALUE"""),0)</f>
        <v>0</v>
      </c>
      <c r="G1345" s="23">
        <f ca="1">IFERROR(__xludf.DUMMYFUNCTION("""COMPUTED_VALUE"""),0)</f>
        <v>0</v>
      </c>
      <c r="H1345" s="23">
        <f ca="1">IFERROR(__xludf.DUMMYFUNCTION("""COMPUTED_VALUE"""),0)</f>
        <v>0</v>
      </c>
      <c r="I1345" s="23">
        <f ca="1">IFERROR(__xludf.DUMMYFUNCTION("""COMPUTED_VALUE"""),0)</f>
        <v>0</v>
      </c>
      <c r="J1345" s="23">
        <f ca="1">IFERROR(__xludf.DUMMYFUNCTION("""COMPUTED_VALUE"""),0)</f>
        <v>0</v>
      </c>
      <c r="K1345" s="23">
        <f ca="1">IFERROR(__xludf.DUMMYFUNCTION("""COMPUTED_VALUE"""),0)</f>
        <v>0</v>
      </c>
      <c r="L1345" s="23">
        <f ca="1">IFERROR(__xludf.DUMMYFUNCTION("""COMPUTED_VALUE"""),0)</f>
        <v>0</v>
      </c>
      <c r="M1345" s="23">
        <f ca="1">IFERROR(__xludf.DUMMYFUNCTION("""COMPUTED_VALUE"""),0)</f>
        <v>0</v>
      </c>
      <c r="N1345" s="23">
        <f ca="1">IFERROR(__xludf.DUMMYFUNCTION("""COMPUTED_VALUE"""),0)</f>
        <v>0</v>
      </c>
      <c r="O1345" s="23">
        <f ca="1">IFERROR(__xludf.DUMMYFUNCTION("""COMPUTED_VALUE"""),0)</f>
        <v>0</v>
      </c>
      <c r="P1345" s="23">
        <f ca="1">IFERROR(__xludf.DUMMYFUNCTION("""COMPUTED_VALUE"""),0)</f>
        <v>0</v>
      </c>
      <c r="Q1345" s="24">
        <f ca="1">IFERROR(__xludf.DUMMYFUNCTION("""COMPUTED_VALUE"""),0)</f>
        <v>0</v>
      </c>
      <c r="R1345" s="20"/>
    </row>
    <row r="1346" spans="1:18" ht="13.2" hidden="1" outlineLevel="1" x14ac:dyDescent="0.25">
      <c r="A1346" s="1"/>
      <c r="B1346" s="39" t="str">
        <f ca="1">IFERROR(__xludf.DUMMYFUNCTION("""COMPUTED_VALUE"""),"Energía Nuclear")</f>
        <v>Energía Nuclear</v>
      </c>
      <c r="C1346" s="22">
        <f ca="1">IFERROR(__xludf.DUMMYFUNCTION("""COMPUTED_VALUE"""),0)</f>
        <v>0</v>
      </c>
      <c r="D1346" s="23">
        <f ca="1">IFERROR(__xludf.DUMMYFUNCTION("""COMPUTED_VALUE"""),0)</f>
        <v>0</v>
      </c>
      <c r="E1346" s="23">
        <f ca="1">IFERROR(__xludf.DUMMYFUNCTION("""COMPUTED_VALUE"""),0)</f>
        <v>0</v>
      </c>
      <c r="F1346" s="23">
        <f ca="1">IFERROR(__xludf.DUMMYFUNCTION("""COMPUTED_VALUE"""),0)</f>
        <v>0</v>
      </c>
      <c r="G1346" s="23">
        <f ca="1">IFERROR(__xludf.DUMMYFUNCTION("""COMPUTED_VALUE"""),0)</f>
        <v>0</v>
      </c>
      <c r="H1346" s="23">
        <f ca="1">IFERROR(__xludf.DUMMYFUNCTION("""COMPUTED_VALUE"""),0)</f>
        <v>0</v>
      </c>
      <c r="I1346" s="23">
        <f ca="1">IFERROR(__xludf.DUMMYFUNCTION("""COMPUTED_VALUE"""),0)</f>
        <v>0</v>
      </c>
      <c r="J1346" s="23">
        <f ca="1">IFERROR(__xludf.DUMMYFUNCTION("""COMPUTED_VALUE"""),0)</f>
        <v>0</v>
      </c>
      <c r="K1346" s="23">
        <f ca="1">IFERROR(__xludf.DUMMYFUNCTION("""COMPUTED_VALUE"""),0)</f>
        <v>0</v>
      </c>
      <c r="L1346" s="23">
        <f ca="1">IFERROR(__xludf.DUMMYFUNCTION("""COMPUTED_VALUE"""),0)</f>
        <v>0</v>
      </c>
      <c r="M1346" s="23">
        <f ca="1">IFERROR(__xludf.DUMMYFUNCTION("""COMPUTED_VALUE"""),0)</f>
        <v>0</v>
      </c>
      <c r="N1346" s="23">
        <f ca="1">IFERROR(__xludf.DUMMYFUNCTION("""COMPUTED_VALUE"""),0)</f>
        <v>0</v>
      </c>
      <c r="O1346" s="23">
        <f ca="1">IFERROR(__xludf.DUMMYFUNCTION("""COMPUTED_VALUE"""),0)</f>
        <v>0</v>
      </c>
      <c r="P1346" s="23">
        <f ca="1">IFERROR(__xludf.DUMMYFUNCTION("""COMPUTED_VALUE"""),0)</f>
        <v>0</v>
      </c>
      <c r="Q1346" s="24">
        <f ca="1">IFERROR(__xludf.DUMMYFUNCTION("""COMPUTED_VALUE"""),0)</f>
        <v>0</v>
      </c>
      <c r="R1346" s="20"/>
    </row>
    <row r="1347" spans="1:18" ht="13.2" hidden="1" outlineLevel="1" x14ac:dyDescent="0.25">
      <c r="A1347" s="1"/>
      <c r="B1347" s="39" t="str">
        <f ca="1">IFERROR(__xludf.DUMMYFUNCTION("""COMPUTED_VALUE"""),"Energia Hidraúlica")</f>
        <v>Energia Hidraúlica</v>
      </c>
      <c r="C1347" s="22">
        <f ca="1">IFERROR(__xludf.DUMMYFUNCTION("""COMPUTED_VALUE"""),0)</f>
        <v>0</v>
      </c>
      <c r="D1347" s="23">
        <f ca="1">IFERROR(__xludf.DUMMYFUNCTION("""COMPUTED_VALUE"""),0)</f>
        <v>0</v>
      </c>
      <c r="E1347" s="23">
        <f ca="1">IFERROR(__xludf.DUMMYFUNCTION("""COMPUTED_VALUE"""),0)</f>
        <v>0</v>
      </c>
      <c r="F1347" s="23">
        <f ca="1">IFERROR(__xludf.DUMMYFUNCTION("""COMPUTED_VALUE"""),0)</f>
        <v>0</v>
      </c>
      <c r="G1347" s="23">
        <f ca="1">IFERROR(__xludf.DUMMYFUNCTION("""COMPUTED_VALUE"""),0)</f>
        <v>0</v>
      </c>
      <c r="H1347" s="23">
        <f ca="1">IFERROR(__xludf.DUMMYFUNCTION("""COMPUTED_VALUE"""),0)</f>
        <v>0</v>
      </c>
      <c r="I1347" s="23">
        <f ca="1">IFERROR(__xludf.DUMMYFUNCTION("""COMPUTED_VALUE"""),0)</f>
        <v>0</v>
      </c>
      <c r="J1347" s="23">
        <f ca="1">IFERROR(__xludf.DUMMYFUNCTION("""COMPUTED_VALUE"""),0)</f>
        <v>0</v>
      </c>
      <c r="K1347" s="23">
        <f ca="1">IFERROR(__xludf.DUMMYFUNCTION("""COMPUTED_VALUE"""),0)</f>
        <v>0</v>
      </c>
      <c r="L1347" s="23">
        <f ca="1">IFERROR(__xludf.DUMMYFUNCTION("""COMPUTED_VALUE"""),0)</f>
        <v>0</v>
      </c>
      <c r="M1347" s="23">
        <f ca="1">IFERROR(__xludf.DUMMYFUNCTION("""COMPUTED_VALUE"""),0)</f>
        <v>0</v>
      </c>
      <c r="N1347" s="23">
        <f ca="1">IFERROR(__xludf.DUMMYFUNCTION("""COMPUTED_VALUE"""),0)</f>
        <v>0</v>
      </c>
      <c r="O1347" s="23">
        <f ca="1">IFERROR(__xludf.DUMMYFUNCTION("""COMPUTED_VALUE"""),0)</f>
        <v>0</v>
      </c>
      <c r="P1347" s="23">
        <f ca="1">IFERROR(__xludf.DUMMYFUNCTION("""COMPUTED_VALUE"""),0)</f>
        <v>0</v>
      </c>
      <c r="Q1347" s="24">
        <f ca="1">IFERROR(__xludf.DUMMYFUNCTION("""COMPUTED_VALUE"""),0)</f>
        <v>0</v>
      </c>
      <c r="R1347" s="20"/>
    </row>
    <row r="1348" spans="1:18" ht="13.2" hidden="1" outlineLevel="1" x14ac:dyDescent="0.25">
      <c r="A1348" s="1"/>
      <c r="B1348" s="39" t="str">
        <f ca="1">IFERROR(__xludf.DUMMYFUNCTION("""COMPUTED_VALUE"""),"Geoenergía")</f>
        <v>Geoenergía</v>
      </c>
      <c r="C1348" s="22">
        <f ca="1">IFERROR(__xludf.DUMMYFUNCTION("""COMPUTED_VALUE"""),0)</f>
        <v>0</v>
      </c>
      <c r="D1348" s="23">
        <f ca="1">IFERROR(__xludf.DUMMYFUNCTION("""COMPUTED_VALUE"""),0)</f>
        <v>0</v>
      </c>
      <c r="E1348" s="23">
        <f ca="1">IFERROR(__xludf.DUMMYFUNCTION("""COMPUTED_VALUE"""),0)</f>
        <v>0</v>
      </c>
      <c r="F1348" s="23">
        <f ca="1">IFERROR(__xludf.DUMMYFUNCTION("""COMPUTED_VALUE"""),0)</f>
        <v>0</v>
      </c>
      <c r="G1348" s="23">
        <f ca="1">IFERROR(__xludf.DUMMYFUNCTION("""COMPUTED_VALUE"""),0)</f>
        <v>0</v>
      </c>
      <c r="H1348" s="23">
        <f ca="1">IFERROR(__xludf.DUMMYFUNCTION("""COMPUTED_VALUE"""),0)</f>
        <v>0</v>
      </c>
      <c r="I1348" s="23">
        <f ca="1">IFERROR(__xludf.DUMMYFUNCTION("""COMPUTED_VALUE"""),0)</f>
        <v>0</v>
      </c>
      <c r="J1348" s="23">
        <f ca="1">IFERROR(__xludf.DUMMYFUNCTION("""COMPUTED_VALUE"""),0)</f>
        <v>0</v>
      </c>
      <c r="K1348" s="23">
        <f ca="1">IFERROR(__xludf.DUMMYFUNCTION("""COMPUTED_VALUE"""),0)</f>
        <v>0</v>
      </c>
      <c r="L1348" s="23">
        <f ca="1">IFERROR(__xludf.DUMMYFUNCTION("""COMPUTED_VALUE"""),0)</f>
        <v>0</v>
      </c>
      <c r="M1348" s="23">
        <f ca="1">IFERROR(__xludf.DUMMYFUNCTION("""COMPUTED_VALUE"""),0)</f>
        <v>0</v>
      </c>
      <c r="N1348" s="23">
        <f ca="1">IFERROR(__xludf.DUMMYFUNCTION("""COMPUTED_VALUE"""),0)</f>
        <v>0</v>
      </c>
      <c r="O1348" s="23">
        <f ca="1">IFERROR(__xludf.DUMMYFUNCTION("""COMPUTED_VALUE"""),0)</f>
        <v>0</v>
      </c>
      <c r="P1348" s="23">
        <f ca="1">IFERROR(__xludf.DUMMYFUNCTION("""COMPUTED_VALUE"""),0)</f>
        <v>0</v>
      </c>
      <c r="Q1348" s="24">
        <f ca="1">IFERROR(__xludf.DUMMYFUNCTION("""COMPUTED_VALUE"""),0)</f>
        <v>0</v>
      </c>
      <c r="R1348" s="20"/>
    </row>
    <row r="1349" spans="1:18" ht="13.2" hidden="1" outlineLevel="1" x14ac:dyDescent="0.25">
      <c r="A1349" s="1"/>
      <c r="B1349" s="39" t="str">
        <f ca="1">IFERROR(__xludf.DUMMYFUNCTION("""COMPUTED_VALUE"""),"Energía solar")</f>
        <v>Energía solar</v>
      </c>
      <c r="C1349" s="22">
        <f ca="1">IFERROR(__xludf.DUMMYFUNCTION("""COMPUTED_VALUE"""),0)</f>
        <v>0</v>
      </c>
      <c r="D1349" s="23">
        <f ca="1">IFERROR(__xludf.DUMMYFUNCTION("""COMPUTED_VALUE"""),0)</f>
        <v>0</v>
      </c>
      <c r="E1349" s="23">
        <f ca="1">IFERROR(__xludf.DUMMYFUNCTION("""COMPUTED_VALUE"""),0)</f>
        <v>0</v>
      </c>
      <c r="F1349" s="23">
        <f ca="1">IFERROR(__xludf.DUMMYFUNCTION("""COMPUTED_VALUE"""),0)</f>
        <v>0</v>
      </c>
      <c r="G1349" s="23">
        <f ca="1">IFERROR(__xludf.DUMMYFUNCTION("""COMPUTED_VALUE"""),0)</f>
        <v>0</v>
      </c>
      <c r="H1349" s="23">
        <f ca="1">IFERROR(__xludf.DUMMYFUNCTION("""COMPUTED_VALUE"""),0)</f>
        <v>0</v>
      </c>
      <c r="I1349" s="23">
        <f ca="1">IFERROR(__xludf.DUMMYFUNCTION("""COMPUTED_VALUE"""),0)</f>
        <v>0</v>
      </c>
      <c r="J1349" s="23">
        <f ca="1">IFERROR(__xludf.DUMMYFUNCTION("""COMPUTED_VALUE"""),0)</f>
        <v>0</v>
      </c>
      <c r="K1349" s="23">
        <f ca="1">IFERROR(__xludf.DUMMYFUNCTION("""COMPUTED_VALUE"""),0)</f>
        <v>0</v>
      </c>
      <c r="L1349" s="23">
        <f ca="1">IFERROR(__xludf.DUMMYFUNCTION("""COMPUTED_VALUE"""),0)</f>
        <v>0</v>
      </c>
      <c r="M1349" s="23">
        <f ca="1">IFERROR(__xludf.DUMMYFUNCTION("""COMPUTED_VALUE"""),0)</f>
        <v>0</v>
      </c>
      <c r="N1349" s="23">
        <f ca="1">IFERROR(__xludf.DUMMYFUNCTION("""COMPUTED_VALUE"""),0)</f>
        <v>0</v>
      </c>
      <c r="O1349" s="23">
        <f ca="1">IFERROR(__xludf.DUMMYFUNCTION("""COMPUTED_VALUE"""),0)</f>
        <v>0</v>
      </c>
      <c r="P1349" s="23">
        <f ca="1">IFERROR(__xludf.DUMMYFUNCTION("""COMPUTED_VALUE"""),0)</f>
        <v>0</v>
      </c>
      <c r="Q1349" s="24">
        <f ca="1">IFERROR(__xludf.DUMMYFUNCTION("""COMPUTED_VALUE"""),0)</f>
        <v>0</v>
      </c>
      <c r="R1349" s="20"/>
    </row>
    <row r="1350" spans="1:18" ht="13.2" hidden="1" outlineLevel="1" x14ac:dyDescent="0.25">
      <c r="A1350" s="1"/>
      <c r="B1350" s="39" t="str">
        <f ca="1">IFERROR(__xludf.DUMMYFUNCTION("""COMPUTED_VALUE"""),"Energía eólica")</f>
        <v>Energía eólica</v>
      </c>
      <c r="C1350" s="22">
        <f ca="1">IFERROR(__xludf.DUMMYFUNCTION("""COMPUTED_VALUE"""),0)</f>
        <v>0</v>
      </c>
      <c r="D1350" s="23">
        <f ca="1">IFERROR(__xludf.DUMMYFUNCTION("""COMPUTED_VALUE"""),0)</f>
        <v>0</v>
      </c>
      <c r="E1350" s="23">
        <f ca="1">IFERROR(__xludf.DUMMYFUNCTION("""COMPUTED_VALUE"""),0)</f>
        <v>0</v>
      </c>
      <c r="F1350" s="23">
        <f ca="1">IFERROR(__xludf.DUMMYFUNCTION("""COMPUTED_VALUE"""),0)</f>
        <v>0</v>
      </c>
      <c r="G1350" s="23">
        <f ca="1">IFERROR(__xludf.DUMMYFUNCTION("""COMPUTED_VALUE"""),0)</f>
        <v>0</v>
      </c>
      <c r="H1350" s="23">
        <f ca="1">IFERROR(__xludf.DUMMYFUNCTION("""COMPUTED_VALUE"""),0)</f>
        <v>0</v>
      </c>
      <c r="I1350" s="23">
        <f ca="1">IFERROR(__xludf.DUMMYFUNCTION("""COMPUTED_VALUE"""),0)</f>
        <v>0</v>
      </c>
      <c r="J1350" s="23">
        <f ca="1">IFERROR(__xludf.DUMMYFUNCTION("""COMPUTED_VALUE"""),0)</f>
        <v>0</v>
      </c>
      <c r="K1350" s="23">
        <f ca="1">IFERROR(__xludf.DUMMYFUNCTION("""COMPUTED_VALUE"""),0)</f>
        <v>0</v>
      </c>
      <c r="L1350" s="23">
        <f ca="1">IFERROR(__xludf.DUMMYFUNCTION("""COMPUTED_VALUE"""),0)</f>
        <v>0</v>
      </c>
      <c r="M1350" s="23">
        <f ca="1">IFERROR(__xludf.DUMMYFUNCTION("""COMPUTED_VALUE"""),0)</f>
        <v>0</v>
      </c>
      <c r="N1350" s="23">
        <f ca="1">IFERROR(__xludf.DUMMYFUNCTION("""COMPUTED_VALUE"""),0)</f>
        <v>0</v>
      </c>
      <c r="O1350" s="23">
        <f ca="1">IFERROR(__xludf.DUMMYFUNCTION("""COMPUTED_VALUE"""),0)</f>
        <v>0</v>
      </c>
      <c r="P1350" s="23">
        <f ca="1">IFERROR(__xludf.DUMMYFUNCTION("""COMPUTED_VALUE"""),0)</f>
        <v>0</v>
      </c>
      <c r="Q1350" s="24">
        <f ca="1">IFERROR(__xludf.DUMMYFUNCTION("""COMPUTED_VALUE"""),0)</f>
        <v>0</v>
      </c>
      <c r="R1350" s="20"/>
    </row>
    <row r="1351" spans="1:18" ht="13.2" hidden="1" outlineLevel="1" x14ac:dyDescent="0.25">
      <c r="A1351" s="1"/>
      <c r="B1351" s="39" t="str">
        <f ca="1">IFERROR(__xludf.DUMMYFUNCTION("""COMPUTED_VALUE"""),"Bagazo de caña")</f>
        <v>Bagazo de caña</v>
      </c>
      <c r="C1351" s="22">
        <f ca="1">IFERROR(__xludf.DUMMYFUNCTION("""COMPUTED_VALUE"""),0)</f>
        <v>0</v>
      </c>
      <c r="D1351" s="23">
        <f ca="1">IFERROR(__xludf.DUMMYFUNCTION("""COMPUTED_VALUE"""),0)</f>
        <v>0</v>
      </c>
      <c r="E1351" s="23">
        <f ca="1">IFERROR(__xludf.DUMMYFUNCTION("""COMPUTED_VALUE"""),0)</f>
        <v>0</v>
      </c>
      <c r="F1351" s="23">
        <f ca="1">IFERROR(__xludf.DUMMYFUNCTION("""COMPUTED_VALUE"""),0)</f>
        <v>0</v>
      </c>
      <c r="G1351" s="23">
        <f ca="1">IFERROR(__xludf.DUMMYFUNCTION("""COMPUTED_VALUE"""),0)</f>
        <v>0</v>
      </c>
      <c r="H1351" s="23">
        <f ca="1">IFERROR(__xludf.DUMMYFUNCTION("""COMPUTED_VALUE"""),0)</f>
        <v>0</v>
      </c>
      <c r="I1351" s="23">
        <f ca="1">IFERROR(__xludf.DUMMYFUNCTION("""COMPUTED_VALUE"""),0)</f>
        <v>0</v>
      </c>
      <c r="J1351" s="23">
        <f ca="1">IFERROR(__xludf.DUMMYFUNCTION("""COMPUTED_VALUE"""),0)</f>
        <v>0</v>
      </c>
      <c r="K1351" s="23">
        <f ca="1">IFERROR(__xludf.DUMMYFUNCTION("""COMPUTED_VALUE"""),0)</f>
        <v>0</v>
      </c>
      <c r="L1351" s="23">
        <f ca="1">IFERROR(__xludf.DUMMYFUNCTION("""COMPUTED_VALUE"""),0)</f>
        <v>0</v>
      </c>
      <c r="M1351" s="23">
        <f ca="1">IFERROR(__xludf.DUMMYFUNCTION("""COMPUTED_VALUE"""),0)</f>
        <v>0</v>
      </c>
      <c r="N1351" s="23">
        <f ca="1">IFERROR(__xludf.DUMMYFUNCTION("""COMPUTED_VALUE"""),0)</f>
        <v>0</v>
      </c>
      <c r="O1351" s="23">
        <f ca="1">IFERROR(__xludf.DUMMYFUNCTION("""COMPUTED_VALUE"""),0)</f>
        <v>0</v>
      </c>
      <c r="P1351" s="23">
        <f ca="1">IFERROR(__xludf.DUMMYFUNCTION("""COMPUTED_VALUE"""),0)</f>
        <v>0</v>
      </c>
      <c r="Q1351" s="24">
        <f ca="1">IFERROR(__xludf.DUMMYFUNCTION("""COMPUTED_VALUE"""),0)</f>
        <v>0</v>
      </c>
      <c r="R1351" s="20"/>
    </row>
    <row r="1352" spans="1:18" ht="13.2" hidden="1" outlineLevel="1" x14ac:dyDescent="0.25">
      <c r="A1352" s="1"/>
      <c r="B1352" s="39" t="str">
        <f ca="1">IFERROR(__xludf.DUMMYFUNCTION("""COMPUTED_VALUE"""),"Leña")</f>
        <v>Leña</v>
      </c>
      <c r="C1352" s="22">
        <f ca="1">IFERROR(__xludf.DUMMYFUNCTION("""COMPUTED_VALUE"""),0)</f>
        <v>0</v>
      </c>
      <c r="D1352" s="23">
        <f ca="1">IFERROR(__xludf.DUMMYFUNCTION("""COMPUTED_VALUE"""),0)</f>
        <v>0</v>
      </c>
      <c r="E1352" s="23">
        <f ca="1">IFERROR(__xludf.DUMMYFUNCTION("""COMPUTED_VALUE"""),0)</f>
        <v>0</v>
      </c>
      <c r="F1352" s="23">
        <f ca="1">IFERROR(__xludf.DUMMYFUNCTION("""COMPUTED_VALUE"""),0)</f>
        <v>0</v>
      </c>
      <c r="G1352" s="23">
        <f ca="1">IFERROR(__xludf.DUMMYFUNCTION("""COMPUTED_VALUE"""),0)</f>
        <v>0</v>
      </c>
      <c r="H1352" s="23">
        <f ca="1">IFERROR(__xludf.DUMMYFUNCTION("""COMPUTED_VALUE"""),0)</f>
        <v>0</v>
      </c>
      <c r="I1352" s="23">
        <f ca="1">IFERROR(__xludf.DUMMYFUNCTION("""COMPUTED_VALUE"""),0)</f>
        <v>0</v>
      </c>
      <c r="J1352" s="23">
        <f ca="1">IFERROR(__xludf.DUMMYFUNCTION("""COMPUTED_VALUE"""),0)</f>
        <v>0</v>
      </c>
      <c r="K1352" s="23">
        <f ca="1">IFERROR(__xludf.DUMMYFUNCTION("""COMPUTED_VALUE"""),0)</f>
        <v>0</v>
      </c>
      <c r="L1352" s="23">
        <f ca="1">IFERROR(__xludf.DUMMYFUNCTION("""COMPUTED_VALUE"""),0)</f>
        <v>0</v>
      </c>
      <c r="M1352" s="23">
        <f ca="1">IFERROR(__xludf.DUMMYFUNCTION("""COMPUTED_VALUE"""),0)</f>
        <v>0</v>
      </c>
      <c r="N1352" s="23">
        <f ca="1">IFERROR(__xludf.DUMMYFUNCTION("""COMPUTED_VALUE"""),0)</f>
        <v>0</v>
      </c>
      <c r="O1352" s="23">
        <f ca="1">IFERROR(__xludf.DUMMYFUNCTION("""COMPUTED_VALUE"""),0)</f>
        <v>0</v>
      </c>
      <c r="P1352" s="23">
        <f ca="1">IFERROR(__xludf.DUMMYFUNCTION("""COMPUTED_VALUE"""),0)</f>
        <v>0</v>
      </c>
      <c r="Q1352" s="24">
        <f ca="1">IFERROR(__xludf.DUMMYFUNCTION("""COMPUTED_VALUE"""),0)</f>
        <v>0</v>
      </c>
      <c r="R1352" s="20"/>
    </row>
    <row r="1353" spans="1:18" ht="13.2" hidden="1" outlineLevel="1" x14ac:dyDescent="0.25">
      <c r="A1353" s="1"/>
      <c r="B1353" s="39" t="str">
        <f ca="1">IFERROR(__xludf.DUMMYFUNCTION("""COMPUTED_VALUE"""),"Biogás")</f>
        <v>Biogás</v>
      </c>
      <c r="C1353" s="22">
        <f ca="1">IFERROR(__xludf.DUMMYFUNCTION("""COMPUTED_VALUE"""),0)</f>
        <v>0</v>
      </c>
      <c r="D1353" s="23">
        <f ca="1">IFERROR(__xludf.DUMMYFUNCTION("""COMPUTED_VALUE"""),0)</f>
        <v>0</v>
      </c>
      <c r="E1353" s="23">
        <f ca="1">IFERROR(__xludf.DUMMYFUNCTION("""COMPUTED_VALUE"""),0)</f>
        <v>0</v>
      </c>
      <c r="F1353" s="23">
        <f ca="1">IFERROR(__xludf.DUMMYFUNCTION("""COMPUTED_VALUE"""),0)</f>
        <v>0</v>
      </c>
      <c r="G1353" s="23">
        <f ca="1">IFERROR(__xludf.DUMMYFUNCTION("""COMPUTED_VALUE"""),0)</f>
        <v>0</v>
      </c>
      <c r="H1353" s="23">
        <f ca="1">IFERROR(__xludf.DUMMYFUNCTION("""COMPUTED_VALUE"""),0)</f>
        <v>0</v>
      </c>
      <c r="I1353" s="23">
        <f ca="1">IFERROR(__xludf.DUMMYFUNCTION("""COMPUTED_VALUE"""),0)</f>
        <v>0</v>
      </c>
      <c r="J1353" s="23">
        <f ca="1">IFERROR(__xludf.DUMMYFUNCTION("""COMPUTED_VALUE"""),0)</f>
        <v>0</v>
      </c>
      <c r="K1353" s="23">
        <f ca="1">IFERROR(__xludf.DUMMYFUNCTION("""COMPUTED_VALUE"""),0)</f>
        <v>0</v>
      </c>
      <c r="L1353" s="23">
        <f ca="1">IFERROR(__xludf.DUMMYFUNCTION("""COMPUTED_VALUE"""),0)</f>
        <v>0</v>
      </c>
      <c r="M1353" s="23">
        <f ca="1">IFERROR(__xludf.DUMMYFUNCTION("""COMPUTED_VALUE"""),0)</f>
        <v>0</v>
      </c>
      <c r="N1353" s="23">
        <f ca="1">IFERROR(__xludf.DUMMYFUNCTION("""COMPUTED_VALUE"""),0)</f>
        <v>0</v>
      </c>
      <c r="O1353" s="23">
        <f ca="1">IFERROR(__xludf.DUMMYFUNCTION("""COMPUTED_VALUE"""),0)</f>
        <v>0</v>
      </c>
      <c r="P1353" s="23">
        <f ca="1">IFERROR(__xludf.DUMMYFUNCTION("""COMPUTED_VALUE"""),0)</f>
        <v>0</v>
      </c>
      <c r="Q1353" s="24">
        <f ca="1">IFERROR(__xludf.DUMMYFUNCTION("""COMPUTED_VALUE"""),0)</f>
        <v>0</v>
      </c>
      <c r="R1353" s="20"/>
    </row>
    <row r="1354" spans="1:18" ht="13.2" hidden="1" outlineLevel="1" x14ac:dyDescent="0.25">
      <c r="A1354" s="1"/>
      <c r="B1354" s="39" t="str">
        <f ca="1">IFERROR(__xludf.DUMMYFUNCTION("""COMPUTED_VALUE"""),"Coque de carbón")</f>
        <v>Coque de carbón</v>
      </c>
      <c r="C1354" s="22">
        <f ca="1">IFERROR(__xludf.DUMMYFUNCTION("""COMPUTED_VALUE"""),0)</f>
        <v>0</v>
      </c>
      <c r="D1354" s="23">
        <f ca="1">IFERROR(__xludf.DUMMYFUNCTION("""COMPUTED_VALUE"""),0)</f>
        <v>0</v>
      </c>
      <c r="E1354" s="23">
        <f ca="1">IFERROR(__xludf.DUMMYFUNCTION("""COMPUTED_VALUE"""),0)</f>
        <v>0</v>
      </c>
      <c r="F1354" s="23">
        <f ca="1">IFERROR(__xludf.DUMMYFUNCTION("""COMPUTED_VALUE"""),0)</f>
        <v>0</v>
      </c>
      <c r="G1354" s="23">
        <f ca="1">IFERROR(__xludf.DUMMYFUNCTION("""COMPUTED_VALUE"""),0)</f>
        <v>0</v>
      </c>
      <c r="H1354" s="23">
        <f ca="1">IFERROR(__xludf.DUMMYFUNCTION("""COMPUTED_VALUE"""),0)</f>
        <v>0</v>
      </c>
      <c r="I1354" s="23">
        <f ca="1">IFERROR(__xludf.DUMMYFUNCTION("""COMPUTED_VALUE"""),0)</f>
        <v>0</v>
      </c>
      <c r="J1354" s="23">
        <f ca="1">IFERROR(__xludf.DUMMYFUNCTION("""COMPUTED_VALUE"""),0)</f>
        <v>0</v>
      </c>
      <c r="K1354" s="23">
        <f ca="1">IFERROR(__xludf.DUMMYFUNCTION("""COMPUTED_VALUE"""),0)</f>
        <v>0</v>
      </c>
      <c r="L1354" s="23">
        <f ca="1">IFERROR(__xludf.DUMMYFUNCTION("""COMPUTED_VALUE"""),0)</f>
        <v>0</v>
      </c>
      <c r="M1354" s="23">
        <f ca="1">IFERROR(__xludf.DUMMYFUNCTION("""COMPUTED_VALUE"""),0)</f>
        <v>0</v>
      </c>
      <c r="N1354" s="23">
        <f ca="1">IFERROR(__xludf.DUMMYFUNCTION("""COMPUTED_VALUE"""),0)</f>
        <v>0</v>
      </c>
      <c r="O1354" s="23">
        <f ca="1">IFERROR(__xludf.DUMMYFUNCTION("""COMPUTED_VALUE"""),0)</f>
        <v>0</v>
      </c>
      <c r="P1354" s="23">
        <f ca="1">IFERROR(__xludf.DUMMYFUNCTION("""COMPUTED_VALUE"""),0)</f>
        <v>0</v>
      </c>
      <c r="Q1354" s="24">
        <f ca="1">IFERROR(__xludf.DUMMYFUNCTION("""COMPUTED_VALUE"""),0)</f>
        <v>0</v>
      </c>
      <c r="R1354" s="20"/>
    </row>
    <row r="1355" spans="1:18" ht="13.2" hidden="1" outlineLevel="1" x14ac:dyDescent="0.25">
      <c r="A1355" s="1"/>
      <c r="B1355" s="39" t="str">
        <f ca="1">IFERROR(__xludf.DUMMYFUNCTION("""COMPUTED_VALUE"""),"Coque de petróleo")</f>
        <v>Coque de petróleo</v>
      </c>
      <c r="C1355" s="22">
        <f ca="1">IFERROR(__xludf.DUMMYFUNCTION("""COMPUTED_VALUE"""),0)</f>
        <v>0</v>
      </c>
      <c r="D1355" s="23">
        <f ca="1">IFERROR(__xludf.DUMMYFUNCTION("""COMPUTED_VALUE"""),0)</f>
        <v>0</v>
      </c>
      <c r="E1355" s="23">
        <f ca="1">IFERROR(__xludf.DUMMYFUNCTION("""COMPUTED_VALUE"""),0)</f>
        <v>0</v>
      </c>
      <c r="F1355" s="23">
        <f ca="1">IFERROR(__xludf.DUMMYFUNCTION("""COMPUTED_VALUE"""),0)</f>
        <v>0</v>
      </c>
      <c r="G1355" s="23">
        <f ca="1">IFERROR(__xludf.DUMMYFUNCTION("""COMPUTED_VALUE"""),0)</f>
        <v>0</v>
      </c>
      <c r="H1355" s="23">
        <f ca="1">IFERROR(__xludf.DUMMYFUNCTION("""COMPUTED_VALUE"""),0)</f>
        <v>0</v>
      </c>
      <c r="I1355" s="23">
        <f ca="1">IFERROR(__xludf.DUMMYFUNCTION("""COMPUTED_VALUE"""),0)</f>
        <v>0</v>
      </c>
      <c r="J1355" s="23">
        <f ca="1">IFERROR(__xludf.DUMMYFUNCTION("""COMPUTED_VALUE"""),0)</f>
        <v>0</v>
      </c>
      <c r="K1355" s="23">
        <f ca="1">IFERROR(__xludf.DUMMYFUNCTION("""COMPUTED_VALUE"""),0)</f>
        <v>0</v>
      </c>
      <c r="L1355" s="23">
        <f ca="1">IFERROR(__xludf.DUMMYFUNCTION("""COMPUTED_VALUE"""),0)</f>
        <v>0</v>
      </c>
      <c r="M1355" s="23">
        <f ca="1">IFERROR(__xludf.DUMMYFUNCTION("""COMPUTED_VALUE"""),0)</f>
        <v>0</v>
      </c>
      <c r="N1355" s="23">
        <f ca="1">IFERROR(__xludf.DUMMYFUNCTION("""COMPUTED_VALUE"""),0)</f>
        <v>0</v>
      </c>
      <c r="O1355" s="23">
        <f ca="1">IFERROR(__xludf.DUMMYFUNCTION("""COMPUTED_VALUE"""),0)</f>
        <v>0</v>
      </c>
      <c r="P1355" s="23">
        <f ca="1">IFERROR(__xludf.DUMMYFUNCTION("""COMPUTED_VALUE"""),0)</f>
        <v>0</v>
      </c>
      <c r="Q1355" s="24">
        <f ca="1">IFERROR(__xludf.DUMMYFUNCTION("""COMPUTED_VALUE"""),0)</f>
        <v>0</v>
      </c>
      <c r="R1355" s="20"/>
    </row>
    <row r="1356" spans="1:18" ht="13.2" hidden="1" outlineLevel="1" x14ac:dyDescent="0.25">
      <c r="A1356" s="1"/>
      <c r="B1356" s="39" t="str">
        <f ca="1">IFERROR(__xludf.DUMMYFUNCTION("""COMPUTED_VALUE"""),"Gas licuado de petróleo")</f>
        <v>Gas licuado de petróleo</v>
      </c>
      <c r="C1356" s="22">
        <f ca="1">IFERROR(__xludf.DUMMYFUNCTION("""COMPUTED_VALUE"""),0.587062839428321)</f>
        <v>0.58706283942832105</v>
      </c>
      <c r="D1356" s="23">
        <f ca="1">IFERROR(__xludf.DUMMYFUNCTION("""COMPUTED_VALUE"""),0.483057152505026)</f>
        <v>0.48305715250502601</v>
      </c>
      <c r="E1356" s="23">
        <f ca="1">IFERROR(__xludf.DUMMYFUNCTION("""COMPUTED_VALUE"""),0.661629604143946)</f>
        <v>0.661629604143946</v>
      </c>
      <c r="F1356" s="23">
        <f ca="1">IFERROR(__xludf.DUMMYFUNCTION("""COMPUTED_VALUE"""),0.408988014269285)</f>
        <v>0.40898801426928499</v>
      </c>
      <c r="G1356" s="23">
        <f ca="1">IFERROR(__xludf.DUMMYFUNCTION("""COMPUTED_VALUE"""),0.42862023995384)</f>
        <v>0.42862023995384002</v>
      </c>
      <c r="H1356" s="23">
        <f ca="1">IFERROR(__xludf.DUMMYFUNCTION("""COMPUTED_VALUE"""),0.47738958638405)</f>
        <v>0.47738958638404999</v>
      </c>
      <c r="I1356" s="23">
        <f ca="1">IFERROR(__xludf.DUMMYFUNCTION("""COMPUTED_VALUE"""),0.498409658618591)</f>
        <v>0.49840965861859099</v>
      </c>
      <c r="J1356" s="23">
        <f ca="1">IFERROR(__xludf.DUMMYFUNCTION("""COMPUTED_VALUE"""),0.491899807993869)</f>
        <v>0.49189980799386901</v>
      </c>
      <c r="K1356" s="23">
        <f ca="1">IFERROR(__xludf.DUMMYFUNCTION("""COMPUTED_VALUE"""),0.507331539927847)</f>
        <v>0.50733153992784696</v>
      </c>
      <c r="L1356" s="23">
        <f ca="1">IFERROR(__xludf.DUMMYFUNCTION("""COMPUTED_VALUE"""),0.720987206928658)</f>
        <v>0.72098720692865803</v>
      </c>
      <c r="M1356" s="23">
        <f ca="1">IFERROR(__xludf.DUMMYFUNCTION("""COMPUTED_VALUE"""),0.450364424738953)</f>
        <v>0.450364424738953</v>
      </c>
      <c r="N1356" s="23">
        <f ca="1">IFERROR(__xludf.DUMMYFUNCTION("""COMPUTED_VALUE"""),0.579889561675961)</f>
        <v>0.57988956167596095</v>
      </c>
      <c r="O1356" s="23">
        <f ca="1">IFERROR(__xludf.DUMMYFUNCTION("""COMPUTED_VALUE"""),0.569114290537516)</f>
        <v>0.56911429053751605</v>
      </c>
      <c r="P1356" s="23">
        <f ca="1">IFERROR(__xludf.DUMMYFUNCTION("""COMPUTED_VALUE"""),0.60120704241845)</f>
        <v>0.60120704241845002</v>
      </c>
      <c r="Q1356" s="24">
        <f ca="1">IFERROR(__xludf.DUMMYFUNCTION("""COMPUTED_VALUE"""),0.492378228647638)</f>
        <v>0.49237822864763803</v>
      </c>
      <c r="R1356" s="20"/>
    </row>
    <row r="1357" spans="1:18" ht="13.2" hidden="1" outlineLevel="1" x14ac:dyDescent="0.25">
      <c r="A1357" s="1"/>
      <c r="B1357" s="39" t="str">
        <f ca="1">IFERROR(__xludf.DUMMYFUNCTION("""COMPUTED_VALUE"""),"Gasolinas y naftas")</f>
        <v>Gasolinas y naftas</v>
      </c>
      <c r="C1357" s="22">
        <f ca="1">IFERROR(__xludf.DUMMYFUNCTION("""COMPUTED_VALUE"""),0)</f>
        <v>0</v>
      </c>
      <c r="D1357" s="23">
        <f ca="1">IFERROR(__xludf.DUMMYFUNCTION("""COMPUTED_VALUE"""),0)</f>
        <v>0</v>
      </c>
      <c r="E1357" s="23">
        <f ca="1">IFERROR(__xludf.DUMMYFUNCTION("""COMPUTED_VALUE"""),0)</f>
        <v>0</v>
      </c>
      <c r="F1357" s="23">
        <f ca="1">IFERROR(__xludf.DUMMYFUNCTION("""COMPUTED_VALUE"""),0)</f>
        <v>0</v>
      </c>
      <c r="G1357" s="23">
        <f ca="1">IFERROR(__xludf.DUMMYFUNCTION("""COMPUTED_VALUE"""),0)</f>
        <v>0</v>
      </c>
      <c r="H1357" s="23">
        <f ca="1">IFERROR(__xludf.DUMMYFUNCTION("""COMPUTED_VALUE"""),0)</f>
        <v>0</v>
      </c>
      <c r="I1357" s="23">
        <f ca="1">IFERROR(__xludf.DUMMYFUNCTION("""COMPUTED_VALUE"""),0)</f>
        <v>0</v>
      </c>
      <c r="J1357" s="23">
        <f ca="1">IFERROR(__xludf.DUMMYFUNCTION("""COMPUTED_VALUE"""),0)</f>
        <v>0</v>
      </c>
      <c r="K1357" s="23">
        <f ca="1">IFERROR(__xludf.DUMMYFUNCTION("""COMPUTED_VALUE"""),0)</f>
        <v>0</v>
      </c>
      <c r="L1357" s="23">
        <f ca="1">IFERROR(__xludf.DUMMYFUNCTION("""COMPUTED_VALUE"""),0)</f>
        <v>0</v>
      </c>
      <c r="M1357" s="23">
        <f ca="1">IFERROR(__xludf.DUMMYFUNCTION("""COMPUTED_VALUE"""),0)</f>
        <v>0</v>
      </c>
      <c r="N1357" s="23">
        <f ca="1">IFERROR(__xludf.DUMMYFUNCTION("""COMPUTED_VALUE"""),0)</f>
        <v>0</v>
      </c>
      <c r="O1357" s="23">
        <f ca="1">IFERROR(__xludf.DUMMYFUNCTION("""COMPUTED_VALUE"""),0)</f>
        <v>0</v>
      </c>
      <c r="P1357" s="23">
        <f ca="1">IFERROR(__xludf.DUMMYFUNCTION("""COMPUTED_VALUE"""),0)</f>
        <v>0</v>
      </c>
      <c r="Q1357" s="24">
        <f ca="1">IFERROR(__xludf.DUMMYFUNCTION("""COMPUTED_VALUE"""),0)</f>
        <v>0</v>
      </c>
      <c r="R1357" s="20"/>
    </row>
    <row r="1358" spans="1:18" ht="13.2" hidden="1" outlineLevel="1" x14ac:dyDescent="0.25">
      <c r="A1358" s="1"/>
      <c r="B1358" s="39" t="str">
        <f ca="1">IFERROR(__xludf.DUMMYFUNCTION("""COMPUTED_VALUE"""),"Querosenos")</f>
        <v>Querosenos</v>
      </c>
      <c r="C1358" s="22">
        <f ca="1">IFERROR(__xludf.DUMMYFUNCTION("""COMPUTED_VALUE"""),0)</f>
        <v>0</v>
      </c>
      <c r="D1358" s="23">
        <f ca="1">IFERROR(__xludf.DUMMYFUNCTION("""COMPUTED_VALUE"""),0)</f>
        <v>0</v>
      </c>
      <c r="E1358" s="23">
        <f ca="1">IFERROR(__xludf.DUMMYFUNCTION("""COMPUTED_VALUE"""),0)</f>
        <v>0</v>
      </c>
      <c r="F1358" s="23">
        <f ca="1">IFERROR(__xludf.DUMMYFUNCTION("""COMPUTED_VALUE"""),0)</f>
        <v>0</v>
      </c>
      <c r="G1358" s="23">
        <f ca="1">IFERROR(__xludf.DUMMYFUNCTION("""COMPUTED_VALUE"""),0)</f>
        <v>0</v>
      </c>
      <c r="H1358" s="23">
        <f ca="1">IFERROR(__xludf.DUMMYFUNCTION("""COMPUTED_VALUE"""),0)</f>
        <v>0</v>
      </c>
      <c r="I1358" s="23">
        <f ca="1">IFERROR(__xludf.DUMMYFUNCTION("""COMPUTED_VALUE"""),0)</f>
        <v>0</v>
      </c>
      <c r="J1358" s="23">
        <f ca="1">IFERROR(__xludf.DUMMYFUNCTION("""COMPUTED_VALUE"""),0)</f>
        <v>0</v>
      </c>
      <c r="K1358" s="23">
        <f ca="1">IFERROR(__xludf.DUMMYFUNCTION("""COMPUTED_VALUE"""),0)</f>
        <v>0</v>
      </c>
      <c r="L1358" s="23">
        <f ca="1">IFERROR(__xludf.DUMMYFUNCTION("""COMPUTED_VALUE"""),0)</f>
        <v>0</v>
      </c>
      <c r="M1358" s="23">
        <f ca="1">IFERROR(__xludf.DUMMYFUNCTION("""COMPUTED_VALUE"""),0)</f>
        <v>0</v>
      </c>
      <c r="N1358" s="23">
        <f ca="1">IFERROR(__xludf.DUMMYFUNCTION("""COMPUTED_VALUE"""),0)</f>
        <v>0</v>
      </c>
      <c r="O1358" s="23">
        <f ca="1">IFERROR(__xludf.DUMMYFUNCTION("""COMPUTED_VALUE"""),0)</f>
        <v>0</v>
      </c>
      <c r="P1358" s="23">
        <f ca="1">IFERROR(__xludf.DUMMYFUNCTION("""COMPUTED_VALUE"""),0)</f>
        <v>0</v>
      </c>
      <c r="Q1358" s="24">
        <f ca="1">IFERROR(__xludf.DUMMYFUNCTION("""COMPUTED_VALUE"""),0)</f>
        <v>0</v>
      </c>
      <c r="R1358" s="20"/>
    </row>
    <row r="1359" spans="1:18" ht="13.2" hidden="1" outlineLevel="1" x14ac:dyDescent="0.25">
      <c r="A1359" s="1"/>
      <c r="B1359" s="39" t="str">
        <f ca="1">IFERROR(__xludf.DUMMYFUNCTION("""COMPUTED_VALUE"""),"Diesel")</f>
        <v>Diesel</v>
      </c>
      <c r="C1359" s="22">
        <f ca="1">IFERROR(__xludf.DUMMYFUNCTION("""COMPUTED_VALUE"""),0.564939119807662)</f>
        <v>0.56493911980766198</v>
      </c>
      <c r="D1359" s="23">
        <f ca="1">IFERROR(__xludf.DUMMYFUNCTION("""COMPUTED_VALUE"""),0.80482650348449)</f>
        <v>0.80482650348449003</v>
      </c>
      <c r="E1359" s="23">
        <f ca="1">IFERROR(__xludf.DUMMYFUNCTION("""COMPUTED_VALUE"""),1.33266729963854)</f>
        <v>1.33266729963854</v>
      </c>
      <c r="F1359" s="23">
        <f ca="1">IFERROR(__xludf.DUMMYFUNCTION("""COMPUTED_VALUE"""),1.30760908723302)</f>
        <v>1.3076090872330199</v>
      </c>
      <c r="G1359" s="23">
        <f ca="1">IFERROR(__xludf.DUMMYFUNCTION("""COMPUTED_VALUE"""),1.34665420326223)</f>
        <v>1.34665420326223</v>
      </c>
      <c r="H1359" s="23">
        <f ca="1">IFERROR(__xludf.DUMMYFUNCTION("""COMPUTED_VALUE"""),1.37224845153385)</f>
        <v>1.37224845153385</v>
      </c>
      <c r="I1359" s="23">
        <f ca="1">IFERROR(__xludf.DUMMYFUNCTION("""COMPUTED_VALUE"""),1.36601645123384)</f>
        <v>1.36601645123384</v>
      </c>
      <c r="J1359" s="23">
        <f ca="1">IFERROR(__xludf.DUMMYFUNCTION("""COMPUTED_VALUE"""),1.44687004329107)</f>
        <v>1.4468700432910699</v>
      </c>
      <c r="K1359" s="23">
        <f ca="1">IFERROR(__xludf.DUMMYFUNCTION("""COMPUTED_VALUE"""),1.71490693454625)</f>
        <v>1.71490693454625</v>
      </c>
      <c r="L1359" s="23">
        <f ca="1">IFERROR(__xludf.DUMMYFUNCTION("""COMPUTED_VALUE"""),1.79471242336805)</f>
        <v>1.79471242336805</v>
      </c>
      <c r="M1359" s="23">
        <f ca="1">IFERROR(__xludf.DUMMYFUNCTION("""COMPUTED_VALUE"""),1.19613270761921)</f>
        <v>1.1961327076192101</v>
      </c>
      <c r="N1359" s="23">
        <f ca="1">IFERROR(__xludf.DUMMYFUNCTION("""COMPUTED_VALUE"""),7.76030548391117)</f>
        <v>7.7603054839111696</v>
      </c>
      <c r="O1359" s="23">
        <f ca="1">IFERROR(__xludf.DUMMYFUNCTION("""COMPUTED_VALUE"""),7.34840499233724)</f>
        <v>7.3484049923372403</v>
      </c>
      <c r="P1359" s="23">
        <f ca="1">IFERROR(__xludf.DUMMYFUNCTION("""COMPUTED_VALUE"""),7.27476421863423)</f>
        <v>7.2747642186342301</v>
      </c>
      <c r="Q1359" s="24">
        <f ca="1">IFERROR(__xludf.DUMMYFUNCTION("""COMPUTED_VALUE"""),1.5638814411667)</f>
        <v>1.5638814411666999</v>
      </c>
      <c r="R1359" s="20"/>
    </row>
    <row r="1360" spans="1:18" ht="13.2" hidden="1" outlineLevel="1" x14ac:dyDescent="0.25">
      <c r="A1360" s="1"/>
      <c r="B1360" s="39" t="str">
        <f ca="1">IFERROR(__xludf.DUMMYFUNCTION("""COMPUTED_VALUE"""),"Combustóleo")</f>
        <v>Combustóleo</v>
      </c>
      <c r="C1360" s="22">
        <f ca="1">IFERROR(__xludf.DUMMYFUNCTION("""COMPUTED_VALUE"""),9.11078601081158)</f>
        <v>9.1107860108115801</v>
      </c>
      <c r="D1360" s="23">
        <f ca="1">IFERROR(__xludf.DUMMYFUNCTION("""COMPUTED_VALUE"""),11.057285742303)</f>
        <v>11.057285742303</v>
      </c>
      <c r="E1360" s="23">
        <f ca="1">IFERROR(__xludf.DUMMYFUNCTION("""COMPUTED_VALUE"""),6.48496438625707)</f>
        <v>6.4849643862570696</v>
      </c>
      <c r="F1360" s="23">
        <f ca="1">IFERROR(__xludf.DUMMYFUNCTION("""COMPUTED_VALUE"""),5.30895275532017)</f>
        <v>5.3089527553201696</v>
      </c>
      <c r="G1360" s="23">
        <f ca="1">IFERROR(__xludf.DUMMYFUNCTION("""COMPUTED_VALUE"""),1.05014725672557)</f>
        <v>1.0501472567255701</v>
      </c>
      <c r="H1360" s="23">
        <f ca="1">IFERROR(__xludf.DUMMYFUNCTION("""COMPUTED_VALUE"""),4.87193170484581)</f>
        <v>4.8719317048458102</v>
      </c>
      <c r="I1360" s="23">
        <f ca="1">IFERROR(__xludf.DUMMYFUNCTION("""COMPUTED_VALUE"""),8.14400501414906)</f>
        <v>8.1440050141490605</v>
      </c>
      <c r="J1360" s="23">
        <f ca="1">IFERROR(__xludf.DUMMYFUNCTION("""COMPUTED_VALUE"""),7.56796854567598)</f>
        <v>7.5679685456759804</v>
      </c>
      <c r="K1360" s="23">
        <f ca="1">IFERROR(__xludf.DUMMYFUNCTION("""COMPUTED_VALUE"""),2.35415214613969)</f>
        <v>2.3541521461396901</v>
      </c>
      <c r="L1360" s="23">
        <f ca="1">IFERROR(__xludf.DUMMYFUNCTION("""COMPUTED_VALUE"""),3.47466844717296)</f>
        <v>3.4746684471729599</v>
      </c>
      <c r="M1360" s="23">
        <f ca="1">IFERROR(__xludf.DUMMYFUNCTION("""COMPUTED_VALUE"""),3.579082174139)</f>
        <v>3.5790821741390002</v>
      </c>
      <c r="N1360" s="23">
        <f ca="1">IFERROR(__xludf.DUMMYFUNCTION("""COMPUTED_VALUE"""),3.89148598525717)</f>
        <v>3.8914859852571699</v>
      </c>
      <c r="O1360" s="23">
        <f ca="1">IFERROR(__xludf.DUMMYFUNCTION("""COMPUTED_VALUE"""),4.23054450426079)</f>
        <v>4.2305445042607897</v>
      </c>
      <c r="P1360" s="23">
        <f ca="1">IFERROR(__xludf.DUMMYFUNCTION("""COMPUTED_VALUE"""),3.8264471449971)</f>
        <v>3.8264471449971</v>
      </c>
      <c r="Q1360" s="24">
        <f ca="1">IFERROR(__xludf.DUMMYFUNCTION("""COMPUTED_VALUE"""),3.50092427832205)</f>
        <v>3.5009242783220502</v>
      </c>
      <c r="R1360" s="20"/>
    </row>
    <row r="1361" spans="1:18" ht="13.2" hidden="1" outlineLevel="1" x14ac:dyDescent="0.25">
      <c r="A1361" s="1"/>
      <c r="B1361" s="39" t="str">
        <f ca="1">IFERROR(__xludf.DUMMYFUNCTION("""COMPUTED_VALUE"""),"Otros energéticos")</f>
        <v>Otros energéticos</v>
      </c>
      <c r="C1361" s="22">
        <f ca="1">IFERROR(__xludf.DUMMYFUNCTION("""COMPUTED_VALUE"""),0)</f>
        <v>0</v>
      </c>
      <c r="D1361" s="23">
        <f ca="1">IFERROR(__xludf.DUMMYFUNCTION("""COMPUTED_VALUE"""),0)</f>
        <v>0</v>
      </c>
      <c r="E1361" s="23">
        <f ca="1">IFERROR(__xludf.DUMMYFUNCTION("""COMPUTED_VALUE"""),0)</f>
        <v>0</v>
      </c>
      <c r="F1361" s="23">
        <f ca="1">IFERROR(__xludf.DUMMYFUNCTION("""COMPUTED_VALUE"""),0)</f>
        <v>0</v>
      </c>
      <c r="G1361" s="23">
        <f ca="1">IFERROR(__xludf.DUMMYFUNCTION("""COMPUTED_VALUE"""),0)</f>
        <v>0</v>
      </c>
      <c r="H1361" s="23">
        <f ca="1">IFERROR(__xludf.DUMMYFUNCTION("""COMPUTED_VALUE"""),0)</f>
        <v>0</v>
      </c>
      <c r="I1361" s="23">
        <f ca="1">IFERROR(__xludf.DUMMYFUNCTION("""COMPUTED_VALUE"""),0)</f>
        <v>0</v>
      </c>
      <c r="J1361" s="23">
        <f ca="1">IFERROR(__xludf.DUMMYFUNCTION("""COMPUTED_VALUE"""),0)</f>
        <v>0</v>
      </c>
      <c r="K1361" s="23">
        <f ca="1">IFERROR(__xludf.DUMMYFUNCTION("""COMPUTED_VALUE"""),0)</f>
        <v>0</v>
      </c>
      <c r="L1361" s="23">
        <f ca="1">IFERROR(__xludf.DUMMYFUNCTION("""COMPUTED_VALUE"""),0)</f>
        <v>0</v>
      </c>
      <c r="M1361" s="23">
        <f ca="1">IFERROR(__xludf.DUMMYFUNCTION("""COMPUTED_VALUE"""),0)</f>
        <v>0</v>
      </c>
      <c r="N1361" s="23">
        <f ca="1">IFERROR(__xludf.DUMMYFUNCTION("""COMPUTED_VALUE"""),0)</f>
        <v>0</v>
      </c>
      <c r="O1361" s="23">
        <f ca="1">IFERROR(__xludf.DUMMYFUNCTION("""COMPUTED_VALUE"""),0)</f>
        <v>0</v>
      </c>
      <c r="P1361" s="23">
        <f ca="1">IFERROR(__xludf.DUMMYFUNCTION("""COMPUTED_VALUE"""),0)</f>
        <v>0</v>
      </c>
      <c r="Q1361" s="24">
        <f ca="1">IFERROR(__xludf.DUMMYFUNCTION("""COMPUTED_VALUE"""),0)</f>
        <v>0</v>
      </c>
      <c r="R1361" s="20"/>
    </row>
    <row r="1362" spans="1:18" ht="13.2" hidden="1" outlineLevel="1" x14ac:dyDescent="0.25">
      <c r="A1362" s="1"/>
      <c r="B1362" s="39" t="str">
        <f ca="1">IFERROR(__xludf.DUMMYFUNCTION("""COMPUTED_VALUE"""),"Gas natural seco")</f>
        <v>Gas natural seco</v>
      </c>
      <c r="C1362" s="22">
        <f ca="1">IFERROR(__xludf.DUMMYFUNCTION("""COMPUTED_VALUE"""),34.8484450330273)</f>
        <v>34.848445033027303</v>
      </c>
      <c r="D1362" s="23">
        <f ca="1">IFERROR(__xludf.DUMMYFUNCTION("""COMPUTED_VALUE"""),21.0157949505096)</f>
        <v>21.015794950509601</v>
      </c>
      <c r="E1362" s="23">
        <f ca="1">IFERROR(__xludf.DUMMYFUNCTION("""COMPUTED_VALUE"""),27.2814129352232)</f>
        <v>27.281412935223202</v>
      </c>
      <c r="F1362" s="23">
        <f ca="1">IFERROR(__xludf.DUMMYFUNCTION("""COMPUTED_VALUE"""),28.195539354235)</f>
        <v>28.195539354234999</v>
      </c>
      <c r="G1362" s="23">
        <f ca="1">IFERROR(__xludf.DUMMYFUNCTION("""COMPUTED_VALUE"""),30.9556259116828)</f>
        <v>30.955625911682802</v>
      </c>
      <c r="H1362" s="23">
        <f ca="1">IFERROR(__xludf.DUMMYFUNCTION("""COMPUTED_VALUE"""),31.9899608951398)</f>
        <v>31.989960895139799</v>
      </c>
      <c r="I1362" s="23">
        <f ca="1">IFERROR(__xludf.DUMMYFUNCTION("""COMPUTED_VALUE"""),35.4205466133736)</f>
        <v>35.420546613373602</v>
      </c>
      <c r="J1362" s="23">
        <f ca="1">IFERROR(__xludf.DUMMYFUNCTION("""COMPUTED_VALUE"""),32.2822016703422)</f>
        <v>32.282201670342197</v>
      </c>
      <c r="K1362" s="23">
        <f ca="1">IFERROR(__xludf.DUMMYFUNCTION("""COMPUTED_VALUE"""),39.5567655060728)</f>
        <v>39.5567655060728</v>
      </c>
      <c r="L1362" s="23">
        <f ca="1">IFERROR(__xludf.DUMMYFUNCTION("""COMPUTED_VALUE"""),43.2896838362806)</f>
        <v>43.289683836280602</v>
      </c>
      <c r="M1362" s="23">
        <f ca="1">IFERROR(__xludf.DUMMYFUNCTION("""COMPUTED_VALUE"""),34.6040085481883)</f>
        <v>34.604008548188297</v>
      </c>
      <c r="N1362" s="23">
        <f ca="1">IFERROR(__xludf.DUMMYFUNCTION("""COMPUTED_VALUE"""),36.2564157177339)</f>
        <v>36.256415717733901</v>
      </c>
      <c r="O1362" s="23">
        <f ca="1">IFERROR(__xludf.DUMMYFUNCTION("""COMPUTED_VALUE"""),41.2874404122588)</f>
        <v>41.287440412258803</v>
      </c>
      <c r="P1362" s="23">
        <f ca="1">IFERROR(__xludf.DUMMYFUNCTION("""COMPUTED_VALUE"""),40.8827650159029)</f>
        <v>40.882765015902898</v>
      </c>
      <c r="Q1362" s="24">
        <f ca="1">IFERROR(__xludf.DUMMYFUNCTION("""COMPUTED_VALUE"""),44.1201908533662)</f>
        <v>44.120190853366203</v>
      </c>
      <c r="R1362" s="20"/>
    </row>
    <row r="1363" spans="1:18" ht="13.2" hidden="1" outlineLevel="1" x14ac:dyDescent="0.25">
      <c r="A1363" s="1"/>
      <c r="B1363" s="40" t="str">
        <f ca="1">IFERROR(__xludf.DUMMYFUNCTION("""COMPUTED_VALUE"""),"Energía eléctrica")</f>
        <v>Energía eléctrica</v>
      </c>
      <c r="C1363" s="26">
        <f ca="1">IFERROR(__xludf.DUMMYFUNCTION("""COMPUTED_VALUE"""),15.6283318134194)</f>
        <v>15.6283318134194</v>
      </c>
      <c r="D1363" s="27">
        <f ca="1">IFERROR(__xludf.DUMMYFUNCTION("""COMPUTED_VALUE"""),11.026839310837)</f>
        <v>11.026839310837</v>
      </c>
      <c r="E1363" s="27">
        <f ca="1">IFERROR(__xludf.DUMMYFUNCTION("""COMPUTED_VALUE"""),14.9618935378865)</f>
        <v>14.9618935378865</v>
      </c>
      <c r="F1363" s="27">
        <f ca="1">IFERROR(__xludf.DUMMYFUNCTION("""COMPUTED_VALUE"""),10.8847317569419)</f>
        <v>10.8847317569419</v>
      </c>
      <c r="G1363" s="27">
        <f ca="1">IFERROR(__xludf.DUMMYFUNCTION("""COMPUTED_VALUE"""),11.4650824488438)</f>
        <v>11.4650824488438</v>
      </c>
      <c r="H1363" s="27">
        <f ca="1">IFERROR(__xludf.DUMMYFUNCTION("""COMPUTED_VALUE"""),11.5458867207956)</f>
        <v>11.5458867207956</v>
      </c>
      <c r="I1363" s="27">
        <f ca="1">IFERROR(__xludf.DUMMYFUNCTION("""COMPUTED_VALUE"""),12.1984438493157)</f>
        <v>12.1984438493157</v>
      </c>
      <c r="J1363" s="27">
        <f ca="1">IFERROR(__xludf.DUMMYFUNCTION("""COMPUTED_VALUE"""),12.2022381657004)</f>
        <v>12.2022381657004</v>
      </c>
      <c r="K1363" s="27">
        <f ca="1">IFERROR(__xludf.DUMMYFUNCTION("""COMPUTED_VALUE"""),12.3590016181797)</f>
        <v>12.3590016181797</v>
      </c>
      <c r="L1363" s="27">
        <f ca="1">IFERROR(__xludf.DUMMYFUNCTION("""COMPUTED_VALUE"""),12.999886689201)</f>
        <v>12.999886689201</v>
      </c>
      <c r="M1363" s="27">
        <f ca="1">IFERROR(__xludf.DUMMYFUNCTION("""COMPUTED_VALUE"""),11.8085371854035)</f>
        <v>11.8085371854035</v>
      </c>
      <c r="N1363" s="27">
        <f ca="1">IFERROR(__xludf.DUMMYFUNCTION("""COMPUTED_VALUE"""),18.0973935256812)</f>
        <v>18.097393525681198</v>
      </c>
      <c r="O1363" s="27">
        <f ca="1">IFERROR(__xludf.DUMMYFUNCTION("""COMPUTED_VALUE"""),25.9433376172976)</f>
        <v>25.943337617297601</v>
      </c>
      <c r="P1363" s="27">
        <f ca="1">IFERROR(__xludf.DUMMYFUNCTION("""COMPUTED_VALUE"""),16.7294015713058)</f>
        <v>16.7294015713058</v>
      </c>
      <c r="Q1363" s="28">
        <f ca="1">IFERROR(__xludf.DUMMYFUNCTION("""COMPUTED_VALUE"""),25.0417414815004)</f>
        <v>25.041741481500399</v>
      </c>
      <c r="R1363" s="20"/>
    </row>
    <row r="1364" spans="1:18" ht="13.2" collapsed="1" x14ac:dyDescent="0.25">
      <c r="A1364" s="1"/>
      <c r="B1364" s="31" t="str">
        <f ca="1">IFERROR(__xludf.DUMMYFUNCTION("""COMPUTED_VALUE"""),"323	Impresión e industrias conexas")</f>
        <v>323	Impresión e industrias conexas</v>
      </c>
      <c r="C1364" s="41"/>
      <c r="D1364" s="42"/>
      <c r="E1364" s="41"/>
      <c r="F1364" s="41"/>
      <c r="G1364" s="43"/>
      <c r="H1364" s="44"/>
      <c r="I1364" s="45"/>
      <c r="J1364" s="45"/>
      <c r="K1364" s="45"/>
      <c r="L1364" s="45"/>
      <c r="M1364" s="45"/>
      <c r="N1364" s="45"/>
      <c r="O1364" s="45"/>
      <c r="P1364" s="45"/>
      <c r="Q1364" s="45"/>
      <c r="R1364" s="10"/>
    </row>
    <row r="1365" spans="1:18" ht="13.2" hidden="1" outlineLevel="1" x14ac:dyDescent="0.25">
      <c r="A1365" s="1"/>
      <c r="B1365" s="46"/>
      <c r="C1365" s="35">
        <f ca="1">IFERROR(__xludf.DUMMYFUNCTION("""COMPUTED_VALUE"""),2010)</f>
        <v>2010</v>
      </c>
      <c r="D1365" s="36">
        <f ca="1">IFERROR(__xludf.DUMMYFUNCTION("""COMPUTED_VALUE"""),2011)</f>
        <v>2011</v>
      </c>
      <c r="E1365" s="36">
        <f ca="1">IFERROR(__xludf.DUMMYFUNCTION("""COMPUTED_VALUE"""),2012)</f>
        <v>2012</v>
      </c>
      <c r="F1365" s="36">
        <f ca="1">IFERROR(__xludf.DUMMYFUNCTION("""COMPUTED_VALUE"""),2013)</f>
        <v>2013</v>
      </c>
      <c r="G1365" s="36">
        <f ca="1">IFERROR(__xludf.DUMMYFUNCTION("""COMPUTED_VALUE"""),2014)</f>
        <v>2014</v>
      </c>
      <c r="H1365" s="36">
        <f ca="1">IFERROR(__xludf.DUMMYFUNCTION("""COMPUTED_VALUE"""),2015)</f>
        <v>2015</v>
      </c>
      <c r="I1365" s="36">
        <f ca="1">IFERROR(__xludf.DUMMYFUNCTION("""COMPUTED_VALUE"""),2016)</f>
        <v>2016</v>
      </c>
      <c r="J1365" s="36">
        <f ca="1">IFERROR(__xludf.DUMMYFUNCTION("""COMPUTED_VALUE"""),2017)</f>
        <v>2017</v>
      </c>
      <c r="K1365" s="36">
        <f ca="1">IFERROR(__xludf.DUMMYFUNCTION("""COMPUTED_VALUE"""),2018)</f>
        <v>2018</v>
      </c>
      <c r="L1365" s="36">
        <f ca="1">IFERROR(__xludf.DUMMYFUNCTION("""COMPUTED_VALUE"""),2019)</f>
        <v>2019</v>
      </c>
      <c r="M1365" s="36">
        <f ca="1">IFERROR(__xludf.DUMMYFUNCTION("""COMPUTED_VALUE"""),2020)</f>
        <v>2020</v>
      </c>
      <c r="N1365" s="36">
        <f ca="1">IFERROR(__xludf.DUMMYFUNCTION("""COMPUTED_VALUE"""),2021)</f>
        <v>2021</v>
      </c>
      <c r="O1365" s="36">
        <f ca="1">IFERROR(__xludf.DUMMYFUNCTION("""COMPUTED_VALUE"""),2022)</f>
        <v>2022</v>
      </c>
      <c r="P1365" s="36">
        <f ca="1">IFERROR(__xludf.DUMMYFUNCTION("""COMPUTED_VALUE"""),2023)</f>
        <v>2023</v>
      </c>
      <c r="Q1365" s="37">
        <f ca="1">IFERROR(__xludf.DUMMYFUNCTION("""COMPUTED_VALUE"""),2024)</f>
        <v>2024</v>
      </c>
      <c r="R1365" s="15"/>
    </row>
    <row r="1366" spans="1:18" ht="13.2" hidden="1" outlineLevel="1" x14ac:dyDescent="0.25">
      <c r="A1366" s="1"/>
      <c r="B1366" s="38" t="str">
        <f ca="1">IFERROR(__xludf.DUMMYFUNCTION("""COMPUTED_VALUE"""),"Carbón mineral")</f>
        <v>Carbón mineral</v>
      </c>
      <c r="C1366" s="17">
        <f ca="1">IFERROR(__xludf.DUMMYFUNCTION("""COMPUTED_VALUE"""),0)</f>
        <v>0</v>
      </c>
      <c r="D1366" s="18">
        <f ca="1">IFERROR(__xludf.DUMMYFUNCTION("""COMPUTED_VALUE"""),0)</f>
        <v>0</v>
      </c>
      <c r="E1366" s="18">
        <f ca="1">IFERROR(__xludf.DUMMYFUNCTION("""COMPUTED_VALUE"""),0)</f>
        <v>0</v>
      </c>
      <c r="F1366" s="18">
        <f ca="1">IFERROR(__xludf.DUMMYFUNCTION("""COMPUTED_VALUE"""),0)</f>
        <v>0</v>
      </c>
      <c r="G1366" s="18">
        <f ca="1">IFERROR(__xludf.DUMMYFUNCTION("""COMPUTED_VALUE"""),0)</f>
        <v>0</v>
      </c>
      <c r="H1366" s="18">
        <f ca="1">IFERROR(__xludf.DUMMYFUNCTION("""COMPUTED_VALUE"""),0)</f>
        <v>0</v>
      </c>
      <c r="I1366" s="18">
        <f ca="1">IFERROR(__xludf.DUMMYFUNCTION("""COMPUTED_VALUE"""),0)</f>
        <v>0</v>
      </c>
      <c r="J1366" s="18">
        <f ca="1">IFERROR(__xludf.DUMMYFUNCTION("""COMPUTED_VALUE"""),0)</f>
        <v>0</v>
      </c>
      <c r="K1366" s="18">
        <f ca="1">IFERROR(__xludf.DUMMYFUNCTION("""COMPUTED_VALUE"""),0)</f>
        <v>0</v>
      </c>
      <c r="L1366" s="18">
        <f ca="1">IFERROR(__xludf.DUMMYFUNCTION("""COMPUTED_VALUE"""),0)</f>
        <v>0</v>
      </c>
      <c r="M1366" s="18">
        <f ca="1">IFERROR(__xludf.DUMMYFUNCTION("""COMPUTED_VALUE"""),0)</f>
        <v>0</v>
      </c>
      <c r="N1366" s="18">
        <f ca="1">IFERROR(__xludf.DUMMYFUNCTION("""COMPUTED_VALUE"""),0)</f>
        <v>0</v>
      </c>
      <c r="O1366" s="18">
        <f ca="1">IFERROR(__xludf.DUMMYFUNCTION("""COMPUTED_VALUE"""),0)</f>
        <v>0</v>
      </c>
      <c r="P1366" s="18">
        <f ca="1">IFERROR(__xludf.DUMMYFUNCTION("""COMPUTED_VALUE"""),0)</f>
        <v>0</v>
      </c>
      <c r="Q1366" s="19">
        <f ca="1">IFERROR(__xludf.DUMMYFUNCTION("""COMPUTED_VALUE"""),0)</f>
        <v>0</v>
      </c>
      <c r="R1366" s="20"/>
    </row>
    <row r="1367" spans="1:18" ht="13.2" hidden="1" outlineLevel="1" x14ac:dyDescent="0.25">
      <c r="A1367" s="1"/>
      <c r="B1367" s="39" t="str">
        <f ca="1">IFERROR(__xludf.DUMMYFUNCTION("""COMPUTED_VALUE"""),"Petróleo crudo")</f>
        <v>Petróleo crudo</v>
      </c>
      <c r="C1367" s="22">
        <f ca="1">IFERROR(__xludf.DUMMYFUNCTION("""COMPUTED_VALUE"""),0)</f>
        <v>0</v>
      </c>
      <c r="D1367" s="23">
        <f ca="1">IFERROR(__xludf.DUMMYFUNCTION("""COMPUTED_VALUE"""),0)</f>
        <v>0</v>
      </c>
      <c r="E1367" s="23">
        <f ca="1">IFERROR(__xludf.DUMMYFUNCTION("""COMPUTED_VALUE"""),0)</f>
        <v>0</v>
      </c>
      <c r="F1367" s="23">
        <f ca="1">IFERROR(__xludf.DUMMYFUNCTION("""COMPUTED_VALUE"""),0)</f>
        <v>0</v>
      </c>
      <c r="G1367" s="23">
        <f ca="1">IFERROR(__xludf.DUMMYFUNCTION("""COMPUTED_VALUE"""),0)</f>
        <v>0</v>
      </c>
      <c r="H1367" s="23">
        <f ca="1">IFERROR(__xludf.DUMMYFUNCTION("""COMPUTED_VALUE"""),0)</f>
        <v>0</v>
      </c>
      <c r="I1367" s="23">
        <f ca="1">IFERROR(__xludf.DUMMYFUNCTION("""COMPUTED_VALUE"""),0)</f>
        <v>0</v>
      </c>
      <c r="J1367" s="23">
        <f ca="1">IFERROR(__xludf.DUMMYFUNCTION("""COMPUTED_VALUE"""),0)</f>
        <v>0</v>
      </c>
      <c r="K1367" s="23">
        <f ca="1">IFERROR(__xludf.DUMMYFUNCTION("""COMPUTED_VALUE"""),0)</f>
        <v>0</v>
      </c>
      <c r="L1367" s="23">
        <f ca="1">IFERROR(__xludf.DUMMYFUNCTION("""COMPUTED_VALUE"""),0)</f>
        <v>0</v>
      </c>
      <c r="M1367" s="23">
        <f ca="1">IFERROR(__xludf.DUMMYFUNCTION("""COMPUTED_VALUE"""),0)</f>
        <v>0</v>
      </c>
      <c r="N1367" s="23">
        <f ca="1">IFERROR(__xludf.DUMMYFUNCTION("""COMPUTED_VALUE"""),0)</f>
        <v>0</v>
      </c>
      <c r="O1367" s="23">
        <f ca="1">IFERROR(__xludf.DUMMYFUNCTION("""COMPUTED_VALUE"""),0)</f>
        <v>0</v>
      </c>
      <c r="P1367" s="23">
        <f ca="1">IFERROR(__xludf.DUMMYFUNCTION("""COMPUTED_VALUE"""),0)</f>
        <v>0</v>
      </c>
      <c r="Q1367" s="24">
        <f ca="1">IFERROR(__xludf.DUMMYFUNCTION("""COMPUTED_VALUE"""),0)</f>
        <v>0</v>
      </c>
      <c r="R1367" s="20"/>
    </row>
    <row r="1368" spans="1:18" ht="13.2" hidden="1" outlineLevel="1" x14ac:dyDescent="0.25">
      <c r="A1368" s="1"/>
      <c r="B1368" s="39" t="str">
        <f ca="1">IFERROR(__xludf.DUMMYFUNCTION("""COMPUTED_VALUE"""),"Condensados")</f>
        <v>Condensados</v>
      </c>
      <c r="C1368" s="22">
        <f ca="1">IFERROR(__xludf.DUMMYFUNCTION("""COMPUTED_VALUE"""),0)</f>
        <v>0</v>
      </c>
      <c r="D1368" s="23">
        <f ca="1">IFERROR(__xludf.DUMMYFUNCTION("""COMPUTED_VALUE"""),0)</f>
        <v>0</v>
      </c>
      <c r="E1368" s="23">
        <f ca="1">IFERROR(__xludf.DUMMYFUNCTION("""COMPUTED_VALUE"""),0)</f>
        <v>0</v>
      </c>
      <c r="F1368" s="23">
        <f ca="1">IFERROR(__xludf.DUMMYFUNCTION("""COMPUTED_VALUE"""),0)</f>
        <v>0</v>
      </c>
      <c r="G1368" s="23">
        <f ca="1">IFERROR(__xludf.DUMMYFUNCTION("""COMPUTED_VALUE"""),0)</f>
        <v>0</v>
      </c>
      <c r="H1368" s="23">
        <f ca="1">IFERROR(__xludf.DUMMYFUNCTION("""COMPUTED_VALUE"""),0)</f>
        <v>0</v>
      </c>
      <c r="I1368" s="23">
        <f ca="1">IFERROR(__xludf.DUMMYFUNCTION("""COMPUTED_VALUE"""),0)</f>
        <v>0</v>
      </c>
      <c r="J1368" s="23">
        <f ca="1">IFERROR(__xludf.DUMMYFUNCTION("""COMPUTED_VALUE"""),0)</f>
        <v>0</v>
      </c>
      <c r="K1368" s="23">
        <f ca="1">IFERROR(__xludf.DUMMYFUNCTION("""COMPUTED_VALUE"""),0)</f>
        <v>0</v>
      </c>
      <c r="L1368" s="23">
        <f ca="1">IFERROR(__xludf.DUMMYFUNCTION("""COMPUTED_VALUE"""),0)</f>
        <v>0</v>
      </c>
      <c r="M1368" s="23">
        <f ca="1">IFERROR(__xludf.DUMMYFUNCTION("""COMPUTED_VALUE"""),0)</f>
        <v>0</v>
      </c>
      <c r="N1368" s="23">
        <f ca="1">IFERROR(__xludf.DUMMYFUNCTION("""COMPUTED_VALUE"""),0)</f>
        <v>0</v>
      </c>
      <c r="O1368" s="23">
        <f ca="1">IFERROR(__xludf.DUMMYFUNCTION("""COMPUTED_VALUE"""),0)</f>
        <v>0</v>
      </c>
      <c r="P1368" s="23">
        <f ca="1">IFERROR(__xludf.DUMMYFUNCTION("""COMPUTED_VALUE"""),0)</f>
        <v>0</v>
      </c>
      <c r="Q1368" s="24">
        <f ca="1">IFERROR(__xludf.DUMMYFUNCTION("""COMPUTED_VALUE"""),0)</f>
        <v>0</v>
      </c>
      <c r="R1368" s="20"/>
    </row>
    <row r="1369" spans="1:18" ht="13.2" hidden="1" outlineLevel="1" x14ac:dyDescent="0.25">
      <c r="A1369" s="1"/>
      <c r="B1369" s="39" t="str">
        <f ca="1">IFERROR(__xludf.DUMMYFUNCTION("""COMPUTED_VALUE"""),"Gas natural")</f>
        <v>Gas natural</v>
      </c>
      <c r="C1369" s="22">
        <f ca="1">IFERROR(__xludf.DUMMYFUNCTION("""COMPUTED_VALUE"""),0)</f>
        <v>0</v>
      </c>
      <c r="D1369" s="23">
        <f ca="1">IFERROR(__xludf.DUMMYFUNCTION("""COMPUTED_VALUE"""),0)</f>
        <v>0</v>
      </c>
      <c r="E1369" s="23">
        <f ca="1">IFERROR(__xludf.DUMMYFUNCTION("""COMPUTED_VALUE"""),0)</f>
        <v>0</v>
      </c>
      <c r="F1369" s="23">
        <f ca="1">IFERROR(__xludf.DUMMYFUNCTION("""COMPUTED_VALUE"""),0)</f>
        <v>0</v>
      </c>
      <c r="G1369" s="23">
        <f ca="1">IFERROR(__xludf.DUMMYFUNCTION("""COMPUTED_VALUE"""),0)</f>
        <v>0</v>
      </c>
      <c r="H1369" s="23">
        <f ca="1">IFERROR(__xludf.DUMMYFUNCTION("""COMPUTED_VALUE"""),0)</f>
        <v>0</v>
      </c>
      <c r="I1369" s="23">
        <f ca="1">IFERROR(__xludf.DUMMYFUNCTION("""COMPUTED_VALUE"""),0)</f>
        <v>0</v>
      </c>
      <c r="J1369" s="23">
        <f ca="1">IFERROR(__xludf.DUMMYFUNCTION("""COMPUTED_VALUE"""),0)</f>
        <v>0</v>
      </c>
      <c r="K1369" s="23">
        <f ca="1">IFERROR(__xludf.DUMMYFUNCTION("""COMPUTED_VALUE"""),0)</f>
        <v>0</v>
      </c>
      <c r="L1369" s="23">
        <f ca="1">IFERROR(__xludf.DUMMYFUNCTION("""COMPUTED_VALUE"""),0)</f>
        <v>0</v>
      </c>
      <c r="M1369" s="23">
        <f ca="1">IFERROR(__xludf.DUMMYFUNCTION("""COMPUTED_VALUE"""),0)</f>
        <v>0</v>
      </c>
      <c r="N1369" s="23">
        <f ca="1">IFERROR(__xludf.DUMMYFUNCTION("""COMPUTED_VALUE"""),0)</f>
        <v>0</v>
      </c>
      <c r="O1369" s="23">
        <f ca="1">IFERROR(__xludf.DUMMYFUNCTION("""COMPUTED_VALUE"""),0)</f>
        <v>0</v>
      </c>
      <c r="P1369" s="23">
        <f ca="1">IFERROR(__xludf.DUMMYFUNCTION("""COMPUTED_VALUE"""),0)</f>
        <v>0</v>
      </c>
      <c r="Q1369" s="24">
        <f ca="1">IFERROR(__xludf.DUMMYFUNCTION("""COMPUTED_VALUE"""),0)</f>
        <v>0</v>
      </c>
      <c r="R1369" s="20"/>
    </row>
    <row r="1370" spans="1:18" ht="13.2" hidden="1" outlineLevel="1" x14ac:dyDescent="0.25">
      <c r="A1370" s="1"/>
      <c r="B1370" s="39" t="str">
        <f ca="1">IFERROR(__xludf.DUMMYFUNCTION("""COMPUTED_VALUE"""),"Energía Nuclear")</f>
        <v>Energía Nuclear</v>
      </c>
      <c r="C1370" s="22">
        <f ca="1">IFERROR(__xludf.DUMMYFUNCTION("""COMPUTED_VALUE"""),0)</f>
        <v>0</v>
      </c>
      <c r="D1370" s="23">
        <f ca="1">IFERROR(__xludf.DUMMYFUNCTION("""COMPUTED_VALUE"""),0)</f>
        <v>0</v>
      </c>
      <c r="E1370" s="23">
        <f ca="1">IFERROR(__xludf.DUMMYFUNCTION("""COMPUTED_VALUE"""),0)</f>
        <v>0</v>
      </c>
      <c r="F1370" s="23">
        <f ca="1">IFERROR(__xludf.DUMMYFUNCTION("""COMPUTED_VALUE"""),0)</f>
        <v>0</v>
      </c>
      <c r="G1370" s="23">
        <f ca="1">IFERROR(__xludf.DUMMYFUNCTION("""COMPUTED_VALUE"""),0)</f>
        <v>0</v>
      </c>
      <c r="H1370" s="23">
        <f ca="1">IFERROR(__xludf.DUMMYFUNCTION("""COMPUTED_VALUE"""),0)</f>
        <v>0</v>
      </c>
      <c r="I1370" s="23">
        <f ca="1">IFERROR(__xludf.DUMMYFUNCTION("""COMPUTED_VALUE"""),0)</f>
        <v>0</v>
      </c>
      <c r="J1370" s="23">
        <f ca="1">IFERROR(__xludf.DUMMYFUNCTION("""COMPUTED_VALUE"""),0)</f>
        <v>0</v>
      </c>
      <c r="K1370" s="23">
        <f ca="1">IFERROR(__xludf.DUMMYFUNCTION("""COMPUTED_VALUE"""),0)</f>
        <v>0</v>
      </c>
      <c r="L1370" s="23">
        <f ca="1">IFERROR(__xludf.DUMMYFUNCTION("""COMPUTED_VALUE"""),0)</f>
        <v>0</v>
      </c>
      <c r="M1370" s="23">
        <f ca="1">IFERROR(__xludf.DUMMYFUNCTION("""COMPUTED_VALUE"""),0)</f>
        <v>0</v>
      </c>
      <c r="N1370" s="23">
        <f ca="1">IFERROR(__xludf.DUMMYFUNCTION("""COMPUTED_VALUE"""),0)</f>
        <v>0</v>
      </c>
      <c r="O1370" s="23">
        <f ca="1">IFERROR(__xludf.DUMMYFUNCTION("""COMPUTED_VALUE"""),0)</f>
        <v>0</v>
      </c>
      <c r="P1370" s="23">
        <f ca="1">IFERROR(__xludf.DUMMYFUNCTION("""COMPUTED_VALUE"""),0)</f>
        <v>0</v>
      </c>
      <c r="Q1370" s="24">
        <f ca="1">IFERROR(__xludf.DUMMYFUNCTION("""COMPUTED_VALUE"""),0)</f>
        <v>0</v>
      </c>
      <c r="R1370" s="20"/>
    </row>
    <row r="1371" spans="1:18" ht="13.2" hidden="1" outlineLevel="1" x14ac:dyDescent="0.25">
      <c r="A1371" s="1"/>
      <c r="B1371" s="39" t="str">
        <f ca="1">IFERROR(__xludf.DUMMYFUNCTION("""COMPUTED_VALUE"""),"Energia Hidraúlica")</f>
        <v>Energia Hidraúlica</v>
      </c>
      <c r="C1371" s="22">
        <f ca="1">IFERROR(__xludf.DUMMYFUNCTION("""COMPUTED_VALUE"""),0)</f>
        <v>0</v>
      </c>
      <c r="D1371" s="23">
        <f ca="1">IFERROR(__xludf.DUMMYFUNCTION("""COMPUTED_VALUE"""),0)</f>
        <v>0</v>
      </c>
      <c r="E1371" s="23">
        <f ca="1">IFERROR(__xludf.DUMMYFUNCTION("""COMPUTED_VALUE"""),0)</f>
        <v>0</v>
      </c>
      <c r="F1371" s="23">
        <f ca="1">IFERROR(__xludf.DUMMYFUNCTION("""COMPUTED_VALUE"""),0)</f>
        <v>0</v>
      </c>
      <c r="G1371" s="23">
        <f ca="1">IFERROR(__xludf.DUMMYFUNCTION("""COMPUTED_VALUE"""),0)</f>
        <v>0</v>
      </c>
      <c r="H1371" s="23">
        <f ca="1">IFERROR(__xludf.DUMMYFUNCTION("""COMPUTED_VALUE"""),0)</f>
        <v>0</v>
      </c>
      <c r="I1371" s="23">
        <f ca="1">IFERROR(__xludf.DUMMYFUNCTION("""COMPUTED_VALUE"""),0)</f>
        <v>0</v>
      </c>
      <c r="J1371" s="23">
        <f ca="1">IFERROR(__xludf.DUMMYFUNCTION("""COMPUTED_VALUE"""),0)</f>
        <v>0</v>
      </c>
      <c r="K1371" s="23">
        <f ca="1">IFERROR(__xludf.DUMMYFUNCTION("""COMPUTED_VALUE"""),0)</f>
        <v>0</v>
      </c>
      <c r="L1371" s="23">
        <f ca="1">IFERROR(__xludf.DUMMYFUNCTION("""COMPUTED_VALUE"""),0)</f>
        <v>0</v>
      </c>
      <c r="M1371" s="23">
        <f ca="1">IFERROR(__xludf.DUMMYFUNCTION("""COMPUTED_VALUE"""),0)</f>
        <v>0</v>
      </c>
      <c r="N1371" s="23">
        <f ca="1">IFERROR(__xludf.DUMMYFUNCTION("""COMPUTED_VALUE"""),0)</f>
        <v>0</v>
      </c>
      <c r="O1371" s="23">
        <f ca="1">IFERROR(__xludf.DUMMYFUNCTION("""COMPUTED_VALUE"""),0)</f>
        <v>0</v>
      </c>
      <c r="P1371" s="23">
        <f ca="1">IFERROR(__xludf.DUMMYFUNCTION("""COMPUTED_VALUE"""),0)</f>
        <v>0</v>
      </c>
      <c r="Q1371" s="24">
        <f ca="1">IFERROR(__xludf.DUMMYFUNCTION("""COMPUTED_VALUE"""),0)</f>
        <v>0</v>
      </c>
      <c r="R1371" s="20"/>
    </row>
    <row r="1372" spans="1:18" ht="13.2" hidden="1" outlineLevel="1" x14ac:dyDescent="0.25">
      <c r="A1372" s="1"/>
      <c r="B1372" s="39" t="str">
        <f ca="1">IFERROR(__xludf.DUMMYFUNCTION("""COMPUTED_VALUE"""),"Geoenergía")</f>
        <v>Geoenergía</v>
      </c>
      <c r="C1372" s="22">
        <f ca="1">IFERROR(__xludf.DUMMYFUNCTION("""COMPUTED_VALUE"""),0)</f>
        <v>0</v>
      </c>
      <c r="D1372" s="23">
        <f ca="1">IFERROR(__xludf.DUMMYFUNCTION("""COMPUTED_VALUE"""),0)</f>
        <v>0</v>
      </c>
      <c r="E1372" s="23">
        <f ca="1">IFERROR(__xludf.DUMMYFUNCTION("""COMPUTED_VALUE"""),0)</f>
        <v>0</v>
      </c>
      <c r="F1372" s="23">
        <f ca="1">IFERROR(__xludf.DUMMYFUNCTION("""COMPUTED_VALUE"""),0)</f>
        <v>0</v>
      </c>
      <c r="G1372" s="23">
        <f ca="1">IFERROR(__xludf.DUMMYFUNCTION("""COMPUTED_VALUE"""),0)</f>
        <v>0</v>
      </c>
      <c r="H1372" s="23">
        <f ca="1">IFERROR(__xludf.DUMMYFUNCTION("""COMPUTED_VALUE"""),0)</f>
        <v>0</v>
      </c>
      <c r="I1372" s="23">
        <f ca="1">IFERROR(__xludf.DUMMYFUNCTION("""COMPUTED_VALUE"""),0)</f>
        <v>0</v>
      </c>
      <c r="J1372" s="23">
        <f ca="1">IFERROR(__xludf.DUMMYFUNCTION("""COMPUTED_VALUE"""),0)</f>
        <v>0</v>
      </c>
      <c r="K1372" s="23">
        <f ca="1">IFERROR(__xludf.DUMMYFUNCTION("""COMPUTED_VALUE"""),0)</f>
        <v>0</v>
      </c>
      <c r="L1372" s="23">
        <f ca="1">IFERROR(__xludf.DUMMYFUNCTION("""COMPUTED_VALUE"""),0)</f>
        <v>0</v>
      </c>
      <c r="M1372" s="23">
        <f ca="1">IFERROR(__xludf.DUMMYFUNCTION("""COMPUTED_VALUE"""),0)</f>
        <v>0</v>
      </c>
      <c r="N1372" s="23">
        <f ca="1">IFERROR(__xludf.DUMMYFUNCTION("""COMPUTED_VALUE"""),0)</f>
        <v>0</v>
      </c>
      <c r="O1372" s="23">
        <f ca="1">IFERROR(__xludf.DUMMYFUNCTION("""COMPUTED_VALUE"""),0)</f>
        <v>0</v>
      </c>
      <c r="P1372" s="23">
        <f ca="1">IFERROR(__xludf.DUMMYFUNCTION("""COMPUTED_VALUE"""),0)</f>
        <v>0</v>
      </c>
      <c r="Q1372" s="24">
        <f ca="1">IFERROR(__xludf.DUMMYFUNCTION("""COMPUTED_VALUE"""),0)</f>
        <v>0</v>
      </c>
      <c r="R1372" s="20"/>
    </row>
    <row r="1373" spans="1:18" ht="13.2" hidden="1" outlineLevel="1" x14ac:dyDescent="0.25">
      <c r="A1373" s="1"/>
      <c r="B1373" s="39" t="str">
        <f ca="1">IFERROR(__xludf.DUMMYFUNCTION("""COMPUTED_VALUE"""),"Energía solar")</f>
        <v>Energía solar</v>
      </c>
      <c r="C1373" s="22">
        <f ca="1">IFERROR(__xludf.DUMMYFUNCTION("""COMPUTED_VALUE"""),0)</f>
        <v>0</v>
      </c>
      <c r="D1373" s="23">
        <f ca="1">IFERROR(__xludf.DUMMYFUNCTION("""COMPUTED_VALUE"""),0)</f>
        <v>0</v>
      </c>
      <c r="E1373" s="23">
        <f ca="1">IFERROR(__xludf.DUMMYFUNCTION("""COMPUTED_VALUE"""),0)</f>
        <v>0</v>
      </c>
      <c r="F1373" s="23">
        <f ca="1">IFERROR(__xludf.DUMMYFUNCTION("""COMPUTED_VALUE"""),0)</f>
        <v>0</v>
      </c>
      <c r="G1373" s="23">
        <f ca="1">IFERROR(__xludf.DUMMYFUNCTION("""COMPUTED_VALUE"""),0)</f>
        <v>0</v>
      </c>
      <c r="H1373" s="23">
        <f ca="1">IFERROR(__xludf.DUMMYFUNCTION("""COMPUTED_VALUE"""),0)</f>
        <v>0</v>
      </c>
      <c r="I1373" s="23">
        <f ca="1">IFERROR(__xludf.DUMMYFUNCTION("""COMPUTED_VALUE"""),0)</f>
        <v>0</v>
      </c>
      <c r="J1373" s="23">
        <f ca="1">IFERROR(__xludf.DUMMYFUNCTION("""COMPUTED_VALUE"""),0)</f>
        <v>0</v>
      </c>
      <c r="K1373" s="23">
        <f ca="1">IFERROR(__xludf.DUMMYFUNCTION("""COMPUTED_VALUE"""),0)</f>
        <v>0</v>
      </c>
      <c r="L1373" s="23">
        <f ca="1">IFERROR(__xludf.DUMMYFUNCTION("""COMPUTED_VALUE"""),0)</f>
        <v>0</v>
      </c>
      <c r="M1373" s="23">
        <f ca="1">IFERROR(__xludf.DUMMYFUNCTION("""COMPUTED_VALUE"""),0)</f>
        <v>0</v>
      </c>
      <c r="N1373" s="23">
        <f ca="1">IFERROR(__xludf.DUMMYFUNCTION("""COMPUTED_VALUE"""),0)</f>
        <v>0</v>
      </c>
      <c r="O1373" s="23">
        <f ca="1">IFERROR(__xludf.DUMMYFUNCTION("""COMPUTED_VALUE"""),0)</f>
        <v>0</v>
      </c>
      <c r="P1373" s="23">
        <f ca="1">IFERROR(__xludf.DUMMYFUNCTION("""COMPUTED_VALUE"""),0)</f>
        <v>0</v>
      </c>
      <c r="Q1373" s="24">
        <f ca="1">IFERROR(__xludf.DUMMYFUNCTION("""COMPUTED_VALUE"""),0)</f>
        <v>0</v>
      </c>
      <c r="R1373" s="20"/>
    </row>
    <row r="1374" spans="1:18" ht="13.2" hidden="1" outlineLevel="1" x14ac:dyDescent="0.25">
      <c r="A1374" s="1"/>
      <c r="B1374" s="39" t="str">
        <f ca="1">IFERROR(__xludf.DUMMYFUNCTION("""COMPUTED_VALUE"""),"Energía eólica")</f>
        <v>Energía eólica</v>
      </c>
      <c r="C1374" s="22">
        <f ca="1">IFERROR(__xludf.DUMMYFUNCTION("""COMPUTED_VALUE"""),0)</f>
        <v>0</v>
      </c>
      <c r="D1374" s="23">
        <f ca="1">IFERROR(__xludf.DUMMYFUNCTION("""COMPUTED_VALUE"""),0)</f>
        <v>0</v>
      </c>
      <c r="E1374" s="23">
        <f ca="1">IFERROR(__xludf.DUMMYFUNCTION("""COMPUTED_VALUE"""),0)</f>
        <v>0</v>
      </c>
      <c r="F1374" s="23">
        <f ca="1">IFERROR(__xludf.DUMMYFUNCTION("""COMPUTED_VALUE"""),0)</f>
        <v>0</v>
      </c>
      <c r="G1374" s="23">
        <f ca="1">IFERROR(__xludf.DUMMYFUNCTION("""COMPUTED_VALUE"""),0)</f>
        <v>0</v>
      </c>
      <c r="H1374" s="23">
        <f ca="1">IFERROR(__xludf.DUMMYFUNCTION("""COMPUTED_VALUE"""),0)</f>
        <v>0</v>
      </c>
      <c r="I1374" s="23">
        <f ca="1">IFERROR(__xludf.DUMMYFUNCTION("""COMPUTED_VALUE"""),0)</f>
        <v>0</v>
      </c>
      <c r="J1374" s="23">
        <f ca="1">IFERROR(__xludf.DUMMYFUNCTION("""COMPUTED_VALUE"""),0)</f>
        <v>0</v>
      </c>
      <c r="K1374" s="23">
        <f ca="1">IFERROR(__xludf.DUMMYFUNCTION("""COMPUTED_VALUE"""),0)</f>
        <v>0</v>
      </c>
      <c r="L1374" s="23">
        <f ca="1">IFERROR(__xludf.DUMMYFUNCTION("""COMPUTED_VALUE"""),0)</f>
        <v>0</v>
      </c>
      <c r="M1374" s="23">
        <f ca="1">IFERROR(__xludf.DUMMYFUNCTION("""COMPUTED_VALUE"""),0)</f>
        <v>0</v>
      </c>
      <c r="N1374" s="23">
        <f ca="1">IFERROR(__xludf.DUMMYFUNCTION("""COMPUTED_VALUE"""),0)</f>
        <v>0</v>
      </c>
      <c r="O1374" s="23">
        <f ca="1">IFERROR(__xludf.DUMMYFUNCTION("""COMPUTED_VALUE"""),0)</f>
        <v>0</v>
      </c>
      <c r="P1374" s="23">
        <f ca="1">IFERROR(__xludf.DUMMYFUNCTION("""COMPUTED_VALUE"""),0)</f>
        <v>0</v>
      </c>
      <c r="Q1374" s="24">
        <f ca="1">IFERROR(__xludf.DUMMYFUNCTION("""COMPUTED_VALUE"""),0)</f>
        <v>0</v>
      </c>
      <c r="R1374" s="20"/>
    </row>
    <row r="1375" spans="1:18" ht="13.2" hidden="1" outlineLevel="1" x14ac:dyDescent="0.25">
      <c r="A1375" s="1"/>
      <c r="B1375" s="39" t="str">
        <f ca="1">IFERROR(__xludf.DUMMYFUNCTION("""COMPUTED_VALUE"""),"Bagazo de caña")</f>
        <v>Bagazo de caña</v>
      </c>
      <c r="C1375" s="22">
        <f ca="1">IFERROR(__xludf.DUMMYFUNCTION("""COMPUTED_VALUE"""),0)</f>
        <v>0</v>
      </c>
      <c r="D1375" s="23">
        <f ca="1">IFERROR(__xludf.DUMMYFUNCTION("""COMPUTED_VALUE"""),0)</f>
        <v>0</v>
      </c>
      <c r="E1375" s="23">
        <f ca="1">IFERROR(__xludf.DUMMYFUNCTION("""COMPUTED_VALUE"""),0)</f>
        <v>0</v>
      </c>
      <c r="F1375" s="23">
        <f ca="1">IFERROR(__xludf.DUMMYFUNCTION("""COMPUTED_VALUE"""),0)</f>
        <v>0</v>
      </c>
      <c r="G1375" s="23">
        <f ca="1">IFERROR(__xludf.DUMMYFUNCTION("""COMPUTED_VALUE"""),0)</f>
        <v>0</v>
      </c>
      <c r="H1375" s="23">
        <f ca="1">IFERROR(__xludf.DUMMYFUNCTION("""COMPUTED_VALUE"""),0)</f>
        <v>0</v>
      </c>
      <c r="I1375" s="23">
        <f ca="1">IFERROR(__xludf.DUMMYFUNCTION("""COMPUTED_VALUE"""),0)</f>
        <v>0</v>
      </c>
      <c r="J1375" s="23">
        <f ca="1">IFERROR(__xludf.DUMMYFUNCTION("""COMPUTED_VALUE"""),0)</f>
        <v>0</v>
      </c>
      <c r="K1375" s="23">
        <f ca="1">IFERROR(__xludf.DUMMYFUNCTION("""COMPUTED_VALUE"""),0)</f>
        <v>0</v>
      </c>
      <c r="L1375" s="23">
        <f ca="1">IFERROR(__xludf.DUMMYFUNCTION("""COMPUTED_VALUE"""),0)</f>
        <v>0</v>
      </c>
      <c r="M1375" s="23">
        <f ca="1">IFERROR(__xludf.DUMMYFUNCTION("""COMPUTED_VALUE"""),0)</f>
        <v>0</v>
      </c>
      <c r="N1375" s="23">
        <f ca="1">IFERROR(__xludf.DUMMYFUNCTION("""COMPUTED_VALUE"""),0)</f>
        <v>0</v>
      </c>
      <c r="O1375" s="23">
        <f ca="1">IFERROR(__xludf.DUMMYFUNCTION("""COMPUTED_VALUE"""),0)</f>
        <v>0</v>
      </c>
      <c r="P1375" s="23">
        <f ca="1">IFERROR(__xludf.DUMMYFUNCTION("""COMPUTED_VALUE"""),0)</f>
        <v>0</v>
      </c>
      <c r="Q1375" s="24">
        <f ca="1">IFERROR(__xludf.DUMMYFUNCTION("""COMPUTED_VALUE"""),0)</f>
        <v>0</v>
      </c>
      <c r="R1375" s="20"/>
    </row>
    <row r="1376" spans="1:18" ht="13.2" hidden="1" outlineLevel="1" x14ac:dyDescent="0.25">
      <c r="A1376" s="1"/>
      <c r="B1376" s="39" t="str">
        <f ca="1">IFERROR(__xludf.DUMMYFUNCTION("""COMPUTED_VALUE"""),"Leña")</f>
        <v>Leña</v>
      </c>
      <c r="C1376" s="22">
        <f ca="1">IFERROR(__xludf.DUMMYFUNCTION("""COMPUTED_VALUE"""),0)</f>
        <v>0</v>
      </c>
      <c r="D1376" s="23">
        <f ca="1">IFERROR(__xludf.DUMMYFUNCTION("""COMPUTED_VALUE"""),0)</f>
        <v>0</v>
      </c>
      <c r="E1376" s="23">
        <f ca="1">IFERROR(__xludf.DUMMYFUNCTION("""COMPUTED_VALUE"""),0)</f>
        <v>0</v>
      </c>
      <c r="F1376" s="23">
        <f ca="1">IFERROR(__xludf.DUMMYFUNCTION("""COMPUTED_VALUE"""),0)</f>
        <v>0</v>
      </c>
      <c r="G1376" s="23">
        <f ca="1">IFERROR(__xludf.DUMMYFUNCTION("""COMPUTED_VALUE"""),0)</f>
        <v>0</v>
      </c>
      <c r="H1376" s="23">
        <f ca="1">IFERROR(__xludf.DUMMYFUNCTION("""COMPUTED_VALUE"""),0)</f>
        <v>0</v>
      </c>
      <c r="I1376" s="23">
        <f ca="1">IFERROR(__xludf.DUMMYFUNCTION("""COMPUTED_VALUE"""),0)</f>
        <v>0</v>
      </c>
      <c r="J1376" s="23">
        <f ca="1">IFERROR(__xludf.DUMMYFUNCTION("""COMPUTED_VALUE"""),0)</f>
        <v>0</v>
      </c>
      <c r="K1376" s="23">
        <f ca="1">IFERROR(__xludf.DUMMYFUNCTION("""COMPUTED_VALUE"""),0)</f>
        <v>0</v>
      </c>
      <c r="L1376" s="23">
        <f ca="1">IFERROR(__xludf.DUMMYFUNCTION("""COMPUTED_VALUE"""),0)</f>
        <v>0</v>
      </c>
      <c r="M1376" s="23">
        <f ca="1">IFERROR(__xludf.DUMMYFUNCTION("""COMPUTED_VALUE"""),0)</f>
        <v>0</v>
      </c>
      <c r="N1376" s="23">
        <f ca="1">IFERROR(__xludf.DUMMYFUNCTION("""COMPUTED_VALUE"""),0)</f>
        <v>0</v>
      </c>
      <c r="O1376" s="23">
        <f ca="1">IFERROR(__xludf.DUMMYFUNCTION("""COMPUTED_VALUE"""),0)</f>
        <v>0</v>
      </c>
      <c r="P1376" s="23">
        <f ca="1">IFERROR(__xludf.DUMMYFUNCTION("""COMPUTED_VALUE"""),0)</f>
        <v>0</v>
      </c>
      <c r="Q1376" s="24">
        <f ca="1">IFERROR(__xludf.DUMMYFUNCTION("""COMPUTED_VALUE"""),0)</f>
        <v>0</v>
      </c>
      <c r="R1376" s="20"/>
    </row>
    <row r="1377" spans="1:18" ht="13.2" hidden="1" outlineLevel="1" x14ac:dyDescent="0.25">
      <c r="A1377" s="1"/>
      <c r="B1377" s="39" t="str">
        <f ca="1">IFERROR(__xludf.DUMMYFUNCTION("""COMPUTED_VALUE"""),"Biogás")</f>
        <v>Biogás</v>
      </c>
      <c r="C1377" s="22">
        <f ca="1">IFERROR(__xludf.DUMMYFUNCTION("""COMPUTED_VALUE"""),0)</f>
        <v>0</v>
      </c>
      <c r="D1377" s="23">
        <f ca="1">IFERROR(__xludf.DUMMYFUNCTION("""COMPUTED_VALUE"""),0)</f>
        <v>0</v>
      </c>
      <c r="E1377" s="23">
        <f ca="1">IFERROR(__xludf.DUMMYFUNCTION("""COMPUTED_VALUE"""),0)</f>
        <v>0</v>
      </c>
      <c r="F1377" s="23">
        <f ca="1">IFERROR(__xludf.DUMMYFUNCTION("""COMPUTED_VALUE"""),0)</f>
        <v>0</v>
      </c>
      <c r="G1377" s="23">
        <f ca="1">IFERROR(__xludf.DUMMYFUNCTION("""COMPUTED_VALUE"""),0)</f>
        <v>0</v>
      </c>
      <c r="H1377" s="23">
        <f ca="1">IFERROR(__xludf.DUMMYFUNCTION("""COMPUTED_VALUE"""),0)</f>
        <v>0</v>
      </c>
      <c r="I1377" s="23">
        <f ca="1">IFERROR(__xludf.DUMMYFUNCTION("""COMPUTED_VALUE"""),0)</f>
        <v>0</v>
      </c>
      <c r="J1377" s="23">
        <f ca="1">IFERROR(__xludf.DUMMYFUNCTION("""COMPUTED_VALUE"""),0)</f>
        <v>0</v>
      </c>
      <c r="K1377" s="23">
        <f ca="1">IFERROR(__xludf.DUMMYFUNCTION("""COMPUTED_VALUE"""),0)</f>
        <v>0</v>
      </c>
      <c r="L1377" s="23">
        <f ca="1">IFERROR(__xludf.DUMMYFUNCTION("""COMPUTED_VALUE"""),0)</f>
        <v>0</v>
      </c>
      <c r="M1377" s="23">
        <f ca="1">IFERROR(__xludf.DUMMYFUNCTION("""COMPUTED_VALUE"""),0)</f>
        <v>0</v>
      </c>
      <c r="N1377" s="23">
        <f ca="1">IFERROR(__xludf.DUMMYFUNCTION("""COMPUTED_VALUE"""),0)</f>
        <v>0</v>
      </c>
      <c r="O1377" s="23">
        <f ca="1">IFERROR(__xludf.DUMMYFUNCTION("""COMPUTED_VALUE"""),0)</f>
        <v>0</v>
      </c>
      <c r="P1377" s="23">
        <f ca="1">IFERROR(__xludf.DUMMYFUNCTION("""COMPUTED_VALUE"""),0)</f>
        <v>0</v>
      </c>
      <c r="Q1377" s="24">
        <f ca="1">IFERROR(__xludf.DUMMYFUNCTION("""COMPUTED_VALUE"""),0)</f>
        <v>0</v>
      </c>
      <c r="R1377" s="20"/>
    </row>
    <row r="1378" spans="1:18" ht="13.2" hidden="1" outlineLevel="1" x14ac:dyDescent="0.25">
      <c r="A1378" s="1"/>
      <c r="B1378" s="39" t="str">
        <f ca="1">IFERROR(__xludf.DUMMYFUNCTION("""COMPUTED_VALUE"""),"Coque de carbón")</f>
        <v>Coque de carbón</v>
      </c>
      <c r="C1378" s="22">
        <f ca="1">IFERROR(__xludf.DUMMYFUNCTION("""COMPUTED_VALUE"""),0)</f>
        <v>0</v>
      </c>
      <c r="D1378" s="23">
        <f ca="1">IFERROR(__xludf.DUMMYFUNCTION("""COMPUTED_VALUE"""),0)</f>
        <v>0</v>
      </c>
      <c r="E1378" s="23">
        <f ca="1">IFERROR(__xludf.DUMMYFUNCTION("""COMPUTED_VALUE"""),0)</f>
        <v>0</v>
      </c>
      <c r="F1378" s="23">
        <f ca="1">IFERROR(__xludf.DUMMYFUNCTION("""COMPUTED_VALUE"""),0)</f>
        <v>0</v>
      </c>
      <c r="G1378" s="23">
        <f ca="1">IFERROR(__xludf.DUMMYFUNCTION("""COMPUTED_VALUE"""),0)</f>
        <v>0</v>
      </c>
      <c r="H1378" s="23">
        <f ca="1">IFERROR(__xludf.DUMMYFUNCTION("""COMPUTED_VALUE"""),0)</f>
        <v>0</v>
      </c>
      <c r="I1378" s="23">
        <f ca="1">IFERROR(__xludf.DUMMYFUNCTION("""COMPUTED_VALUE"""),0)</f>
        <v>0</v>
      </c>
      <c r="J1378" s="23">
        <f ca="1">IFERROR(__xludf.DUMMYFUNCTION("""COMPUTED_VALUE"""),0)</f>
        <v>0</v>
      </c>
      <c r="K1378" s="23">
        <f ca="1">IFERROR(__xludf.DUMMYFUNCTION("""COMPUTED_VALUE"""),0)</f>
        <v>0</v>
      </c>
      <c r="L1378" s="23">
        <f ca="1">IFERROR(__xludf.DUMMYFUNCTION("""COMPUTED_VALUE"""),0)</f>
        <v>0</v>
      </c>
      <c r="M1378" s="23">
        <f ca="1">IFERROR(__xludf.DUMMYFUNCTION("""COMPUTED_VALUE"""),0)</f>
        <v>0</v>
      </c>
      <c r="N1378" s="23">
        <f ca="1">IFERROR(__xludf.DUMMYFUNCTION("""COMPUTED_VALUE"""),0)</f>
        <v>0</v>
      </c>
      <c r="O1378" s="23">
        <f ca="1">IFERROR(__xludf.DUMMYFUNCTION("""COMPUTED_VALUE"""),0)</f>
        <v>0</v>
      </c>
      <c r="P1378" s="23">
        <f ca="1">IFERROR(__xludf.DUMMYFUNCTION("""COMPUTED_VALUE"""),0)</f>
        <v>0</v>
      </c>
      <c r="Q1378" s="24">
        <f ca="1">IFERROR(__xludf.DUMMYFUNCTION("""COMPUTED_VALUE"""),0)</f>
        <v>0</v>
      </c>
      <c r="R1378" s="20"/>
    </row>
    <row r="1379" spans="1:18" ht="13.2" hidden="1" outlineLevel="1" x14ac:dyDescent="0.25">
      <c r="A1379" s="1"/>
      <c r="B1379" s="39" t="str">
        <f ca="1">IFERROR(__xludf.DUMMYFUNCTION("""COMPUTED_VALUE"""),"Coque de petróleo")</f>
        <v>Coque de petróleo</v>
      </c>
      <c r="C1379" s="22">
        <f ca="1">IFERROR(__xludf.DUMMYFUNCTION("""COMPUTED_VALUE"""),0)</f>
        <v>0</v>
      </c>
      <c r="D1379" s="23">
        <f ca="1">IFERROR(__xludf.DUMMYFUNCTION("""COMPUTED_VALUE"""),0)</f>
        <v>0</v>
      </c>
      <c r="E1379" s="23">
        <f ca="1">IFERROR(__xludf.DUMMYFUNCTION("""COMPUTED_VALUE"""),0)</f>
        <v>0</v>
      </c>
      <c r="F1379" s="23">
        <f ca="1">IFERROR(__xludf.DUMMYFUNCTION("""COMPUTED_VALUE"""),0)</f>
        <v>0</v>
      </c>
      <c r="G1379" s="23">
        <f ca="1">IFERROR(__xludf.DUMMYFUNCTION("""COMPUTED_VALUE"""),0)</f>
        <v>0</v>
      </c>
      <c r="H1379" s="23">
        <f ca="1">IFERROR(__xludf.DUMMYFUNCTION("""COMPUTED_VALUE"""),0)</f>
        <v>0</v>
      </c>
      <c r="I1379" s="23">
        <f ca="1">IFERROR(__xludf.DUMMYFUNCTION("""COMPUTED_VALUE"""),0)</f>
        <v>0</v>
      </c>
      <c r="J1379" s="23">
        <f ca="1">IFERROR(__xludf.DUMMYFUNCTION("""COMPUTED_VALUE"""),0)</f>
        <v>0</v>
      </c>
      <c r="K1379" s="23">
        <f ca="1">IFERROR(__xludf.DUMMYFUNCTION("""COMPUTED_VALUE"""),0)</f>
        <v>0</v>
      </c>
      <c r="L1379" s="23">
        <f ca="1">IFERROR(__xludf.DUMMYFUNCTION("""COMPUTED_VALUE"""),0)</f>
        <v>0</v>
      </c>
      <c r="M1379" s="23">
        <f ca="1">IFERROR(__xludf.DUMMYFUNCTION("""COMPUTED_VALUE"""),0)</f>
        <v>0</v>
      </c>
      <c r="N1379" s="23">
        <f ca="1">IFERROR(__xludf.DUMMYFUNCTION("""COMPUTED_VALUE"""),0)</f>
        <v>0</v>
      </c>
      <c r="O1379" s="23">
        <f ca="1">IFERROR(__xludf.DUMMYFUNCTION("""COMPUTED_VALUE"""),0)</f>
        <v>0</v>
      </c>
      <c r="P1379" s="23">
        <f ca="1">IFERROR(__xludf.DUMMYFUNCTION("""COMPUTED_VALUE"""),0)</f>
        <v>0</v>
      </c>
      <c r="Q1379" s="24">
        <f ca="1">IFERROR(__xludf.DUMMYFUNCTION("""COMPUTED_VALUE"""),0)</f>
        <v>0</v>
      </c>
      <c r="R1379" s="20"/>
    </row>
    <row r="1380" spans="1:18" ht="13.2" hidden="1" outlineLevel="1" x14ac:dyDescent="0.25">
      <c r="A1380" s="1"/>
      <c r="B1380" s="39" t="str">
        <f ca="1">IFERROR(__xludf.DUMMYFUNCTION("""COMPUTED_VALUE"""),"Gas licuado de petróleo")</f>
        <v>Gas licuado de petróleo</v>
      </c>
      <c r="C1380" s="22">
        <f ca="1">IFERROR(__xludf.DUMMYFUNCTION("""COMPUTED_VALUE"""),0)</f>
        <v>0</v>
      </c>
      <c r="D1380" s="23">
        <f ca="1">IFERROR(__xludf.DUMMYFUNCTION("""COMPUTED_VALUE"""),0)</f>
        <v>0</v>
      </c>
      <c r="E1380" s="23">
        <f ca="1">IFERROR(__xludf.DUMMYFUNCTION("""COMPUTED_VALUE"""),0)</f>
        <v>0</v>
      </c>
      <c r="F1380" s="23">
        <f ca="1">IFERROR(__xludf.DUMMYFUNCTION("""COMPUTED_VALUE"""),0)</f>
        <v>0</v>
      </c>
      <c r="G1380" s="23">
        <f ca="1">IFERROR(__xludf.DUMMYFUNCTION("""COMPUTED_VALUE"""),0)</f>
        <v>0</v>
      </c>
      <c r="H1380" s="23">
        <f ca="1">IFERROR(__xludf.DUMMYFUNCTION("""COMPUTED_VALUE"""),0)</f>
        <v>0</v>
      </c>
      <c r="I1380" s="23">
        <f ca="1">IFERROR(__xludf.DUMMYFUNCTION("""COMPUTED_VALUE"""),0)</f>
        <v>0</v>
      </c>
      <c r="J1380" s="23">
        <f ca="1">IFERROR(__xludf.DUMMYFUNCTION("""COMPUTED_VALUE"""),0)</f>
        <v>0</v>
      </c>
      <c r="K1380" s="23">
        <f ca="1">IFERROR(__xludf.DUMMYFUNCTION("""COMPUTED_VALUE"""),0)</f>
        <v>0</v>
      </c>
      <c r="L1380" s="23">
        <f ca="1">IFERROR(__xludf.DUMMYFUNCTION("""COMPUTED_VALUE"""),0)</f>
        <v>0</v>
      </c>
      <c r="M1380" s="23">
        <f ca="1">IFERROR(__xludf.DUMMYFUNCTION("""COMPUTED_VALUE"""),0)</f>
        <v>0</v>
      </c>
      <c r="N1380" s="23">
        <f ca="1">IFERROR(__xludf.DUMMYFUNCTION("""COMPUTED_VALUE"""),0)</f>
        <v>0</v>
      </c>
      <c r="O1380" s="23">
        <f ca="1">IFERROR(__xludf.DUMMYFUNCTION("""COMPUTED_VALUE"""),0)</f>
        <v>0</v>
      </c>
      <c r="P1380" s="23">
        <f ca="1">IFERROR(__xludf.DUMMYFUNCTION("""COMPUTED_VALUE"""),0)</f>
        <v>0</v>
      </c>
      <c r="Q1380" s="24">
        <f ca="1">IFERROR(__xludf.DUMMYFUNCTION("""COMPUTED_VALUE"""),0)</f>
        <v>0</v>
      </c>
      <c r="R1380" s="20"/>
    </row>
    <row r="1381" spans="1:18" ht="13.2" hidden="1" outlineLevel="1" x14ac:dyDescent="0.25">
      <c r="A1381" s="1"/>
      <c r="B1381" s="39" t="str">
        <f ca="1">IFERROR(__xludf.DUMMYFUNCTION("""COMPUTED_VALUE"""),"Gasolinas y naftas")</f>
        <v>Gasolinas y naftas</v>
      </c>
      <c r="C1381" s="22">
        <f ca="1">IFERROR(__xludf.DUMMYFUNCTION("""COMPUTED_VALUE"""),0)</f>
        <v>0</v>
      </c>
      <c r="D1381" s="23">
        <f ca="1">IFERROR(__xludf.DUMMYFUNCTION("""COMPUTED_VALUE"""),0)</f>
        <v>0</v>
      </c>
      <c r="E1381" s="23">
        <f ca="1">IFERROR(__xludf.DUMMYFUNCTION("""COMPUTED_VALUE"""),0)</f>
        <v>0</v>
      </c>
      <c r="F1381" s="23">
        <f ca="1">IFERROR(__xludf.DUMMYFUNCTION("""COMPUTED_VALUE"""),0)</f>
        <v>0</v>
      </c>
      <c r="G1381" s="23">
        <f ca="1">IFERROR(__xludf.DUMMYFUNCTION("""COMPUTED_VALUE"""),0)</f>
        <v>0</v>
      </c>
      <c r="H1381" s="23">
        <f ca="1">IFERROR(__xludf.DUMMYFUNCTION("""COMPUTED_VALUE"""),0)</f>
        <v>0</v>
      </c>
      <c r="I1381" s="23">
        <f ca="1">IFERROR(__xludf.DUMMYFUNCTION("""COMPUTED_VALUE"""),0)</f>
        <v>0</v>
      </c>
      <c r="J1381" s="23">
        <f ca="1">IFERROR(__xludf.DUMMYFUNCTION("""COMPUTED_VALUE"""),0)</f>
        <v>0</v>
      </c>
      <c r="K1381" s="23">
        <f ca="1">IFERROR(__xludf.DUMMYFUNCTION("""COMPUTED_VALUE"""),0)</f>
        <v>0</v>
      </c>
      <c r="L1381" s="23">
        <f ca="1">IFERROR(__xludf.DUMMYFUNCTION("""COMPUTED_VALUE"""),0)</f>
        <v>0</v>
      </c>
      <c r="M1381" s="23">
        <f ca="1">IFERROR(__xludf.DUMMYFUNCTION("""COMPUTED_VALUE"""),0)</f>
        <v>0</v>
      </c>
      <c r="N1381" s="23">
        <f ca="1">IFERROR(__xludf.DUMMYFUNCTION("""COMPUTED_VALUE"""),0)</f>
        <v>0</v>
      </c>
      <c r="O1381" s="23">
        <f ca="1">IFERROR(__xludf.DUMMYFUNCTION("""COMPUTED_VALUE"""),0)</f>
        <v>0</v>
      </c>
      <c r="P1381" s="23">
        <f ca="1">IFERROR(__xludf.DUMMYFUNCTION("""COMPUTED_VALUE"""),0)</f>
        <v>0</v>
      </c>
      <c r="Q1381" s="24">
        <f ca="1">IFERROR(__xludf.DUMMYFUNCTION("""COMPUTED_VALUE"""),0)</f>
        <v>0</v>
      </c>
      <c r="R1381" s="20"/>
    </row>
    <row r="1382" spans="1:18" ht="13.2" hidden="1" outlineLevel="1" x14ac:dyDescent="0.25">
      <c r="A1382" s="1"/>
      <c r="B1382" s="39" t="str">
        <f ca="1">IFERROR(__xludf.DUMMYFUNCTION("""COMPUTED_VALUE"""),"Querosenos")</f>
        <v>Querosenos</v>
      </c>
      <c r="C1382" s="22">
        <f ca="1">IFERROR(__xludf.DUMMYFUNCTION("""COMPUTED_VALUE"""),0)</f>
        <v>0</v>
      </c>
      <c r="D1382" s="23">
        <f ca="1">IFERROR(__xludf.DUMMYFUNCTION("""COMPUTED_VALUE"""),0)</f>
        <v>0</v>
      </c>
      <c r="E1382" s="23">
        <f ca="1">IFERROR(__xludf.DUMMYFUNCTION("""COMPUTED_VALUE"""),0)</f>
        <v>0</v>
      </c>
      <c r="F1382" s="23">
        <f ca="1">IFERROR(__xludf.DUMMYFUNCTION("""COMPUTED_VALUE"""),0)</f>
        <v>0</v>
      </c>
      <c r="G1382" s="23">
        <f ca="1">IFERROR(__xludf.DUMMYFUNCTION("""COMPUTED_VALUE"""),0)</f>
        <v>0</v>
      </c>
      <c r="H1382" s="23">
        <f ca="1">IFERROR(__xludf.DUMMYFUNCTION("""COMPUTED_VALUE"""),0)</f>
        <v>0</v>
      </c>
      <c r="I1382" s="23">
        <f ca="1">IFERROR(__xludf.DUMMYFUNCTION("""COMPUTED_VALUE"""),0)</f>
        <v>0</v>
      </c>
      <c r="J1382" s="23">
        <f ca="1">IFERROR(__xludf.DUMMYFUNCTION("""COMPUTED_VALUE"""),0)</f>
        <v>0</v>
      </c>
      <c r="K1382" s="23">
        <f ca="1">IFERROR(__xludf.DUMMYFUNCTION("""COMPUTED_VALUE"""),0)</f>
        <v>0</v>
      </c>
      <c r="L1382" s="23">
        <f ca="1">IFERROR(__xludf.DUMMYFUNCTION("""COMPUTED_VALUE"""),0)</f>
        <v>0</v>
      </c>
      <c r="M1382" s="23">
        <f ca="1">IFERROR(__xludf.DUMMYFUNCTION("""COMPUTED_VALUE"""),0)</f>
        <v>0</v>
      </c>
      <c r="N1382" s="23">
        <f ca="1">IFERROR(__xludf.DUMMYFUNCTION("""COMPUTED_VALUE"""),0)</f>
        <v>0</v>
      </c>
      <c r="O1382" s="23">
        <f ca="1">IFERROR(__xludf.DUMMYFUNCTION("""COMPUTED_VALUE"""),0)</f>
        <v>0</v>
      </c>
      <c r="P1382" s="23">
        <f ca="1">IFERROR(__xludf.DUMMYFUNCTION("""COMPUTED_VALUE"""),0)</f>
        <v>0</v>
      </c>
      <c r="Q1382" s="24">
        <f ca="1">IFERROR(__xludf.DUMMYFUNCTION("""COMPUTED_VALUE"""),0)</f>
        <v>0</v>
      </c>
      <c r="R1382" s="20"/>
    </row>
    <row r="1383" spans="1:18" ht="13.2" hidden="1" outlineLevel="1" x14ac:dyDescent="0.25">
      <c r="A1383" s="1"/>
      <c r="B1383" s="39" t="str">
        <f ca="1">IFERROR(__xludf.DUMMYFUNCTION("""COMPUTED_VALUE"""),"Diesel")</f>
        <v>Diesel</v>
      </c>
      <c r="C1383" s="22">
        <f ca="1">IFERROR(__xludf.DUMMYFUNCTION("""COMPUTED_VALUE"""),0)</f>
        <v>0</v>
      </c>
      <c r="D1383" s="23">
        <f ca="1">IFERROR(__xludf.DUMMYFUNCTION("""COMPUTED_VALUE"""),0)</f>
        <v>0</v>
      </c>
      <c r="E1383" s="23">
        <f ca="1">IFERROR(__xludf.DUMMYFUNCTION("""COMPUTED_VALUE"""),0)</f>
        <v>0</v>
      </c>
      <c r="F1383" s="23">
        <f ca="1">IFERROR(__xludf.DUMMYFUNCTION("""COMPUTED_VALUE"""),0)</f>
        <v>0</v>
      </c>
      <c r="G1383" s="23">
        <f ca="1">IFERROR(__xludf.DUMMYFUNCTION("""COMPUTED_VALUE"""),0)</f>
        <v>0</v>
      </c>
      <c r="H1383" s="23">
        <f ca="1">IFERROR(__xludf.DUMMYFUNCTION("""COMPUTED_VALUE"""),0)</f>
        <v>0</v>
      </c>
      <c r="I1383" s="23">
        <f ca="1">IFERROR(__xludf.DUMMYFUNCTION("""COMPUTED_VALUE"""),0)</f>
        <v>0</v>
      </c>
      <c r="J1383" s="23">
        <f ca="1">IFERROR(__xludf.DUMMYFUNCTION("""COMPUTED_VALUE"""),0)</f>
        <v>0</v>
      </c>
      <c r="K1383" s="23">
        <f ca="1">IFERROR(__xludf.DUMMYFUNCTION("""COMPUTED_VALUE"""),0)</f>
        <v>0</v>
      </c>
      <c r="L1383" s="23">
        <f ca="1">IFERROR(__xludf.DUMMYFUNCTION("""COMPUTED_VALUE"""),0)</f>
        <v>0</v>
      </c>
      <c r="M1383" s="23">
        <f ca="1">IFERROR(__xludf.DUMMYFUNCTION("""COMPUTED_VALUE"""),0)</f>
        <v>0</v>
      </c>
      <c r="N1383" s="23">
        <f ca="1">IFERROR(__xludf.DUMMYFUNCTION("""COMPUTED_VALUE"""),0)</f>
        <v>0</v>
      </c>
      <c r="O1383" s="23">
        <f ca="1">IFERROR(__xludf.DUMMYFUNCTION("""COMPUTED_VALUE"""),0)</f>
        <v>0</v>
      </c>
      <c r="P1383" s="23">
        <f ca="1">IFERROR(__xludf.DUMMYFUNCTION("""COMPUTED_VALUE"""),0)</f>
        <v>0</v>
      </c>
      <c r="Q1383" s="24">
        <f ca="1">IFERROR(__xludf.DUMMYFUNCTION("""COMPUTED_VALUE"""),0)</f>
        <v>0</v>
      </c>
      <c r="R1383" s="20"/>
    </row>
    <row r="1384" spans="1:18" ht="13.2" hidden="1" outlineLevel="1" x14ac:dyDescent="0.25">
      <c r="A1384" s="1"/>
      <c r="B1384" s="39" t="str">
        <f ca="1">IFERROR(__xludf.DUMMYFUNCTION("""COMPUTED_VALUE"""),"Combustóleo")</f>
        <v>Combustóleo</v>
      </c>
      <c r="C1384" s="22">
        <f ca="1">IFERROR(__xludf.DUMMYFUNCTION("""COMPUTED_VALUE"""),0)</f>
        <v>0</v>
      </c>
      <c r="D1384" s="23">
        <f ca="1">IFERROR(__xludf.DUMMYFUNCTION("""COMPUTED_VALUE"""),0)</f>
        <v>0</v>
      </c>
      <c r="E1384" s="23">
        <f ca="1">IFERROR(__xludf.DUMMYFUNCTION("""COMPUTED_VALUE"""),0)</f>
        <v>0</v>
      </c>
      <c r="F1384" s="23">
        <f ca="1">IFERROR(__xludf.DUMMYFUNCTION("""COMPUTED_VALUE"""),0)</f>
        <v>0</v>
      </c>
      <c r="G1384" s="23">
        <f ca="1">IFERROR(__xludf.DUMMYFUNCTION("""COMPUTED_VALUE"""),0)</f>
        <v>0</v>
      </c>
      <c r="H1384" s="23">
        <f ca="1">IFERROR(__xludf.DUMMYFUNCTION("""COMPUTED_VALUE"""),0)</f>
        <v>0</v>
      </c>
      <c r="I1384" s="23">
        <f ca="1">IFERROR(__xludf.DUMMYFUNCTION("""COMPUTED_VALUE"""),0)</f>
        <v>0</v>
      </c>
      <c r="J1384" s="23">
        <f ca="1">IFERROR(__xludf.DUMMYFUNCTION("""COMPUTED_VALUE"""),0)</f>
        <v>0</v>
      </c>
      <c r="K1384" s="23">
        <f ca="1">IFERROR(__xludf.DUMMYFUNCTION("""COMPUTED_VALUE"""),0)</f>
        <v>0</v>
      </c>
      <c r="L1384" s="23">
        <f ca="1">IFERROR(__xludf.DUMMYFUNCTION("""COMPUTED_VALUE"""),0)</f>
        <v>0</v>
      </c>
      <c r="M1384" s="23">
        <f ca="1">IFERROR(__xludf.DUMMYFUNCTION("""COMPUTED_VALUE"""),0)</f>
        <v>0</v>
      </c>
      <c r="N1384" s="23">
        <f ca="1">IFERROR(__xludf.DUMMYFUNCTION("""COMPUTED_VALUE"""),0)</f>
        <v>0</v>
      </c>
      <c r="O1384" s="23">
        <f ca="1">IFERROR(__xludf.DUMMYFUNCTION("""COMPUTED_VALUE"""),0)</f>
        <v>0</v>
      </c>
      <c r="P1384" s="23">
        <f ca="1">IFERROR(__xludf.DUMMYFUNCTION("""COMPUTED_VALUE"""),0)</f>
        <v>0</v>
      </c>
      <c r="Q1384" s="24">
        <f ca="1">IFERROR(__xludf.DUMMYFUNCTION("""COMPUTED_VALUE"""),0)</f>
        <v>0</v>
      </c>
      <c r="R1384" s="20"/>
    </row>
    <row r="1385" spans="1:18" ht="13.2" hidden="1" outlineLevel="1" x14ac:dyDescent="0.25">
      <c r="A1385" s="1"/>
      <c r="B1385" s="39" t="str">
        <f ca="1">IFERROR(__xludf.DUMMYFUNCTION("""COMPUTED_VALUE"""),"Otros energéticos")</f>
        <v>Otros energéticos</v>
      </c>
      <c r="C1385" s="22">
        <f ca="1">IFERROR(__xludf.DUMMYFUNCTION("""COMPUTED_VALUE"""),0)</f>
        <v>0</v>
      </c>
      <c r="D1385" s="23">
        <f ca="1">IFERROR(__xludf.DUMMYFUNCTION("""COMPUTED_VALUE"""),0)</f>
        <v>0</v>
      </c>
      <c r="E1385" s="23">
        <f ca="1">IFERROR(__xludf.DUMMYFUNCTION("""COMPUTED_VALUE"""),0)</f>
        <v>0</v>
      </c>
      <c r="F1385" s="23">
        <f ca="1">IFERROR(__xludf.DUMMYFUNCTION("""COMPUTED_VALUE"""),0)</f>
        <v>0</v>
      </c>
      <c r="G1385" s="23">
        <f ca="1">IFERROR(__xludf.DUMMYFUNCTION("""COMPUTED_VALUE"""),0)</f>
        <v>0</v>
      </c>
      <c r="H1385" s="23">
        <f ca="1">IFERROR(__xludf.DUMMYFUNCTION("""COMPUTED_VALUE"""),0)</f>
        <v>0</v>
      </c>
      <c r="I1385" s="23">
        <f ca="1">IFERROR(__xludf.DUMMYFUNCTION("""COMPUTED_VALUE"""),0)</f>
        <v>0</v>
      </c>
      <c r="J1385" s="23">
        <f ca="1">IFERROR(__xludf.DUMMYFUNCTION("""COMPUTED_VALUE"""),0)</f>
        <v>0</v>
      </c>
      <c r="K1385" s="23">
        <f ca="1">IFERROR(__xludf.DUMMYFUNCTION("""COMPUTED_VALUE"""),0)</f>
        <v>0</v>
      </c>
      <c r="L1385" s="23">
        <f ca="1">IFERROR(__xludf.DUMMYFUNCTION("""COMPUTED_VALUE"""),0)</f>
        <v>0</v>
      </c>
      <c r="M1385" s="23">
        <f ca="1">IFERROR(__xludf.DUMMYFUNCTION("""COMPUTED_VALUE"""),0)</f>
        <v>0</v>
      </c>
      <c r="N1385" s="23">
        <f ca="1">IFERROR(__xludf.DUMMYFUNCTION("""COMPUTED_VALUE"""),0)</f>
        <v>0</v>
      </c>
      <c r="O1385" s="23">
        <f ca="1">IFERROR(__xludf.DUMMYFUNCTION("""COMPUTED_VALUE"""),0)</f>
        <v>0</v>
      </c>
      <c r="P1385" s="23">
        <f ca="1">IFERROR(__xludf.DUMMYFUNCTION("""COMPUTED_VALUE"""),0)</f>
        <v>0</v>
      </c>
      <c r="Q1385" s="24">
        <f ca="1">IFERROR(__xludf.DUMMYFUNCTION("""COMPUTED_VALUE"""),0)</f>
        <v>0</v>
      </c>
      <c r="R1385" s="20"/>
    </row>
    <row r="1386" spans="1:18" ht="13.2" hidden="1" outlineLevel="1" x14ac:dyDescent="0.25">
      <c r="A1386" s="1"/>
      <c r="B1386" s="39" t="str">
        <f ca="1">IFERROR(__xludf.DUMMYFUNCTION("""COMPUTED_VALUE"""),"Gas natural seco")</f>
        <v>Gas natural seco</v>
      </c>
      <c r="C1386" s="22">
        <f ca="1">IFERROR(__xludf.DUMMYFUNCTION("""COMPUTED_VALUE"""),0)</f>
        <v>0</v>
      </c>
      <c r="D1386" s="23">
        <f ca="1">IFERROR(__xludf.DUMMYFUNCTION("""COMPUTED_VALUE"""),0)</f>
        <v>0</v>
      </c>
      <c r="E1386" s="23">
        <f ca="1">IFERROR(__xludf.DUMMYFUNCTION("""COMPUTED_VALUE"""),0)</f>
        <v>0</v>
      </c>
      <c r="F1386" s="23">
        <f ca="1">IFERROR(__xludf.DUMMYFUNCTION("""COMPUTED_VALUE"""),0)</f>
        <v>0</v>
      </c>
      <c r="G1386" s="23">
        <f ca="1">IFERROR(__xludf.DUMMYFUNCTION("""COMPUTED_VALUE"""),0)</f>
        <v>0</v>
      </c>
      <c r="H1386" s="23">
        <f ca="1">IFERROR(__xludf.DUMMYFUNCTION("""COMPUTED_VALUE"""),0)</f>
        <v>0</v>
      </c>
      <c r="I1386" s="23">
        <f ca="1">IFERROR(__xludf.DUMMYFUNCTION("""COMPUTED_VALUE"""),0)</f>
        <v>0</v>
      </c>
      <c r="J1386" s="23">
        <f ca="1">IFERROR(__xludf.DUMMYFUNCTION("""COMPUTED_VALUE"""),0)</f>
        <v>0</v>
      </c>
      <c r="K1386" s="23">
        <f ca="1">IFERROR(__xludf.DUMMYFUNCTION("""COMPUTED_VALUE"""),0)</f>
        <v>0</v>
      </c>
      <c r="L1386" s="23">
        <f ca="1">IFERROR(__xludf.DUMMYFUNCTION("""COMPUTED_VALUE"""),0)</f>
        <v>0</v>
      </c>
      <c r="M1386" s="23">
        <f ca="1">IFERROR(__xludf.DUMMYFUNCTION("""COMPUTED_VALUE"""),0)</f>
        <v>0</v>
      </c>
      <c r="N1386" s="23">
        <f ca="1">IFERROR(__xludf.DUMMYFUNCTION("""COMPUTED_VALUE"""),0)</f>
        <v>0</v>
      </c>
      <c r="O1386" s="23">
        <f ca="1">IFERROR(__xludf.DUMMYFUNCTION("""COMPUTED_VALUE"""),0)</f>
        <v>0</v>
      </c>
      <c r="P1386" s="23">
        <f ca="1">IFERROR(__xludf.DUMMYFUNCTION("""COMPUTED_VALUE"""),0)</f>
        <v>0</v>
      </c>
      <c r="Q1386" s="24">
        <f ca="1">IFERROR(__xludf.DUMMYFUNCTION("""COMPUTED_VALUE"""),0)</f>
        <v>0</v>
      </c>
      <c r="R1386" s="20"/>
    </row>
    <row r="1387" spans="1:18" ht="13.2" hidden="1" outlineLevel="1" x14ac:dyDescent="0.25">
      <c r="A1387" s="1"/>
      <c r="B1387" s="40" t="str">
        <f ca="1">IFERROR(__xludf.DUMMYFUNCTION("""COMPUTED_VALUE"""),"Energía eléctrica")</f>
        <v>Energía eléctrica</v>
      </c>
      <c r="C1387" s="26">
        <f ca="1">IFERROR(__xludf.DUMMYFUNCTION("""COMPUTED_VALUE"""),0)</f>
        <v>0</v>
      </c>
      <c r="D1387" s="27">
        <f ca="1">IFERROR(__xludf.DUMMYFUNCTION("""COMPUTED_VALUE"""),0)</f>
        <v>0</v>
      </c>
      <c r="E1387" s="27">
        <f ca="1">IFERROR(__xludf.DUMMYFUNCTION("""COMPUTED_VALUE"""),0)</f>
        <v>0</v>
      </c>
      <c r="F1387" s="27">
        <f ca="1">IFERROR(__xludf.DUMMYFUNCTION("""COMPUTED_VALUE"""),0)</f>
        <v>0</v>
      </c>
      <c r="G1387" s="27">
        <f ca="1">IFERROR(__xludf.DUMMYFUNCTION("""COMPUTED_VALUE"""),0)</f>
        <v>0</v>
      </c>
      <c r="H1387" s="27">
        <f ca="1">IFERROR(__xludf.DUMMYFUNCTION("""COMPUTED_VALUE"""),0)</f>
        <v>0</v>
      </c>
      <c r="I1387" s="27">
        <f ca="1">IFERROR(__xludf.DUMMYFUNCTION("""COMPUTED_VALUE"""),0)</f>
        <v>0</v>
      </c>
      <c r="J1387" s="27">
        <f ca="1">IFERROR(__xludf.DUMMYFUNCTION("""COMPUTED_VALUE"""),0)</f>
        <v>0</v>
      </c>
      <c r="K1387" s="27">
        <f ca="1">IFERROR(__xludf.DUMMYFUNCTION("""COMPUTED_VALUE"""),0)</f>
        <v>0</v>
      </c>
      <c r="L1387" s="27">
        <f ca="1">IFERROR(__xludf.DUMMYFUNCTION("""COMPUTED_VALUE"""),0)</f>
        <v>0</v>
      </c>
      <c r="M1387" s="27">
        <f ca="1">IFERROR(__xludf.DUMMYFUNCTION("""COMPUTED_VALUE"""),0)</f>
        <v>0</v>
      </c>
      <c r="N1387" s="27">
        <f ca="1">IFERROR(__xludf.DUMMYFUNCTION("""COMPUTED_VALUE"""),0)</f>
        <v>0</v>
      </c>
      <c r="O1387" s="27">
        <f ca="1">IFERROR(__xludf.DUMMYFUNCTION("""COMPUTED_VALUE"""),0)</f>
        <v>0</v>
      </c>
      <c r="P1387" s="27">
        <f ca="1">IFERROR(__xludf.DUMMYFUNCTION("""COMPUTED_VALUE"""),0)</f>
        <v>0</v>
      </c>
      <c r="Q1387" s="28">
        <f ca="1">IFERROR(__xludf.DUMMYFUNCTION("""COMPUTED_VALUE"""),0)</f>
        <v>0</v>
      </c>
      <c r="R1387" s="20"/>
    </row>
    <row r="1388" spans="1:18" ht="13.2" collapsed="1" x14ac:dyDescent="0.25">
      <c r="A1388" s="1"/>
      <c r="B1388" s="31" t="str">
        <f ca="1">IFERROR(__xludf.DUMMYFUNCTION("""COMPUTED_VALUE"""),"324	Fabricación de productos derivados del petróleo y del carbón")</f>
        <v>324	Fabricación de productos derivados del petróleo y del carbón</v>
      </c>
      <c r="C1388" s="41"/>
      <c r="D1388" s="42"/>
      <c r="E1388" s="41"/>
      <c r="F1388" s="41"/>
      <c r="G1388" s="43"/>
      <c r="H1388" s="44"/>
      <c r="I1388" s="45"/>
      <c r="J1388" s="45"/>
      <c r="K1388" s="45"/>
      <c r="L1388" s="45"/>
      <c r="M1388" s="45"/>
      <c r="N1388" s="45"/>
      <c r="O1388" s="45"/>
      <c r="P1388" s="45"/>
      <c r="Q1388" s="45"/>
      <c r="R1388" s="10"/>
    </row>
    <row r="1389" spans="1:18" ht="13.2" hidden="1" outlineLevel="1" x14ac:dyDescent="0.25">
      <c r="A1389" s="1"/>
      <c r="B1389" s="46"/>
      <c r="C1389" s="35">
        <f ca="1">IFERROR(__xludf.DUMMYFUNCTION("""COMPUTED_VALUE"""),2010)</f>
        <v>2010</v>
      </c>
      <c r="D1389" s="36">
        <f ca="1">IFERROR(__xludf.DUMMYFUNCTION("""COMPUTED_VALUE"""),2011)</f>
        <v>2011</v>
      </c>
      <c r="E1389" s="36">
        <f ca="1">IFERROR(__xludf.DUMMYFUNCTION("""COMPUTED_VALUE"""),2012)</f>
        <v>2012</v>
      </c>
      <c r="F1389" s="36">
        <f ca="1">IFERROR(__xludf.DUMMYFUNCTION("""COMPUTED_VALUE"""),2013)</f>
        <v>2013</v>
      </c>
      <c r="G1389" s="36">
        <f ca="1">IFERROR(__xludf.DUMMYFUNCTION("""COMPUTED_VALUE"""),2014)</f>
        <v>2014</v>
      </c>
      <c r="H1389" s="36">
        <f ca="1">IFERROR(__xludf.DUMMYFUNCTION("""COMPUTED_VALUE"""),2015)</f>
        <v>2015</v>
      </c>
      <c r="I1389" s="36">
        <f ca="1">IFERROR(__xludf.DUMMYFUNCTION("""COMPUTED_VALUE"""),2016)</f>
        <v>2016</v>
      </c>
      <c r="J1389" s="36">
        <f ca="1">IFERROR(__xludf.DUMMYFUNCTION("""COMPUTED_VALUE"""),2017)</f>
        <v>2017</v>
      </c>
      <c r="K1389" s="36">
        <f ca="1">IFERROR(__xludf.DUMMYFUNCTION("""COMPUTED_VALUE"""),2018)</f>
        <v>2018</v>
      </c>
      <c r="L1389" s="36">
        <f ca="1">IFERROR(__xludf.DUMMYFUNCTION("""COMPUTED_VALUE"""),2019)</f>
        <v>2019</v>
      </c>
      <c r="M1389" s="36">
        <f ca="1">IFERROR(__xludf.DUMMYFUNCTION("""COMPUTED_VALUE"""),2020)</f>
        <v>2020</v>
      </c>
      <c r="N1389" s="36">
        <f ca="1">IFERROR(__xludf.DUMMYFUNCTION("""COMPUTED_VALUE"""),2021)</f>
        <v>2021</v>
      </c>
      <c r="O1389" s="36">
        <f ca="1">IFERROR(__xludf.DUMMYFUNCTION("""COMPUTED_VALUE"""),2022)</f>
        <v>2022</v>
      </c>
      <c r="P1389" s="36">
        <f ca="1">IFERROR(__xludf.DUMMYFUNCTION("""COMPUTED_VALUE"""),2023)</f>
        <v>2023</v>
      </c>
      <c r="Q1389" s="37">
        <f ca="1">IFERROR(__xludf.DUMMYFUNCTION("""COMPUTED_VALUE"""),2024)</f>
        <v>2024</v>
      </c>
      <c r="R1389" s="15"/>
    </row>
    <row r="1390" spans="1:18" ht="13.2" hidden="1" outlineLevel="1" x14ac:dyDescent="0.25">
      <c r="A1390" s="1"/>
      <c r="B1390" s="38" t="str">
        <f ca="1">IFERROR(__xludf.DUMMYFUNCTION("""COMPUTED_VALUE"""),"Carbón mineral")</f>
        <v>Carbón mineral</v>
      </c>
      <c r="C1390" s="17">
        <f ca="1">IFERROR(__xludf.DUMMYFUNCTION("""COMPUTED_VALUE"""),0)</f>
        <v>0</v>
      </c>
      <c r="D1390" s="18">
        <f ca="1">IFERROR(__xludf.DUMMYFUNCTION("""COMPUTED_VALUE"""),0)</f>
        <v>0</v>
      </c>
      <c r="E1390" s="18">
        <f ca="1">IFERROR(__xludf.DUMMYFUNCTION("""COMPUTED_VALUE"""),0)</f>
        <v>0</v>
      </c>
      <c r="F1390" s="18">
        <f ca="1">IFERROR(__xludf.DUMMYFUNCTION("""COMPUTED_VALUE"""),0)</f>
        <v>0</v>
      </c>
      <c r="G1390" s="18">
        <f ca="1">IFERROR(__xludf.DUMMYFUNCTION("""COMPUTED_VALUE"""),0)</f>
        <v>0</v>
      </c>
      <c r="H1390" s="18">
        <f ca="1">IFERROR(__xludf.DUMMYFUNCTION("""COMPUTED_VALUE"""),0)</f>
        <v>0</v>
      </c>
      <c r="I1390" s="18">
        <f ca="1">IFERROR(__xludf.DUMMYFUNCTION("""COMPUTED_VALUE"""),0)</f>
        <v>0</v>
      </c>
      <c r="J1390" s="18">
        <f ca="1">IFERROR(__xludf.DUMMYFUNCTION("""COMPUTED_VALUE"""),0)</f>
        <v>0</v>
      </c>
      <c r="K1390" s="18">
        <f ca="1">IFERROR(__xludf.DUMMYFUNCTION("""COMPUTED_VALUE"""),0)</f>
        <v>0</v>
      </c>
      <c r="L1390" s="18">
        <f ca="1">IFERROR(__xludf.DUMMYFUNCTION("""COMPUTED_VALUE"""),0)</f>
        <v>0</v>
      </c>
      <c r="M1390" s="18">
        <f ca="1">IFERROR(__xludf.DUMMYFUNCTION("""COMPUTED_VALUE"""),0)</f>
        <v>0</v>
      </c>
      <c r="N1390" s="18">
        <f ca="1">IFERROR(__xludf.DUMMYFUNCTION("""COMPUTED_VALUE"""),0)</f>
        <v>0</v>
      </c>
      <c r="O1390" s="18">
        <f ca="1">IFERROR(__xludf.DUMMYFUNCTION("""COMPUTED_VALUE"""),0)</f>
        <v>0</v>
      </c>
      <c r="P1390" s="18">
        <f ca="1">IFERROR(__xludf.DUMMYFUNCTION("""COMPUTED_VALUE"""),0)</f>
        <v>0</v>
      </c>
      <c r="Q1390" s="19">
        <f ca="1">IFERROR(__xludf.DUMMYFUNCTION("""COMPUTED_VALUE"""),0)</f>
        <v>0</v>
      </c>
      <c r="R1390" s="20"/>
    </row>
    <row r="1391" spans="1:18" ht="13.2" hidden="1" outlineLevel="1" x14ac:dyDescent="0.25">
      <c r="A1391" s="1"/>
      <c r="B1391" s="39" t="str">
        <f ca="1">IFERROR(__xludf.DUMMYFUNCTION("""COMPUTED_VALUE"""),"Petróleo crudo")</f>
        <v>Petróleo crudo</v>
      </c>
      <c r="C1391" s="22">
        <f ca="1">IFERROR(__xludf.DUMMYFUNCTION("""COMPUTED_VALUE"""),0)</f>
        <v>0</v>
      </c>
      <c r="D1391" s="23">
        <f ca="1">IFERROR(__xludf.DUMMYFUNCTION("""COMPUTED_VALUE"""),0)</f>
        <v>0</v>
      </c>
      <c r="E1391" s="23">
        <f ca="1">IFERROR(__xludf.DUMMYFUNCTION("""COMPUTED_VALUE"""),0)</f>
        <v>0</v>
      </c>
      <c r="F1391" s="23">
        <f ca="1">IFERROR(__xludf.DUMMYFUNCTION("""COMPUTED_VALUE"""),0)</f>
        <v>0</v>
      </c>
      <c r="G1391" s="23">
        <f ca="1">IFERROR(__xludf.DUMMYFUNCTION("""COMPUTED_VALUE"""),0)</f>
        <v>0</v>
      </c>
      <c r="H1391" s="23">
        <f ca="1">IFERROR(__xludf.DUMMYFUNCTION("""COMPUTED_VALUE"""),0)</f>
        <v>0</v>
      </c>
      <c r="I1391" s="23">
        <f ca="1">IFERROR(__xludf.DUMMYFUNCTION("""COMPUTED_VALUE"""),0)</f>
        <v>0</v>
      </c>
      <c r="J1391" s="23">
        <f ca="1">IFERROR(__xludf.DUMMYFUNCTION("""COMPUTED_VALUE"""),0)</f>
        <v>0</v>
      </c>
      <c r="K1391" s="23">
        <f ca="1">IFERROR(__xludf.DUMMYFUNCTION("""COMPUTED_VALUE"""),0)</f>
        <v>0</v>
      </c>
      <c r="L1391" s="23">
        <f ca="1">IFERROR(__xludf.DUMMYFUNCTION("""COMPUTED_VALUE"""),0)</f>
        <v>0</v>
      </c>
      <c r="M1391" s="23">
        <f ca="1">IFERROR(__xludf.DUMMYFUNCTION("""COMPUTED_VALUE"""),0)</f>
        <v>0</v>
      </c>
      <c r="N1391" s="23">
        <f ca="1">IFERROR(__xludf.DUMMYFUNCTION("""COMPUTED_VALUE"""),0)</f>
        <v>0</v>
      </c>
      <c r="O1391" s="23">
        <f ca="1">IFERROR(__xludf.DUMMYFUNCTION("""COMPUTED_VALUE"""),0)</f>
        <v>0</v>
      </c>
      <c r="P1391" s="23">
        <f ca="1">IFERROR(__xludf.DUMMYFUNCTION("""COMPUTED_VALUE"""),0)</f>
        <v>0</v>
      </c>
      <c r="Q1391" s="24">
        <f ca="1">IFERROR(__xludf.DUMMYFUNCTION("""COMPUTED_VALUE"""),0)</f>
        <v>0</v>
      </c>
      <c r="R1391" s="20"/>
    </row>
    <row r="1392" spans="1:18" ht="13.2" hidden="1" outlineLevel="1" x14ac:dyDescent="0.25">
      <c r="A1392" s="1"/>
      <c r="B1392" s="39" t="str">
        <f ca="1">IFERROR(__xludf.DUMMYFUNCTION("""COMPUTED_VALUE"""),"Condensados")</f>
        <v>Condensados</v>
      </c>
      <c r="C1392" s="22">
        <f ca="1">IFERROR(__xludf.DUMMYFUNCTION("""COMPUTED_VALUE"""),0)</f>
        <v>0</v>
      </c>
      <c r="D1392" s="23">
        <f ca="1">IFERROR(__xludf.DUMMYFUNCTION("""COMPUTED_VALUE"""),0)</f>
        <v>0</v>
      </c>
      <c r="E1392" s="23">
        <f ca="1">IFERROR(__xludf.DUMMYFUNCTION("""COMPUTED_VALUE"""),0)</f>
        <v>0</v>
      </c>
      <c r="F1392" s="23">
        <f ca="1">IFERROR(__xludf.DUMMYFUNCTION("""COMPUTED_VALUE"""),0)</f>
        <v>0</v>
      </c>
      <c r="G1392" s="23">
        <f ca="1">IFERROR(__xludf.DUMMYFUNCTION("""COMPUTED_VALUE"""),0)</f>
        <v>0</v>
      </c>
      <c r="H1392" s="23">
        <f ca="1">IFERROR(__xludf.DUMMYFUNCTION("""COMPUTED_VALUE"""),0)</f>
        <v>0</v>
      </c>
      <c r="I1392" s="23">
        <f ca="1">IFERROR(__xludf.DUMMYFUNCTION("""COMPUTED_VALUE"""),0)</f>
        <v>0</v>
      </c>
      <c r="J1392" s="23">
        <f ca="1">IFERROR(__xludf.DUMMYFUNCTION("""COMPUTED_VALUE"""),0)</f>
        <v>0</v>
      </c>
      <c r="K1392" s="23">
        <f ca="1">IFERROR(__xludf.DUMMYFUNCTION("""COMPUTED_VALUE"""),0)</f>
        <v>0</v>
      </c>
      <c r="L1392" s="23">
        <f ca="1">IFERROR(__xludf.DUMMYFUNCTION("""COMPUTED_VALUE"""),0)</f>
        <v>0</v>
      </c>
      <c r="M1392" s="23">
        <f ca="1">IFERROR(__xludf.DUMMYFUNCTION("""COMPUTED_VALUE"""),0)</f>
        <v>0</v>
      </c>
      <c r="N1392" s="23">
        <f ca="1">IFERROR(__xludf.DUMMYFUNCTION("""COMPUTED_VALUE"""),0)</f>
        <v>0</v>
      </c>
      <c r="O1392" s="23">
        <f ca="1">IFERROR(__xludf.DUMMYFUNCTION("""COMPUTED_VALUE"""),0)</f>
        <v>0</v>
      </c>
      <c r="P1392" s="23">
        <f ca="1">IFERROR(__xludf.DUMMYFUNCTION("""COMPUTED_VALUE"""),0)</f>
        <v>0</v>
      </c>
      <c r="Q1392" s="24">
        <f ca="1">IFERROR(__xludf.DUMMYFUNCTION("""COMPUTED_VALUE"""),0)</f>
        <v>0</v>
      </c>
      <c r="R1392" s="20"/>
    </row>
    <row r="1393" spans="1:18" ht="13.2" hidden="1" outlineLevel="1" x14ac:dyDescent="0.25">
      <c r="A1393" s="1"/>
      <c r="B1393" s="39" t="str">
        <f ca="1">IFERROR(__xludf.DUMMYFUNCTION("""COMPUTED_VALUE"""),"Gas natural")</f>
        <v>Gas natural</v>
      </c>
      <c r="C1393" s="22">
        <f ca="1">IFERROR(__xludf.DUMMYFUNCTION("""COMPUTED_VALUE"""),0)</f>
        <v>0</v>
      </c>
      <c r="D1393" s="23">
        <f ca="1">IFERROR(__xludf.DUMMYFUNCTION("""COMPUTED_VALUE"""),0)</f>
        <v>0</v>
      </c>
      <c r="E1393" s="23">
        <f ca="1">IFERROR(__xludf.DUMMYFUNCTION("""COMPUTED_VALUE"""),0)</f>
        <v>0</v>
      </c>
      <c r="F1393" s="23">
        <f ca="1">IFERROR(__xludf.DUMMYFUNCTION("""COMPUTED_VALUE"""),0)</f>
        <v>0</v>
      </c>
      <c r="G1393" s="23">
        <f ca="1">IFERROR(__xludf.DUMMYFUNCTION("""COMPUTED_VALUE"""),0)</f>
        <v>0</v>
      </c>
      <c r="H1393" s="23">
        <f ca="1">IFERROR(__xludf.DUMMYFUNCTION("""COMPUTED_VALUE"""),0)</f>
        <v>0</v>
      </c>
      <c r="I1393" s="23">
        <f ca="1">IFERROR(__xludf.DUMMYFUNCTION("""COMPUTED_VALUE"""),0)</f>
        <v>0</v>
      </c>
      <c r="J1393" s="23">
        <f ca="1">IFERROR(__xludf.DUMMYFUNCTION("""COMPUTED_VALUE"""),0)</f>
        <v>0</v>
      </c>
      <c r="K1393" s="23">
        <f ca="1">IFERROR(__xludf.DUMMYFUNCTION("""COMPUTED_VALUE"""),0)</f>
        <v>0</v>
      </c>
      <c r="L1393" s="23">
        <f ca="1">IFERROR(__xludf.DUMMYFUNCTION("""COMPUTED_VALUE"""),0)</f>
        <v>0</v>
      </c>
      <c r="M1393" s="23">
        <f ca="1">IFERROR(__xludf.DUMMYFUNCTION("""COMPUTED_VALUE"""),0)</f>
        <v>0</v>
      </c>
      <c r="N1393" s="23">
        <f ca="1">IFERROR(__xludf.DUMMYFUNCTION("""COMPUTED_VALUE"""),0)</f>
        <v>0</v>
      </c>
      <c r="O1393" s="23">
        <f ca="1">IFERROR(__xludf.DUMMYFUNCTION("""COMPUTED_VALUE"""),0)</f>
        <v>0</v>
      </c>
      <c r="P1393" s="23">
        <f ca="1">IFERROR(__xludf.DUMMYFUNCTION("""COMPUTED_VALUE"""),0)</f>
        <v>0</v>
      </c>
      <c r="Q1393" s="24">
        <f ca="1">IFERROR(__xludf.DUMMYFUNCTION("""COMPUTED_VALUE"""),0)</f>
        <v>0</v>
      </c>
      <c r="R1393" s="20"/>
    </row>
    <row r="1394" spans="1:18" ht="13.2" hidden="1" outlineLevel="1" x14ac:dyDescent="0.25">
      <c r="A1394" s="1"/>
      <c r="B1394" s="39" t="str">
        <f ca="1">IFERROR(__xludf.DUMMYFUNCTION("""COMPUTED_VALUE"""),"Energía Nuclear")</f>
        <v>Energía Nuclear</v>
      </c>
      <c r="C1394" s="22">
        <f ca="1">IFERROR(__xludf.DUMMYFUNCTION("""COMPUTED_VALUE"""),0)</f>
        <v>0</v>
      </c>
      <c r="D1394" s="23">
        <f ca="1">IFERROR(__xludf.DUMMYFUNCTION("""COMPUTED_VALUE"""),0)</f>
        <v>0</v>
      </c>
      <c r="E1394" s="23">
        <f ca="1">IFERROR(__xludf.DUMMYFUNCTION("""COMPUTED_VALUE"""),0)</f>
        <v>0</v>
      </c>
      <c r="F1394" s="23">
        <f ca="1">IFERROR(__xludf.DUMMYFUNCTION("""COMPUTED_VALUE"""),0)</f>
        <v>0</v>
      </c>
      <c r="G1394" s="23">
        <f ca="1">IFERROR(__xludf.DUMMYFUNCTION("""COMPUTED_VALUE"""),0)</f>
        <v>0</v>
      </c>
      <c r="H1394" s="23">
        <f ca="1">IFERROR(__xludf.DUMMYFUNCTION("""COMPUTED_VALUE"""),0)</f>
        <v>0</v>
      </c>
      <c r="I1394" s="23">
        <f ca="1">IFERROR(__xludf.DUMMYFUNCTION("""COMPUTED_VALUE"""),0)</f>
        <v>0</v>
      </c>
      <c r="J1394" s="23">
        <f ca="1">IFERROR(__xludf.DUMMYFUNCTION("""COMPUTED_VALUE"""),0)</f>
        <v>0</v>
      </c>
      <c r="K1394" s="23">
        <f ca="1">IFERROR(__xludf.DUMMYFUNCTION("""COMPUTED_VALUE"""),0)</f>
        <v>0</v>
      </c>
      <c r="L1394" s="23">
        <f ca="1">IFERROR(__xludf.DUMMYFUNCTION("""COMPUTED_VALUE"""),0)</f>
        <v>0</v>
      </c>
      <c r="M1394" s="23">
        <f ca="1">IFERROR(__xludf.DUMMYFUNCTION("""COMPUTED_VALUE"""),0)</f>
        <v>0</v>
      </c>
      <c r="N1394" s="23">
        <f ca="1">IFERROR(__xludf.DUMMYFUNCTION("""COMPUTED_VALUE"""),0)</f>
        <v>0</v>
      </c>
      <c r="O1394" s="23">
        <f ca="1">IFERROR(__xludf.DUMMYFUNCTION("""COMPUTED_VALUE"""),0)</f>
        <v>0</v>
      </c>
      <c r="P1394" s="23">
        <f ca="1">IFERROR(__xludf.DUMMYFUNCTION("""COMPUTED_VALUE"""),0)</f>
        <v>0</v>
      </c>
      <c r="Q1394" s="24">
        <f ca="1">IFERROR(__xludf.DUMMYFUNCTION("""COMPUTED_VALUE"""),0)</f>
        <v>0</v>
      </c>
      <c r="R1394" s="20"/>
    </row>
    <row r="1395" spans="1:18" ht="13.2" hidden="1" outlineLevel="1" x14ac:dyDescent="0.25">
      <c r="A1395" s="1"/>
      <c r="B1395" s="39" t="str">
        <f ca="1">IFERROR(__xludf.DUMMYFUNCTION("""COMPUTED_VALUE"""),"Energia Hidraúlica")</f>
        <v>Energia Hidraúlica</v>
      </c>
      <c r="C1395" s="22">
        <f ca="1">IFERROR(__xludf.DUMMYFUNCTION("""COMPUTED_VALUE"""),0)</f>
        <v>0</v>
      </c>
      <c r="D1395" s="23">
        <f ca="1">IFERROR(__xludf.DUMMYFUNCTION("""COMPUTED_VALUE"""),0)</f>
        <v>0</v>
      </c>
      <c r="E1395" s="23">
        <f ca="1">IFERROR(__xludf.DUMMYFUNCTION("""COMPUTED_VALUE"""),0)</f>
        <v>0</v>
      </c>
      <c r="F1395" s="23">
        <f ca="1">IFERROR(__xludf.DUMMYFUNCTION("""COMPUTED_VALUE"""),0)</f>
        <v>0</v>
      </c>
      <c r="G1395" s="23">
        <f ca="1">IFERROR(__xludf.DUMMYFUNCTION("""COMPUTED_VALUE"""),0)</f>
        <v>0</v>
      </c>
      <c r="H1395" s="23">
        <f ca="1">IFERROR(__xludf.DUMMYFUNCTION("""COMPUTED_VALUE"""),0)</f>
        <v>0</v>
      </c>
      <c r="I1395" s="23">
        <f ca="1">IFERROR(__xludf.DUMMYFUNCTION("""COMPUTED_VALUE"""),0)</f>
        <v>0</v>
      </c>
      <c r="J1395" s="23">
        <f ca="1">IFERROR(__xludf.DUMMYFUNCTION("""COMPUTED_VALUE"""),0)</f>
        <v>0</v>
      </c>
      <c r="K1395" s="23">
        <f ca="1">IFERROR(__xludf.DUMMYFUNCTION("""COMPUTED_VALUE"""),0)</f>
        <v>0</v>
      </c>
      <c r="L1395" s="23">
        <f ca="1">IFERROR(__xludf.DUMMYFUNCTION("""COMPUTED_VALUE"""),0)</f>
        <v>0</v>
      </c>
      <c r="M1395" s="23">
        <f ca="1">IFERROR(__xludf.DUMMYFUNCTION("""COMPUTED_VALUE"""),0)</f>
        <v>0</v>
      </c>
      <c r="N1395" s="23">
        <f ca="1">IFERROR(__xludf.DUMMYFUNCTION("""COMPUTED_VALUE"""),0)</f>
        <v>0</v>
      </c>
      <c r="O1395" s="23">
        <f ca="1">IFERROR(__xludf.DUMMYFUNCTION("""COMPUTED_VALUE"""),0)</f>
        <v>0</v>
      </c>
      <c r="P1395" s="23">
        <f ca="1">IFERROR(__xludf.DUMMYFUNCTION("""COMPUTED_VALUE"""),0)</f>
        <v>0</v>
      </c>
      <c r="Q1395" s="24">
        <f ca="1">IFERROR(__xludf.DUMMYFUNCTION("""COMPUTED_VALUE"""),0)</f>
        <v>0</v>
      </c>
      <c r="R1395" s="20"/>
    </row>
    <row r="1396" spans="1:18" ht="13.2" hidden="1" outlineLevel="1" x14ac:dyDescent="0.25">
      <c r="A1396" s="1"/>
      <c r="B1396" s="39" t="str">
        <f ca="1">IFERROR(__xludf.DUMMYFUNCTION("""COMPUTED_VALUE"""),"Geoenergía")</f>
        <v>Geoenergía</v>
      </c>
      <c r="C1396" s="22">
        <f ca="1">IFERROR(__xludf.DUMMYFUNCTION("""COMPUTED_VALUE"""),0)</f>
        <v>0</v>
      </c>
      <c r="D1396" s="23">
        <f ca="1">IFERROR(__xludf.DUMMYFUNCTION("""COMPUTED_VALUE"""),0)</f>
        <v>0</v>
      </c>
      <c r="E1396" s="23">
        <f ca="1">IFERROR(__xludf.DUMMYFUNCTION("""COMPUTED_VALUE"""),0)</f>
        <v>0</v>
      </c>
      <c r="F1396" s="23">
        <f ca="1">IFERROR(__xludf.DUMMYFUNCTION("""COMPUTED_VALUE"""),0)</f>
        <v>0</v>
      </c>
      <c r="G1396" s="23">
        <f ca="1">IFERROR(__xludf.DUMMYFUNCTION("""COMPUTED_VALUE"""),0)</f>
        <v>0</v>
      </c>
      <c r="H1396" s="23">
        <f ca="1">IFERROR(__xludf.DUMMYFUNCTION("""COMPUTED_VALUE"""),0)</f>
        <v>0</v>
      </c>
      <c r="I1396" s="23">
        <f ca="1">IFERROR(__xludf.DUMMYFUNCTION("""COMPUTED_VALUE"""),0)</f>
        <v>0</v>
      </c>
      <c r="J1396" s="23">
        <f ca="1">IFERROR(__xludf.DUMMYFUNCTION("""COMPUTED_VALUE"""),0)</f>
        <v>0</v>
      </c>
      <c r="K1396" s="23">
        <f ca="1">IFERROR(__xludf.DUMMYFUNCTION("""COMPUTED_VALUE"""),0)</f>
        <v>0</v>
      </c>
      <c r="L1396" s="23">
        <f ca="1">IFERROR(__xludf.DUMMYFUNCTION("""COMPUTED_VALUE"""),0)</f>
        <v>0</v>
      </c>
      <c r="M1396" s="23">
        <f ca="1">IFERROR(__xludf.DUMMYFUNCTION("""COMPUTED_VALUE"""),0)</f>
        <v>0</v>
      </c>
      <c r="N1396" s="23">
        <f ca="1">IFERROR(__xludf.DUMMYFUNCTION("""COMPUTED_VALUE"""),0)</f>
        <v>0</v>
      </c>
      <c r="O1396" s="23">
        <f ca="1">IFERROR(__xludf.DUMMYFUNCTION("""COMPUTED_VALUE"""),0)</f>
        <v>0</v>
      </c>
      <c r="P1396" s="23">
        <f ca="1">IFERROR(__xludf.DUMMYFUNCTION("""COMPUTED_VALUE"""),0)</f>
        <v>0</v>
      </c>
      <c r="Q1396" s="24">
        <f ca="1">IFERROR(__xludf.DUMMYFUNCTION("""COMPUTED_VALUE"""),0)</f>
        <v>0</v>
      </c>
      <c r="R1396" s="20"/>
    </row>
    <row r="1397" spans="1:18" ht="13.2" hidden="1" outlineLevel="1" x14ac:dyDescent="0.25">
      <c r="A1397" s="1"/>
      <c r="B1397" s="39" t="str">
        <f ca="1">IFERROR(__xludf.DUMMYFUNCTION("""COMPUTED_VALUE"""),"Energía solar")</f>
        <v>Energía solar</v>
      </c>
      <c r="C1397" s="22">
        <f ca="1">IFERROR(__xludf.DUMMYFUNCTION("""COMPUTED_VALUE"""),0)</f>
        <v>0</v>
      </c>
      <c r="D1397" s="23">
        <f ca="1">IFERROR(__xludf.DUMMYFUNCTION("""COMPUTED_VALUE"""),0)</f>
        <v>0</v>
      </c>
      <c r="E1397" s="23">
        <f ca="1">IFERROR(__xludf.DUMMYFUNCTION("""COMPUTED_VALUE"""),0)</f>
        <v>0</v>
      </c>
      <c r="F1397" s="23">
        <f ca="1">IFERROR(__xludf.DUMMYFUNCTION("""COMPUTED_VALUE"""),0)</f>
        <v>0</v>
      </c>
      <c r="G1397" s="23">
        <f ca="1">IFERROR(__xludf.DUMMYFUNCTION("""COMPUTED_VALUE"""),0)</f>
        <v>0</v>
      </c>
      <c r="H1397" s="23">
        <f ca="1">IFERROR(__xludf.DUMMYFUNCTION("""COMPUTED_VALUE"""),0)</f>
        <v>0</v>
      </c>
      <c r="I1397" s="23">
        <f ca="1">IFERROR(__xludf.DUMMYFUNCTION("""COMPUTED_VALUE"""),0)</f>
        <v>0</v>
      </c>
      <c r="J1397" s="23">
        <f ca="1">IFERROR(__xludf.DUMMYFUNCTION("""COMPUTED_VALUE"""),0)</f>
        <v>0</v>
      </c>
      <c r="K1397" s="23">
        <f ca="1">IFERROR(__xludf.DUMMYFUNCTION("""COMPUTED_VALUE"""),0)</f>
        <v>0</v>
      </c>
      <c r="L1397" s="23">
        <f ca="1">IFERROR(__xludf.DUMMYFUNCTION("""COMPUTED_VALUE"""),0)</f>
        <v>0</v>
      </c>
      <c r="M1397" s="23">
        <f ca="1">IFERROR(__xludf.DUMMYFUNCTION("""COMPUTED_VALUE"""),0)</f>
        <v>0</v>
      </c>
      <c r="N1397" s="23">
        <f ca="1">IFERROR(__xludf.DUMMYFUNCTION("""COMPUTED_VALUE"""),0)</f>
        <v>0</v>
      </c>
      <c r="O1397" s="23">
        <f ca="1">IFERROR(__xludf.DUMMYFUNCTION("""COMPUTED_VALUE"""),0)</f>
        <v>0</v>
      </c>
      <c r="P1397" s="23">
        <f ca="1">IFERROR(__xludf.DUMMYFUNCTION("""COMPUTED_VALUE"""),0)</f>
        <v>0</v>
      </c>
      <c r="Q1397" s="24">
        <f ca="1">IFERROR(__xludf.DUMMYFUNCTION("""COMPUTED_VALUE"""),0)</f>
        <v>0</v>
      </c>
      <c r="R1397" s="20"/>
    </row>
    <row r="1398" spans="1:18" ht="13.2" hidden="1" outlineLevel="1" x14ac:dyDescent="0.25">
      <c r="A1398" s="1"/>
      <c r="B1398" s="39" t="str">
        <f ca="1">IFERROR(__xludf.DUMMYFUNCTION("""COMPUTED_VALUE"""),"Energía eólica")</f>
        <v>Energía eólica</v>
      </c>
      <c r="C1398" s="22">
        <f ca="1">IFERROR(__xludf.DUMMYFUNCTION("""COMPUTED_VALUE"""),0)</f>
        <v>0</v>
      </c>
      <c r="D1398" s="23">
        <f ca="1">IFERROR(__xludf.DUMMYFUNCTION("""COMPUTED_VALUE"""),0)</f>
        <v>0</v>
      </c>
      <c r="E1398" s="23">
        <f ca="1">IFERROR(__xludf.DUMMYFUNCTION("""COMPUTED_VALUE"""),0)</f>
        <v>0</v>
      </c>
      <c r="F1398" s="23">
        <f ca="1">IFERROR(__xludf.DUMMYFUNCTION("""COMPUTED_VALUE"""),0)</f>
        <v>0</v>
      </c>
      <c r="G1398" s="23">
        <f ca="1">IFERROR(__xludf.DUMMYFUNCTION("""COMPUTED_VALUE"""),0)</f>
        <v>0</v>
      </c>
      <c r="H1398" s="23">
        <f ca="1">IFERROR(__xludf.DUMMYFUNCTION("""COMPUTED_VALUE"""),0)</f>
        <v>0</v>
      </c>
      <c r="I1398" s="23">
        <f ca="1">IFERROR(__xludf.DUMMYFUNCTION("""COMPUTED_VALUE"""),0)</f>
        <v>0</v>
      </c>
      <c r="J1398" s="23">
        <f ca="1">IFERROR(__xludf.DUMMYFUNCTION("""COMPUTED_VALUE"""),0)</f>
        <v>0</v>
      </c>
      <c r="K1398" s="23">
        <f ca="1">IFERROR(__xludf.DUMMYFUNCTION("""COMPUTED_VALUE"""),0)</f>
        <v>0</v>
      </c>
      <c r="L1398" s="23">
        <f ca="1">IFERROR(__xludf.DUMMYFUNCTION("""COMPUTED_VALUE"""),0)</f>
        <v>0</v>
      </c>
      <c r="M1398" s="23">
        <f ca="1">IFERROR(__xludf.DUMMYFUNCTION("""COMPUTED_VALUE"""),0)</f>
        <v>0</v>
      </c>
      <c r="N1398" s="23">
        <f ca="1">IFERROR(__xludf.DUMMYFUNCTION("""COMPUTED_VALUE"""),0)</f>
        <v>0</v>
      </c>
      <c r="O1398" s="23">
        <f ca="1">IFERROR(__xludf.DUMMYFUNCTION("""COMPUTED_VALUE"""),0)</f>
        <v>0</v>
      </c>
      <c r="P1398" s="23">
        <f ca="1">IFERROR(__xludf.DUMMYFUNCTION("""COMPUTED_VALUE"""),0)</f>
        <v>0</v>
      </c>
      <c r="Q1398" s="24">
        <f ca="1">IFERROR(__xludf.DUMMYFUNCTION("""COMPUTED_VALUE"""),0)</f>
        <v>0</v>
      </c>
      <c r="R1398" s="20"/>
    </row>
    <row r="1399" spans="1:18" ht="13.2" hidden="1" outlineLevel="1" x14ac:dyDescent="0.25">
      <c r="A1399" s="1"/>
      <c r="B1399" s="39" t="str">
        <f ca="1">IFERROR(__xludf.DUMMYFUNCTION("""COMPUTED_VALUE"""),"Bagazo de caña")</f>
        <v>Bagazo de caña</v>
      </c>
      <c r="C1399" s="22">
        <f ca="1">IFERROR(__xludf.DUMMYFUNCTION("""COMPUTED_VALUE"""),0)</f>
        <v>0</v>
      </c>
      <c r="D1399" s="23">
        <f ca="1">IFERROR(__xludf.DUMMYFUNCTION("""COMPUTED_VALUE"""),0)</f>
        <v>0</v>
      </c>
      <c r="E1399" s="23">
        <f ca="1">IFERROR(__xludf.DUMMYFUNCTION("""COMPUTED_VALUE"""),0)</f>
        <v>0</v>
      </c>
      <c r="F1399" s="23">
        <f ca="1">IFERROR(__xludf.DUMMYFUNCTION("""COMPUTED_VALUE"""),0)</f>
        <v>0</v>
      </c>
      <c r="G1399" s="23">
        <f ca="1">IFERROR(__xludf.DUMMYFUNCTION("""COMPUTED_VALUE"""),0)</f>
        <v>0</v>
      </c>
      <c r="H1399" s="23">
        <f ca="1">IFERROR(__xludf.DUMMYFUNCTION("""COMPUTED_VALUE"""),0)</f>
        <v>0</v>
      </c>
      <c r="I1399" s="23">
        <f ca="1">IFERROR(__xludf.DUMMYFUNCTION("""COMPUTED_VALUE"""),0)</f>
        <v>0</v>
      </c>
      <c r="J1399" s="23">
        <f ca="1">IFERROR(__xludf.DUMMYFUNCTION("""COMPUTED_VALUE"""),0)</f>
        <v>0</v>
      </c>
      <c r="K1399" s="23">
        <f ca="1">IFERROR(__xludf.DUMMYFUNCTION("""COMPUTED_VALUE"""),0)</f>
        <v>0</v>
      </c>
      <c r="L1399" s="23">
        <f ca="1">IFERROR(__xludf.DUMMYFUNCTION("""COMPUTED_VALUE"""),0)</f>
        <v>0</v>
      </c>
      <c r="M1399" s="23">
        <f ca="1">IFERROR(__xludf.DUMMYFUNCTION("""COMPUTED_VALUE"""),0)</f>
        <v>0</v>
      </c>
      <c r="N1399" s="23">
        <f ca="1">IFERROR(__xludf.DUMMYFUNCTION("""COMPUTED_VALUE"""),0)</f>
        <v>0</v>
      </c>
      <c r="O1399" s="23">
        <f ca="1">IFERROR(__xludf.DUMMYFUNCTION("""COMPUTED_VALUE"""),0)</f>
        <v>0</v>
      </c>
      <c r="P1399" s="23">
        <f ca="1">IFERROR(__xludf.DUMMYFUNCTION("""COMPUTED_VALUE"""),0)</f>
        <v>0</v>
      </c>
      <c r="Q1399" s="24">
        <f ca="1">IFERROR(__xludf.DUMMYFUNCTION("""COMPUTED_VALUE"""),0)</f>
        <v>0</v>
      </c>
      <c r="R1399" s="20"/>
    </row>
    <row r="1400" spans="1:18" ht="13.2" hidden="1" outlineLevel="1" x14ac:dyDescent="0.25">
      <c r="A1400" s="1"/>
      <c r="B1400" s="39" t="str">
        <f ca="1">IFERROR(__xludf.DUMMYFUNCTION("""COMPUTED_VALUE"""),"Leña")</f>
        <v>Leña</v>
      </c>
      <c r="C1400" s="22">
        <f ca="1">IFERROR(__xludf.DUMMYFUNCTION("""COMPUTED_VALUE"""),0)</f>
        <v>0</v>
      </c>
      <c r="D1400" s="23">
        <f ca="1">IFERROR(__xludf.DUMMYFUNCTION("""COMPUTED_VALUE"""),0)</f>
        <v>0</v>
      </c>
      <c r="E1400" s="23">
        <f ca="1">IFERROR(__xludf.DUMMYFUNCTION("""COMPUTED_VALUE"""),0)</f>
        <v>0</v>
      </c>
      <c r="F1400" s="23">
        <f ca="1">IFERROR(__xludf.DUMMYFUNCTION("""COMPUTED_VALUE"""),0)</f>
        <v>0</v>
      </c>
      <c r="G1400" s="23">
        <f ca="1">IFERROR(__xludf.DUMMYFUNCTION("""COMPUTED_VALUE"""),0)</f>
        <v>0</v>
      </c>
      <c r="H1400" s="23">
        <f ca="1">IFERROR(__xludf.DUMMYFUNCTION("""COMPUTED_VALUE"""),0)</f>
        <v>0</v>
      </c>
      <c r="I1400" s="23">
        <f ca="1">IFERROR(__xludf.DUMMYFUNCTION("""COMPUTED_VALUE"""),0)</f>
        <v>0</v>
      </c>
      <c r="J1400" s="23">
        <f ca="1">IFERROR(__xludf.DUMMYFUNCTION("""COMPUTED_VALUE"""),0)</f>
        <v>0</v>
      </c>
      <c r="K1400" s="23">
        <f ca="1">IFERROR(__xludf.DUMMYFUNCTION("""COMPUTED_VALUE"""),0)</f>
        <v>0</v>
      </c>
      <c r="L1400" s="23">
        <f ca="1">IFERROR(__xludf.DUMMYFUNCTION("""COMPUTED_VALUE"""),0)</f>
        <v>0</v>
      </c>
      <c r="M1400" s="23">
        <f ca="1">IFERROR(__xludf.DUMMYFUNCTION("""COMPUTED_VALUE"""),0)</f>
        <v>0</v>
      </c>
      <c r="N1400" s="23">
        <f ca="1">IFERROR(__xludf.DUMMYFUNCTION("""COMPUTED_VALUE"""),0)</f>
        <v>0</v>
      </c>
      <c r="O1400" s="23">
        <f ca="1">IFERROR(__xludf.DUMMYFUNCTION("""COMPUTED_VALUE"""),0)</f>
        <v>0</v>
      </c>
      <c r="P1400" s="23">
        <f ca="1">IFERROR(__xludf.DUMMYFUNCTION("""COMPUTED_VALUE"""),0)</f>
        <v>0</v>
      </c>
      <c r="Q1400" s="24">
        <f ca="1">IFERROR(__xludf.DUMMYFUNCTION("""COMPUTED_VALUE"""),0)</f>
        <v>0</v>
      </c>
      <c r="R1400" s="20"/>
    </row>
    <row r="1401" spans="1:18" ht="13.2" hidden="1" outlineLevel="1" x14ac:dyDescent="0.25">
      <c r="A1401" s="1"/>
      <c r="B1401" s="39" t="str">
        <f ca="1">IFERROR(__xludf.DUMMYFUNCTION("""COMPUTED_VALUE"""),"Biogás")</f>
        <v>Biogás</v>
      </c>
      <c r="C1401" s="22">
        <f ca="1">IFERROR(__xludf.DUMMYFUNCTION("""COMPUTED_VALUE"""),0)</f>
        <v>0</v>
      </c>
      <c r="D1401" s="23">
        <f ca="1">IFERROR(__xludf.DUMMYFUNCTION("""COMPUTED_VALUE"""),0)</f>
        <v>0</v>
      </c>
      <c r="E1401" s="23">
        <f ca="1">IFERROR(__xludf.DUMMYFUNCTION("""COMPUTED_VALUE"""),0)</f>
        <v>0</v>
      </c>
      <c r="F1401" s="23">
        <f ca="1">IFERROR(__xludf.DUMMYFUNCTION("""COMPUTED_VALUE"""),0)</f>
        <v>0</v>
      </c>
      <c r="G1401" s="23">
        <f ca="1">IFERROR(__xludf.DUMMYFUNCTION("""COMPUTED_VALUE"""),0)</f>
        <v>0</v>
      </c>
      <c r="H1401" s="23">
        <f ca="1">IFERROR(__xludf.DUMMYFUNCTION("""COMPUTED_VALUE"""),0)</f>
        <v>0</v>
      </c>
      <c r="I1401" s="23">
        <f ca="1">IFERROR(__xludf.DUMMYFUNCTION("""COMPUTED_VALUE"""),0)</f>
        <v>0</v>
      </c>
      <c r="J1401" s="23">
        <f ca="1">IFERROR(__xludf.DUMMYFUNCTION("""COMPUTED_VALUE"""),0)</f>
        <v>0</v>
      </c>
      <c r="K1401" s="23">
        <f ca="1">IFERROR(__xludf.DUMMYFUNCTION("""COMPUTED_VALUE"""),0)</f>
        <v>0</v>
      </c>
      <c r="L1401" s="23">
        <f ca="1">IFERROR(__xludf.DUMMYFUNCTION("""COMPUTED_VALUE"""),0)</f>
        <v>0</v>
      </c>
      <c r="M1401" s="23">
        <f ca="1">IFERROR(__xludf.DUMMYFUNCTION("""COMPUTED_VALUE"""),0)</f>
        <v>0</v>
      </c>
      <c r="N1401" s="23">
        <f ca="1">IFERROR(__xludf.DUMMYFUNCTION("""COMPUTED_VALUE"""),0)</f>
        <v>0</v>
      </c>
      <c r="O1401" s="23">
        <f ca="1">IFERROR(__xludf.DUMMYFUNCTION("""COMPUTED_VALUE"""),0)</f>
        <v>0</v>
      </c>
      <c r="P1401" s="23">
        <f ca="1">IFERROR(__xludf.DUMMYFUNCTION("""COMPUTED_VALUE"""),0)</f>
        <v>0</v>
      </c>
      <c r="Q1401" s="24">
        <f ca="1">IFERROR(__xludf.DUMMYFUNCTION("""COMPUTED_VALUE"""),0)</f>
        <v>0</v>
      </c>
      <c r="R1401" s="20"/>
    </row>
    <row r="1402" spans="1:18" ht="13.2" hidden="1" outlineLevel="1" x14ac:dyDescent="0.25">
      <c r="A1402" s="1"/>
      <c r="B1402" s="39" t="str">
        <f ca="1">IFERROR(__xludf.DUMMYFUNCTION("""COMPUTED_VALUE"""),"Coque de carbón")</f>
        <v>Coque de carbón</v>
      </c>
      <c r="C1402" s="22">
        <f ca="1">IFERROR(__xludf.DUMMYFUNCTION("""COMPUTED_VALUE"""),0)</f>
        <v>0</v>
      </c>
      <c r="D1402" s="23">
        <f ca="1">IFERROR(__xludf.DUMMYFUNCTION("""COMPUTED_VALUE"""),0)</f>
        <v>0</v>
      </c>
      <c r="E1402" s="23">
        <f ca="1">IFERROR(__xludf.DUMMYFUNCTION("""COMPUTED_VALUE"""),0)</f>
        <v>0</v>
      </c>
      <c r="F1402" s="23">
        <f ca="1">IFERROR(__xludf.DUMMYFUNCTION("""COMPUTED_VALUE"""),0)</f>
        <v>0</v>
      </c>
      <c r="G1402" s="23">
        <f ca="1">IFERROR(__xludf.DUMMYFUNCTION("""COMPUTED_VALUE"""),0)</f>
        <v>0</v>
      </c>
      <c r="H1402" s="23">
        <f ca="1">IFERROR(__xludf.DUMMYFUNCTION("""COMPUTED_VALUE"""),0)</f>
        <v>0</v>
      </c>
      <c r="I1402" s="23">
        <f ca="1">IFERROR(__xludf.DUMMYFUNCTION("""COMPUTED_VALUE"""),0)</f>
        <v>0</v>
      </c>
      <c r="J1402" s="23">
        <f ca="1">IFERROR(__xludf.DUMMYFUNCTION("""COMPUTED_VALUE"""),0)</f>
        <v>0</v>
      </c>
      <c r="K1402" s="23">
        <f ca="1">IFERROR(__xludf.DUMMYFUNCTION("""COMPUTED_VALUE"""),0)</f>
        <v>0</v>
      </c>
      <c r="L1402" s="23">
        <f ca="1">IFERROR(__xludf.DUMMYFUNCTION("""COMPUTED_VALUE"""),0)</f>
        <v>0</v>
      </c>
      <c r="M1402" s="23">
        <f ca="1">IFERROR(__xludf.DUMMYFUNCTION("""COMPUTED_VALUE"""),0)</f>
        <v>0</v>
      </c>
      <c r="N1402" s="23">
        <f ca="1">IFERROR(__xludf.DUMMYFUNCTION("""COMPUTED_VALUE"""),0)</f>
        <v>0</v>
      </c>
      <c r="O1402" s="23">
        <f ca="1">IFERROR(__xludf.DUMMYFUNCTION("""COMPUTED_VALUE"""),0)</f>
        <v>0</v>
      </c>
      <c r="P1402" s="23">
        <f ca="1">IFERROR(__xludf.DUMMYFUNCTION("""COMPUTED_VALUE"""),0)</f>
        <v>0</v>
      </c>
      <c r="Q1402" s="24">
        <f ca="1">IFERROR(__xludf.DUMMYFUNCTION("""COMPUTED_VALUE"""),0)</f>
        <v>0</v>
      </c>
      <c r="R1402" s="20"/>
    </row>
    <row r="1403" spans="1:18" ht="13.2" hidden="1" outlineLevel="1" x14ac:dyDescent="0.25">
      <c r="A1403" s="1"/>
      <c r="B1403" s="39" t="str">
        <f ca="1">IFERROR(__xludf.DUMMYFUNCTION("""COMPUTED_VALUE"""),"Coque de petróleo")</f>
        <v>Coque de petróleo</v>
      </c>
      <c r="C1403" s="22">
        <f ca="1">IFERROR(__xludf.DUMMYFUNCTION("""COMPUTED_VALUE"""),0)</f>
        <v>0</v>
      </c>
      <c r="D1403" s="23">
        <f ca="1">IFERROR(__xludf.DUMMYFUNCTION("""COMPUTED_VALUE"""),0)</f>
        <v>0</v>
      </c>
      <c r="E1403" s="23">
        <f ca="1">IFERROR(__xludf.DUMMYFUNCTION("""COMPUTED_VALUE"""),0)</f>
        <v>0</v>
      </c>
      <c r="F1403" s="23">
        <f ca="1">IFERROR(__xludf.DUMMYFUNCTION("""COMPUTED_VALUE"""),0)</f>
        <v>0</v>
      </c>
      <c r="G1403" s="23">
        <f ca="1">IFERROR(__xludf.DUMMYFUNCTION("""COMPUTED_VALUE"""),0)</f>
        <v>0</v>
      </c>
      <c r="H1403" s="23">
        <f ca="1">IFERROR(__xludf.DUMMYFUNCTION("""COMPUTED_VALUE"""),0)</f>
        <v>0</v>
      </c>
      <c r="I1403" s="23">
        <f ca="1">IFERROR(__xludf.DUMMYFUNCTION("""COMPUTED_VALUE"""),0)</f>
        <v>0</v>
      </c>
      <c r="J1403" s="23">
        <f ca="1">IFERROR(__xludf.DUMMYFUNCTION("""COMPUTED_VALUE"""),0)</f>
        <v>0</v>
      </c>
      <c r="K1403" s="23">
        <f ca="1">IFERROR(__xludf.DUMMYFUNCTION("""COMPUTED_VALUE"""),0)</f>
        <v>0</v>
      </c>
      <c r="L1403" s="23">
        <f ca="1">IFERROR(__xludf.DUMMYFUNCTION("""COMPUTED_VALUE"""),0)</f>
        <v>0</v>
      </c>
      <c r="M1403" s="23">
        <f ca="1">IFERROR(__xludf.DUMMYFUNCTION("""COMPUTED_VALUE"""),0)</f>
        <v>0</v>
      </c>
      <c r="N1403" s="23">
        <f ca="1">IFERROR(__xludf.DUMMYFUNCTION("""COMPUTED_VALUE"""),0)</f>
        <v>0</v>
      </c>
      <c r="O1403" s="23">
        <f ca="1">IFERROR(__xludf.DUMMYFUNCTION("""COMPUTED_VALUE"""),0)</f>
        <v>0</v>
      </c>
      <c r="P1403" s="23">
        <f ca="1">IFERROR(__xludf.DUMMYFUNCTION("""COMPUTED_VALUE"""),0)</f>
        <v>0</v>
      </c>
      <c r="Q1403" s="24">
        <f ca="1">IFERROR(__xludf.DUMMYFUNCTION("""COMPUTED_VALUE"""),0)</f>
        <v>0</v>
      </c>
      <c r="R1403" s="20"/>
    </row>
    <row r="1404" spans="1:18" ht="13.2" hidden="1" outlineLevel="1" x14ac:dyDescent="0.25">
      <c r="A1404" s="1"/>
      <c r="B1404" s="39" t="str">
        <f ca="1">IFERROR(__xludf.DUMMYFUNCTION("""COMPUTED_VALUE"""),"Gas licuado de petróleo")</f>
        <v>Gas licuado de petróleo</v>
      </c>
      <c r="C1404" s="22">
        <f ca="1">IFERROR(__xludf.DUMMYFUNCTION("""COMPUTED_VALUE"""),0)</f>
        <v>0</v>
      </c>
      <c r="D1404" s="23">
        <f ca="1">IFERROR(__xludf.DUMMYFUNCTION("""COMPUTED_VALUE"""),0)</f>
        <v>0</v>
      </c>
      <c r="E1404" s="23">
        <f ca="1">IFERROR(__xludf.DUMMYFUNCTION("""COMPUTED_VALUE"""),0)</f>
        <v>0</v>
      </c>
      <c r="F1404" s="23">
        <f ca="1">IFERROR(__xludf.DUMMYFUNCTION("""COMPUTED_VALUE"""),0)</f>
        <v>0</v>
      </c>
      <c r="G1404" s="23">
        <f ca="1">IFERROR(__xludf.DUMMYFUNCTION("""COMPUTED_VALUE"""),0)</f>
        <v>0</v>
      </c>
      <c r="H1404" s="23">
        <f ca="1">IFERROR(__xludf.DUMMYFUNCTION("""COMPUTED_VALUE"""),0)</f>
        <v>0</v>
      </c>
      <c r="I1404" s="23">
        <f ca="1">IFERROR(__xludf.DUMMYFUNCTION("""COMPUTED_VALUE"""),0)</f>
        <v>0</v>
      </c>
      <c r="J1404" s="23">
        <f ca="1">IFERROR(__xludf.DUMMYFUNCTION("""COMPUTED_VALUE"""),0)</f>
        <v>0</v>
      </c>
      <c r="K1404" s="23">
        <f ca="1">IFERROR(__xludf.DUMMYFUNCTION("""COMPUTED_VALUE"""),0)</f>
        <v>0</v>
      </c>
      <c r="L1404" s="23">
        <f ca="1">IFERROR(__xludf.DUMMYFUNCTION("""COMPUTED_VALUE"""),0)</f>
        <v>0</v>
      </c>
      <c r="M1404" s="23">
        <f ca="1">IFERROR(__xludf.DUMMYFUNCTION("""COMPUTED_VALUE"""),0)</f>
        <v>0</v>
      </c>
      <c r="N1404" s="23">
        <f ca="1">IFERROR(__xludf.DUMMYFUNCTION("""COMPUTED_VALUE"""),0)</f>
        <v>0</v>
      </c>
      <c r="O1404" s="23">
        <f ca="1">IFERROR(__xludf.DUMMYFUNCTION("""COMPUTED_VALUE"""),0)</f>
        <v>0</v>
      </c>
      <c r="P1404" s="23">
        <f ca="1">IFERROR(__xludf.DUMMYFUNCTION("""COMPUTED_VALUE"""),0)</f>
        <v>0</v>
      </c>
      <c r="Q1404" s="24">
        <f ca="1">IFERROR(__xludf.DUMMYFUNCTION("""COMPUTED_VALUE"""),0)</f>
        <v>0</v>
      </c>
      <c r="R1404" s="20"/>
    </row>
    <row r="1405" spans="1:18" ht="13.2" hidden="1" outlineLevel="1" x14ac:dyDescent="0.25">
      <c r="A1405" s="1"/>
      <c r="B1405" s="39" t="str">
        <f ca="1">IFERROR(__xludf.DUMMYFUNCTION("""COMPUTED_VALUE"""),"Gasolinas y naftas")</f>
        <v>Gasolinas y naftas</v>
      </c>
      <c r="C1405" s="22">
        <f ca="1">IFERROR(__xludf.DUMMYFUNCTION("""COMPUTED_VALUE"""),0)</f>
        <v>0</v>
      </c>
      <c r="D1405" s="23">
        <f ca="1">IFERROR(__xludf.DUMMYFUNCTION("""COMPUTED_VALUE"""),0)</f>
        <v>0</v>
      </c>
      <c r="E1405" s="23">
        <f ca="1">IFERROR(__xludf.DUMMYFUNCTION("""COMPUTED_VALUE"""),0)</f>
        <v>0</v>
      </c>
      <c r="F1405" s="23">
        <f ca="1">IFERROR(__xludf.DUMMYFUNCTION("""COMPUTED_VALUE"""),0)</f>
        <v>0</v>
      </c>
      <c r="G1405" s="23">
        <f ca="1">IFERROR(__xludf.DUMMYFUNCTION("""COMPUTED_VALUE"""),0)</f>
        <v>0</v>
      </c>
      <c r="H1405" s="23">
        <f ca="1">IFERROR(__xludf.DUMMYFUNCTION("""COMPUTED_VALUE"""),0)</f>
        <v>0</v>
      </c>
      <c r="I1405" s="23">
        <f ca="1">IFERROR(__xludf.DUMMYFUNCTION("""COMPUTED_VALUE"""),0)</f>
        <v>0</v>
      </c>
      <c r="J1405" s="23">
        <f ca="1">IFERROR(__xludf.DUMMYFUNCTION("""COMPUTED_VALUE"""),0)</f>
        <v>0</v>
      </c>
      <c r="K1405" s="23">
        <f ca="1">IFERROR(__xludf.DUMMYFUNCTION("""COMPUTED_VALUE"""),0)</f>
        <v>0</v>
      </c>
      <c r="L1405" s="23">
        <f ca="1">IFERROR(__xludf.DUMMYFUNCTION("""COMPUTED_VALUE"""),0)</f>
        <v>0</v>
      </c>
      <c r="M1405" s="23">
        <f ca="1">IFERROR(__xludf.DUMMYFUNCTION("""COMPUTED_VALUE"""),0)</f>
        <v>0</v>
      </c>
      <c r="N1405" s="23">
        <f ca="1">IFERROR(__xludf.DUMMYFUNCTION("""COMPUTED_VALUE"""),0)</f>
        <v>0</v>
      </c>
      <c r="O1405" s="23">
        <f ca="1">IFERROR(__xludf.DUMMYFUNCTION("""COMPUTED_VALUE"""),0)</f>
        <v>0</v>
      </c>
      <c r="P1405" s="23">
        <f ca="1">IFERROR(__xludf.DUMMYFUNCTION("""COMPUTED_VALUE"""),0)</f>
        <v>0</v>
      </c>
      <c r="Q1405" s="24">
        <f ca="1">IFERROR(__xludf.DUMMYFUNCTION("""COMPUTED_VALUE"""),0)</f>
        <v>0</v>
      </c>
      <c r="R1405" s="20"/>
    </row>
    <row r="1406" spans="1:18" ht="13.2" hidden="1" outlineLevel="1" x14ac:dyDescent="0.25">
      <c r="A1406" s="1"/>
      <c r="B1406" s="39" t="str">
        <f ca="1">IFERROR(__xludf.DUMMYFUNCTION("""COMPUTED_VALUE"""),"Querosenos")</f>
        <v>Querosenos</v>
      </c>
      <c r="C1406" s="22">
        <f ca="1">IFERROR(__xludf.DUMMYFUNCTION("""COMPUTED_VALUE"""),0)</f>
        <v>0</v>
      </c>
      <c r="D1406" s="23">
        <f ca="1">IFERROR(__xludf.DUMMYFUNCTION("""COMPUTED_VALUE"""),0)</f>
        <v>0</v>
      </c>
      <c r="E1406" s="23">
        <f ca="1">IFERROR(__xludf.DUMMYFUNCTION("""COMPUTED_VALUE"""),0)</f>
        <v>0</v>
      </c>
      <c r="F1406" s="23">
        <f ca="1">IFERROR(__xludf.DUMMYFUNCTION("""COMPUTED_VALUE"""),0)</f>
        <v>0</v>
      </c>
      <c r="G1406" s="23">
        <f ca="1">IFERROR(__xludf.DUMMYFUNCTION("""COMPUTED_VALUE"""),0)</f>
        <v>0</v>
      </c>
      <c r="H1406" s="23">
        <f ca="1">IFERROR(__xludf.DUMMYFUNCTION("""COMPUTED_VALUE"""),0)</f>
        <v>0</v>
      </c>
      <c r="I1406" s="23">
        <f ca="1">IFERROR(__xludf.DUMMYFUNCTION("""COMPUTED_VALUE"""),0)</f>
        <v>0</v>
      </c>
      <c r="J1406" s="23">
        <f ca="1">IFERROR(__xludf.DUMMYFUNCTION("""COMPUTED_VALUE"""),0)</f>
        <v>0</v>
      </c>
      <c r="K1406" s="23">
        <f ca="1">IFERROR(__xludf.DUMMYFUNCTION("""COMPUTED_VALUE"""),0)</f>
        <v>0</v>
      </c>
      <c r="L1406" s="23">
        <f ca="1">IFERROR(__xludf.DUMMYFUNCTION("""COMPUTED_VALUE"""),0)</f>
        <v>0</v>
      </c>
      <c r="M1406" s="23">
        <f ca="1">IFERROR(__xludf.DUMMYFUNCTION("""COMPUTED_VALUE"""),0)</f>
        <v>0</v>
      </c>
      <c r="N1406" s="23">
        <f ca="1">IFERROR(__xludf.DUMMYFUNCTION("""COMPUTED_VALUE"""),0)</f>
        <v>0</v>
      </c>
      <c r="O1406" s="23">
        <f ca="1">IFERROR(__xludf.DUMMYFUNCTION("""COMPUTED_VALUE"""),0)</f>
        <v>0</v>
      </c>
      <c r="P1406" s="23">
        <f ca="1">IFERROR(__xludf.DUMMYFUNCTION("""COMPUTED_VALUE"""),0)</f>
        <v>0</v>
      </c>
      <c r="Q1406" s="24">
        <f ca="1">IFERROR(__xludf.DUMMYFUNCTION("""COMPUTED_VALUE"""),0)</f>
        <v>0</v>
      </c>
      <c r="R1406" s="20"/>
    </row>
    <row r="1407" spans="1:18" ht="13.2" hidden="1" outlineLevel="1" x14ac:dyDescent="0.25">
      <c r="A1407" s="1"/>
      <c r="B1407" s="39" t="str">
        <f ca="1">IFERROR(__xludf.DUMMYFUNCTION("""COMPUTED_VALUE"""),"Diesel")</f>
        <v>Diesel</v>
      </c>
      <c r="C1407" s="22">
        <f ca="1">IFERROR(__xludf.DUMMYFUNCTION("""COMPUTED_VALUE"""),0)</f>
        <v>0</v>
      </c>
      <c r="D1407" s="23">
        <f ca="1">IFERROR(__xludf.DUMMYFUNCTION("""COMPUTED_VALUE"""),0)</f>
        <v>0</v>
      </c>
      <c r="E1407" s="23">
        <f ca="1">IFERROR(__xludf.DUMMYFUNCTION("""COMPUTED_VALUE"""),0)</f>
        <v>0</v>
      </c>
      <c r="F1407" s="23">
        <f ca="1">IFERROR(__xludf.DUMMYFUNCTION("""COMPUTED_VALUE"""),0)</f>
        <v>0</v>
      </c>
      <c r="G1407" s="23">
        <f ca="1">IFERROR(__xludf.DUMMYFUNCTION("""COMPUTED_VALUE"""),0)</f>
        <v>0</v>
      </c>
      <c r="H1407" s="23">
        <f ca="1">IFERROR(__xludf.DUMMYFUNCTION("""COMPUTED_VALUE"""),0)</f>
        <v>0</v>
      </c>
      <c r="I1407" s="23">
        <f ca="1">IFERROR(__xludf.DUMMYFUNCTION("""COMPUTED_VALUE"""),0)</f>
        <v>0</v>
      </c>
      <c r="J1407" s="23">
        <f ca="1">IFERROR(__xludf.DUMMYFUNCTION("""COMPUTED_VALUE"""),0)</f>
        <v>0</v>
      </c>
      <c r="K1407" s="23">
        <f ca="1">IFERROR(__xludf.DUMMYFUNCTION("""COMPUTED_VALUE"""),0)</f>
        <v>0</v>
      </c>
      <c r="L1407" s="23">
        <f ca="1">IFERROR(__xludf.DUMMYFUNCTION("""COMPUTED_VALUE"""),0)</f>
        <v>0</v>
      </c>
      <c r="M1407" s="23">
        <f ca="1">IFERROR(__xludf.DUMMYFUNCTION("""COMPUTED_VALUE"""),0)</f>
        <v>0</v>
      </c>
      <c r="N1407" s="23">
        <f ca="1">IFERROR(__xludf.DUMMYFUNCTION("""COMPUTED_VALUE"""),0)</f>
        <v>0</v>
      </c>
      <c r="O1407" s="23">
        <f ca="1">IFERROR(__xludf.DUMMYFUNCTION("""COMPUTED_VALUE"""),0)</f>
        <v>0</v>
      </c>
      <c r="P1407" s="23">
        <f ca="1">IFERROR(__xludf.DUMMYFUNCTION("""COMPUTED_VALUE"""),0)</f>
        <v>0</v>
      </c>
      <c r="Q1407" s="24">
        <f ca="1">IFERROR(__xludf.DUMMYFUNCTION("""COMPUTED_VALUE"""),0)</f>
        <v>0</v>
      </c>
      <c r="R1407" s="20"/>
    </row>
    <row r="1408" spans="1:18" ht="13.2" hidden="1" outlineLevel="1" x14ac:dyDescent="0.25">
      <c r="A1408" s="1"/>
      <c r="B1408" s="39" t="str">
        <f ca="1">IFERROR(__xludf.DUMMYFUNCTION("""COMPUTED_VALUE"""),"Combustóleo")</f>
        <v>Combustóleo</v>
      </c>
      <c r="C1408" s="22">
        <f ca="1">IFERROR(__xludf.DUMMYFUNCTION("""COMPUTED_VALUE"""),0)</f>
        <v>0</v>
      </c>
      <c r="D1408" s="23">
        <f ca="1">IFERROR(__xludf.DUMMYFUNCTION("""COMPUTED_VALUE"""),0)</f>
        <v>0</v>
      </c>
      <c r="E1408" s="23">
        <f ca="1">IFERROR(__xludf.DUMMYFUNCTION("""COMPUTED_VALUE"""),0)</f>
        <v>0</v>
      </c>
      <c r="F1408" s="23">
        <f ca="1">IFERROR(__xludf.DUMMYFUNCTION("""COMPUTED_VALUE"""),0)</f>
        <v>0</v>
      </c>
      <c r="G1408" s="23">
        <f ca="1">IFERROR(__xludf.DUMMYFUNCTION("""COMPUTED_VALUE"""),0)</f>
        <v>0</v>
      </c>
      <c r="H1408" s="23">
        <f ca="1">IFERROR(__xludf.DUMMYFUNCTION("""COMPUTED_VALUE"""),0)</f>
        <v>0</v>
      </c>
      <c r="I1408" s="23">
        <f ca="1">IFERROR(__xludf.DUMMYFUNCTION("""COMPUTED_VALUE"""),0)</f>
        <v>0</v>
      </c>
      <c r="J1408" s="23">
        <f ca="1">IFERROR(__xludf.DUMMYFUNCTION("""COMPUTED_VALUE"""),0)</f>
        <v>0</v>
      </c>
      <c r="K1408" s="23">
        <f ca="1">IFERROR(__xludf.DUMMYFUNCTION("""COMPUTED_VALUE"""),0)</f>
        <v>0</v>
      </c>
      <c r="L1408" s="23">
        <f ca="1">IFERROR(__xludf.DUMMYFUNCTION("""COMPUTED_VALUE"""),0)</f>
        <v>0</v>
      </c>
      <c r="M1408" s="23">
        <f ca="1">IFERROR(__xludf.DUMMYFUNCTION("""COMPUTED_VALUE"""),0)</f>
        <v>0</v>
      </c>
      <c r="N1408" s="23">
        <f ca="1">IFERROR(__xludf.DUMMYFUNCTION("""COMPUTED_VALUE"""),0)</f>
        <v>0</v>
      </c>
      <c r="O1408" s="23">
        <f ca="1">IFERROR(__xludf.DUMMYFUNCTION("""COMPUTED_VALUE"""),0)</f>
        <v>0</v>
      </c>
      <c r="P1408" s="23">
        <f ca="1">IFERROR(__xludf.DUMMYFUNCTION("""COMPUTED_VALUE"""),0)</f>
        <v>0</v>
      </c>
      <c r="Q1408" s="24">
        <f ca="1">IFERROR(__xludf.DUMMYFUNCTION("""COMPUTED_VALUE"""),0)</f>
        <v>0</v>
      </c>
      <c r="R1408" s="20"/>
    </row>
    <row r="1409" spans="1:18" ht="13.2" hidden="1" outlineLevel="1" x14ac:dyDescent="0.25">
      <c r="A1409" s="1"/>
      <c r="B1409" s="39" t="str">
        <f ca="1">IFERROR(__xludf.DUMMYFUNCTION("""COMPUTED_VALUE"""),"Otros energéticos")</f>
        <v>Otros energéticos</v>
      </c>
      <c r="C1409" s="22">
        <f ca="1">IFERROR(__xludf.DUMMYFUNCTION("""COMPUTED_VALUE"""),0)</f>
        <v>0</v>
      </c>
      <c r="D1409" s="23">
        <f ca="1">IFERROR(__xludf.DUMMYFUNCTION("""COMPUTED_VALUE"""),0)</f>
        <v>0</v>
      </c>
      <c r="E1409" s="23">
        <f ca="1">IFERROR(__xludf.DUMMYFUNCTION("""COMPUTED_VALUE"""),0)</f>
        <v>0</v>
      </c>
      <c r="F1409" s="23">
        <f ca="1">IFERROR(__xludf.DUMMYFUNCTION("""COMPUTED_VALUE"""),0)</f>
        <v>0</v>
      </c>
      <c r="G1409" s="23">
        <f ca="1">IFERROR(__xludf.DUMMYFUNCTION("""COMPUTED_VALUE"""),0)</f>
        <v>0</v>
      </c>
      <c r="H1409" s="23">
        <f ca="1">IFERROR(__xludf.DUMMYFUNCTION("""COMPUTED_VALUE"""),0)</f>
        <v>0</v>
      </c>
      <c r="I1409" s="23">
        <f ca="1">IFERROR(__xludf.DUMMYFUNCTION("""COMPUTED_VALUE"""),0)</f>
        <v>0</v>
      </c>
      <c r="J1409" s="23">
        <f ca="1">IFERROR(__xludf.DUMMYFUNCTION("""COMPUTED_VALUE"""),0)</f>
        <v>0</v>
      </c>
      <c r="K1409" s="23">
        <f ca="1">IFERROR(__xludf.DUMMYFUNCTION("""COMPUTED_VALUE"""),0)</f>
        <v>0</v>
      </c>
      <c r="L1409" s="23">
        <f ca="1">IFERROR(__xludf.DUMMYFUNCTION("""COMPUTED_VALUE"""),0)</f>
        <v>0</v>
      </c>
      <c r="M1409" s="23">
        <f ca="1">IFERROR(__xludf.DUMMYFUNCTION("""COMPUTED_VALUE"""),0)</f>
        <v>0</v>
      </c>
      <c r="N1409" s="23">
        <f ca="1">IFERROR(__xludf.DUMMYFUNCTION("""COMPUTED_VALUE"""),0)</f>
        <v>0</v>
      </c>
      <c r="O1409" s="23">
        <f ca="1">IFERROR(__xludf.DUMMYFUNCTION("""COMPUTED_VALUE"""),0)</f>
        <v>0</v>
      </c>
      <c r="P1409" s="23">
        <f ca="1">IFERROR(__xludf.DUMMYFUNCTION("""COMPUTED_VALUE"""),0)</f>
        <v>0</v>
      </c>
      <c r="Q1409" s="24">
        <f ca="1">IFERROR(__xludf.DUMMYFUNCTION("""COMPUTED_VALUE"""),0)</f>
        <v>0</v>
      </c>
      <c r="R1409" s="20"/>
    </row>
    <row r="1410" spans="1:18" ht="13.2" hidden="1" outlineLevel="1" x14ac:dyDescent="0.25">
      <c r="A1410" s="1"/>
      <c r="B1410" s="39" t="str">
        <f ca="1">IFERROR(__xludf.DUMMYFUNCTION("""COMPUTED_VALUE"""),"Gas natural seco")</f>
        <v>Gas natural seco</v>
      </c>
      <c r="C1410" s="22">
        <f ca="1">IFERROR(__xludf.DUMMYFUNCTION("""COMPUTED_VALUE"""),0)</f>
        <v>0</v>
      </c>
      <c r="D1410" s="23">
        <f ca="1">IFERROR(__xludf.DUMMYFUNCTION("""COMPUTED_VALUE"""),0)</f>
        <v>0</v>
      </c>
      <c r="E1410" s="23">
        <f ca="1">IFERROR(__xludf.DUMMYFUNCTION("""COMPUTED_VALUE"""),0)</f>
        <v>0</v>
      </c>
      <c r="F1410" s="23">
        <f ca="1">IFERROR(__xludf.DUMMYFUNCTION("""COMPUTED_VALUE"""),0)</f>
        <v>0</v>
      </c>
      <c r="G1410" s="23">
        <f ca="1">IFERROR(__xludf.DUMMYFUNCTION("""COMPUTED_VALUE"""),0)</f>
        <v>0</v>
      </c>
      <c r="H1410" s="23">
        <f ca="1">IFERROR(__xludf.DUMMYFUNCTION("""COMPUTED_VALUE"""),0)</f>
        <v>0</v>
      </c>
      <c r="I1410" s="23">
        <f ca="1">IFERROR(__xludf.DUMMYFUNCTION("""COMPUTED_VALUE"""),0)</f>
        <v>0</v>
      </c>
      <c r="J1410" s="23">
        <f ca="1">IFERROR(__xludf.DUMMYFUNCTION("""COMPUTED_VALUE"""),0)</f>
        <v>0</v>
      </c>
      <c r="K1410" s="23">
        <f ca="1">IFERROR(__xludf.DUMMYFUNCTION("""COMPUTED_VALUE"""),0)</f>
        <v>0</v>
      </c>
      <c r="L1410" s="23">
        <f ca="1">IFERROR(__xludf.DUMMYFUNCTION("""COMPUTED_VALUE"""),0)</f>
        <v>0</v>
      </c>
      <c r="M1410" s="23">
        <f ca="1">IFERROR(__xludf.DUMMYFUNCTION("""COMPUTED_VALUE"""),0)</f>
        <v>0</v>
      </c>
      <c r="N1410" s="23">
        <f ca="1">IFERROR(__xludf.DUMMYFUNCTION("""COMPUTED_VALUE"""),0)</f>
        <v>0</v>
      </c>
      <c r="O1410" s="23">
        <f ca="1">IFERROR(__xludf.DUMMYFUNCTION("""COMPUTED_VALUE"""),0)</f>
        <v>0</v>
      </c>
      <c r="P1410" s="23">
        <f ca="1">IFERROR(__xludf.DUMMYFUNCTION("""COMPUTED_VALUE"""),0)</f>
        <v>0</v>
      </c>
      <c r="Q1410" s="24">
        <f ca="1">IFERROR(__xludf.DUMMYFUNCTION("""COMPUTED_VALUE"""),0)</f>
        <v>0</v>
      </c>
      <c r="R1410" s="20"/>
    </row>
    <row r="1411" spans="1:18" ht="13.2" hidden="1" outlineLevel="1" x14ac:dyDescent="0.25">
      <c r="A1411" s="1"/>
      <c r="B1411" s="40" t="str">
        <f ca="1">IFERROR(__xludf.DUMMYFUNCTION("""COMPUTED_VALUE"""),"Energía eléctrica")</f>
        <v>Energía eléctrica</v>
      </c>
      <c r="C1411" s="26">
        <f ca="1">IFERROR(__xludf.DUMMYFUNCTION("""COMPUTED_VALUE"""),0)</f>
        <v>0</v>
      </c>
      <c r="D1411" s="27">
        <f ca="1">IFERROR(__xludf.DUMMYFUNCTION("""COMPUTED_VALUE"""),0)</f>
        <v>0</v>
      </c>
      <c r="E1411" s="27">
        <f ca="1">IFERROR(__xludf.DUMMYFUNCTION("""COMPUTED_VALUE"""),0)</f>
        <v>0</v>
      </c>
      <c r="F1411" s="27">
        <f ca="1">IFERROR(__xludf.DUMMYFUNCTION("""COMPUTED_VALUE"""),0)</f>
        <v>0</v>
      </c>
      <c r="G1411" s="27">
        <f ca="1">IFERROR(__xludf.DUMMYFUNCTION("""COMPUTED_VALUE"""),0)</f>
        <v>0</v>
      </c>
      <c r="H1411" s="27">
        <f ca="1">IFERROR(__xludf.DUMMYFUNCTION("""COMPUTED_VALUE"""),0)</f>
        <v>0</v>
      </c>
      <c r="I1411" s="27">
        <f ca="1">IFERROR(__xludf.DUMMYFUNCTION("""COMPUTED_VALUE"""),0)</f>
        <v>0</v>
      </c>
      <c r="J1411" s="27">
        <f ca="1">IFERROR(__xludf.DUMMYFUNCTION("""COMPUTED_VALUE"""),0)</f>
        <v>0</v>
      </c>
      <c r="K1411" s="27">
        <f ca="1">IFERROR(__xludf.DUMMYFUNCTION("""COMPUTED_VALUE"""),0)</f>
        <v>0</v>
      </c>
      <c r="L1411" s="27">
        <f ca="1">IFERROR(__xludf.DUMMYFUNCTION("""COMPUTED_VALUE"""),0)</f>
        <v>0</v>
      </c>
      <c r="M1411" s="27">
        <f ca="1">IFERROR(__xludf.DUMMYFUNCTION("""COMPUTED_VALUE"""),0)</f>
        <v>0</v>
      </c>
      <c r="N1411" s="27">
        <f ca="1">IFERROR(__xludf.DUMMYFUNCTION("""COMPUTED_VALUE"""),0)</f>
        <v>0</v>
      </c>
      <c r="O1411" s="27">
        <f ca="1">IFERROR(__xludf.DUMMYFUNCTION("""COMPUTED_VALUE"""),0)</f>
        <v>0</v>
      </c>
      <c r="P1411" s="27">
        <f ca="1">IFERROR(__xludf.DUMMYFUNCTION("""COMPUTED_VALUE"""),0)</f>
        <v>0</v>
      </c>
      <c r="Q1411" s="28">
        <f ca="1">IFERROR(__xludf.DUMMYFUNCTION("""COMPUTED_VALUE"""),0)</f>
        <v>0</v>
      </c>
      <c r="R1411" s="20"/>
    </row>
    <row r="1412" spans="1:18" ht="13.2" collapsed="1" x14ac:dyDescent="0.25">
      <c r="A1412" s="1"/>
      <c r="B1412" s="31" t="str">
        <f ca="1">IFERROR(__xludf.DUMMYFUNCTION("""COMPUTED_VALUE"""),"325	Industria química")</f>
        <v>325	Industria química</v>
      </c>
      <c r="C1412" s="41"/>
      <c r="D1412" s="42"/>
      <c r="E1412" s="41"/>
      <c r="F1412" s="41"/>
      <c r="G1412" s="43"/>
      <c r="H1412" s="44"/>
      <c r="I1412" s="45"/>
      <c r="J1412" s="45"/>
      <c r="K1412" s="45"/>
      <c r="L1412" s="45"/>
      <c r="M1412" s="45"/>
      <c r="N1412" s="45"/>
      <c r="O1412" s="45"/>
      <c r="P1412" s="45"/>
      <c r="Q1412" s="45"/>
      <c r="R1412" s="10"/>
    </row>
    <row r="1413" spans="1:18" ht="13.2" hidden="1" outlineLevel="1" x14ac:dyDescent="0.25">
      <c r="A1413" s="1"/>
      <c r="B1413" s="46"/>
      <c r="C1413" s="35">
        <f ca="1">IFERROR(__xludf.DUMMYFUNCTION("""COMPUTED_VALUE"""),2010)</f>
        <v>2010</v>
      </c>
      <c r="D1413" s="36">
        <f ca="1">IFERROR(__xludf.DUMMYFUNCTION("""COMPUTED_VALUE"""),2011)</f>
        <v>2011</v>
      </c>
      <c r="E1413" s="36">
        <f ca="1">IFERROR(__xludf.DUMMYFUNCTION("""COMPUTED_VALUE"""),2012)</f>
        <v>2012</v>
      </c>
      <c r="F1413" s="36">
        <f ca="1">IFERROR(__xludf.DUMMYFUNCTION("""COMPUTED_VALUE"""),2013)</f>
        <v>2013</v>
      </c>
      <c r="G1413" s="36">
        <f ca="1">IFERROR(__xludf.DUMMYFUNCTION("""COMPUTED_VALUE"""),2014)</f>
        <v>2014</v>
      </c>
      <c r="H1413" s="36">
        <f ca="1">IFERROR(__xludf.DUMMYFUNCTION("""COMPUTED_VALUE"""),2015)</f>
        <v>2015</v>
      </c>
      <c r="I1413" s="36">
        <f ca="1">IFERROR(__xludf.DUMMYFUNCTION("""COMPUTED_VALUE"""),2016)</f>
        <v>2016</v>
      </c>
      <c r="J1413" s="36">
        <f ca="1">IFERROR(__xludf.DUMMYFUNCTION("""COMPUTED_VALUE"""),2017)</f>
        <v>2017</v>
      </c>
      <c r="K1413" s="36">
        <f ca="1">IFERROR(__xludf.DUMMYFUNCTION("""COMPUTED_VALUE"""),2018)</f>
        <v>2018</v>
      </c>
      <c r="L1413" s="36">
        <f ca="1">IFERROR(__xludf.DUMMYFUNCTION("""COMPUTED_VALUE"""),2019)</f>
        <v>2019</v>
      </c>
      <c r="M1413" s="36">
        <f ca="1">IFERROR(__xludf.DUMMYFUNCTION("""COMPUTED_VALUE"""),2020)</f>
        <v>2020</v>
      </c>
      <c r="N1413" s="36">
        <f ca="1">IFERROR(__xludf.DUMMYFUNCTION("""COMPUTED_VALUE"""),2021)</f>
        <v>2021</v>
      </c>
      <c r="O1413" s="36">
        <f ca="1">IFERROR(__xludf.DUMMYFUNCTION("""COMPUTED_VALUE"""),2022)</f>
        <v>2022</v>
      </c>
      <c r="P1413" s="36">
        <f ca="1">IFERROR(__xludf.DUMMYFUNCTION("""COMPUTED_VALUE"""),2023)</f>
        <v>2023</v>
      </c>
      <c r="Q1413" s="37">
        <f ca="1">IFERROR(__xludf.DUMMYFUNCTION("""COMPUTED_VALUE"""),2024)</f>
        <v>2024</v>
      </c>
      <c r="R1413" s="15"/>
    </row>
    <row r="1414" spans="1:18" ht="13.2" hidden="1" outlineLevel="1" x14ac:dyDescent="0.25">
      <c r="A1414" s="1"/>
      <c r="B1414" s="38" t="str">
        <f ca="1">IFERROR(__xludf.DUMMYFUNCTION("""COMPUTED_VALUE"""),"Carbón mineral")</f>
        <v>Carbón mineral</v>
      </c>
      <c r="C1414" s="17">
        <f ca="1">IFERROR(__xludf.DUMMYFUNCTION("""COMPUTED_VALUE"""),0)</f>
        <v>0</v>
      </c>
      <c r="D1414" s="18">
        <f ca="1">IFERROR(__xludf.DUMMYFUNCTION("""COMPUTED_VALUE"""),0)</f>
        <v>0</v>
      </c>
      <c r="E1414" s="18">
        <f ca="1">IFERROR(__xludf.DUMMYFUNCTION("""COMPUTED_VALUE"""),0)</f>
        <v>0</v>
      </c>
      <c r="F1414" s="18">
        <f ca="1">IFERROR(__xludf.DUMMYFUNCTION("""COMPUTED_VALUE"""),0)</f>
        <v>0</v>
      </c>
      <c r="G1414" s="18">
        <f ca="1">IFERROR(__xludf.DUMMYFUNCTION("""COMPUTED_VALUE"""),0)</f>
        <v>0</v>
      </c>
      <c r="H1414" s="18">
        <f ca="1">IFERROR(__xludf.DUMMYFUNCTION("""COMPUTED_VALUE"""),0)</f>
        <v>0</v>
      </c>
      <c r="I1414" s="18">
        <f ca="1">IFERROR(__xludf.DUMMYFUNCTION("""COMPUTED_VALUE"""),0)</f>
        <v>0</v>
      </c>
      <c r="J1414" s="18">
        <f ca="1">IFERROR(__xludf.DUMMYFUNCTION("""COMPUTED_VALUE"""),0)</f>
        <v>0</v>
      </c>
      <c r="K1414" s="18">
        <f ca="1">IFERROR(__xludf.DUMMYFUNCTION("""COMPUTED_VALUE"""),0)</f>
        <v>0</v>
      </c>
      <c r="L1414" s="18">
        <f ca="1">IFERROR(__xludf.DUMMYFUNCTION("""COMPUTED_VALUE"""),0)</f>
        <v>0</v>
      </c>
      <c r="M1414" s="18">
        <f ca="1">IFERROR(__xludf.DUMMYFUNCTION("""COMPUTED_VALUE"""),0)</f>
        <v>0</v>
      </c>
      <c r="N1414" s="18">
        <f ca="1">IFERROR(__xludf.DUMMYFUNCTION("""COMPUTED_VALUE"""),0)</f>
        <v>0</v>
      </c>
      <c r="O1414" s="18">
        <f ca="1">IFERROR(__xludf.DUMMYFUNCTION("""COMPUTED_VALUE"""),0)</f>
        <v>0</v>
      </c>
      <c r="P1414" s="18">
        <f ca="1">IFERROR(__xludf.DUMMYFUNCTION("""COMPUTED_VALUE"""),0)</f>
        <v>0</v>
      </c>
      <c r="Q1414" s="19">
        <f ca="1">IFERROR(__xludf.DUMMYFUNCTION("""COMPUTED_VALUE"""),0)</f>
        <v>0</v>
      </c>
      <c r="R1414" s="20"/>
    </row>
    <row r="1415" spans="1:18" ht="13.2" hidden="1" outlineLevel="1" x14ac:dyDescent="0.25">
      <c r="A1415" s="1"/>
      <c r="B1415" s="39" t="str">
        <f ca="1">IFERROR(__xludf.DUMMYFUNCTION("""COMPUTED_VALUE"""),"Petróleo crudo")</f>
        <v>Petróleo crudo</v>
      </c>
      <c r="C1415" s="22">
        <f ca="1">IFERROR(__xludf.DUMMYFUNCTION("""COMPUTED_VALUE"""),0)</f>
        <v>0</v>
      </c>
      <c r="D1415" s="23">
        <f ca="1">IFERROR(__xludf.DUMMYFUNCTION("""COMPUTED_VALUE"""),0)</f>
        <v>0</v>
      </c>
      <c r="E1415" s="23">
        <f ca="1">IFERROR(__xludf.DUMMYFUNCTION("""COMPUTED_VALUE"""),0)</f>
        <v>0</v>
      </c>
      <c r="F1415" s="23">
        <f ca="1">IFERROR(__xludf.DUMMYFUNCTION("""COMPUTED_VALUE"""),0)</f>
        <v>0</v>
      </c>
      <c r="G1415" s="23">
        <f ca="1">IFERROR(__xludf.DUMMYFUNCTION("""COMPUTED_VALUE"""),0)</f>
        <v>0</v>
      </c>
      <c r="H1415" s="23">
        <f ca="1">IFERROR(__xludf.DUMMYFUNCTION("""COMPUTED_VALUE"""),0)</f>
        <v>0</v>
      </c>
      <c r="I1415" s="23">
        <f ca="1">IFERROR(__xludf.DUMMYFUNCTION("""COMPUTED_VALUE"""),0)</f>
        <v>0</v>
      </c>
      <c r="J1415" s="23">
        <f ca="1">IFERROR(__xludf.DUMMYFUNCTION("""COMPUTED_VALUE"""),0)</f>
        <v>0</v>
      </c>
      <c r="K1415" s="23">
        <f ca="1">IFERROR(__xludf.DUMMYFUNCTION("""COMPUTED_VALUE"""),0)</f>
        <v>0</v>
      </c>
      <c r="L1415" s="23">
        <f ca="1">IFERROR(__xludf.DUMMYFUNCTION("""COMPUTED_VALUE"""),0)</f>
        <v>0</v>
      </c>
      <c r="M1415" s="23">
        <f ca="1">IFERROR(__xludf.DUMMYFUNCTION("""COMPUTED_VALUE"""),0)</f>
        <v>0</v>
      </c>
      <c r="N1415" s="23">
        <f ca="1">IFERROR(__xludf.DUMMYFUNCTION("""COMPUTED_VALUE"""),0)</f>
        <v>0</v>
      </c>
      <c r="O1415" s="23">
        <f ca="1">IFERROR(__xludf.DUMMYFUNCTION("""COMPUTED_VALUE"""),0)</f>
        <v>0</v>
      </c>
      <c r="P1415" s="23">
        <f ca="1">IFERROR(__xludf.DUMMYFUNCTION("""COMPUTED_VALUE"""),0)</f>
        <v>0</v>
      </c>
      <c r="Q1415" s="24">
        <f ca="1">IFERROR(__xludf.DUMMYFUNCTION("""COMPUTED_VALUE"""),0)</f>
        <v>0</v>
      </c>
      <c r="R1415" s="20"/>
    </row>
    <row r="1416" spans="1:18" ht="13.2" hidden="1" outlineLevel="1" x14ac:dyDescent="0.25">
      <c r="A1416" s="1"/>
      <c r="B1416" s="39" t="str">
        <f ca="1">IFERROR(__xludf.DUMMYFUNCTION("""COMPUTED_VALUE"""),"Condensados")</f>
        <v>Condensados</v>
      </c>
      <c r="C1416" s="22">
        <f ca="1">IFERROR(__xludf.DUMMYFUNCTION("""COMPUTED_VALUE"""),0)</f>
        <v>0</v>
      </c>
      <c r="D1416" s="23">
        <f ca="1">IFERROR(__xludf.DUMMYFUNCTION("""COMPUTED_VALUE"""),0)</f>
        <v>0</v>
      </c>
      <c r="E1416" s="23">
        <f ca="1">IFERROR(__xludf.DUMMYFUNCTION("""COMPUTED_VALUE"""),0)</f>
        <v>0</v>
      </c>
      <c r="F1416" s="23">
        <f ca="1">IFERROR(__xludf.DUMMYFUNCTION("""COMPUTED_VALUE"""),0)</f>
        <v>0</v>
      </c>
      <c r="G1416" s="23">
        <f ca="1">IFERROR(__xludf.DUMMYFUNCTION("""COMPUTED_VALUE"""),0)</f>
        <v>0</v>
      </c>
      <c r="H1416" s="23">
        <f ca="1">IFERROR(__xludf.DUMMYFUNCTION("""COMPUTED_VALUE"""),0)</f>
        <v>0</v>
      </c>
      <c r="I1416" s="23">
        <f ca="1">IFERROR(__xludf.DUMMYFUNCTION("""COMPUTED_VALUE"""),0)</f>
        <v>0</v>
      </c>
      <c r="J1416" s="23">
        <f ca="1">IFERROR(__xludf.DUMMYFUNCTION("""COMPUTED_VALUE"""),0)</f>
        <v>0</v>
      </c>
      <c r="K1416" s="23">
        <f ca="1">IFERROR(__xludf.DUMMYFUNCTION("""COMPUTED_VALUE"""),0)</f>
        <v>0</v>
      </c>
      <c r="L1416" s="23">
        <f ca="1">IFERROR(__xludf.DUMMYFUNCTION("""COMPUTED_VALUE"""),0)</f>
        <v>0</v>
      </c>
      <c r="M1416" s="23">
        <f ca="1">IFERROR(__xludf.DUMMYFUNCTION("""COMPUTED_VALUE"""),0)</f>
        <v>0</v>
      </c>
      <c r="N1416" s="23">
        <f ca="1">IFERROR(__xludf.DUMMYFUNCTION("""COMPUTED_VALUE"""),0)</f>
        <v>0</v>
      </c>
      <c r="O1416" s="23">
        <f ca="1">IFERROR(__xludf.DUMMYFUNCTION("""COMPUTED_VALUE"""),0)</f>
        <v>0</v>
      </c>
      <c r="P1416" s="23">
        <f ca="1">IFERROR(__xludf.DUMMYFUNCTION("""COMPUTED_VALUE"""),0)</f>
        <v>0</v>
      </c>
      <c r="Q1416" s="24">
        <f ca="1">IFERROR(__xludf.DUMMYFUNCTION("""COMPUTED_VALUE"""),0)</f>
        <v>0</v>
      </c>
      <c r="R1416" s="20"/>
    </row>
    <row r="1417" spans="1:18" ht="13.2" hidden="1" outlineLevel="1" x14ac:dyDescent="0.25">
      <c r="A1417" s="1"/>
      <c r="B1417" s="39" t="str">
        <f ca="1">IFERROR(__xludf.DUMMYFUNCTION("""COMPUTED_VALUE"""),"Gas natural")</f>
        <v>Gas natural</v>
      </c>
      <c r="C1417" s="22">
        <f ca="1">IFERROR(__xludf.DUMMYFUNCTION("""COMPUTED_VALUE"""),0)</f>
        <v>0</v>
      </c>
      <c r="D1417" s="23">
        <f ca="1">IFERROR(__xludf.DUMMYFUNCTION("""COMPUTED_VALUE"""),0)</f>
        <v>0</v>
      </c>
      <c r="E1417" s="23">
        <f ca="1">IFERROR(__xludf.DUMMYFUNCTION("""COMPUTED_VALUE"""),0)</f>
        <v>0</v>
      </c>
      <c r="F1417" s="23">
        <f ca="1">IFERROR(__xludf.DUMMYFUNCTION("""COMPUTED_VALUE"""),0)</f>
        <v>0</v>
      </c>
      <c r="G1417" s="23">
        <f ca="1">IFERROR(__xludf.DUMMYFUNCTION("""COMPUTED_VALUE"""),0)</f>
        <v>0</v>
      </c>
      <c r="H1417" s="23">
        <f ca="1">IFERROR(__xludf.DUMMYFUNCTION("""COMPUTED_VALUE"""),0)</f>
        <v>0</v>
      </c>
      <c r="I1417" s="23">
        <f ca="1">IFERROR(__xludf.DUMMYFUNCTION("""COMPUTED_VALUE"""),0)</f>
        <v>0</v>
      </c>
      <c r="J1417" s="23">
        <f ca="1">IFERROR(__xludf.DUMMYFUNCTION("""COMPUTED_VALUE"""),0)</f>
        <v>0</v>
      </c>
      <c r="K1417" s="23">
        <f ca="1">IFERROR(__xludf.DUMMYFUNCTION("""COMPUTED_VALUE"""),0)</f>
        <v>0</v>
      </c>
      <c r="L1417" s="23">
        <f ca="1">IFERROR(__xludf.DUMMYFUNCTION("""COMPUTED_VALUE"""),0)</f>
        <v>0</v>
      </c>
      <c r="M1417" s="23">
        <f ca="1">IFERROR(__xludf.DUMMYFUNCTION("""COMPUTED_VALUE"""),0)</f>
        <v>0</v>
      </c>
      <c r="N1417" s="23">
        <f ca="1">IFERROR(__xludf.DUMMYFUNCTION("""COMPUTED_VALUE"""),0)</f>
        <v>0</v>
      </c>
      <c r="O1417" s="23">
        <f ca="1">IFERROR(__xludf.DUMMYFUNCTION("""COMPUTED_VALUE"""),0)</f>
        <v>0</v>
      </c>
      <c r="P1417" s="23">
        <f ca="1">IFERROR(__xludf.DUMMYFUNCTION("""COMPUTED_VALUE"""),0)</f>
        <v>0</v>
      </c>
      <c r="Q1417" s="24">
        <f ca="1">IFERROR(__xludf.DUMMYFUNCTION("""COMPUTED_VALUE"""),0)</f>
        <v>0</v>
      </c>
      <c r="R1417" s="20"/>
    </row>
    <row r="1418" spans="1:18" ht="13.2" hidden="1" outlineLevel="1" x14ac:dyDescent="0.25">
      <c r="A1418" s="1"/>
      <c r="B1418" s="39" t="str">
        <f ca="1">IFERROR(__xludf.DUMMYFUNCTION("""COMPUTED_VALUE"""),"Energía Nuclear")</f>
        <v>Energía Nuclear</v>
      </c>
      <c r="C1418" s="22">
        <f ca="1">IFERROR(__xludf.DUMMYFUNCTION("""COMPUTED_VALUE"""),0)</f>
        <v>0</v>
      </c>
      <c r="D1418" s="23">
        <f ca="1">IFERROR(__xludf.DUMMYFUNCTION("""COMPUTED_VALUE"""),0)</f>
        <v>0</v>
      </c>
      <c r="E1418" s="23">
        <f ca="1">IFERROR(__xludf.DUMMYFUNCTION("""COMPUTED_VALUE"""),0)</f>
        <v>0</v>
      </c>
      <c r="F1418" s="23">
        <f ca="1">IFERROR(__xludf.DUMMYFUNCTION("""COMPUTED_VALUE"""),0)</f>
        <v>0</v>
      </c>
      <c r="G1418" s="23">
        <f ca="1">IFERROR(__xludf.DUMMYFUNCTION("""COMPUTED_VALUE"""),0)</f>
        <v>0</v>
      </c>
      <c r="H1418" s="23">
        <f ca="1">IFERROR(__xludf.DUMMYFUNCTION("""COMPUTED_VALUE"""),0)</f>
        <v>0</v>
      </c>
      <c r="I1418" s="23">
        <f ca="1">IFERROR(__xludf.DUMMYFUNCTION("""COMPUTED_VALUE"""),0)</f>
        <v>0</v>
      </c>
      <c r="J1418" s="23">
        <f ca="1">IFERROR(__xludf.DUMMYFUNCTION("""COMPUTED_VALUE"""),0)</f>
        <v>0</v>
      </c>
      <c r="K1418" s="23">
        <f ca="1">IFERROR(__xludf.DUMMYFUNCTION("""COMPUTED_VALUE"""),0)</f>
        <v>0</v>
      </c>
      <c r="L1418" s="23">
        <f ca="1">IFERROR(__xludf.DUMMYFUNCTION("""COMPUTED_VALUE"""),0)</f>
        <v>0</v>
      </c>
      <c r="M1418" s="23">
        <f ca="1">IFERROR(__xludf.DUMMYFUNCTION("""COMPUTED_VALUE"""),0)</f>
        <v>0</v>
      </c>
      <c r="N1418" s="23">
        <f ca="1">IFERROR(__xludf.DUMMYFUNCTION("""COMPUTED_VALUE"""),0)</f>
        <v>0</v>
      </c>
      <c r="O1418" s="23">
        <f ca="1">IFERROR(__xludf.DUMMYFUNCTION("""COMPUTED_VALUE"""),0)</f>
        <v>0</v>
      </c>
      <c r="P1418" s="23">
        <f ca="1">IFERROR(__xludf.DUMMYFUNCTION("""COMPUTED_VALUE"""),0)</f>
        <v>0</v>
      </c>
      <c r="Q1418" s="24">
        <f ca="1">IFERROR(__xludf.DUMMYFUNCTION("""COMPUTED_VALUE"""),0)</f>
        <v>0</v>
      </c>
      <c r="R1418" s="20"/>
    </row>
    <row r="1419" spans="1:18" ht="13.2" hidden="1" outlineLevel="1" x14ac:dyDescent="0.25">
      <c r="A1419" s="1"/>
      <c r="B1419" s="39" t="str">
        <f ca="1">IFERROR(__xludf.DUMMYFUNCTION("""COMPUTED_VALUE"""),"Energia Hidraúlica")</f>
        <v>Energia Hidraúlica</v>
      </c>
      <c r="C1419" s="22">
        <f ca="1">IFERROR(__xludf.DUMMYFUNCTION("""COMPUTED_VALUE"""),0)</f>
        <v>0</v>
      </c>
      <c r="D1419" s="23">
        <f ca="1">IFERROR(__xludf.DUMMYFUNCTION("""COMPUTED_VALUE"""),0)</f>
        <v>0</v>
      </c>
      <c r="E1419" s="23">
        <f ca="1">IFERROR(__xludf.DUMMYFUNCTION("""COMPUTED_VALUE"""),0)</f>
        <v>0</v>
      </c>
      <c r="F1419" s="23">
        <f ca="1">IFERROR(__xludf.DUMMYFUNCTION("""COMPUTED_VALUE"""),0)</f>
        <v>0</v>
      </c>
      <c r="G1419" s="23">
        <f ca="1">IFERROR(__xludf.DUMMYFUNCTION("""COMPUTED_VALUE"""),0)</f>
        <v>0</v>
      </c>
      <c r="H1419" s="23">
        <f ca="1">IFERROR(__xludf.DUMMYFUNCTION("""COMPUTED_VALUE"""),0)</f>
        <v>0</v>
      </c>
      <c r="I1419" s="23">
        <f ca="1">IFERROR(__xludf.DUMMYFUNCTION("""COMPUTED_VALUE"""),0)</f>
        <v>0</v>
      </c>
      <c r="J1419" s="23">
        <f ca="1">IFERROR(__xludf.DUMMYFUNCTION("""COMPUTED_VALUE"""),0)</f>
        <v>0</v>
      </c>
      <c r="K1419" s="23">
        <f ca="1">IFERROR(__xludf.DUMMYFUNCTION("""COMPUTED_VALUE"""),0)</f>
        <v>0</v>
      </c>
      <c r="L1419" s="23">
        <f ca="1">IFERROR(__xludf.DUMMYFUNCTION("""COMPUTED_VALUE"""),0)</f>
        <v>0</v>
      </c>
      <c r="M1419" s="23">
        <f ca="1">IFERROR(__xludf.DUMMYFUNCTION("""COMPUTED_VALUE"""),0)</f>
        <v>0</v>
      </c>
      <c r="N1419" s="23">
        <f ca="1">IFERROR(__xludf.DUMMYFUNCTION("""COMPUTED_VALUE"""),0)</f>
        <v>0</v>
      </c>
      <c r="O1419" s="23">
        <f ca="1">IFERROR(__xludf.DUMMYFUNCTION("""COMPUTED_VALUE"""),0)</f>
        <v>0</v>
      </c>
      <c r="P1419" s="23">
        <f ca="1">IFERROR(__xludf.DUMMYFUNCTION("""COMPUTED_VALUE"""),0)</f>
        <v>0</v>
      </c>
      <c r="Q1419" s="24">
        <f ca="1">IFERROR(__xludf.DUMMYFUNCTION("""COMPUTED_VALUE"""),0)</f>
        <v>0</v>
      </c>
      <c r="R1419" s="20"/>
    </row>
    <row r="1420" spans="1:18" ht="13.2" hidden="1" outlineLevel="1" x14ac:dyDescent="0.25">
      <c r="A1420" s="1"/>
      <c r="B1420" s="39" t="str">
        <f ca="1">IFERROR(__xludf.DUMMYFUNCTION("""COMPUTED_VALUE"""),"Geoenergía")</f>
        <v>Geoenergía</v>
      </c>
      <c r="C1420" s="22">
        <f ca="1">IFERROR(__xludf.DUMMYFUNCTION("""COMPUTED_VALUE"""),0)</f>
        <v>0</v>
      </c>
      <c r="D1420" s="23">
        <f ca="1">IFERROR(__xludf.DUMMYFUNCTION("""COMPUTED_VALUE"""),0)</f>
        <v>0</v>
      </c>
      <c r="E1420" s="23">
        <f ca="1">IFERROR(__xludf.DUMMYFUNCTION("""COMPUTED_VALUE"""),0)</f>
        <v>0</v>
      </c>
      <c r="F1420" s="23">
        <f ca="1">IFERROR(__xludf.DUMMYFUNCTION("""COMPUTED_VALUE"""),0)</f>
        <v>0</v>
      </c>
      <c r="G1420" s="23">
        <f ca="1">IFERROR(__xludf.DUMMYFUNCTION("""COMPUTED_VALUE"""),0)</f>
        <v>0</v>
      </c>
      <c r="H1420" s="23">
        <f ca="1">IFERROR(__xludf.DUMMYFUNCTION("""COMPUTED_VALUE"""),0)</f>
        <v>0</v>
      </c>
      <c r="I1420" s="23">
        <f ca="1">IFERROR(__xludf.DUMMYFUNCTION("""COMPUTED_VALUE"""),0)</f>
        <v>0</v>
      </c>
      <c r="J1420" s="23">
        <f ca="1">IFERROR(__xludf.DUMMYFUNCTION("""COMPUTED_VALUE"""),0)</f>
        <v>0</v>
      </c>
      <c r="K1420" s="23">
        <f ca="1">IFERROR(__xludf.DUMMYFUNCTION("""COMPUTED_VALUE"""),0)</f>
        <v>0</v>
      </c>
      <c r="L1420" s="23">
        <f ca="1">IFERROR(__xludf.DUMMYFUNCTION("""COMPUTED_VALUE"""),0)</f>
        <v>0</v>
      </c>
      <c r="M1420" s="23">
        <f ca="1">IFERROR(__xludf.DUMMYFUNCTION("""COMPUTED_VALUE"""),0)</f>
        <v>0</v>
      </c>
      <c r="N1420" s="23">
        <f ca="1">IFERROR(__xludf.DUMMYFUNCTION("""COMPUTED_VALUE"""),0)</f>
        <v>0</v>
      </c>
      <c r="O1420" s="23">
        <f ca="1">IFERROR(__xludf.DUMMYFUNCTION("""COMPUTED_VALUE"""),0)</f>
        <v>0</v>
      </c>
      <c r="P1420" s="23">
        <f ca="1">IFERROR(__xludf.DUMMYFUNCTION("""COMPUTED_VALUE"""),0)</f>
        <v>0</v>
      </c>
      <c r="Q1420" s="24">
        <f ca="1">IFERROR(__xludf.DUMMYFUNCTION("""COMPUTED_VALUE"""),0)</f>
        <v>0</v>
      </c>
      <c r="R1420" s="20"/>
    </row>
    <row r="1421" spans="1:18" ht="13.2" hidden="1" outlineLevel="1" x14ac:dyDescent="0.25">
      <c r="A1421" s="1"/>
      <c r="B1421" s="39" t="str">
        <f ca="1">IFERROR(__xludf.DUMMYFUNCTION("""COMPUTED_VALUE"""),"Energía solar")</f>
        <v>Energía solar</v>
      </c>
      <c r="C1421" s="22">
        <f ca="1">IFERROR(__xludf.DUMMYFUNCTION("""COMPUTED_VALUE"""),0)</f>
        <v>0</v>
      </c>
      <c r="D1421" s="23">
        <f ca="1">IFERROR(__xludf.DUMMYFUNCTION("""COMPUTED_VALUE"""),0)</f>
        <v>0</v>
      </c>
      <c r="E1421" s="23">
        <f ca="1">IFERROR(__xludf.DUMMYFUNCTION("""COMPUTED_VALUE"""),0)</f>
        <v>0</v>
      </c>
      <c r="F1421" s="23">
        <f ca="1">IFERROR(__xludf.DUMMYFUNCTION("""COMPUTED_VALUE"""),0)</f>
        <v>0</v>
      </c>
      <c r="G1421" s="23">
        <f ca="1">IFERROR(__xludf.DUMMYFUNCTION("""COMPUTED_VALUE"""),0)</f>
        <v>0</v>
      </c>
      <c r="H1421" s="23">
        <f ca="1">IFERROR(__xludf.DUMMYFUNCTION("""COMPUTED_VALUE"""),0)</f>
        <v>0</v>
      </c>
      <c r="I1421" s="23">
        <f ca="1">IFERROR(__xludf.DUMMYFUNCTION("""COMPUTED_VALUE"""),0)</f>
        <v>0</v>
      </c>
      <c r="J1421" s="23">
        <f ca="1">IFERROR(__xludf.DUMMYFUNCTION("""COMPUTED_VALUE"""),0)</f>
        <v>0</v>
      </c>
      <c r="K1421" s="23">
        <f ca="1">IFERROR(__xludf.DUMMYFUNCTION("""COMPUTED_VALUE"""),0)</f>
        <v>0</v>
      </c>
      <c r="L1421" s="23">
        <f ca="1">IFERROR(__xludf.DUMMYFUNCTION("""COMPUTED_VALUE"""),0)</f>
        <v>0</v>
      </c>
      <c r="M1421" s="23">
        <f ca="1">IFERROR(__xludf.DUMMYFUNCTION("""COMPUTED_VALUE"""),0)</f>
        <v>0</v>
      </c>
      <c r="N1421" s="23">
        <f ca="1">IFERROR(__xludf.DUMMYFUNCTION("""COMPUTED_VALUE"""),0)</f>
        <v>0</v>
      </c>
      <c r="O1421" s="23">
        <f ca="1">IFERROR(__xludf.DUMMYFUNCTION("""COMPUTED_VALUE"""),0)</f>
        <v>0</v>
      </c>
      <c r="P1421" s="23">
        <f ca="1">IFERROR(__xludf.DUMMYFUNCTION("""COMPUTED_VALUE"""),0)</f>
        <v>0</v>
      </c>
      <c r="Q1421" s="24">
        <f ca="1">IFERROR(__xludf.DUMMYFUNCTION("""COMPUTED_VALUE"""),0)</f>
        <v>0</v>
      </c>
      <c r="R1421" s="20"/>
    </row>
    <row r="1422" spans="1:18" ht="13.2" hidden="1" outlineLevel="1" x14ac:dyDescent="0.25">
      <c r="A1422" s="1"/>
      <c r="B1422" s="39" t="str">
        <f ca="1">IFERROR(__xludf.DUMMYFUNCTION("""COMPUTED_VALUE"""),"Energía eólica")</f>
        <v>Energía eólica</v>
      </c>
      <c r="C1422" s="22">
        <f ca="1">IFERROR(__xludf.DUMMYFUNCTION("""COMPUTED_VALUE"""),0)</f>
        <v>0</v>
      </c>
      <c r="D1422" s="23">
        <f ca="1">IFERROR(__xludf.DUMMYFUNCTION("""COMPUTED_VALUE"""),0)</f>
        <v>0</v>
      </c>
      <c r="E1422" s="23">
        <f ca="1">IFERROR(__xludf.DUMMYFUNCTION("""COMPUTED_VALUE"""),0)</f>
        <v>0</v>
      </c>
      <c r="F1422" s="23">
        <f ca="1">IFERROR(__xludf.DUMMYFUNCTION("""COMPUTED_VALUE"""),0)</f>
        <v>0</v>
      </c>
      <c r="G1422" s="23">
        <f ca="1">IFERROR(__xludf.DUMMYFUNCTION("""COMPUTED_VALUE"""),0)</f>
        <v>0</v>
      </c>
      <c r="H1422" s="23">
        <f ca="1">IFERROR(__xludf.DUMMYFUNCTION("""COMPUTED_VALUE"""),0)</f>
        <v>0</v>
      </c>
      <c r="I1422" s="23">
        <f ca="1">IFERROR(__xludf.DUMMYFUNCTION("""COMPUTED_VALUE"""),0)</f>
        <v>0</v>
      </c>
      <c r="J1422" s="23">
        <f ca="1">IFERROR(__xludf.DUMMYFUNCTION("""COMPUTED_VALUE"""),0)</f>
        <v>0</v>
      </c>
      <c r="K1422" s="23">
        <f ca="1">IFERROR(__xludf.DUMMYFUNCTION("""COMPUTED_VALUE"""),0)</f>
        <v>0</v>
      </c>
      <c r="L1422" s="23">
        <f ca="1">IFERROR(__xludf.DUMMYFUNCTION("""COMPUTED_VALUE"""),0)</f>
        <v>0</v>
      </c>
      <c r="M1422" s="23">
        <f ca="1">IFERROR(__xludf.DUMMYFUNCTION("""COMPUTED_VALUE"""),0)</f>
        <v>0</v>
      </c>
      <c r="N1422" s="23">
        <f ca="1">IFERROR(__xludf.DUMMYFUNCTION("""COMPUTED_VALUE"""),0)</f>
        <v>0</v>
      </c>
      <c r="O1422" s="23">
        <f ca="1">IFERROR(__xludf.DUMMYFUNCTION("""COMPUTED_VALUE"""),0)</f>
        <v>0</v>
      </c>
      <c r="P1422" s="23">
        <f ca="1">IFERROR(__xludf.DUMMYFUNCTION("""COMPUTED_VALUE"""),0)</f>
        <v>0</v>
      </c>
      <c r="Q1422" s="24">
        <f ca="1">IFERROR(__xludf.DUMMYFUNCTION("""COMPUTED_VALUE"""),0)</f>
        <v>0</v>
      </c>
      <c r="R1422" s="20"/>
    </row>
    <row r="1423" spans="1:18" ht="13.2" hidden="1" outlineLevel="1" x14ac:dyDescent="0.25">
      <c r="A1423" s="1"/>
      <c r="B1423" s="39" t="str">
        <f ca="1">IFERROR(__xludf.DUMMYFUNCTION("""COMPUTED_VALUE"""),"Bagazo de caña")</f>
        <v>Bagazo de caña</v>
      </c>
      <c r="C1423" s="22">
        <f ca="1">IFERROR(__xludf.DUMMYFUNCTION("""COMPUTED_VALUE"""),0)</f>
        <v>0</v>
      </c>
      <c r="D1423" s="23">
        <f ca="1">IFERROR(__xludf.DUMMYFUNCTION("""COMPUTED_VALUE"""),0)</f>
        <v>0</v>
      </c>
      <c r="E1423" s="23">
        <f ca="1">IFERROR(__xludf.DUMMYFUNCTION("""COMPUTED_VALUE"""),0)</f>
        <v>0</v>
      </c>
      <c r="F1423" s="23">
        <f ca="1">IFERROR(__xludf.DUMMYFUNCTION("""COMPUTED_VALUE"""),0)</f>
        <v>0</v>
      </c>
      <c r="G1423" s="23">
        <f ca="1">IFERROR(__xludf.DUMMYFUNCTION("""COMPUTED_VALUE"""),0)</f>
        <v>0</v>
      </c>
      <c r="H1423" s="23">
        <f ca="1">IFERROR(__xludf.DUMMYFUNCTION("""COMPUTED_VALUE"""),0)</f>
        <v>0</v>
      </c>
      <c r="I1423" s="23">
        <f ca="1">IFERROR(__xludf.DUMMYFUNCTION("""COMPUTED_VALUE"""),0)</f>
        <v>0</v>
      </c>
      <c r="J1423" s="23">
        <f ca="1">IFERROR(__xludf.DUMMYFUNCTION("""COMPUTED_VALUE"""),0)</f>
        <v>0</v>
      </c>
      <c r="K1423" s="23">
        <f ca="1">IFERROR(__xludf.DUMMYFUNCTION("""COMPUTED_VALUE"""),0)</f>
        <v>0</v>
      </c>
      <c r="L1423" s="23">
        <f ca="1">IFERROR(__xludf.DUMMYFUNCTION("""COMPUTED_VALUE"""),0)</f>
        <v>0</v>
      </c>
      <c r="M1423" s="23">
        <f ca="1">IFERROR(__xludf.DUMMYFUNCTION("""COMPUTED_VALUE"""),0)</f>
        <v>0</v>
      </c>
      <c r="N1423" s="23">
        <f ca="1">IFERROR(__xludf.DUMMYFUNCTION("""COMPUTED_VALUE"""),0)</f>
        <v>0</v>
      </c>
      <c r="O1423" s="23">
        <f ca="1">IFERROR(__xludf.DUMMYFUNCTION("""COMPUTED_VALUE"""),0)</f>
        <v>0</v>
      </c>
      <c r="P1423" s="23">
        <f ca="1">IFERROR(__xludf.DUMMYFUNCTION("""COMPUTED_VALUE"""),0)</f>
        <v>0</v>
      </c>
      <c r="Q1423" s="24">
        <f ca="1">IFERROR(__xludf.DUMMYFUNCTION("""COMPUTED_VALUE"""),0)</f>
        <v>0</v>
      </c>
      <c r="R1423" s="20"/>
    </row>
    <row r="1424" spans="1:18" ht="13.2" hidden="1" outlineLevel="1" x14ac:dyDescent="0.25">
      <c r="A1424" s="1"/>
      <c r="B1424" s="39" t="str">
        <f ca="1">IFERROR(__xludf.DUMMYFUNCTION("""COMPUTED_VALUE"""),"Leña")</f>
        <v>Leña</v>
      </c>
      <c r="C1424" s="22">
        <f ca="1">IFERROR(__xludf.DUMMYFUNCTION("""COMPUTED_VALUE"""),0)</f>
        <v>0</v>
      </c>
      <c r="D1424" s="23">
        <f ca="1">IFERROR(__xludf.DUMMYFUNCTION("""COMPUTED_VALUE"""),0)</f>
        <v>0</v>
      </c>
      <c r="E1424" s="23">
        <f ca="1">IFERROR(__xludf.DUMMYFUNCTION("""COMPUTED_VALUE"""),0)</f>
        <v>0</v>
      </c>
      <c r="F1424" s="23">
        <f ca="1">IFERROR(__xludf.DUMMYFUNCTION("""COMPUTED_VALUE"""),0)</f>
        <v>0</v>
      </c>
      <c r="G1424" s="23">
        <f ca="1">IFERROR(__xludf.DUMMYFUNCTION("""COMPUTED_VALUE"""),0)</f>
        <v>0</v>
      </c>
      <c r="H1424" s="23">
        <f ca="1">IFERROR(__xludf.DUMMYFUNCTION("""COMPUTED_VALUE"""),0)</f>
        <v>0</v>
      </c>
      <c r="I1424" s="23">
        <f ca="1">IFERROR(__xludf.DUMMYFUNCTION("""COMPUTED_VALUE"""),0)</f>
        <v>0</v>
      </c>
      <c r="J1424" s="23">
        <f ca="1">IFERROR(__xludf.DUMMYFUNCTION("""COMPUTED_VALUE"""),0)</f>
        <v>0</v>
      </c>
      <c r="K1424" s="23">
        <f ca="1">IFERROR(__xludf.DUMMYFUNCTION("""COMPUTED_VALUE"""),0)</f>
        <v>0</v>
      </c>
      <c r="L1424" s="23">
        <f ca="1">IFERROR(__xludf.DUMMYFUNCTION("""COMPUTED_VALUE"""),0)</f>
        <v>0</v>
      </c>
      <c r="M1424" s="23">
        <f ca="1">IFERROR(__xludf.DUMMYFUNCTION("""COMPUTED_VALUE"""),0)</f>
        <v>0</v>
      </c>
      <c r="N1424" s="23">
        <f ca="1">IFERROR(__xludf.DUMMYFUNCTION("""COMPUTED_VALUE"""),0)</f>
        <v>0</v>
      </c>
      <c r="O1424" s="23">
        <f ca="1">IFERROR(__xludf.DUMMYFUNCTION("""COMPUTED_VALUE"""),0)</f>
        <v>0</v>
      </c>
      <c r="P1424" s="23">
        <f ca="1">IFERROR(__xludf.DUMMYFUNCTION("""COMPUTED_VALUE"""),0)</f>
        <v>0</v>
      </c>
      <c r="Q1424" s="24">
        <f ca="1">IFERROR(__xludf.DUMMYFUNCTION("""COMPUTED_VALUE"""),0)</f>
        <v>0</v>
      </c>
      <c r="R1424" s="20"/>
    </row>
    <row r="1425" spans="1:18" ht="13.2" hidden="1" outlineLevel="1" x14ac:dyDescent="0.25">
      <c r="A1425" s="1"/>
      <c r="B1425" s="39" t="str">
        <f ca="1">IFERROR(__xludf.DUMMYFUNCTION("""COMPUTED_VALUE"""),"Biogás")</f>
        <v>Biogás</v>
      </c>
      <c r="C1425" s="22">
        <f ca="1">IFERROR(__xludf.DUMMYFUNCTION("""COMPUTED_VALUE"""),0)</f>
        <v>0</v>
      </c>
      <c r="D1425" s="23">
        <f ca="1">IFERROR(__xludf.DUMMYFUNCTION("""COMPUTED_VALUE"""),0)</f>
        <v>0</v>
      </c>
      <c r="E1425" s="23">
        <f ca="1">IFERROR(__xludf.DUMMYFUNCTION("""COMPUTED_VALUE"""),0)</f>
        <v>0</v>
      </c>
      <c r="F1425" s="23">
        <f ca="1">IFERROR(__xludf.DUMMYFUNCTION("""COMPUTED_VALUE"""),0)</f>
        <v>0</v>
      </c>
      <c r="G1425" s="23">
        <f ca="1">IFERROR(__xludf.DUMMYFUNCTION("""COMPUTED_VALUE"""),0)</f>
        <v>0</v>
      </c>
      <c r="H1425" s="23">
        <f ca="1">IFERROR(__xludf.DUMMYFUNCTION("""COMPUTED_VALUE"""),0)</f>
        <v>0</v>
      </c>
      <c r="I1425" s="23">
        <f ca="1">IFERROR(__xludf.DUMMYFUNCTION("""COMPUTED_VALUE"""),0)</f>
        <v>0</v>
      </c>
      <c r="J1425" s="23">
        <f ca="1">IFERROR(__xludf.DUMMYFUNCTION("""COMPUTED_VALUE"""),0)</f>
        <v>0</v>
      </c>
      <c r="K1425" s="23">
        <f ca="1">IFERROR(__xludf.DUMMYFUNCTION("""COMPUTED_VALUE"""),0)</f>
        <v>0</v>
      </c>
      <c r="L1425" s="23">
        <f ca="1">IFERROR(__xludf.DUMMYFUNCTION("""COMPUTED_VALUE"""),0)</f>
        <v>0</v>
      </c>
      <c r="M1425" s="23">
        <f ca="1">IFERROR(__xludf.DUMMYFUNCTION("""COMPUTED_VALUE"""),0)</f>
        <v>0</v>
      </c>
      <c r="N1425" s="23">
        <f ca="1">IFERROR(__xludf.DUMMYFUNCTION("""COMPUTED_VALUE"""),0)</f>
        <v>0</v>
      </c>
      <c r="O1425" s="23">
        <f ca="1">IFERROR(__xludf.DUMMYFUNCTION("""COMPUTED_VALUE"""),0)</f>
        <v>0</v>
      </c>
      <c r="P1425" s="23">
        <f ca="1">IFERROR(__xludf.DUMMYFUNCTION("""COMPUTED_VALUE"""),0)</f>
        <v>0</v>
      </c>
      <c r="Q1425" s="24">
        <f ca="1">IFERROR(__xludf.DUMMYFUNCTION("""COMPUTED_VALUE"""),0)</f>
        <v>0</v>
      </c>
      <c r="R1425" s="20"/>
    </row>
    <row r="1426" spans="1:18" ht="13.2" hidden="1" outlineLevel="1" x14ac:dyDescent="0.25">
      <c r="A1426" s="1"/>
      <c r="B1426" s="39" t="str">
        <f ca="1">IFERROR(__xludf.DUMMYFUNCTION("""COMPUTED_VALUE"""),"Coque de carbón")</f>
        <v>Coque de carbón</v>
      </c>
      <c r="C1426" s="22">
        <f ca="1">IFERROR(__xludf.DUMMYFUNCTION("""COMPUTED_VALUE"""),0)</f>
        <v>0</v>
      </c>
      <c r="D1426" s="23">
        <f ca="1">IFERROR(__xludf.DUMMYFUNCTION("""COMPUTED_VALUE"""),0)</f>
        <v>0</v>
      </c>
      <c r="E1426" s="23">
        <f ca="1">IFERROR(__xludf.DUMMYFUNCTION("""COMPUTED_VALUE"""),0)</f>
        <v>0</v>
      </c>
      <c r="F1426" s="23">
        <f ca="1">IFERROR(__xludf.DUMMYFUNCTION("""COMPUTED_VALUE"""),0)</f>
        <v>0</v>
      </c>
      <c r="G1426" s="23">
        <f ca="1">IFERROR(__xludf.DUMMYFUNCTION("""COMPUTED_VALUE"""),0)</f>
        <v>0</v>
      </c>
      <c r="H1426" s="23">
        <f ca="1">IFERROR(__xludf.DUMMYFUNCTION("""COMPUTED_VALUE"""),0)</f>
        <v>0</v>
      </c>
      <c r="I1426" s="23">
        <f ca="1">IFERROR(__xludf.DUMMYFUNCTION("""COMPUTED_VALUE"""),0)</f>
        <v>0</v>
      </c>
      <c r="J1426" s="23">
        <f ca="1">IFERROR(__xludf.DUMMYFUNCTION("""COMPUTED_VALUE"""),0)</f>
        <v>0</v>
      </c>
      <c r="K1426" s="23">
        <f ca="1">IFERROR(__xludf.DUMMYFUNCTION("""COMPUTED_VALUE"""),0)</f>
        <v>0</v>
      </c>
      <c r="L1426" s="23">
        <f ca="1">IFERROR(__xludf.DUMMYFUNCTION("""COMPUTED_VALUE"""),0)</f>
        <v>0</v>
      </c>
      <c r="M1426" s="23">
        <f ca="1">IFERROR(__xludf.DUMMYFUNCTION("""COMPUTED_VALUE"""),0)</f>
        <v>0</v>
      </c>
      <c r="N1426" s="23">
        <f ca="1">IFERROR(__xludf.DUMMYFUNCTION("""COMPUTED_VALUE"""),0.980382602442984)</f>
        <v>0.98038260244298403</v>
      </c>
      <c r="O1426" s="23">
        <f ca="1">IFERROR(__xludf.DUMMYFUNCTION("""COMPUTED_VALUE"""),0.993289970614591)</f>
        <v>0.99328997061459101</v>
      </c>
      <c r="P1426" s="23">
        <f ca="1">IFERROR(__xludf.DUMMYFUNCTION("""COMPUTED_VALUE"""),0.415115503251967)</f>
        <v>0.415115503251967</v>
      </c>
      <c r="Q1426" s="24">
        <f ca="1">IFERROR(__xludf.DUMMYFUNCTION("""COMPUTED_VALUE"""),0.373652572709278)</f>
        <v>0.37365257270927799</v>
      </c>
      <c r="R1426" s="20"/>
    </row>
    <row r="1427" spans="1:18" ht="13.2" hidden="1" outlineLevel="1" x14ac:dyDescent="0.25">
      <c r="A1427" s="1"/>
      <c r="B1427" s="39" t="str">
        <f ca="1">IFERROR(__xludf.DUMMYFUNCTION("""COMPUTED_VALUE"""),"Coque de petróleo")</f>
        <v>Coque de petróleo</v>
      </c>
      <c r="C1427" s="22">
        <f ca="1">IFERROR(__xludf.DUMMYFUNCTION("""COMPUTED_VALUE"""),0)</f>
        <v>0</v>
      </c>
      <c r="D1427" s="23">
        <f ca="1">IFERROR(__xludf.DUMMYFUNCTION("""COMPUTED_VALUE"""),0)</f>
        <v>0</v>
      </c>
      <c r="E1427" s="23">
        <f ca="1">IFERROR(__xludf.DUMMYFUNCTION("""COMPUTED_VALUE"""),0)</f>
        <v>0</v>
      </c>
      <c r="F1427" s="23">
        <f ca="1">IFERROR(__xludf.DUMMYFUNCTION("""COMPUTED_VALUE"""),0)</f>
        <v>0</v>
      </c>
      <c r="G1427" s="23">
        <f ca="1">IFERROR(__xludf.DUMMYFUNCTION("""COMPUTED_VALUE"""),0)</f>
        <v>0</v>
      </c>
      <c r="H1427" s="23">
        <f ca="1">IFERROR(__xludf.DUMMYFUNCTION("""COMPUTED_VALUE"""),0)</f>
        <v>0</v>
      </c>
      <c r="I1427" s="23">
        <f ca="1">IFERROR(__xludf.DUMMYFUNCTION("""COMPUTED_VALUE"""),0)</f>
        <v>0</v>
      </c>
      <c r="J1427" s="23">
        <f ca="1">IFERROR(__xludf.DUMMYFUNCTION("""COMPUTED_VALUE"""),0)</f>
        <v>0</v>
      </c>
      <c r="K1427" s="23">
        <f ca="1">IFERROR(__xludf.DUMMYFUNCTION("""COMPUTED_VALUE"""),0)</f>
        <v>0</v>
      </c>
      <c r="L1427" s="23">
        <f ca="1">IFERROR(__xludf.DUMMYFUNCTION("""COMPUTED_VALUE"""),0)</f>
        <v>0</v>
      </c>
      <c r="M1427" s="23">
        <f ca="1">IFERROR(__xludf.DUMMYFUNCTION("""COMPUTED_VALUE"""),0)</f>
        <v>0</v>
      </c>
      <c r="N1427" s="23">
        <f ca="1">IFERROR(__xludf.DUMMYFUNCTION("""COMPUTED_VALUE"""),0)</f>
        <v>0</v>
      </c>
      <c r="O1427" s="23">
        <f ca="1">IFERROR(__xludf.DUMMYFUNCTION("""COMPUTED_VALUE"""),0)</f>
        <v>0</v>
      </c>
      <c r="P1427" s="23">
        <f ca="1">IFERROR(__xludf.DUMMYFUNCTION("""COMPUTED_VALUE"""),0)</f>
        <v>0</v>
      </c>
      <c r="Q1427" s="24">
        <f ca="1">IFERROR(__xludf.DUMMYFUNCTION("""COMPUTED_VALUE"""),0)</f>
        <v>0</v>
      </c>
      <c r="R1427" s="20"/>
    </row>
    <row r="1428" spans="1:18" ht="13.2" hidden="1" outlineLevel="1" x14ac:dyDescent="0.25">
      <c r="A1428" s="1"/>
      <c r="B1428" s="39" t="str">
        <f ca="1">IFERROR(__xludf.DUMMYFUNCTION("""COMPUTED_VALUE"""),"Gas licuado de petróleo")</f>
        <v>Gas licuado de petróleo</v>
      </c>
      <c r="C1428" s="22">
        <f ca="1">IFERROR(__xludf.DUMMYFUNCTION("""COMPUTED_VALUE"""),0.914388994964836)</f>
        <v>0.91438899496483605</v>
      </c>
      <c r="D1428" s="23">
        <f ca="1">IFERROR(__xludf.DUMMYFUNCTION("""COMPUTED_VALUE"""),0.58487247738899)</f>
        <v>0.58487247738898995</v>
      </c>
      <c r="E1428" s="23">
        <f ca="1">IFERROR(__xludf.DUMMYFUNCTION("""COMPUTED_VALUE"""),1.02546691765269)</f>
        <v>1.02546691765269</v>
      </c>
      <c r="F1428" s="23">
        <f ca="1">IFERROR(__xludf.DUMMYFUNCTION("""COMPUTED_VALUE"""),0.837926663380975)</f>
        <v>0.83792666338097499</v>
      </c>
      <c r="G1428" s="23">
        <f ca="1">IFERROR(__xludf.DUMMYFUNCTION("""COMPUTED_VALUE"""),0.857240479907681)</f>
        <v>0.85724047990768104</v>
      </c>
      <c r="H1428" s="23">
        <f ca="1">IFERROR(__xludf.DUMMYFUNCTION("""COMPUTED_VALUE"""),0.910370839150978)</f>
        <v>0.91037083915097805</v>
      </c>
      <c r="I1428" s="23">
        <f ca="1">IFERROR(__xludf.DUMMYFUNCTION("""COMPUTED_VALUE"""),0.863910074938892)</f>
        <v>0.86391007493889205</v>
      </c>
      <c r="J1428" s="23">
        <f ca="1">IFERROR(__xludf.DUMMYFUNCTION("""COMPUTED_VALUE"""),0.82339750468539)</f>
        <v>0.82339750468538997</v>
      </c>
      <c r="K1428" s="23">
        <f ca="1">IFERROR(__xludf.DUMMYFUNCTION("""COMPUTED_VALUE"""),0.827170989012793)</f>
        <v>0.82717098901279296</v>
      </c>
      <c r="L1428" s="23">
        <f ca="1">IFERROR(__xludf.DUMMYFUNCTION("""COMPUTED_VALUE"""),1.096501377204)</f>
        <v>1.096501377204</v>
      </c>
      <c r="M1428" s="23">
        <f ca="1">IFERROR(__xludf.DUMMYFUNCTION("""COMPUTED_VALUE"""),0.665756106135844)</f>
        <v>0.66575610613584402</v>
      </c>
      <c r="N1428" s="23">
        <f ca="1">IFERROR(__xludf.DUMMYFUNCTION("""COMPUTED_VALUE"""),0.826879560167574)</f>
        <v>0.82687956016757402</v>
      </c>
      <c r="O1428" s="23">
        <f ca="1">IFERROR(__xludf.DUMMYFUNCTION("""COMPUTED_VALUE"""),0.80710753930775)</f>
        <v>0.80710753930775003</v>
      </c>
      <c r="P1428" s="23">
        <f ca="1">IFERROR(__xludf.DUMMYFUNCTION("""COMPUTED_VALUE"""),0.878687215842351)</f>
        <v>0.87868721584235099</v>
      </c>
      <c r="Q1428" s="24">
        <f ca="1">IFERROR(__xludf.DUMMYFUNCTION("""COMPUTED_VALUE"""),0.880860133819169)</f>
        <v>0.88086013381916906</v>
      </c>
      <c r="R1428" s="20"/>
    </row>
    <row r="1429" spans="1:18" ht="13.2" hidden="1" outlineLevel="1" x14ac:dyDescent="0.25">
      <c r="A1429" s="1"/>
      <c r="B1429" s="39" t="str">
        <f ca="1">IFERROR(__xludf.DUMMYFUNCTION("""COMPUTED_VALUE"""),"Gasolinas y naftas")</f>
        <v>Gasolinas y naftas</v>
      </c>
      <c r="C1429" s="22">
        <f ca="1">IFERROR(__xludf.DUMMYFUNCTION("""COMPUTED_VALUE"""),0)</f>
        <v>0</v>
      </c>
      <c r="D1429" s="23">
        <f ca="1">IFERROR(__xludf.DUMMYFUNCTION("""COMPUTED_VALUE"""),0)</f>
        <v>0</v>
      </c>
      <c r="E1429" s="23">
        <f ca="1">IFERROR(__xludf.DUMMYFUNCTION("""COMPUTED_VALUE"""),0)</f>
        <v>0</v>
      </c>
      <c r="F1429" s="23">
        <f ca="1">IFERROR(__xludf.DUMMYFUNCTION("""COMPUTED_VALUE"""),0)</f>
        <v>0</v>
      </c>
      <c r="G1429" s="23">
        <f ca="1">IFERROR(__xludf.DUMMYFUNCTION("""COMPUTED_VALUE"""),0)</f>
        <v>0</v>
      </c>
      <c r="H1429" s="23">
        <f ca="1">IFERROR(__xludf.DUMMYFUNCTION("""COMPUTED_VALUE"""),0)</f>
        <v>0</v>
      </c>
      <c r="I1429" s="23">
        <f ca="1">IFERROR(__xludf.DUMMYFUNCTION("""COMPUTED_VALUE"""),0)</f>
        <v>0</v>
      </c>
      <c r="J1429" s="23">
        <f ca="1">IFERROR(__xludf.DUMMYFUNCTION("""COMPUTED_VALUE"""),0)</f>
        <v>0</v>
      </c>
      <c r="K1429" s="23">
        <f ca="1">IFERROR(__xludf.DUMMYFUNCTION("""COMPUTED_VALUE"""),0)</f>
        <v>0</v>
      </c>
      <c r="L1429" s="23">
        <f ca="1">IFERROR(__xludf.DUMMYFUNCTION("""COMPUTED_VALUE"""),0)</f>
        <v>0</v>
      </c>
      <c r="M1429" s="23">
        <f ca="1">IFERROR(__xludf.DUMMYFUNCTION("""COMPUTED_VALUE"""),0)</f>
        <v>0</v>
      </c>
      <c r="N1429" s="23">
        <f ca="1">IFERROR(__xludf.DUMMYFUNCTION("""COMPUTED_VALUE"""),0)</f>
        <v>0</v>
      </c>
      <c r="O1429" s="23">
        <f ca="1">IFERROR(__xludf.DUMMYFUNCTION("""COMPUTED_VALUE"""),0)</f>
        <v>0</v>
      </c>
      <c r="P1429" s="23">
        <f ca="1">IFERROR(__xludf.DUMMYFUNCTION("""COMPUTED_VALUE"""),0)</f>
        <v>0</v>
      </c>
      <c r="Q1429" s="24">
        <f ca="1">IFERROR(__xludf.DUMMYFUNCTION("""COMPUTED_VALUE"""),0)</f>
        <v>0</v>
      </c>
      <c r="R1429" s="20"/>
    </row>
    <row r="1430" spans="1:18" ht="13.2" hidden="1" outlineLevel="1" x14ac:dyDescent="0.25">
      <c r="A1430" s="1"/>
      <c r="B1430" s="39" t="str">
        <f ca="1">IFERROR(__xludf.DUMMYFUNCTION("""COMPUTED_VALUE"""),"Querosenos")</f>
        <v>Querosenos</v>
      </c>
      <c r="C1430" s="22">
        <f ca="1">IFERROR(__xludf.DUMMYFUNCTION("""COMPUTED_VALUE"""),0)</f>
        <v>0</v>
      </c>
      <c r="D1430" s="23">
        <f ca="1">IFERROR(__xludf.DUMMYFUNCTION("""COMPUTED_VALUE"""),0)</f>
        <v>0</v>
      </c>
      <c r="E1430" s="23">
        <f ca="1">IFERROR(__xludf.DUMMYFUNCTION("""COMPUTED_VALUE"""),0)</f>
        <v>0</v>
      </c>
      <c r="F1430" s="23">
        <f ca="1">IFERROR(__xludf.DUMMYFUNCTION("""COMPUTED_VALUE"""),0)</f>
        <v>0</v>
      </c>
      <c r="G1430" s="23">
        <f ca="1">IFERROR(__xludf.DUMMYFUNCTION("""COMPUTED_VALUE"""),0)</f>
        <v>0</v>
      </c>
      <c r="H1430" s="23">
        <f ca="1">IFERROR(__xludf.DUMMYFUNCTION("""COMPUTED_VALUE"""),0)</f>
        <v>0</v>
      </c>
      <c r="I1430" s="23">
        <f ca="1">IFERROR(__xludf.DUMMYFUNCTION("""COMPUTED_VALUE"""),0)</f>
        <v>0</v>
      </c>
      <c r="J1430" s="23">
        <f ca="1">IFERROR(__xludf.DUMMYFUNCTION("""COMPUTED_VALUE"""),0)</f>
        <v>0</v>
      </c>
      <c r="K1430" s="23">
        <f ca="1">IFERROR(__xludf.DUMMYFUNCTION("""COMPUTED_VALUE"""),0)</f>
        <v>0</v>
      </c>
      <c r="L1430" s="23">
        <f ca="1">IFERROR(__xludf.DUMMYFUNCTION("""COMPUTED_VALUE"""),0)</f>
        <v>0</v>
      </c>
      <c r="M1430" s="23">
        <f ca="1">IFERROR(__xludf.DUMMYFUNCTION("""COMPUTED_VALUE"""),0)</f>
        <v>0</v>
      </c>
      <c r="N1430" s="23">
        <f ca="1">IFERROR(__xludf.DUMMYFUNCTION("""COMPUTED_VALUE"""),0)</f>
        <v>0</v>
      </c>
      <c r="O1430" s="23">
        <f ca="1">IFERROR(__xludf.DUMMYFUNCTION("""COMPUTED_VALUE"""),0)</f>
        <v>0</v>
      </c>
      <c r="P1430" s="23">
        <f ca="1">IFERROR(__xludf.DUMMYFUNCTION("""COMPUTED_VALUE"""),0)</f>
        <v>0</v>
      </c>
      <c r="Q1430" s="24">
        <f ca="1">IFERROR(__xludf.DUMMYFUNCTION("""COMPUTED_VALUE"""),0)</f>
        <v>0</v>
      </c>
      <c r="R1430" s="20"/>
    </row>
    <row r="1431" spans="1:18" ht="13.2" hidden="1" outlineLevel="1" x14ac:dyDescent="0.25">
      <c r="A1431" s="1"/>
      <c r="B1431" s="39" t="str">
        <f ca="1">IFERROR(__xludf.DUMMYFUNCTION("""COMPUTED_VALUE"""),"Diesel")</f>
        <v>Diesel</v>
      </c>
      <c r="C1431" s="22">
        <f ca="1">IFERROR(__xludf.DUMMYFUNCTION("""COMPUTED_VALUE"""),3.39960114714341)</f>
        <v>3.39960114714341</v>
      </c>
      <c r="D1431" s="23">
        <f ca="1">IFERROR(__xludf.DUMMYFUNCTION("""COMPUTED_VALUE"""),5.40805591768726)</f>
        <v>5.4080559176872596</v>
      </c>
      <c r="E1431" s="23">
        <f ca="1">IFERROR(__xludf.DUMMYFUNCTION("""COMPUTED_VALUE"""),4.95784848013472)</f>
        <v>4.9578484801347198</v>
      </c>
      <c r="F1431" s="23">
        <f ca="1">IFERROR(__xludf.DUMMYFUNCTION("""COMPUTED_VALUE"""),4.25733191192147)</f>
        <v>4.2573319119214696</v>
      </c>
      <c r="G1431" s="23">
        <f ca="1">IFERROR(__xludf.DUMMYFUNCTION("""COMPUTED_VALUE"""),4.2323417816813)</f>
        <v>4.2323417816813</v>
      </c>
      <c r="H1431" s="23">
        <f ca="1">IFERROR(__xludf.DUMMYFUNCTION("""COMPUTED_VALUE"""),4.09671253049157)</f>
        <v>4.0967125304915699</v>
      </c>
      <c r="I1431" s="23">
        <f ca="1">IFERROR(__xludf.DUMMYFUNCTION("""COMPUTED_VALUE"""),3.73505197505197)</f>
        <v>3.7350519750519702</v>
      </c>
      <c r="J1431" s="23">
        <f ca="1">IFERROR(__xludf.DUMMYFUNCTION("""COMPUTED_VALUE"""),3.85166783938176)</f>
        <v>3.8516678393817601</v>
      </c>
      <c r="K1431" s="23">
        <f ca="1">IFERROR(__xludf.DUMMYFUNCTION("""COMPUTED_VALUE"""),4.32202896341725)</f>
        <v>4.3220289634172504</v>
      </c>
      <c r="L1431" s="23">
        <f ca="1">IFERROR(__xludf.DUMMYFUNCTION("""COMPUTED_VALUE"""),4.21873959259243)</f>
        <v>4.2187395925924296</v>
      </c>
      <c r="M1431" s="23">
        <f ca="1">IFERROR(__xludf.DUMMYFUNCTION("""COMPUTED_VALUE"""),2.79370721437091)</f>
        <v>2.7937072143709099</v>
      </c>
      <c r="N1431" s="23">
        <f ca="1">IFERROR(__xludf.DUMMYFUNCTION("""COMPUTED_VALUE"""),5.4173852295329)</f>
        <v>5.4173852295328997</v>
      </c>
      <c r="O1431" s="23">
        <f ca="1">IFERROR(__xludf.DUMMYFUNCTION("""COMPUTED_VALUE"""),5.15774840971595)</f>
        <v>5.1577484097159498</v>
      </c>
      <c r="P1431" s="23">
        <f ca="1">IFERROR(__xludf.DUMMYFUNCTION("""COMPUTED_VALUE"""),5.21177138051407)</f>
        <v>5.2117713805140697</v>
      </c>
      <c r="Q1431" s="24">
        <f ca="1">IFERROR(__xludf.DUMMYFUNCTION("""COMPUTED_VALUE"""),4.39853013850702)</f>
        <v>4.3985301385070201</v>
      </c>
      <c r="R1431" s="20"/>
    </row>
    <row r="1432" spans="1:18" ht="13.2" hidden="1" outlineLevel="1" x14ac:dyDescent="0.25">
      <c r="A1432" s="1"/>
      <c r="B1432" s="39" t="str">
        <f ca="1">IFERROR(__xludf.DUMMYFUNCTION("""COMPUTED_VALUE"""),"Combustóleo")</f>
        <v>Combustóleo</v>
      </c>
      <c r="C1432" s="22">
        <f ca="1">IFERROR(__xludf.DUMMYFUNCTION("""COMPUTED_VALUE"""),6.32070557819326)</f>
        <v>6.3207055781932597</v>
      </c>
      <c r="D1432" s="23">
        <f ca="1">IFERROR(__xludf.DUMMYFUNCTION("""COMPUTED_VALUE"""),4.8604481352105)</f>
        <v>4.8604481352104996</v>
      </c>
      <c r="E1432" s="23">
        <f ca="1">IFERROR(__xludf.DUMMYFUNCTION("""COMPUTED_VALUE"""),3.38484789646446)</f>
        <v>3.3848478964644602</v>
      </c>
      <c r="F1432" s="23">
        <f ca="1">IFERROR(__xludf.DUMMYFUNCTION("""COMPUTED_VALUE"""),3.46728115996685)</f>
        <v>3.4672811599668498</v>
      </c>
      <c r="G1432" s="23">
        <f ca="1">IFERROR(__xludf.DUMMYFUNCTION("""COMPUTED_VALUE"""),1.83530408418394)</f>
        <v>1.8353040841839401</v>
      </c>
      <c r="H1432" s="23">
        <f ca="1">IFERROR(__xludf.DUMMYFUNCTION("""COMPUTED_VALUE"""),1.70101600320992)</f>
        <v>1.70101600320992</v>
      </c>
      <c r="I1432" s="23">
        <f ca="1">IFERROR(__xludf.DUMMYFUNCTION("""COMPUTED_VALUE"""),1.93410128893432)</f>
        <v>1.9341012889343201</v>
      </c>
      <c r="J1432" s="23">
        <f ca="1">IFERROR(__xludf.DUMMYFUNCTION("""COMPUTED_VALUE"""),2.01697567162662)</f>
        <v>2.0169756716266201</v>
      </c>
      <c r="K1432" s="23">
        <f ca="1">IFERROR(__xludf.DUMMYFUNCTION("""COMPUTED_VALUE"""),0.633124251423933)</f>
        <v>0.63312425142393303</v>
      </c>
      <c r="L1432" s="23">
        <f ca="1">IFERROR(__xludf.DUMMYFUNCTION("""COMPUTED_VALUE"""),0.927702740750062)</f>
        <v>0.92770274075006198</v>
      </c>
      <c r="M1432" s="23">
        <f ca="1">IFERROR(__xludf.DUMMYFUNCTION("""COMPUTED_VALUE"""),0.953266438632664)</f>
        <v>0.95326643863266403</v>
      </c>
      <c r="N1432" s="23">
        <f ca="1">IFERROR(__xludf.DUMMYFUNCTION("""COMPUTED_VALUE"""),0.970665438499521)</f>
        <v>0.97066543849952103</v>
      </c>
      <c r="O1432" s="23">
        <f ca="1">IFERROR(__xludf.DUMMYFUNCTION("""COMPUTED_VALUE"""),1.06000220240986)</f>
        <v>1.0600022024098601</v>
      </c>
      <c r="P1432" s="23">
        <f ca="1">IFERROR(__xludf.DUMMYFUNCTION("""COMPUTED_VALUE"""),0.976965228509898)</f>
        <v>0.97696522850989798</v>
      </c>
      <c r="Q1432" s="24">
        <f ca="1">IFERROR(__xludf.DUMMYFUNCTION("""COMPUTED_VALUE"""),0.991051072500698)</f>
        <v>0.99105107250069802</v>
      </c>
      <c r="R1432" s="20"/>
    </row>
    <row r="1433" spans="1:18" ht="13.2" hidden="1" outlineLevel="1" x14ac:dyDescent="0.25">
      <c r="A1433" s="1"/>
      <c r="B1433" s="39" t="str">
        <f ca="1">IFERROR(__xludf.DUMMYFUNCTION("""COMPUTED_VALUE"""),"Otros energéticos")</f>
        <v>Otros energéticos</v>
      </c>
      <c r="C1433" s="22">
        <f ca="1">IFERROR(__xludf.DUMMYFUNCTION("""COMPUTED_VALUE"""),0)</f>
        <v>0</v>
      </c>
      <c r="D1433" s="23">
        <f ca="1">IFERROR(__xludf.DUMMYFUNCTION("""COMPUTED_VALUE"""),0)</f>
        <v>0</v>
      </c>
      <c r="E1433" s="23">
        <f ca="1">IFERROR(__xludf.DUMMYFUNCTION("""COMPUTED_VALUE"""),0)</f>
        <v>0</v>
      </c>
      <c r="F1433" s="23">
        <f ca="1">IFERROR(__xludf.DUMMYFUNCTION("""COMPUTED_VALUE"""),0)</f>
        <v>0</v>
      </c>
      <c r="G1433" s="23">
        <f ca="1">IFERROR(__xludf.DUMMYFUNCTION("""COMPUTED_VALUE"""),0)</f>
        <v>0</v>
      </c>
      <c r="H1433" s="23">
        <f ca="1">IFERROR(__xludf.DUMMYFUNCTION("""COMPUTED_VALUE"""),0)</f>
        <v>0</v>
      </c>
      <c r="I1433" s="23">
        <f ca="1">IFERROR(__xludf.DUMMYFUNCTION("""COMPUTED_VALUE"""),0)</f>
        <v>0</v>
      </c>
      <c r="J1433" s="23">
        <f ca="1">IFERROR(__xludf.DUMMYFUNCTION("""COMPUTED_VALUE"""),0)</f>
        <v>0</v>
      </c>
      <c r="K1433" s="23">
        <f ca="1">IFERROR(__xludf.DUMMYFUNCTION("""COMPUTED_VALUE"""),0)</f>
        <v>0</v>
      </c>
      <c r="L1433" s="23">
        <f ca="1">IFERROR(__xludf.DUMMYFUNCTION("""COMPUTED_VALUE"""),0)</f>
        <v>0</v>
      </c>
      <c r="M1433" s="23">
        <f ca="1">IFERROR(__xludf.DUMMYFUNCTION("""COMPUTED_VALUE"""),0)</f>
        <v>0</v>
      </c>
      <c r="N1433" s="23">
        <f ca="1">IFERROR(__xludf.DUMMYFUNCTION("""COMPUTED_VALUE"""),0)</f>
        <v>0</v>
      </c>
      <c r="O1433" s="23">
        <f ca="1">IFERROR(__xludf.DUMMYFUNCTION("""COMPUTED_VALUE"""),0)</f>
        <v>0</v>
      </c>
      <c r="P1433" s="23">
        <f ca="1">IFERROR(__xludf.DUMMYFUNCTION("""COMPUTED_VALUE"""),0)</f>
        <v>0</v>
      </c>
      <c r="Q1433" s="24">
        <f ca="1">IFERROR(__xludf.DUMMYFUNCTION("""COMPUTED_VALUE"""),0)</f>
        <v>0</v>
      </c>
      <c r="R1433" s="20"/>
    </row>
    <row r="1434" spans="1:18" ht="13.2" hidden="1" outlineLevel="1" x14ac:dyDescent="0.25">
      <c r="A1434" s="1"/>
      <c r="B1434" s="39" t="str">
        <f ca="1">IFERROR(__xludf.DUMMYFUNCTION("""COMPUTED_VALUE"""),"Gas natural seco")</f>
        <v>Gas natural seco</v>
      </c>
      <c r="C1434" s="22">
        <f ca="1">IFERROR(__xludf.DUMMYFUNCTION("""COMPUTED_VALUE"""),91.8228869124211)</f>
        <v>91.822886912421097</v>
      </c>
      <c r="D1434" s="23">
        <f ca="1">IFERROR(__xludf.DUMMYFUNCTION("""COMPUTED_VALUE"""),59.2645417604372)</f>
        <v>59.264541760437197</v>
      </c>
      <c r="E1434" s="23">
        <f ca="1">IFERROR(__xludf.DUMMYFUNCTION("""COMPUTED_VALUE"""),50.0837879258575)</f>
        <v>50.0837879258575</v>
      </c>
      <c r="F1434" s="23">
        <f ca="1">IFERROR(__xludf.DUMMYFUNCTION("""COMPUTED_VALUE"""),57.2284845006809)</f>
        <v>57.228484500680899</v>
      </c>
      <c r="G1434" s="23">
        <f ca="1">IFERROR(__xludf.DUMMYFUNCTION("""COMPUTED_VALUE"""),78.4435751226627)</f>
        <v>78.443575122662693</v>
      </c>
      <c r="H1434" s="23">
        <f ca="1">IFERROR(__xludf.DUMMYFUNCTION("""COMPUTED_VALUE"""),71.4245670533337)</f>
        <v>71.424567053333703</v>
      </c>
      <c r="I1434" s="23">
        <f ca="1">IFERROR(__xludf.DUMMYFUNCTION("""COMPUTED_VALUE"""),73.9011404496983)</f>
        <v>73.901140449698303</v>
      </c>
      <c r="J1434" s="23">
        <f ca="1">IFERROR(__xludf.DUMMYFUNCTION("""COMPUTED_VALUE"""),77.3821965223107)</f>
        <v>77.382196522310693</v>
      </c>
      <c r="K1434" s="23">
        <f ca="1">IFERROR(__xludf.DUMMYFUNCTION("""COMPUTED_VALUE"""),96.2974751417004)</f>
        <v>96.297475141700403</v>
      </c>
      <c r="L1434" s="23">
        <f ca="1">IFERROR(__xludf.DUMMYFUNCTION("""COMPUTED_VALUE"""),107.826129873843)</f>
        <v>107.826129873843</v>
      </c>
      <c r="M1434" s="23">
        <f ca="1">IFERROR(__xludf.DUMMYFUNCTION("""COMPUTED_VALUE"""),86.197631682912)</f>
        <v>86.197631682912004</v>
      </c>
      <c r="N1434" s="23">
        <f ca="1">IFERROR(__xludf.DUMMYFUNCTION("""COMPUTED_VALUE"""),90.573547827995)</f>
        <v>90.573547827995</v>
      </c>
      <c r="O1434" s="23">
        <f ca="1">IFERROR(__xludf.DUMMYFUNCTION("""COMPUTED_VALUE"""),102.54915912351)</f>
        <v>102.54915912350999</v>
      </c>
      <c r="P1434" s="23">
        <f ca="1">IFERROR(__xludf.DUMMYFUNCTION("""COMPUTED_VALUE"""),103.770556141959)</f>
        <v>103.77055614195901</v>
      </c>
      <c r="Q1434" s="24">
        <f ca="1">IFERROR(__xludf.DUMMYFUNCTION("""COMPUTED_VALUE"""),107.149034929603)</f>
        <v>107.149034929603</v>
      </c>
      <c r="R1434" s="20"/>
    </row>
    <row r="1435" spans="1:18" ht="13.2" hidden="1" outlineLevel="1" x14ac:dyDescent="0.25">
      <c r="A1435" s="1"/>
      <c r="B1435" s="40" t="str">
        <f ca="1">IFERROR(__xludf.DUMMYFUNCTION("""COMPUTED_VALUE"""),"Energía eléctrica")</f>
        <v>Energía eléctrica</v>
      </c>
      <c r="C1435" s="26">
        <f ca="1">IFERROR(__xludf.DUMMYFUNCTION("""COMPUTED_VALUE"""),7.05795630283458)</f>
        <v>7.0579563028345804</v>
      </c>
      <c r="D1435" s="27">
        <f ca="1">IFERROR(__xludf.DUMMYFUNCTION("""COMPUTED_VALUE"""),11.026839310837)</f>
        <v>11.026839310837</v>
      </c>
      <c r="E1435" s="27">
        <f ca="1">IFERROR(__xludf.DUMMYFUNCTION("""COMPUTED_VALUE"""),16.6882658691811)</f>
        <v>16.688265869181102</v>
      </c>
      <c r="F1435" s="27">
        <f ca="1">IFERROR(__xludf.DUMMYFUNCTION("""COMPUTED_VALUE"""),18.1024713588753)</f>
        <v>18.102471358875299</v>
      </c>
      <c r="G1435" s="27">
        <f ca="1">IFERROR(__xludf.DUMMYFUNCTION("""COMPUTED_VALUE"""),18.4871745347141)</f>
        <v>18.4871745347141</v>
      </c>
      <c r="H1435" s="27">
        <f ca="1">IFERROR(__xludf.DUMMYFUNCTION("""COMPUTED_VALUE"""),17.6683844498046)</f>
        <v>17.668384449804599</v>
      </c>
      <c r="I1435" s="27">
        <f ca="1">IFERROR(__xludf.DUMMYFUNCTION("""COMPUTED_VALUE"""),17.2393766386809)</f>
        <v>17.239376638680898</v>
      </c>
      <c r="J1435" s="27">
        <f ca="1">IFERROR(__xludf.DUMMYFUNCTION("""COMPUTED_VALUE"""),16.6489950792804)</f>
        <v>16.6489950792804</v>
      </c>
      <c r="K1435" s="27">
        <f ca="1">IFERROR(__xludf.DUMMYFUNCTION("""COMPUTED_VALUE"""),16.1866417817848)</f>
        <v>16.1866417817848</v>
      </c>
      <c r="L1435" s="27">
        <f ca="1">IFERROR(__xludf.DUMMYFUNCTION("""COMPUTED_VALUE"""),15.6570296525475)</f>
        <v>15.6570296525475</v>
      </c>
      <c r="M1435" s="27">
        <f ca="1">IFERROR(__xludf.DUMMYFUNCTION("""COMPUTED_VALUE"""),14.2007839427913)</f>
        <v>14.200783942791301</v>
      </c>
      <c r="N1435" s="27">
        <f ca="1">IFERROR(__xludf.DUMMYFUNCTION("""COMPUTED_VALUE"""),9.89781617470907)</f>
        <v>9.8978161747090692</v>
      </c>
      <c r="O1435" s="27">
        <f ca="1">IFERROR(__xludf.DUMMYFUNCTION("""COMPUTED_VALUE"""),23.4557622964221)</f>
        <v>23.455762296422101</v>
      </c>
      <c r="P1435" s="27">
        <f ca="1">IFERROR(__xludf.DUMMYFUNCTION("""COMPUTED_VALUE"""),9.2809154761707)</f>
        <v>9.2809154761706996</v>
      </c>
      <c r="Q1435" s="28">
        <f ca="1">IFERROR(__xludf.DUMMYFUNCTION("""COMPUTED_VALUE"""),18.4518095126845)</f>
        <v>18.451809512684498</v>
      </c>
      <c r="R1435" s="20"/>
    </row>
    <row r="1436" spans="1:18" ht="13.2" collapsed="1" x14ac:dyDescent="0.25">
      <c r="A1436" s="1"/>
      <c r="B1436" s="31" t="str">
        <f ca="1">IFERROR(__xludf.DUMMYFUNCTION("""COMPUTED_VALUE"""),"326	Industria del plástico y del hule")</f>
        <v>326	Industria del plástico y del hule</v>
      </c>
      <c r="C1436" s="41"/>
      <c r="D1436" s="42"/>
      <c r="E1436" s="41"/>
      <c r="F1436" s="41"/>
      <c r="G1436" s="43"/>
      <c r="H1436" s="44"/>
      <c r="I1436" s="45"/>
      <c r="J1436" s="45"/>
      <c r="K1436" s="45"/>
      <c r="L1436" s="45"/>
      <c r="M1436" s="45"/>
      <c r="N1436" s="45"/>
      <c r="O1436" s="45"/>
      <c r="P1436" s="45"/>
      <c r="Q1436" s="45"/>
      <c r="R1436" s="10"/>
    </row>
    <row r="1437" spans="1:18" ht="13.2" hidden="1" outlineLevel="1" x14ac:dyDescent="0.25">
      <c r="A1437" s="1"/>
      <c r="B1437" s="46"/>
      <c r="C1437" s="35">
        <f ca="1">IFERROR(__xludf.DUMMYFUNCTION("""COMPUTED_VALUE"""),2010)</f>
        <v>2010</v>
      </c>
      <c r="D1437" s="36">
        <f ca="1">IFERROR(__xludf.DUMMYFUNCTION("""COMPUTED_VALUE"""),2011)</f>
        <v>2011</v>
      </c>
      <c r="E1437" s="36">
        <f ca="1">IFERROR(__xludf.DUMMYFUNCTION("""COMPUTED_VALUE"""),2012)</f>
        <v>2012</v>
      </c>
      <c r="F1437" s="36">
        <f ca="1">IFERROR(__xludf.DUMMYFUNCTION("""COMPUTED_VALUE"""),2013)</f>
        <v>2013</v>
      </c>
      <c r="G1437" s="36">
        <f ca="1">IFERROR(__xludf.DUMMYFUNCTION("""COMPUTED_VALUE"""),2014)</f>
        <v>2014</v>
      </c>
      <c r="H1437" s="36">
        <f ca="1">IFERROR(__xludf.DUMMYFUNCTION("""COMPUTED_VALUE"""),2015)</f>
        <v>2015</v>
      </c>
      <c r="I1437" s="36">
        <f ca="1">IFERROR(__xludf.DUMMYFUNCTION("""COMPUTED_VALUE"""),2016)</f>
        <v>2016</v>
      </c>
      <c r="J1437" s="36">
        <f ca="1">IFERROR(__xludf.DUMMYFUNCTION("""COMPUTED_VALUE"""),2017)</f>
        <v>2017</v>
      </c>
      <c r="K1437" s="36">
        <f ca="1">IFERROR(__xludf.DUMMYFUNCTION("""COMPUTED_VALUE"""),2018)</f>
        <v>2018</v>
      </c>
      <c r="L1437" s="36">
        <f ca="1">IFERROR(__xludf.DUMMYFUNCTION("""COMPUTED_VALUE"""),2019)</f>
        <v>2019</v>
      </c>
      <c r="M1437" s="36">
        <f ca="1">IFERROR(__xludf.DUMMYFUNCTION("""COMPUTED_VALUE"""),2020)</f>
        <v>2020</v>
      </c>
      <c r="N1437" s="36">
        <f ca="1">IFERROR(__xludf.DUMMYFUNCTION("""COMPUTED_VALUE"""),2021)</f>
        <v>2021</v>
      </c>
      <c r="O1437" s="36">
        <f ca="1">IFERROR(__xludf.DUMMYFUNCTION("""COMPUTED_VALUE"""),2022)</f>
        <v>2022</v>
      </c>
      <c r="P1437" s="36">
        <f ca="1">IFERROR(__xludf.DUMMYFUNCTION("""COMPUTED_VALUE"""),2023)</f>
        <v>2023</v>
      </c>
      <c r="Q1437" s="37">
        <f ca="1">IFERROR(__xludf.DUMMYFUNCTION("""COMPUTED_VALUE"""),2024)</f>
        <v>2024</v>
      </c>
      <c r="R1437" s="15"/>
    </row>
    <row r="1438" spans="1:18" ht="13.2" hidden="1" outlineLevel="1" x14ac:dyDescent="0.25">
      <c r="A1438" s="1"/>
      <c r="B1438" s="38" t="str">
        <f ca="1">IFERROR(__xludf.DUMMYFUNCTION("""COMPUTED_VALUE"""),"Carbón mineral")</f>
        <v>Carbón mineral</v>
      </c>
      <c r="C1438" s="17">
        <f ca="1">IFERROR(__xludf.DUMMYFUNCTION("""COMPUTED_VALUE"""),0)</f>
        <v>0</v>
      </c>
      <c r="D1438" s="18">
        <f ca="1">IFERROR(__xludf.DUMMYFUNCTION("""COMPUTED_VALUE"""),0)</f>
        <v>0</v>
      </c>
      <c r="E1438" s="18">
        <f ca="1">IFERROR(__xludf.DUMMYFUNCTION("""COMPUTED_VALUE"""),0)</f>
        <v>0</v>
      </c>
      <c r="F1438" s="18">
        <f ca="1">IFERROR(__xludf.DUMMYFUNCTION("""COMPUTED_VALUE"""),0)</f>
        <v>0</v>
      </c>
      <c r="G1438" s="18">
        <f ca="1">IFERROR(__xludf.DUMMYFUNCTION("""COMPUTED_VALUE"""),0)</f>
        <v>0</v>
      </c>
      <c r="H1438" s="18">
        <f ca="1">IFERROR(__xludf.DUMMYFUNCTION("""COMPUTED_VALUE"""),0)</f>
        <v>0</v>
      </c>
      <c r="I1438" s="18">
        <f ca="1">IFERROR(__xludf.DUMMYFUNCTION("""COMPUTED_VALUE"""),0)</f>
        <v>0</v>
      </c>
      <c r="J1438" s="18">
        <f ca="1">IFERROR(__xludf.DUMMYFUNCTION("""COMPUTED_VALUE"""),0)</f>
        <v>0</v>
      </c>
      <c r="K1438" s="18">
        <f ca="1">IFERROR(__xludf.DUMMYFUNCTION("""COMPUTED_VALUE"""),0)</f>
        <v>0</v>
      </c>
      <c r="L1438" s="18">
        <f ca="1">IFERROR(__xludf.DUMMYFUNCTION("""COMPUTED_VALUE"""),0)</f>
        <v>0</v>
      </c>
      <c r="M1438" s="18">
        <f ca="1">IFERROR(__xludf.DUMMYFUNCTION("""COMPUTED_VALUE"""),0)</f>
        <v>0</v>
      </c>
      <c r="N1438" s="18">
        <f ca="1">IFERROR(__xludf.DUMMYFUNCTION("""COMPUTED_VALUE"""),0)</f>
        <v>0</v>
      </c>
      <c r="O1438" s="18">
        <f ca="1">IFERROR(__xludf.DUMMYFUNCTION("""COMPUTED_VALUE"""),0)</f>
        <v>0</v>
      </c>
      <c r="P1438" s="18">
        <f ca="1">IFERROR(__xludf.DUMMYFUNCTION("""COMPUTED_VALUE"""),0)</f>
        <v>0</v>
      </c>
      <c r="Q1438" s="19">
        <f ca="1">IFERROR(__xludf.DUMMYFUNCTION("""COMPUTED_VALUE"""),0)</f>
        <v>0</v>
      </c>
      <c r="R1438" s="20"/>
    </row>
    <row r="1439" spans="1:18" ht="13.2" hidden="1" outlineLevel="1" x14ac:dyDescent="0.25">
      <c r="A1439" s="1"/>
      <c r="B1439" s="39" t="str">
        <f ca="1">IFERROR(__xludf.DUMMYFUNCTION("""COMPUTED_VALUE"""),"Petróleo crudo")</f>
        <v>Petróleo crudo</v>
      </c>
      <c r="C1439" s="22">
        <f ca="1">IFERROR(__xludf.DUMMYFUNCTION("""COMPUTED_VALUE"""),0)</f>
        <v>0</v>
      </c>
      <c r="D1439" s="23">
        <f ca="1">IFERROR(__xludf.DUMMYFUNCTION("""COMPUTED_VALUE"""),0)</f>
        <v>0</v>
      </c>
      <c r="E1439" s="23">
        <f ca="1">IFERROR(__xludf.DUMMYFUNCTION("""COMPUTED_VALUE"""),0)</f>
        <v>0</v>
      </c>
      <c r="F1439" s="23">
        <f ca="1">IFERROR(__xludf.DUMMYFUNCTION("""COMPUTED_VALUE"""),0)</f>
        <v>0</v>
      </c>
      <c r="G1439" s="23">
        <f ca="1">IFERROR(__xludf.DUMMYFUNCTION("""COMPUTED_VALUE"""),0)</f>
        <v>0</v>
      </c>
      <c r="H1439" s="23">
        <f ca="1">IFERROR(__xludf.DUMMYFUNCTION("""COMPUTED_VALUE"""),0)</f>
        <v>0</v>
      </c>
      <c r="I1439" s="23">
        <f ca="1">IFERROR(__xludf.DUMMYFUNCTION("""COMPUTED_VALUE"""),0)</f>
        <v>0</v>
      </c>
      <c r="J1439" s="23">
        <f ca="1">IFERROR(__xludf.DUMMYFUNCTION("""COMPUTED_VALUE"""),0)</f>
        <v>0</v>
      </c>
      <c r="K1439" s="23">
        <f ca="1">IFERROR(__xludf.DUMMYFUNCTION("""COMPUTED_VALUE"""),0)</f>
        <v>0</v>
      </c>
      <c r="L1439" s="23">
        <f ca="1">IFERROR(__xludf.DUMMYFUNCTION("""COMPUTED_VALUE"""),0)</f>
        <v>0</v>
      </c>
      <c r="M1439" s="23">
        <f ca="1">IFERROR(__xludf.DUMMYFUNCTION("""COMPUTED_VALUE"""),0)</f>
        <v>0</v>
      </c>
      <c r="N1439" s="23">
        <f ca="1">IFERROR(__xludf.DUMMYFUNCTION("""COMPUTED_VALUE"""),0)</f>
        <v>0</v>
      </c>
      <c r="O1439" s="23">
        <f ca="1">IFERROR(__xludf.DUMMYFUNCTION("""COMPUTED_VALUE"""),0)</f>
        <v>0</v>
      </c>
      <c r="P1439" s="23">
        <f ca="1">IFERROR(__xludf.DUMMYFUNCTION("""COMPUTED_VALUE"""),0)</f>
        <v>0</v>
      </c>
      <c r="Q1439" s="24">
        <f ca="1">IFERROR(__xludf.DUMMYFUNCTION("""COMPUTED_VALUE"""),0)</f>
        <v>0</v>
      </c>
      <c r="R1439" s="20"/>
    </row>
    <row r="1440" spans="1:18" ht="13.2" hidden="1" outlineLevel="1" x14ac:dyDescent="0.25">
      <c r="A1440" s="1"/>
      <c r="B1440" s="39" t="str">
        <f ca="1">IFERROR(__xludf.DUMMYFUNCTION("""COMPUTED_VALUE"""),"Condensados")</f>
        <v>Condensados</v>
      </c>
      <c r="C1440" s="22">
        <f ca="1">IFERROR(__xludf.DUMMYFUNCTION("""COMPUTED_VALUE"""),0)</f>
        <v>0</v>
      </c>
      <c r="D1440" s="23">
        <f ca="1">IFERROR(__xludf.DUMMYFUNCTION("""COMPUTED_VALUE"""),0)</f>
        <v>0</v>
      </c>
      <c r="E1440" s="23">
        <f ca="1">IFERROR(__xludf.DUMMYFUNCTION("""COMPUTED_VALUE"""),0)</f>
        <v>0</v>
      </c>
      <c r="F1440" s="23">
        <f ca="1">IFERROR(__xludf.DUMMYFUNCTION("""COMPUTED_VALUE"""),0)</f>
        <v>0</v>
      </c>
      <c r="G1440" s="23">
        <f ca="1">IFERROR(__xludf.DUMMYFUNCTION("""COMPUTED_VALUE"""),0)</f>
        <v>0</v>
      </c>
      <c r="H1440" s="23">
        <f ca="1">IFERROR(__xludf.DUMMYFUNCTION("""COMPUTED_VALUE"""),0)</f>
        <v>0</v>
      </c>
      <c r="I1440" s="23">
        <f ca="1">IFERROR(__xludf.DUMMYFUNCTION("""COMPUTED_VALUE"""),0)</f>
        <v>0</v>
      </c>
      <c r="J1440" s="23">
        <f ca="1">IFERROR(__xludf.DUMMYFUNCTION("""COMPUTED_VALUE"""),0)</f>
        <v>0</v>
      </c>
      <c r="K1440" s="23">
        <f ca="1">IFERROR(__xludf.DUMMYFUNCTION("""COMPUTED_VALUE"""),0)</f>
        <v>0</v>
      </c>
      <c r="L1440" s="23">
        <f ca="1">IFERROR(__xludf.DUMMYFUNCTION("""COMPUTED_VALUE"""),0)</f>
        <v>0</v>
      </c>
      <c r="M1440" s="23">
        <f ca="1">IFERROR(__xludf.DUMMYFUNCTION("""COMPUTED_VALUE"""),0)</f>
        <v>0</v>
      </c>
      <c r="N1440" s="23">
        <f ca="1">IFERROR(__xludf.DUMMYFUNCTION("""COMPUTED_VALUE"""),0)</f>
        <v>0</v>
      </c>
      <c r="O1440" s="23">
        <f ca="1">IFERROR(__xludf.DUMMYFUNCTION("""COMPUTED_VALUE"""),0)</f>
        <v>0</v>
      </c>
      <c r="P1440" s="23">
        <f ca="1">IFERROR(__xludf.DUMMYFUNCTION("""COMPUTED_VALUE"""),0)</f>
        <v>0</v>
      </c>
      <c r="Q1440" s="24">
        <f ca="1">IFERROR(__xludf.DUMMYFUNCTION("""COMPUTED_VALUE"""),0)</f>
        <v>0</v>
      </c>
      <c r="R1440" s="20"/>
    </row>
    <row r="1441" spans="1:18" ht="13.2" hidden="1" outlineLevel="1" x14ac:dyDescent="0.25">
      <c r="A1441" s="1"/>
      <c r="B1441" s="39" t="str">
        <f ca="1">IFERROR(__xludf.DUMMYFUNCTION("""COMPUTED_VALUE"""),"Gas natural")</f>
        <v>Gas natural</v>
      </c>
      <c r="C1441" s="22">
        <f ca="1">IFERROR(__xludf.DUMMYFUNCTION("""COMPUTED_VALUE"""),0)</f>
        <v>0</v>
      </c>
      <c r="D1441" s="23">
        <f ca="1">IFERROR(__xludf.DUMMYFUNCTION("""COMPUTED_VALUE"""),0)</f>
        <v>0</v>
      </c>
      <c r="E1441" s="23">
        <f ca="1">IFERROR(__xludf.DUMMYFUNCTION("""COMPUTED_VALUE"""),0)</f>
        <v>0</v>
      </c>
      <c r="F1441" s="23">
        <f ca="1">IFERROR(__xludf.DUMMYFUNCTION("""COMPUTED_VALUE"""),0)</f>
        <v>0</v>
      </c>
      <c r="G1441" s="23">
        <f ca="1">IFERROR(__xludf.DUMMYFUNCTION("""COMPUTED_VALUE"""),0)</f>
        <v>0</v>
      </c>
      <c r="H1441" s="23">
        <f ca="1">IFERROR(__xludf.DUMMYFUNCTION("""COMPUTED_VALUE"""),0)</f>
        <v>0</v>
      </c>
      <c r="I1441" s="23">
        <f ca="1">IFERROR(__xludf.DUMMYFUNCTION("""COMPUTED_VALUE"""),0)</f>
        <v>0</v>
      </c>
      <c r="J1441" s="23">
        <f ca="1">IFERROR(__xludf.DUMMYFUNCTION("""COMPUTED_VALUE"""),0)</f>
        <v>0</v>
      </c>
      <c r="K1441" s="23">
        <f ca="1">IFERROR(__xludf.DUMMYFUNCTION("""COMPUTED_VALUE"""),0)</f>
        <v>0</v>
      </c>
      <c r="L1441" s="23">
        <f ca="1">IFERROR(__xludf.DUMMYFUNCTION("""COMPUTED_VALUE"""),0)</f>
        <v>0</v>
      </c>
      <c r="M1441" s="23">
        <f ca="1">IFERROR(__xludf.DUMMYFUNCTION("""COMPUTED_VALUE"""),0)</f>
        <v>0</v>
      </c>
      <c r="N1441" s="23">
        <f ca="1">IFERROR(__xludf.DUMMYFUNCTION("""COMPUTED_VALUE"""),0)</f>
        <v>0</v>
      </c>
      <c r="O1441" s="23">
        <f ca="1">IFERROR(__xludf.DUMMYFUNCTION("""COMPUTED_VALUE"""),0)</f>
        <v>0</v>
      </c>
      <c r="P1441" s="23">
        <f ca="1">IFERROR(__xludf.DUMMYFUNCTION("""COMPUTED_VALUE"""),0)</f>
        <v>0</v>
      </c>
      <c r="Q1441" s="24">
        <f ca="1">IFERROR(__xludf.DUMMYFUNCTION("""COMPUTED_VALUE"""),0)</f>
        <v>0</v>
      </c>
      <c r="R1441" s="20"/>
    </row>
    <row r="1442" spans="1:18" ht="13.2" hidden="1" outlineLevel="1" x14ac:dyDescent="0.25">
      <c r="A1442" s="1"/>
      <c r="B1442" s="39" t="str">
        <f ca="1">IFERROR(__xludf.DUMMYFUNCTION("""COMPUTED_VALUE"""),"Energía Nuclear")</f>
        <v>Energía Nuclear</v>
      </c>
      <c r="C1442" s="22">
        <f ca="1">IFERROR(__xludf.DUMMYFUNCTION("""COMPUTED_VALUE"""),0)</f>
        <v>0</v>
      </c>
      <c r="D1442" s="23">
        <f ca="1">IFERROR(__xludf.DUMMYFUNCTION("""COMPUTED_VALUE"""),0)</f>
        <v>0</v>
      </c>
      <c r="E1442" s="23">
        <f ca="1">IFERROR(__xludf.DUMMYFUNCTION("""COMPUTED_VALUE"""),0)</f>
        <v>0</v>
      </c>
      <c r="F1442" s="23">
        <f ca="1">IFERROR(__xludf.DUMMYFUNCTION("""COMPUTED_VALUE"""),0)</f>
        <v>0</v>
      </c>
      <c r="G1442" s="23">
        <f ca="1">IFERROR(__xludf.DUMMYFUNCTION("""COMPUTED_VALUE"""),0)</f>
        <v>0</v>
      </c>
      <c r="H1442" s="23">
        <f ca="1">IFERROR(__xludf.DUMMYFUNCTION("""COMPUTED_VALUE"""),0)</f>
        <v>0</v>
      </c>
      <c r="I1442" s="23">
        <f ca="1">IFERROR(__xludf.DUMMYFUNCTION("""COMPUTED_VALUE"""),0)</f>
        <v>0</v>
      </c>
      <c r="J1442" s="23">
        <f ca="1">IFERROR(__xludf.DUMMYFUNCTION("""COMPUTED_VALUE"""),0)</f>
        <v>0</v>
      </c>
      <c r="K1442" s="23">
        <f ca="1">IFERROR(__xludf.DUMMYFUNCTION("""COMPUTED_VALUE"""),0)</f>
        <v>0</v>
      </c>
      <c r="L1442" s="23">
        <f ca="1">IFERROR(__xludf.DUMMYFUNCTION("""COMPUTED_VALUE"""),0)</f>
        <v>0</v>
      </c>
      <c r="M1442" s="23">
        <f ca="1">IFERROR(__xludf.DUMMYFUNCTION("""COMPUTED_VALUE"""),0)</f>
        <v>0</v>
      </c>
      <c r="N1442" s="23">
        <f ca="1">IFERROR(__xludf.DUMMYFUNCTION("""COMPUTED_VALUE"""),0)</f>
        <v>0</v>
      </c>
      <c r="O1442" s="23">
        <f ca="1">IFERROR(__xludf.DUMMYFUNCTION("""COMPUTED_VALUE"""),0)</f>
        <v>0</v>
      </c>
      <c r="P1442" s="23">
        <f ca="1">IFERROR(__xludf.DUMMYFUNCTION("""COMPUTED_VALUE"""),0)</f>
        <v>0</v>
      </c>
      <c r="Q1442" s="24">
        <f ca="1">IFERROR(__xludf.DUMMYFUNCTION("""COMPUTED_VALUE"""),0)</f>
        <v>0</v>
      </c>
      <c r="R1442" s="20"/>
    </row>
    <row r="1443" spans="1:18" ht="13.2" hidden="1" outlineLevel="1" x14ac:dyDescent="0.25">
      <c r="A1443" s="1"/>
      <c r="B1443" s="39" t="str">
        <f ca="1">IFERROR(__xludf.DUMMYFUNCTION("""COMPUTED_VALUE"""),"Energia Hidraúlica")</f>
        <v>Energia Hidraúlica</v>
      </c>
      <c r="C1443" s="22">
        <f ca="1">IFERROR(__xludf.DUMMYFUNCTION("""COMPUTED_VALUE"""),0)</f>
        <v>0</v>
      </c>
      <c r="D1443" s="23">
        <f ca="1">IFERROR(__xludf.DUMMYFUNCTION("""COMPUTED_VALUE"""),0)</f>
        <v>0</v>
      </c>
      <c r="E1443" s="23">
        <f ca="1">IFERROR(__xludf.DUMMYFUNCTION("""COMPUTED_VALUE"""),0)</f>
        <v>0</v>
      </c>
      <c r="F1443" s="23">
        <f ca="1">IFERROR(__xludf.DUMMYFUNCTION("""COMPUTED_VALUE"""),0)</f>
        <v>0</v>
      </c>
      <c r="G1443" s="23">
        <f ca="1">IFERROR(__xludf.DUMMYFUNCTION("""COMPUTED_VALUE"""),0)</f>
        <v>0</v>
      </c>
      <c r="H1443" s="23">
        <f ca="1">IFERROR(__xludf.DUMMYFUNCTION("""COMPUTED_VALUE"""),0)</f>
        <v>0</v>
      </c>
      <c r="I1443" s="23">
        <f ca="1">IFERROR(__xludf.DUMMYFUNCTION("""COMPUTED_VALUE"""),0)</f>
        <v>0</v>
      </c>
      <c r="J1443" s="23">
        <f ca="1">IFERROR(__xludf.DUMMYFUNCTION("""COMPUTED_VALUE"""),0)</f>
        <v>0</v>
      </c>
      <c r="K1443" s="23">
        <f ca="1">IFERROR(__xludf.DUMMYFUNCTION("""COMPUTED_VALUE"""),0)</f>
        <v>0</v>
      </c>
      <c r="L1443" s="23">
        <f ca="1">IFERROR(__xludf.DUMMYFUNCTION("""COMPUTED_VALUE"""),0)</f>
        <v>0</v>
      </c>
      <c r="M1443" s="23">
        <f ca="1">IFERROR(__xludf.DUMMYFUNCTION("""COMPUTED_VALUE"""),0)</f>
        <v>0</v>
      </c>
      <c r="N1443" s="23">
        <f ca="1">IFERROR(__xludf.DUMMYFUNCTION("""COMPUTED_VALUE"""),0)</f>
        <v>0</v>
      </c>
      <c r="O1443" s="23">
        <f ca="1">IFERROR(__xludf.DUMMYFUNCTION("""COMPUTED_VALUE"""),0)</f>
        <v>0</v>
      </c>
      <c r="P1443" s="23">
        <f ca="1">IFERROR(__xludf.DUMMYFUNCTION("""COMPUTED_VALUE"""),0)</f>
        <v>0</v>
      </c>
      <c r="Q1443" s="24">
        <f ca="1">IFERROR(__xludf.DUMMYFUNCTION("""COMPUTED_VALUE"""),0)</f>
        <v>0</v>
      </c>
      <c r="R1443" s="20"/>
    </row>
    <row r="1444" spans="1:18" ht="13.2" hidden="1" outlineLevel="1" x14ac:dyDescent="0.25">
      <c r="A1444" s="1"/>
      <c r="B1444" s="39" t="str">
        <f ca="1">IFERROR(__xludf.DUMMYFUNCTION("""COMPUTED_VALUE"""),"Geoenergía")</f>
        <v>Geoenergía</v>
      </c>
      <c r="C1444" s="22">
        <f ca="1">IFERROR(__xludf.DUMMYFUNCTION("""COMPUTED_VALUE"""),0)</f>
        <v>0</v>
      </c>
      <c r="D1444" s="23">
        <f ca="1">IFERROR(__xludf.DUMMYFUNCTION("""COMPUTED_VALUE"""),0)</f>
        <v>0</v>
      </c>
      <c r="E1444" s="23">
        <f ca="1">IFERROR(__xludf.DUMMYFUNCTION("""COMPUTED_VALUE"""),0)</f>
        <v>0</v>
      </c>
      <c r="F1444" s="23">
        <f ca="1">IFERROR(__xludf.DUMMYFUNCTION("""COMPUTED_VALUE"""),0)</f>
        <v>0</v>
      </c>
      <c r="G1444" s="23">
        <f ca="1">IFERROR(__xludf.DUMMYFUNCTION("""COMPUTED_VALUE"""),0)</f>
        <v>0</v>
      </c>
      <c r="H1444" s="23">
        <f ca="1">IFERROR(__xludf.DUMMYFUNCTION("""COMPUTED_VALUE"""),0)</f>
        <v>0</v>
      </c>
      <c r="I1444" s="23">
        <f ca="1">IFERROR(__xludf.DUMMYFUNCTION("""COMPUTED_VALUE"""),0)</f>
        <v>0</v>
      </c>
      <c r="J1444" s="23">
        <f ca="1">IFERROR(__xludf.DUMMYFUNCTION("""COMPUTED_VALUE"""),0)</f>
        <v>0</v>
      </c>
      <c r="K1444" s="23">
        <f ca="1">IFERROR(__xludf.DUMMYFUNCTION("""COMPUTED_VALUE"""),0)</f>
        <v>0</v>
      </c>
      <c r="L1444" s="23">
        <f ca="1">IFERROR(__xludf.DUMMYFUNCTION("""COMPUTED_VALUE"""),0)</f>
        <v>0</v>
      </c>
      <c r="M1444" s="23">
        <f ca="1">IFERROR(__xludf.DUMMYFUNCTION("""COMPUTED_VALUE"""),0)</f>
        <v>0</v>
      </c>
      <c r="N1444" s="23">
        <f ca="1">IFERROR(__xludf.DUMMYFUNCTION("""COMPUTED_VALUE"""),0)</f>
        <v>0</v>
      </c>
      <c r="O1444" s="23">
        <f ca="1">IFERROR(__xludf.DUMMYFUNCTION("""COMPUTED_VALUE"""),0)</f>
        <v>0</v>
      </c>
      <c r="P1444" s="23">
        <f ca="1">IFERROR(__xludf.DUMMYFUNCTION("""COMPUTED_VALUE"""),0)</f>
        <v>0</v>
      </c>
      <c r="Q1444" s="24">
        <f ca="1">IFERROR(__xludf.DUMMYFUNCTION("""COMPUTED_VALUE"""),0)</f>
        <v>0</v>
      </c>
      <c r="R1444" s="20"/>
    </row>
    <row r="1445" spans="1:18" ht="13.2" hidden="1" outlineLevel="1" x14ac:dyDescent="0.25">
      <c r="A1445" s="1"/>
      <c r="B1445" s="39" t="str">
        <f ca="1">IFERROR(__xludf.DUMMYFUNCTION("""COMPUTED_VALUE"""),"Energía solar")</f>
        <v>Energía solar</v>
      </c>
      <c r="C1445" s="22">
        <f ca="1">IFERROR(__xludf.DUMMYFUNCTION("""COMPUTED_VALUE"""),0)</f>
        <v>0</v>
      </c>
      <c r="D1445" s="23">
        <f ca="1">IFERROR(__xludf.DUMMYFUNCTION("""COMPUTED_VALUE"""),0)</f>
        <v>0</v>
      </c>
      <c r="E1445" s="23">
        <f ca="1">IFERROR(__xludf.DUMMYFUNCTION("""COMPUTED_VALUE"""),0)</f>
        <v>0</v>
      </c>
      <c r="F1445" s="23">
        <f ca="1">IFERROR(__xludf.DUMMYFUNCTION("""COMPUTED_VALUE"""),0)</f>
        <v>0</v>
      </c>
      <c r="G1445" s="23">
        <f ca="1">IFERROR(__xludf.DUMMYFUNCTION("""COMPUTED_VALUE"""),0)</f>
        <v>0</v>
      </c>
      <c r="H1445" s="23">
        <f ca="1">IFERROR(__xludf.DUMMYFUNCTION("""COMPUTED_VALUE"""),0)</f>
        <v>0</v>
      </c>
      <c r="I1445" s="23">
        <f ca="1">IFERROR(__xludf.DUMMYFUNCTION("""COMPUTED_VALUE"""),0)</f>
        <v>0</v>
      </c>
      <c r="J1445" s="23">
        <f ca="1">IFERROR(__xludf.DUMMYFUNCTION("""COMPUTED_VALUE"""),0)</f>
        <v>0</v>
      </c>
      <c r="K1445" s="23">
        <f ca="1">IFERROR(__xludf.DUMMYFUNCTION("""COMPUTED_VALUE"""),0)</f>
        <v>0</v>
      </c>
      <c r="L1445" s="23">
        <f ca="1">IFERROR(__xludf.DUMMYFUNCTION("""COMPUTED_VALUE"""),0)</f>
        <v>0</v>
      </c>
      <c r="M1445" s="23">
        <f ca="1">IFERROR(__xludf.DUMMYFUNCTION("""COMPUTED_VALUE"""),0)</f>
        <v>0</v>
      </c>
      <c r="N1445" s="23">
        <f ca="1">IFERROR(__xludf.DUMMYFUNCTION("""COMPUTED_VALUE"""),0)</f>
        <v>0</v>
      </c>
      <c r="O1445" s="23">
        <f ca="1">IFERROR(__xludf.DUMMYFUNCTION("""COMPUTED_VALUE"""),0)</f>
        <v>0</v>
      </c>
      <c r="P1445" s="23">
        <f ca="1">IFERROR(__xludf.DUMMYFUNCTION("""COMPUTED_VALUE"""),0)</f>
        <v>0</v>
      </c>
      <c r="Q1445" s="24">
        <f ca="1">IFERROR(__xludf.DUMMYFUNCTION("""COMPUTED_VALUE"""),0)</f>
        <v>0</v>
      </c>
      <c r="R1445" s="20"/>
    </row>
    <row r="1446" spans="1:18" ht="13.2" hidden="1" outlineLevel="1" x14ac:dyDescent="0.25">
      <c r="A1446" s="1"/>
      <c r="B1446" s="39" t="str">
        <f ca="1">IFERROR(__xludf.DUMMYFUNCTION("""COMPUTED_VALUE"""),"Energía eólica")</f>
        <v>Energía eólica</v>
      </c>
      <c r="C1446" s="22">
        <f ca="1">IFERROR(__xludf.DUMMYFUNCTION("""COMPUTED_VALUE"""),0)</f>
        <v>0</v>
      </c>
      <c r="D1446" s="23">
        <f ca="1">IFERROR(__xludf.DUMMYFUNCTION("""COMPUTED_VALUE"""),0)</f>
        <v>0</v>
      </c>
      <c r="E1446" s="23">
        <f ca="1">IFERROR(__xludf.DUMMYFUNCTION("""COMPUTED_VALUE"""),0)</f>
        <v>0</v>
      </c>
      <c r="F1446" s="23">
        <f ca="1">IFERROR(__xludf.DUMMYFUNCTION("""COMPUTED_VALUE"""),0)</f>
        <v>0</v>
      </c>
      <c r="G1446" s="23">
        <f ca="1">IFERROR(__xludf.DUMMYFUNCTION("""COMPUTED_VALUE"""),0)</f>
        <v>0</v>
      </c>
      <c r="H1446" s="23">
        <f ca="1">IFERROR(__xludf.DUMMYFUNCTION("""COMPUTED_VALUE"""),0)</f>
        <v>0</v>
      </c>
      <c r="I1446" s="23">
        <f ca="1">IFERROR(__xludf.DUMMYFUNCTION("""COMPUTED_VALUE"""),0)</f>
        <v>0</v>
      </c>
      <c r="J1446" s="23">
        <f ca="1">IFERROR(__xludf.DUMMYFUNCTION("""COMPUTED_VALUE"""),0)</f>
        <v>0</v>
      </c>
      <c r="K1446" s="23">
        <f ca="1">IFERROR(__xludf.DUMMYFUNCTION("""COMPUTED_VALUE"""),0)</f>
        <v>0</v>
      </c>
      <c r="L1446" s="23">
        <f ca="1">IFERROR(__xludf.DUMMYFUNCTION("""COMPUTED_VALUE"""),0)</f>
        <v>0</v>
      </c>
      <c r="M1446" s="23">
        <f ca="1">IFERROR(__xludf.DUMMYFUNCTION("""COMPUTED_VALUE"""),0)</f>
        <v>0</v>
      </c>
      <c r="N1446" s="23">
        <f ca="1">IFERROR(__xludf.DUMMYFUNCTION("""COMPUTED_VALUE"""),0)</f>
        <v>0</v>
      </c>
      <c r="O1446" s="23">
        <f ca="1">IFERROR(__xludf.DUMMYFUNCTION("""COMPUTED_VALUE"""),0)</f>
        <v>0</v>
      </c>
      <c r="P1446" s="23">
        <f ca="1">IFERROR(__xludf.DUMMYFUNCTION("""COMPUTED_VALUE"""),0)</f>
        <v>0</v>
      </c>
      <c r="Q1446" s="24">
        <f ca="1">IFERROR(__xludf.DUMMYFUNCTION("""COMPUTED_VALUE"""),0)</f>
        <v>0</v>
      </c>
      <c r="R1446" s="20"/>
    </row>
    <row r="1447" spans="1:18" ht="13.2" hidden="1" outlineLevel="1" x14ac:dyDescent="0.25">
      <c r="A1447" s="1"/>
      <c r="B1447" s="39" t="str">
        <f ca="1">IFERROR(__xludf.DUMMYFUNCTION("""COMPUTED_VALUE"""),"Bagazo de caña")</f>
        <v>Bagazo de caña</v>
      </c>
      <c r="C1447" s="22">
        <f ca="1">IFERROR(__xludf.DUMMYFUNCTION("""COMPUTED_VALUE"""),0)</f>
        <v>0</v>
      </c>
      <c r="D1447" s="23">
        <f ca="1">IFERROR(__xludf.DUMMYFUNCTION("""COMPUTED_VALUE"""),0)</f>
        <v>0</v>
      </c>
      <c r="E1447" s="23">
        <f ca="1">IFERROR(__xludf.DUMMYFUNCTION("""COMPUTED_VALUE"""),0)</f>
        <v>0</v>
      </c>
      <c r="F1447" s="23">
        <f ca="1">IFERROR(__xludf.DUMMYFUNCTION("""COMPUTED_VALUE"""),0)</f>
        <v>0</v>
      </c>
      <c r="G1447" s="23">
        <f ca="1">IFERROR(__xludf.DUMMYFUNCTION("""COMPUTED_VALUE"""),0)</f>
        <v>0</v>
      </c>
      <c r="H1447" s="23">
        <f ca="1">IFERROR(__xludf.DUMMYFUNCTION("""COMPUTED_VALUE"""),0)</f>
        <v>0</v>
      </c>
      <c r="I1447" s="23">
        <f ca="1">IFERROR(__xludf.DUMMYFUNCTION("""COMPUTED_VALUE"""),0)</f>
        <v>0</v>
      </c>
      <c r="J1447" s="23">
        <f ca="1">IFERROR(__xludf.DUMMYFUNCTION("""COMPUTED_VALUE"""),0)</f>
        <v>0</v>
      </c>
      <c r="K1447" s="23">
        <f ca="1">IFERROR(__xludf.DUMMYFUNCTION("""COMPUTED_VALUE"""),0)</f>
        <v>0</v>
      </c>
      <c r="L1447" s="23">
        <f ca="1">IFERROR(__xludf.DUMMYFUNCTION("""COMPUTED_VALUE"""),0)</f>
        <v>0</v>
      </c>
      <c r="M1447" s="23">
        <f ca="1">IFERROR(__xludf.DUMMYFUNCTION("""COMPUTED_VALUE"""),0)</f>
        <v>0</v>
      </c>
      <c r="N1447" s="23">
        <f ca="1">IFERROR(__xludf.DUMMYFUNCTION("""COMPUTED_VALUE"""),0)</f>
        <v>0</v>
      </c>
      <c r="O1447" s="23">
        <f ca="1">IFERROR(__xludf.DUMMYFUNCTION("""COMPUTED_VALUE"""),0)</f>
        <v>0</v>
      </c>
      <c r="P1447" s="23">
        <f ca="1">IFERROR(__xludf.DUMMYFUNCTION("""COMPUTED_VALUE"""),0)</f>
        <v>0</v>
      </c>
      <c r="Q1447" s="24">
        <f ca="1">IFERROR(__xludf.DUMMYFUNCTION("""COMPUTED_VALUE"""),0)</f>
        <v>0</v>
      </c>
      <c r="R1447" s="20"/>
    </row>
    <row r="1448" spans="1:18" ht="13.2" hidden="1" outlineLevel="1" x14ac:dyDescent="0.25">
      <c r="A1448" s="1"/>
      <c r="B1448" s="39" t="str">
        <f ca="1">IFERROR(__xludf.DUMMYFUNCTION("""COMPUTED_VALUE"""),"Leña")</f>
        <v>Leña</v>
      </c>
      <c r="C1448" s="22">
        <f ca="1">IFERROR(__xludf.DUMMYFUNCTION("""COMPUTED_VALUE"""),0)</f>
        <v>0</v>
      </c>
      <c r="D1448" s="23">
        <f ca="1">IFERROR(__xludf.DUMMYFUNCTION("""COMPUTED_VALUE"""),0)</f>
        <v>0</v>
      </c>
      <c r="E1448" s="23">
        <f ca="1">IFERROR(__xludf.DUMMYFUNCTION("""COMPUTED_VALUE"""),0)</f>
        <v>0</v>
      </c>
      <c r="F1448" s="23">
        <f ca="1">IFERROR(__xludf.DUMMYFUNCTION("""COMPUTED_VALUE"""),0)</f>
        <v>0</v>
      </c>
      <c r="G1448" s="23">
        <f ca="1">IFERROR(__xludf.DUMMYFUNCTION("""COMPUTED_VALUE"""),0)</f>
        <v>0</v>
      </c>
      <c r="H1448" s="23">
        <f ca="1">IFERROR(__xludf.DUMMYFUNCTION("""COMPUTED_VALUE"""),0)</f>
        <v>0</v>
      </c>
      <c r="I1448" s="23">
        <f ca="1">IFERROR(__xludf.DUMMYFUNCTION("""COMPUTED_VALUE"""),0)</f>
        <v>0</v>
      </c>
      <c r="J1448" s="23">
        <f ca="1">IFERROR(__xludf.DUMMYFUNCTION("""COMPUTED_VALUE"""),0)</f>
        <v>0</v>
      </c>
      <c r="K1448" s="23">
        <f ca="1">IFERROR(__xludf.DUMMYFUNCTION("""COMPUTED_VALUE"""),0)</f>
        <v>0</v>
      </c>
      <c r="L1448" s="23">
        <f ca="1">IFERROR(__xludf.DUMMYFUNCTION("""COMPUTED_VALUE"""),0)</f>
        <v>0</v>
      </c>
      <c r="M1448" s="23">
        <f ca="1">IFERROR(__xludf.DUMMYFUNCTION("""COMPUTED_VALUE"""),0)</f>
        <v>0</v>
      </c>
      <c r="N1448" s="23">
        <f ca="1">IFERROR(__xludf.DUMMYFUNCTION("""COMPUTED_VALUE"""),0)</f>
        <v>0</v>
      </c>
      <c r="O1448" s="23">
        <f ca="1">IFERROR(__xludf.DUMMYFUNCTION("""COMPUTED_VALUE"""),0)</f>
        <v>0</v>
      </c>
      <c r="P1448" s="23">
        <f ca="1">IFERROR(__xludf.DUMMYFUNCTION("""COMPUTED_VALUE"""),0)</f>
        <v>0</v>
      </c>
      <c r="Q1448" s="24">
        <f ca="1">IFERROR(__xludf.DUMMYFUNCTION("""COMPUTED_VALUE"""),0)</f>
        <v>0</v>
      </c>
      <c r="R1448" s="20"/>
    </row>
    <row r="1449" spans="1:18" ht="13.2" hidden="1" outlineLevel="1" x14ac:dyDescent="0.25">
      <c r="A1449" s="1"/>
      <c r="B1449" s="39" t="str">
        <f ca="1">IFERROR(__xludf.DUMMYFUNCTION("""COMPUTED_VALUE"""),"Biogás")</f>
        <v>Biogás</v>
      </c>
      <c r="C1449" s="22">
        <f ca="1">IFERROR(__xludf.DUMMYFUNCTION("""COMPUTED_VALUE"""),0)</f>
        <v>0</v>
      </c>
      <c r="D1449" s="23">
        <f ca="1">IFERROR(__xludf.DUMMYFUNCTION("""COMPUTED_VALUE"""),0)</f>
        <v>0</v>
      </c>
      <c r="E1449" s="23">
        <f ca="1">IFERROR(__xludf.DUMMYFUNCTION("""COMPUTED_VALUE"""),0)</f>
        <v>0</v>
      </c>
      <c r="F1449" s="23">
        <f ca="1">IFERROR(__xludf.DUMMYFUNCTION("""COMPUTED_VALUE"""),0)</f>
        <v>0</v>
      </c>
      <c r="G1449" s="23">
        <f ca="1">IFERROR(__xludf.DUMMYFUNCTION("""COMPUTED_VALUE"""),0)</f>
        <v>0</v>
      </c>
      <c r="H1449" s="23">
        <f ca="1">IFERROR(__xludf.DUMMYFUNCTION("""COMPUTED_VALUE"""),0)</f>
        <v>0</v>
      </c>
      <c r="I1449" s="23">
        <f ca="1">IFERROR(__xludf.DUMMYFUNCTION("""COMPUTED_VALUE"""),0)</f>
        <v>0</v>
      </c>
      <c r="J1449" s="23">
        <f ca="1">IFERROR(__xludf.DUMMYFUNCTION("""COMPUTED_VALUE"""),0)</f>
        <v>0</v>
      </c>
      <c r="K1449" s="23">
        <f ca="1">IFERROR(__xludf.DUMMYFUNCTION("""COMPUTED_VALUE"""),0)</f>
        <v>0</v>
      </c>
      <c r="L1449" s="23">
        <f ca="1">IFERROR(__xludf.DUMMYFUNCTION("""COMPUTED_VALUE"""),0)</f>
        <v>0</v>
      </c>
      <c r="M1449" s="23">
        <f ca="1">IFERROR(__xludf.DUMMYFUNCTION("""COMPUTED_VALUE"""),0)</f>
        <v>0</v>
      </c>
      <c r="N1449" s="23">
        <f ca="1">IFERROR(__xludf.DUMMYFUNCTION("""COMPUTED_VALUE"""),0)</f>
        <v>0</v>
      </c>
      <c r="O1449" s="23">
        <f ca="1">IFERROR(__xludf.DUMMYFUNCTION("""COMPUTED_VALUE"""),0)</f>
        <v>0</v>
      </c>
      <c r="P1449" s="23">
        <f ca="1">IFERROR(__xludf.DUMMYFUNCTION("""COMPUTED_VALUE"""),0)</f>
        <v>0</v>
      </c>
      <c r="Q1449" s="24">
        <f ca="1">IFERROR(__xludf.DUMMYFUNCTION("""COMPUTED_VALUE"""),0)</f>
        <v>0</v>
      </c>
      <c r="R1449" s="20"/>
    </row>
    <row r="1450" spans="1:18" ht="13.2" hidden="1" outlineLevel="1" x14ac:dyDescent="0.25">
      <c r="A1450" s="1"/>
      <c r="B1450" s="39" t="str">
        <f ca="1">IFERROR(__xludf.DUMMYFUNCTION("""COMPUTED_VALUE"""),"Coque de carbón")</f>
        <v>Coque de carbón</v>
      </c>
      <c r="C1450" s="22">
        <f ca="1">IFERROR(__xludf.DUMMYFUNCTION("""COMPUTED_VALUE"""),0)</f>
        <v>0</v>
      </c>
      <c r="D1450" s="23">
        <f ca="1">IFERROR(__xludf.DUMMYFUNCTION("""COMPUTED_VALUE"""),0)</f>
        <v>0</v>
      </c>
      <c r="E1450" s="23">
        <f ca="1">IFERROR(__xludf.DUMMYFUNCTION("""COMPUTED_VALUE"""),0)</f>
        <v>0</v>
      </c>
      <c r="F1450" s="23">
        <f ca="1">IFERROR(__xludf.DUMMYFUNCTION("""COMPUTED_VALUE"""),0)</f>
        <v>0</v>
      </c>
      <c r="G1450" s="23">
        <f ca="1">IFERROR(__xludf.DUMMYFUNCTION("""COMPUTED_VALUE"""),0)</f>
        <v>0</v>
      </c>
      <c r="H1450" s="23">
        <f ca="1">IFERROR(__xludf.DUMMYFUNCTION("""COMPUTED_VALUE"""),0)</f>
        <v>0</v>
      </c>
      <c r="I1450" s="23">
        <f ca="1">IFERROR(__xludf.DUMMYFUNCTION("""COMPUTED_VALUE"""),0)</f>
        <v>0</v>
      </c>
      <c r="J1450" s="23">
        <f ca="1">IFERROR(__xludf.DUMMYFUNCTION("""COMPUTED_VALUE"""),0)</f>
        <v>0</v>
      </c>
      <c r="K1450" s="23">
        <f ca="1">IFERROR(__xludf.DUMMYFUNCTION("""COMPUTED_VALUE"""),0)</f>
        <v>0</v>
      </c>
      <c r="L1450" s="23">
        <f ca="1">IFERROR(__xludf.DUMMYFUNCTION("""COMPUTED_VALUE"""),0)</f>
        <v>0</v>
      </c>
      <c r="M1450" s="23">
        <f ca="1">IFERROR(__xludf.DUMMYFUNCTION("""COMPUTED_VALUE"""),0)</f>
        <v>0</v>
      </c>
      <c r="N1450" s="23">
        <f ca="1">IFERROR(__xludf.DUMMYFUNCTION("""COMPUTED_VALUE"""),0)</f>
        <v>0</v>
      </c>
      <c r="O1450" s="23">
        <f ca="1">IFERROR(__xludf.DUMMYFUNCTION("""COMPUTED_VALUE"""),0)</f>
        <v>0</v>
      </c>
      <c r="P1450" s="23">
        <f ca="1">IFERROR(__xludf.DUMMYFUNCTION("""COMPUTED_VALUE"""),0)</f>
        <v>0</v>
      </c>
      <c r="Q1450" s="24">
        <f ca="1">IFERROR(__xludf.DUMMYFUNCTION("""COMPUTED_VALUE"""),0)</f>
        <v>0</v>
      </c>
      <c r="R1450" s="20"/>
    </row>
    <row r="1451" spans="1:18" ht="13.2" hidden="1" outlineLevel="1" x14ac:dyDescent="0.25">
      <c r="A1451" s="1"/>
      <c r="B1451" s="39" t="str">
        <f ca="1">IFERROR(__xludf.DUMMYFUNCTION("""COMPUTED_VALUE"""),"Coque de petróleo")</f>
        <v>Coque de petróleo</v>
      </c>
      <c r="C1451" s="22">
        <f ca="1">IFERROR(__xludf.DUMMYFUNCTION("""COMPUTED_VALUE"""),0.886744575661276)</f>
        <v>0.88674457566127596</v>
      </c>
      <c r="D1451" s="23">
        <f ca="1">IFERROR(__xludf.DUMMYFUNCTION("""COMPUTED_VALUE"""),3.15558615509568)</f>
        <v>3.1555861550956799</v>
      </c>
      <c r="E1451" s="23">
        <f ca="1">IFERROR(__xludf.DUMMYFUNCTION("""COMPUTED_VALUE"""),1.14996261877131)</f>
        <v>1.1499626187713099</v>
      </c>
      <c r="F1451" s="23">
        <f ca="1">IFERROR(__xludf.DUMMYFUNCTION("""COMPUTED_VALUE"""),1.55417997442877)</f>
        <v>1.5541799744287701</v>
      </c>
      <c r="G1451" s="23">
        <f ca="1">IFERROR(__xludf.DUMMYFUNCTION("""COMPUTED_VALUE"""),0.296687182305983)</f>
        <v>0.29668718230598301</v>
      </c>
      <c r="H1451" s="23">
        <f ca="1">IFERROR(__xludf.DUMMYFUNCTION("""COMPUTED_VALUE"""),0.966185090978705)</f>
        <v>0.96618509097870497</v>
      </c>
      <c r="I1451" s="23">
        <f ca="1">IFERROR(__xludf.DUMMYFUNCTION("""COMPUTED_VALUE"""),2.0267224644793)</f>
        <v>2.0267224644792998</v>
      </c>
      <c r="J1451" s="23">
        <f ca="1">IFERROR(__xludf.DUMMYFUNCTION("""COMPUTED_VALUE"""),2.22407009250493)</f>
        <v>2.2240700925049302</v>
      </c>
      <c r="K1451" s="23">
        <f ca="1">IFERROR(__xludf.DUMMYFUNCTION("""COMPUTED_VALUE"""),3.58804060016579)</f>
        <v>3.5880406001657899</v>
      </c>
      <c r="L1451" s="23">
        <f ca="1">IFERROR(__xludf.DUMMYFUNCTION("""COMPUTED_VALUE"""),2.97569076025305)</f>
        <v>2.97569076025305</v>
      </c>
      <c r="M1451" s="23">
        <f ca="1">IFERROR(__xludf.DUMMYFUNCTION("""COMPUTED_VALUE"""),2.49855605925668)</f>
        <v>2.4985560592566798</v>
      </c>
      <c r="N1451" s="23">
        <f ca="1">IFERROR(__xludf.DUMMYFUNCTION("""COMPUTED_VALUE"""),6.4793999090814)</f>
        <v>6.4793999090814003</v>
      </c>
      <c r="O1451" s="23">
        <f ca="1">IFERROR(__xludf.DUMMYFUNCTION("""COMPUTED_VALUE"""),6.25743359740707)</f>
        <v>6.2574335974070703</v>
      </c>
      <c r="P1451" s="23">
        <f ca="1">IFERROR(__xludf.DUMMYFUNCTION("""COMPUTED_VALUE"""),5.81468298655327)</f>
        <v>5.8146829865532697</v>
      </c>
      <c r="Q1451" s="24">
        <f ca="1">IFERROR(__xludf.DUMMYFUNCTION("""COMPUTED_VALUE"""),2.76005289944308)</f>
        <v>2.76005289944308</v>
      </c>
      <c r="R1451" s="20"/>
    </row>
    <row r="1452" spans="1:18" ht="13.2" hidden="1" outlineLevel="1" x14ac:dyDescent="0.25">
      <c r="A1452" s="1"/>
      <c r="B1452" s="39" t="str">
        <f ca="1">IFERROR(__xludf.DUMMYFUNCTION("""COMPUTED_VALUE"""),"Gas licuado de petróleo")</f>
        <v>Gas licuado de petróleo</v>
      </c>
      <c r="C1452" s="22">
        <f ca="1">IFERROR(__xludf.DUMMYFUNCTION("""COMPUTED_VALUE"""),0.0289669164191606)</f>
        <v>2.8966916419160601E-2</v>
      </c>
      <c r="D1452" s="23">
        <f ca="1">IFERROR(__xludf.DUMMYFUNCTION("""COMPUTED_VALUE"""),0.01847759599746)</f>
        <v>1.8477595997459999E-2</v>
      </c>
      <c r="E1452" s="23">
        <f ca="1">IFERROR(__xludf.DUMMYFUNCTION("""COMPUTED_VALUE"""),0.0318431360283182)</f>
        <v>3.1843136028318203E-2</v>
      </c>
      <c r="F1452" s="23">
        <f ca="1">IFERROR(__xludf.DUMMYFUNCTION("""COMPUTED_VALUE"""),0.0199506348424041)</f>
        <v>1.99506348424041E-2</v>
      </c>
      <c r="G1452" s="23">
        <f ca="1">IFERROR(__xludf.DUMMYFUNCTION("""COMPUTED_VALUE"""),0.0204104876168495)</f>
        <v>2.04104876168495E-2</v>
      </c>
      <c r="H1452" s="23">
        <f ca="1">IFERROR(__xludf.DUMMYFUNCTION("""COMPUTED_VALUE"""),0.0222041668085604)</f>
        <v>2.22041668085604E-2</v>
      </c>
      <c r="I1452" s="23">
        <f ca="1">IFERROR(__xludf.DUMMYFUNCTION("""COMPUTED_VALUE"""),0.0221515403830485)</f>
        <v>2.21515403830485E-2</v>
      </c>
      <c r="J1452" s="23">
        <f ca="1">IFERROR(__xludf.DUMMYFUNCTION("""COMPUTED_VALUE"""),0.0213869481736464)</f>
        <v>2.1386948173646399E-2</v>
      </c>
      <c r="K1452" s="23">
        <f ca="1">IFERROR(__xludf.DUMMYFUNCTION("""COMPUTED_VALUE"""),0.0220578930403411)</f>
        <v>2.2057893040341101E-2</v>
      </c>
      <c r="L1452" s="23">
        <f ca="1">IFERROR(__xludf.DUMMYFUNCTION("""COMPUTED_VALUE"""),0.0300411336220274)</f>
        <v>3.0041133622027399E-2</v>
      </c>
      <c r="M1452" s="23">
        <f ca="1">IFERROR(__xludf.DUMMYFUNCTION("""COMPUTED_VALUE"""),0.0293715929177578)</f>
        <v>2.9371592917757799E-2</v>
      </c>
      <c r="N1452" s="23">
        <f ca="1">IFERROR(__xludf.DUMMYFUNCTION("""COMPUTED_VALUE"""),0.0214773911731837)</f>
        <v>2.1477391173183698E-2</v>
      </c>
      <c r="O1452" s="23">
        <f ca="1">IFERROR(__xludf.DUMMYFUNCTION("""COMPUTED_VALUE"""),0.0206950651104551)</f>
        <v>2.0695065110455099E-2</v>
      </c>
      <c r="P1452" s="23">
        <f ca="1">IFERROR(__xludf.DUMMYFUNCTION("""COMPUTED_VALUE"""),0.023123347785325)</f>
        <v>2.3123347785324998E-2</v>
      </c>
      <c r="Q1452" s="24">
        <f ca="1">IFERROR(__xludf.DUMMYFUNCTION("""COMPUTED_VALUE"""),0.0255976449144032)</f>
        <v>2.5597644914403202E-2</v>
      </c>
      <c r="R1452" s="20"/>
    </row>
    <row r="1453" spans="1:18" ht="13.2" hidden="1" outlineLevel="1" x14ac:dyDescent="0.25">
      <c r="A1453" s="1"/>
      <c r="B1453" s="39" t="str">
        <f ca="1">IFERROR(__xludf.DUMMYFUNCTION("""COMPUTED_VALUE"""),"Gasolinas y naftas")</f>
        <v>Gasolinas y naftas</v>
      </c>
      <c r="C1453" s="22">
        <f ca="1">IFERROR(__xludf.DUMMYFUNCTION("""COMPUTED_VALUE"""),0)</f>
        <v>0</v>
      </c>
      <c r="D1453" s="23">
        <f ca="1">IFERROR(__xludf.DUMMYFUNCTION("""COMPUTED_VALUE"""),0)</f>
        <v>0</v>
      </c>
      <c r="E1453" s="23">
        <f ca="1">IFERROR(__xludf.DUMMYFUNCTION("""COMPUTED_VALUE"""),0)</f>
        <v>0</v>
      </c>
      <c r="F1453" s="23">
        <f ca="1">IFERROR(__xludf.DUMMYFUNCTION("""COMPUTED_VALUE"""),0)</f>
        <v>0</v>
      </c>
      <c r="G1453" s="23">
        <f ca="1">IFERROR(__xludf.DUMMYFUNCTION("""COMPUTED_VALUE"""),0)</f>
        <v>0</v>
      </c>
      <c r="H1453" s="23">
        <f ca="1">IFERROR(__xludf.DUMMYFUNCTION("""COMPUTED_VALUE"""),0)</f>
        <v>0</v>
      </c>
      <c r="I1453" s="23">
        <f ca="1">IFERROR(__xludf.DUMMYFUNCTION("""COMPUTED_VALUE"""),0)</f>
        <v>0</v>
      </c>
      <c r="J1453" s="23">
        <f ca="1">IFERROR(__xludf.DUMMYFUNCTION("""COMPUTED_VALUE"""),0)</f>
        <v>0</v>
      </c>
      <c r="K1453" s="23">
        <f ca="1">IFERROR(__xludf.DUMMYFUNCTION("""COMPUTED_VALUE"""),0)</f>
        <v>0</v>
      </c>
      <c r="L1453" s="23">
        <f ca="1">IFERROR(__xludf.DUMMYFUNCTION("""COMPUTED_VALUE"""),0)</f>
        <v>0</v>
      </c>
      <c r="M1453" s="23">
        <f ca="1">IFERROR(__xludf.DUMMYFUNCTION("""COMPUTED_VALUE"""),0)</f>
        <v>0</v>
      </c>
      <c r="N1453" s="23">
        <f ca="1">IFERROR(__xludf.DUMMYFUNCTION("""COMPUTED_VALUE"""),0)</f>
        <v>0</v>
      </c>
      <c r="O1453" s="23">
        <f ca="1">IFERROR(__xludf.DUMMYFUNCTION("""COMPUTED_VALUE"""),0)</f>
        <v>0</v>
      </c>
      <c r="P1453" s="23">
        <f ca="1">IFERROR(__xludf.DUMMYFUNCTION("""COMPUTED_VALUE"""),0)</f>
        <v>0</v>
      </c>
      <c r="Q1453" s="24">
        <f ca="1">IFERROR(__xludf.DUMMYFUNCTION("""COMPUTED_VALUE"""),0)</f>
        <v>0</v>
      </c>
      <c r="R1453" s="20"/>
    </row>
    <row r="1454" spans="1:18" ht="13.2" hidden="1" outlineLevel="1" x14ac:dyDescent="0.25">
      <c r="A1454" s="1"/>
      <c r="B1454" s="39" t="str">
        <f ca="1">IFERROR(__xludf.DUMMYFUNCTION("""COMPUTED_VALUE"""),"Querosenos")</f>
        <v>Querosenos</v>
      </c>
      <c r="C1454" s="22">
        <f ca="1">IFERROR(__xludf.DUMMYFUNCTION("""COMPUTED_VALUE"""),0)</f>
        <v>0</v>
      </c>
      <c r="D1454" s="23">
        <f ca="1">IFERROR(__xludf.DUMMYFUNCTION("""COMPUTED_VALUE"""),0)</f>
        <v>0</v>
      </c>
      <c r="E1454" s="23">
        <f ca="1">IFERROR(__xludf.DUMMYFUNCTION("""COMPUTED_VALUE"""),0)</f>
        <v>0</v>
      </c>
      <c r="F1454" s="23">
        <f ca="1">IFERROR(__xludf.DUMMYFUNCTION("""COMPUTED_VALUE"""),0)</f>
        <v>0</v>
      </c>
      <c r="G1454" s="23">
        <f ca="1">IFERROR(__xludf.DUMMYFUNCTION("""COMPUTED_VALUE"""),0)</f>
        <v>0</v>
      </c>
      <c r="H1454" s="23">
        <f ca="1">IFERROR(__xludf.DUMMYFUNCTION("""COMPUTED_VALUE"""),0)</f>
        <v>0</v>
      </c>
      <c r="I1454" s="23">
        <f ca="1">IFERROR(__xludf.DUMMYFUNCTION("""COMPUTED_VALUE"""),0)</f>
        <v>0</v>
      </c>
      <c r="J1454" s="23">
        <f ca="1">IFERROR(__xludf.DUMMYFUNCTION("""COMPUTED_VALUE"""),0)</f>
        <v>0</v>
      </c>
      <c r="K1454" s="23">
        <f ca="1">IFERROR(__xludf.DUMMYFUNCTION("""COMPUTED_VALUE"""),0)</f>
        <v>0</v>
      </c>
      <c r="L1454" s="23">
        <f ca="1">IFERROR(__xludf.DUMMYFUNCTION("""COMPUTED_VALUE"""),0)</f>
        <v>0</v>
      </c>
      <c r="M1454" s="23">
        <f ca="1">IFERROR(__xludf.DUMMYFUNCTION("""COMPUTED_VALUE"""),0)</f>
        <v>0</v>
      </c>
      <c r="N1454" s="23">
        <f ca="1">IFERROR(__xludf.DUMMYFUNCTION("""COMPUTED_VALUE"""),0)</f>
        <v>0</v>
      </c>
      <c r="O1454" s="23">
        <f ca="1">IFERROR(__xludf.DUMMYFUNCTION("""COMPUTED_VALUE"""),0)</f>
        <v>0</v>
      </c>
      <c r="P1454" s="23">
        <f ca="1">IFERROR(__xludf.DUMMYFUNCTION("""COMPUTED_VALUE"""),0)</f>
        <v>0</v>
      </c>
      <c r="Q1454" s="24">
        <f ca="1">IFERROR(__xludf.DUMMYFUNCTION("""COMPUTED_VALUE"""),0)</f>
        <v>0</v>
      </c>
      <c r="R1454" s="20"/>
    </row>
    <row r="1455" spans="1:18" ht="13.2" hidden="1" outlineLevel="1" x14ac:dyDescent="0.25">
      <c r="A1455" s="1"/>
      <c r="B1455" s="39" t="str">
        <f ca="1">IFERROR(__xludf.DUMMYFUNCTION("""COMPUTED_VALUE"""),"Diesel")</f>
        <v>Diesel</v>
      </c>
      <c r="C1455" s="22">
        <f ca="1">IFERROR(__xludf.DUMMYFUNCTION("""COMPUTED_VALUE"""),1.72366754659979)</f>
        <v>1.7236675465997899</v>
      </c>
      <c r="D1455" s="23">
        <f ca="1">IFERROR(__xludf.DUMMYFUNCTION("""COMPUTED_VALUE"""),1.71956323431708)</f>
        <v>1.7195632343170799</v>
      </c>
      <c r="E1455" s="23">
        <f ca="1">IFERROR(__xludf.DUMMYFUNCTION("""COMPUTED_VALUE"""),2.19097026570163)</f>
        <v>2.1909702657016301</v>
      </c>
      <c r="F1455" s="23">
        <f ca="1">IFERROR(__xludf.DUMMYFUNCTION("""COMPUTED_VALUE"""),1.96648188312563)</f>
        <v>1.9664818831256301</v>
      </c>
      <c r="G1455" s="23">
        <f ca="1">IFERROR(__xludf.DUMMYFUNCTION("""COMPUTED_VALUE"""),2.06554479297365)</f>
        <v>2.0655447929736499</v>
      </c>
      <c r="H1455" s="23">
        <f ca="1">IFERROR(__xludf.DUMMYFUNCTION("""COMPUTED_VALUE"""),2.15352859182319)</f>
        <v>2.1535285918231901</v>
      </c>
      <c r="I1455" s="23">
        <f ca="1">IFERROR(__xludf.DUMMYFUNCTION("""COMPUTED_VALUE"""),2.10156377112898)</f>
        <v>2.1015637711289799</v>
      </c>
      <c r="J1455" s="23">
        <f ca="1">IFERROR(__xludf.DUMMYFUNCTION("""COMPUTED_VALUE"""),2.07551013106582)</f>
        <v>2.0755101310658199</v>
      </c>
      <c r="K1455" s="23">
        <f ca="1">IFERROR(__xludf.DUMMYFUNCTION("""COMPUTED_VALUE"""),2.44490110263013)</f>
        <v>2.4449011026301299</v>
      </c>
      <c r="L1455" s="23">
        <f ca="1">IFERROR(__xludf.DUMMYFUNCTION("""COMPUTED_VALUE"""),2.22590956404738)</f>
        <v>2.2259095640473801</v>
      </c>
      <c r="M1455" s="23">
        <f ca="1">IFERROR(__xludf.DUMMYFUNCTION("""COMPUTED_VALUE"""),1.64673064542097)</f>
        <v>1.64673064542097</v>
      </c>
      <c r="N1455" s="23">
        <f ca="1">IFERROR(__xludf.DUMMYFUNCTION("""COMPUTED_VALUE"""),1.60148979413198)</f>
        <v>1.6014897941319799</v>
      </c>
      <c r="O1455" s="23">
        <f ca="1">IFERROR(__xludf.DUMMYFUNCTION("""COMPUTED_VALUE"""),1.5806003191065)</f>
        <v>1.5806003191064999</v>
      </c>
      <c r="P1455" s="23">
        <f ca="1">IFERROR(__xludf.DUMMYFUNCTION("""COMPUTED_VALUE"""),1.60893699815112)</f>
        <v>1.6089369981511199</v>
      </c>
      <c r="Q1455" s="24">
        <f ca="1">IFERROR(__xludf.DUMMYFUNCTION("""COMPUTED_VALUE"""),2.28403901352668)</f>
        <v>2.2840390135266802</v>
      </c>
      <c r="R1455" s="20"/>
    </row>
    <row r="1456" spans="1:18" ht="13.2" hidden="1" outlineLevel="1" x14ac:dyDescent="0.25">
      <c r="A1456" s="1"/>
      <c r="B1456" s="39" t="str">
        <f ca="1">IFERROR(__xludf.DUMMYFUNCTION("""COMPUTED_VALUE"""),"Combustóleo")</f>
        <v>Combustóleo</v>
      </c>
      <c r="C1456" s="22">
        <f ca="1">IFERROR(__xludf.DUMMYFUNCTION("""COMPUTED_VALUE"""),1.40054504789999)</f>
        <v>1.4005450478999899</v>
      </c>
      <c r="D1456" s="23">
        <f ca="1">IFERROR(__xludf.DUMMYFUNCTION("""COMPUTED_VALUE"""),1.27130921212624)</f>
        <v>1.2713092121262399</v>
      </c>
      <c r="E1456" s="23">
        <f ca="1">IFERROR(__xludf.DUMMYFUNCTION("""COMPUTED_VALUE"""),1.00632643598138)</f>
        <v>1.0063264359813799</v>
      </c>
      <c r="F1456" s="23">
        <f ca="1">IFERROR(__xludf.DUMMYFUNCTION("""COMPUTED_VALUE"""),0.524722074653737)</f>
        <v>0.52472207465373699</v>
      </c>
      <c r="G1456" s="23">
        <f ca="1">IFERROR(__xludf.DUMMYFUNCTION("""COMPUTED_VALUE"""),0.471094096475022)</f>
        <v>0.47109409647502198</v>
      </c>
      <c r="H1456" s="23">
        <f ca="1">IFERROR(__xludf.DUMMYFUNCTION("""COMPUTED_VALUE"""),0.656370305586438)</f>
        <v>0.65637030558643805</v>
      </c>
      <c r="I1456" s="23">
        <f ca="1">IFERROR(__xludf.DUMMYFUNCTION("""COMPUTED_VALUE"""),0.727286021871996)</f>
        <v>0.72728602187199598</v>
      </c>
      <c r="J1456" s="23">
        <f ca="1">IFERROR(__xludf.DUMMYFUNCTION("""COMPUTED_VALUE"""),0.775759873702549)</f>
        <v>0.77575987370254895</v>
      </c>
      <c r="K1456" s="23">
        <f ca="1">IFERROR(__xludf.DUMMYFUNCTION("""COMPUTED_VALUE"""),0.24076556040065)</f>
        <v>0.24076556040065</v>
      </c>
      <c r="L1456" s="23">
        <f ca="1">IFERROR(__xludf.DUMMYFUNCTION("""COMPUTED_VALUE"""),0.354213773740932)</f>
        <v>0.35421377374093199</v>
      </c>
      <c r="M1456" s="23">
        <f ca="1">IFERROR(__xludf.DUMMYFUNCTION("""COMPUTED_VALUE"""),0.363974458387017)</f>
        <v>0.36397445838701697</v>
      </c>
      <c r="N1456" s="23">
        <f ca="1">IFERROR(__xludf.DUMMYFUNCTION("""COMPUTED_VALUE"""),0.370617712881635)</f>
        <v>0.37061771288163498</v>
      </c>
      <c r="O1456" s="23">
        <f ca="1">IFERROR(__xludf.DUMMYFUNCTION("""COMPUTED_VALUE"""),0.425893742039677)</f>
        <v>0.425893742039677</v>
      </c>
      <c r="P1456" s="23">
        <f ca="1">IFERROR(__xludf.DUMMYFUNCTION("""COMPUTED_VALUE"""),0.388976896536348)</f>
        <v>0.38897689653634798</v>
      </c>
      <c r="Q1456" s="24">
        <f ca="1">IFERROR(__xludf.DUMMYFUNCTION("""COMPUTED_VALUE"""),0.313444520267463)</f>
        <v>0.313444520267463</v>
      </c>
      <c r="R1456" s="20"/>
    </row>
    <row r="1457" spans="1:18" ht="13.2" hidden="1" outlineLevel="1" x14ac:dyDescent="0.25">
      <c r="A1457" s="1"/>
      <c r="B1457" s="39" t="str">
        <f ca="1">IFERROR(__xludf.DUMMYFUNCTION("""COMPUTED_VALUE"""),"Otros energéticos")</f>
        <v>Otros energéticos</v>
      </c>
      <c r="C1457" s="22">
        <f ca="1">IFERROR(__xludf.DUMMYFUNCTION("""COMPUTED_VALUE"""),0)</f>
        <v>0</v>
      </c>
      <c r="D1457" s="23">
        <f ca="1">IFERROR(__xludf.DUMMYFUNCTION("""COMPUTED_VALUE"""),0)</f>
        <v>0</v>
      </c>
      <c r="E1457" s="23">
        <f ca="1">IFERROR(__xludf.DUMMYFUNCTION("""COMPUTED_VALUE"""),0)</f>
        <v>0</v>
      </c>
      <c r="F1457" s="23">
        <f ca="1">IFERROR(__xludf.DUMMYFUNCTION("""COMPUTED_VALUE"""),0)</f>
        <v>0</v>
      </c>
      <c r="G1457" s="23">
        <f ca="1">IFERROR(__xludf.DUMMYFUNCTION("""COMPUTED_VALUE"""),0)</f>
        <v>0</v>
      </c>
      <c r="H1457" s="23">
        <f ca="1">IFERROR(__xludf.DUMMYFUNCTION("""COMPUTED_VALUE"""),0)</f>
        <v>0</v>
      </c>
      <c r="I1457" s="23">
        <f ca="1">IFERROR(__xludf.DUMMYFUNCTION("""COMPUTED_VALUE"""),0)</f>
        <v>0</v>
      </c>
      <c r="J1457" s="23">
        <f ca="1">IFERROR(__xludf.DUMMYFUNCTION("""COMPUTED_VALUE"""),0)</f>
        <v>0</v>
      </c>
      <c r="K1457" s="23">
        <f ca="1">IFERROR(__xludf.DUMMYFUNCTION("""COMPUTED_VALUE"""),0)</f>
        <v>0</v>
      </c>
      <c r="L1457" s="23">
        <f ca="1">IFERROR(__xludf.DUMMYFUNCTION("""COMPUTED_VALUE"""),0)</f>
        <v>0</v>
      </c>
      <c r="M1457" s="23">
        <f ca="1">IFERROR(__xludf.DUMMYFUNCTION("""COMPUTED_VALUE"""),0)</f>
        <v>0</v>
      </c>
      <c r="N1457" s="23">
        <f ca="1">IFERROR(__xludf.DUMMYFUNCTION("""COMPUTED_VALUE"""),0)</f>
        <v>0</v>
      </c>
      <c r="O1457" s="23">
        <f ca="1">IFERROR(__xludf.DUMMYFUNCTION("""COMPUTED_VALUE"""),0)</f>
        <v>0</v>
      </c>
      <c r="P1457" s="23">
        <f ca="1">IFERROR(__xludf.DUMMYFUNCTION("""COMPUTED_VALUE"""),0)</f>
        <v>0</v>
      </c>
      <c r="Q1457" s="24">
        <f ca="1">IFERROR(__xludf.DUMMYFUNCTION("""COMPUTED_VALUE"""),0)</f>
        <v>0</v>
      </c>
      <c r="R1457" s="20"/>
    </row>
    <row r="1458" spans="1:18" ht="13.2" hidden="1" outlineLevel="1" x14ac:dyDescent="0.25">
      <c r="A1458" s="1"/>
      <c r="B1458" s="39" t="str">
        <f ca="1">IFERROR(__xludf.DUMMYFUNCTION("""COMPUTED_VALUE"""),"Gas natural seco")</f>
        <v>Gas natural seco</v>
      </c>
      <c r="C1458" s="22">
        <f ca="1">IFERROR(__xludf.DUMMYFUNCTION("""COMPUTED_VALUE"""),6.63779905390996)</f>
        <v>6.6377990539099603</v>
      </c>
      <c r="D1458" s="23">
        <f ca="1">IFERROR(__xludf.DUMMYFUNCTION("""COMPUTED_VALUE"""),3.78284309109174)</f>
        <v>3.7828430910917401</v>
      </c>
      <c r="E1458" s="23">
        <f ca="1">IFERROR(__xludf.DUMMYFUNCTION("""COMPUTED_VALUE"""),4.88622321227878)</f>
        <v>4.8862232122787796</v>
      </c>
      <c r="F1458" s="23">
        <f ca="1">IFERROR(__xludf.DUMMYFUNCTION("""COMPUTED_VALUE"""),4.7136449747129)</f>
        <v>4.7136449747129001</v>
      </c>
      <c r="G1458" s="23">
        <f ca="1">IFERROR(__xludf.DUMMYFUNCTION("""COMPUTED_VALUE"""),5.74733125580161)</f>
        <v>5.7473312558016101</v>
      </c>
      <c r="H1458" s="23">
        <f ca="1">IFERROR(__xludf.DUMMYFUNCTION("""COMPUTED_VALUE"""),6.03376491078176)</f>
        <v>6.0337649107817599</v>
      </c>
      <c r="I1458" s="23">
        <f ca="1">IFERROR(__xludf.DUMMYFUNCTION("""COMPUTED_VALUE"""),6.17009521751878)</f>
        <v>6.1700952175187798</v>
      </c>
      <c r="J1458" s="23">
        <f ca="1">IFERROR(__xludf.DUMMYFUNCTION("""COMPUTED_VALUE"""),5.36293423919676)</f>
        <v>5.3629342391967603</v>
      </c>
      <c r="K1458" s="23">
        <f ca="1">IFERROR(__xludf.DUMMYFUNCTION("""COMPUTED_VALUE"""),6.41309287449392)</f>
        <v>6.4130928744939197</v>
      </c>
      <c r="L1458" s="23">
        <f ca="1">IFERROR(__xludf.DUMMYFUNCTION("""COMPUTED_VALUE"""),6.15538189052796)</f>
        <v>6.15538189052796</v>
      </c>
      <c r="M1458" s="23">
        <f ca="1">IFERROR(__xludf.DUMMYFUNCTION("""COMPUTED_VALUE"""),5.97376770945918)</f>
        <v>5.9737677094591799</v>
      </c>
      <c r="N1458" s="23">
        <f ca="1">IFERROR(__xludf.DUMMYFUNCTION("""COMPUTED_VALUE"""),6.26320807633229)</f>
        <v>6.2632080763322904</v>
      </c>
      <c r="O1458" s="23">
        <f ca="1">IFERROR(__xludf.DUMMYFUNCTION("""COMPUTED_VALUE"""),6.85010323581972)</f>
        <v>6.85010323581972</v>
      </c>
      <c r="P1458" s="23">
        <f ca="1">IFERROR(__xludf.DUMMYFUNCTION("""COMPUTED_VALUE"""),6.95495643896037)</f>
        <v>6.9549564389603704</v>
      </c>
      <c r="Q1458" s="24">
        <f ca="1">IFERROR(__xludf.DUMMYFUNCTION("""COMPUTED_VALUE"""),9.45432661143563)</f>
        <v>9.4543266114356292</v>
      </c>
      <c r="R1458" s="20"/>
    </row>
    <row r="1459" spans="1:18" ht="13.2" hidden="1" outlineLevel="1" x14ac:dyDescent="0.25">
      <c r="A1459" s="1"/>
      <c r="B1459" s="40" t="str">
        <f ca="1">IFERROR(__xludf.DUMMYFUNCTION("""COMPUTED_VALUE"""),"Energía eléctrica")</f>
        <v>Energía eléctrica</v>
      </c>
      <c r="C1459" s="26">
        <f ca="1">IFERROR(__xludf.DUMMYFUNCTION("""COMPUTED_VALUE"""),2.01655894366702)</f>
        <v>2.0165589436670199</v>
      </c>
      <c r="D1459" s="27">
        <f ca="1">IFERROR(__xludf.DUMMYFUNCTION("""COMPUTED_VALUE"""),1.50365990602322)</f>
        <v>1.5036599060232201</v>
      </c>
      <c r="E1459" s="27">
        <f ca="1">IFERROR(__xludf.DUMMYFUNCTION("""COMPUTED_VALUE"""),2.30182977505946)</f>
        <v>2.3018297750594598</v>
      </c>
      <c r="F1459" s="27">
        <f ca="1">IFERROR(__xludf.DUMMYFUNCTION("""COMPUTED_VALUE"""),1.74367062125769)</f>
        <v>1.74367062125769</v>
      </c>
      <c r="G1459" s="27">
        <f ca="1">IFERROR(__xludf.DUMMYFUNCTION("""COMPUTED_VALUE"""),1.87472520193759)</f>
        <v>1.87472520193759</v>
      </c>
      <c r="H1459" s="27">
        <f ca="1">IFERROR(__xludf.DUMMYFUNCTION("""COMPUTED_VALUE"""),1.92784530567413)</f>
        <v>1.92784530567413</v>
      </c>
      <c r="I1459" s="27">
        <f ca="1">IFERROR(__xludf.DUMMYFUNCTION("""COMPUTED_VALUE"""),1.99387808098623)</f>
        <v>1.99387808098623</v>
      </c>
      <c r="J1459" s="27">
        <f ca="1">IFERROR(__xludf.DUMMYFUNCTION("""COMPUTED_VALUE"""),1.88618361974126)</f>
        <v>1.88618361974126</v>
      </c>
      <c r="K1459" s="27">
        <f ca="1">IFERROR(__xludf.DUMMYFUNCTION("""COMPUTED_VALUE"""),1.88774623872619)</f>
        <v>1.8877462387261901</v>
      </c>
      <c r="L1459" s="27">
        <f ca="1">IFERROR(__xludf.DUMMYFUNCTION("""COMPUTED_VALUE"""),1.74672744602456)</f>
        <v>1.7467274460245601</v>
      </c>
      <c r="M1459" s="27">
        <f ca="1">IFERROR(__xludf.DUMMYFUNCTION("""COMPUTED_VALUE"""),1.76110080437483)</f>
        <v>1.76110080437483</v>
      </c>
      <c r="N1459" s="27">
        <f ca="1">IFERROR(__xludf.DUMMYFUNCTION("""COMPUTED_VALUE"""),3.20778444483639)</f>
        <v>3.2077844448363901</v>
      </c>
      <c r="O1459" s="27">
        <f ca="1">IFERROR(__xludf.DUMMYFUNCTION("""COMPUTED_VALUE"""),0.767002390603285)</f>
        <v>0.76700239060328501</v>
      </c>
      <c r="P1459" s="27">
        <f ca="1">IFERROR(__xludf.DUMMYFUNCTION("""COMPUTED_VALUE"""),2.91831345868621)</f>
        <v>2.9183134586862098</v>
      </c>
      <c r="Q1459" s="28">
        <f ca="1">IFERROR(__xludf.DUMMYFUNCTION("""COMPUTED_VALUE"""),2.63597278752636)</f>
        <v>2.6359727875263599</v>
      </c>
      <c r="R1459" s="20"/>
    </row>
    <row r="1460" spans="1:18" ht="13.2" collapsed="1" x14ac:dyDescent="0.25">
      <c r="A1460" s="1"/>
      <c r="B1460" s="31" t="str">
        <f ca="1">IFERROR(__xludf.DUMMYFUNCTION("""COMPUTED_VALUE"""),"327	Fabricación de productos a base de minerales no metálicos")</f>
        <v>327	Fabricación de productos a base de minerales no metálicos</v>
      </c>
      <c r="C1460" s="41"/>
      <c r="D1460" s="42"/>
      <c r="E1460" s="41"/>
      <c r="F1460" s="41"/>
      <c r="G1460" s="43"/>
      <c r="H1460" s="44"/>
      <c r="I1460" s="45"/>
      <c r="J1460" s="45"/>
      <c r="K1460" s="45"/>
      <c r="L1460" s="45"/>
      <c r="M1460" s="45"/>
      <c r="N1460" s="45"/>
      <c r="O1460" s="45"/>
      <c r="P1460" s="45"/>
      <c r="Q1460" s="45"/>
      <c r="R1460" s="10"/>
    </row>
    <row r="1461" spans="1:18" ht="13.2" hidden="1" outlineLevel="1" x14ac:dyDescent="0.25">
      <c r="A1461" s="1"/>
      <c r="B1461" s="46"/>
      <c r="C1461" s="35">
        <f ca="1">IFERROR(__xludf.DUMMYFUNCTION("""COMPUTED_VALUE"""),2010)</f>
        <v>2010</v>
      </c>
      <c r="D1461" s="36">
        <f ca="1">IFERROR(__xludf.DUMMYFUNCTION("""COMPUTED_VALUE"""),2011)</f>
        <v>2011</v>
      </c>
      <c r="E1461" s="36">
        <f ca="1">IFERROR(__xludf.DUMMYFUNCTION("""COMPUTED_VALUE"""),2012)</f>
        <v>2012</v>
      </c>
      <c r="F1461" s="36">
        <f ca="1">IFERROR(__xludf.DUMMYFUNCTION("""COMPUTED_VALUE"""),2013)</f>
        <v>2013</v>
      </c>
      <c r="G1461" s="36">
        <f ca="1">IFERROR(__xludf.DUMMYFUNCTION("""COMPUTED_VALUE"""),2014)</f>
        <v>2014</v>
      </c>
      <c r="H1461" s="36">
        <f ca="1">IFERROR(__xludf.DUMMYFUNCTION("""COMPUTED_VALUE"""),2015)</f>
        <v>2015</v>
      </c>
      <c r="I1461" s="36">
        <f ca="1">IFERROR(__xludf.DUMMYFUNCTION("""COMPUTED_VALUE"""),2016)</f>
        <v>2016</v>
      </c>
      <c r="J1461" s="36">
        <f ca="1">IFERROR(__xludf.DUMMYFUNCTION("""COMPUTED_VALUE"""),2017)</f>
        <v>2017</v>
      </c>
      <c r="K1461" s="36">
        <f ca="1">IFERROR(__xludf.DUMMYFUNCTION("""COMPUTED_VALUE"""),2018)</f>
        <v>2018</v>
      </c>
      <c r="L1461" s="36">
        <f ca="1">IFERROR(__xludf.DUMMYFUNCTION("""COMPUTED_VALUE"""),2019)</f>
        <v>2019</v>
      </c>
      <c r="M1461" s="36">
        <f ca="1">IFERROR(__xludf.DUMMYFUNCTION("""COMPUTED_VALUE"""),2020)</f>
        <v>2020</v>
      </c>
      <c r="N1461" s="36">
        <f ca="1">IFERROR(__xludf.DUMMYFUNCTION("""COMPUTED_VALUE"""),2021)</f>
        <v>2021</v>
      </c>
      <c r="O1461" s="36">
        <f ca="1">IFERROR(__xludf.DUMMYFUNCTION("""COMPUTED_VALUE"""),2022)</f>
        <v>2022</v>
      </c>
      <c r="P1461" s="36">
        <f ca="1">IFERROR(__xludf.DUMMYFUNCTION("""COMPUTED_VALUE"""),2023)</f>
        <v>2023</v>
      </c>
      <c r="Q1461" s="37">
        <f ca="1">IFERROR(__xludf.DUMMYFUNCTION("""COMPUTED_VALUE"""),2024)</f>
        <v>2024</v>
      </c>
      <c r="R1461" s="15"/>
    </row>
    <row r="1462" spans="1:18" ht="13.2" hidden="1" outlineLevel="1" x14ac:dyDescent="0.25">
      <c r="A1462" s="1"/>
      <c r="B1462" s="38" t="str">
        <f ca="1">IFERROR(__xludf.DUMMYFUNCTION("""COMPUTED_VALUE"""),"Carbón mineral")</f>
        <v>Carbón mineral</v>
      </c>
      <c r="C1462" s="17">
        <f ca="1">IFERROR(__xludf.DUMMYFUNCTION("""COMPUTED_VALUE"""),14.8226589698664)</f>
        <v>14.822658969866399</v>
      </c>
      <c r="D1462" s="18">
        <f ca="1">IFERROR(__xludf.DUMMYFUNCTION("""COMPUTED_VALUE"""),17.7105032865595)</f>
        <v>17.710503286559501</v>
      </c>
      <c r="E1462" s="18">
        <f ca="1">IFERROR(__xludf.DUMMYFUNCTION("""COMPUTED_VALUE"""),9.9262621313762)</f>
        <v>9.9262621313762001</v>
      </c>
      <c r="F1462" s="18">
        <f ca="1">IFERROR(__xludf.DUMMYFUNCTION("""COMPUTED_VALUE"""),7.60256960589165)</f>
        <v>7.6025696058916497</v>
      </c>
      <c r="G1462" s="18">
        <f ca="1">IFERROR(__xludf.DUMMYFUNCTION("""COMPUTED_VALUE"""),8.65818262095204)</f>
        <v>8.6581826209520401</v>
      </c>
      <c r="H1462" s="18">
        <f ca="1">IFERROR(__xludf.DUMMYFUNCTION("""COMPUTED_VALUE"""),12.3692957604751)</f>
        <v>12.369295760475101</v>
      </c>
      <c r="I1462" s="18">
        <f ca="1">IFERROR(__xludf.DUMMYFUNCTION("""COMPUTED_VALUE"""),10.8067750640472)</f>
        <v>10.8067750640472</v>
      </c>
      <c r="J1462" s="18">
        <f ca="1">IFERROR(__xludf.DUMMYFUNCTION("""COMPUTED_VALUE"""),5.55681718551923)</f>
        <v>5.5568171855192299</v>
      </c>
      <c r="K1462" s="18">
        <f ca="1">IFERROR(__xludf.DUMMYFUNCTION("""COMPUTED_VALUE"""),5.45629256087454)</f>
        <v>5.4562925608745401</v>
      </c>
      <c r="L1462" s="18">
        <f ca="1">IFERROR(__xludf.DUMMYFUNCTION("""COMPUTED_VALUE"""),9.31701011743493)</f>
        <v>9.3170101174349291</v>
      </c>
      <c r="M1462" s="18">
        <f ca="1">IFERROR(__xludf.DUMMYFUNCTION("""COMPUTED_VALUE"""),84.854662013462)</f>
        <v>84.854662013462004</v>
      </c>
      <c r="N1462" s="18">
        <f ca="1">IFERROR(__xludf.DUMMYFUNCTION("""COMPUTED_VALUE"""),17.570880155085)</f>
        <v>17.570880155085</v>
      </c>
      <c r="O1462" s="18">
        <f ca="1">IFERROR(__xludf.DUMMYFUNCTION("""COMPUTED_VALUE"""),9.78520497759574)</f>
        <v>9.7852049775957397</v>
      </c>
      <c r="P1462" s="18">
        <f ca="1">IFERROR(__xludf.DUMMYFUNCTION("""COMPUTED_VALUE"""),4.02254345294124)</f>
        <v>4.0225434529412398</v>
      </c>
      <c r="Q1462" s="19">
        <f ca="1">IFERROR(__xludf.DUMMYFUNCTION("""COMPUTED_VALUE"""),6.33820660636167)</f>
        <v>6.3382066063616698</v>
      </c>
      <c r="R1462" s="20"/>
    </row>
    <row r="1463" spans="1:18" ht="13.2" hidden="1" outlineLevel="1" x14ac:dyDescent="0.25">
      <c r="A1463" s="1"/>
      <c r="B1463" s="39" t="str">
        <f ca="1">IFERROR(__xludf.DUMMYFUNCTION("""COMPUTED_VALUE"""),"Petróleo crudo")</f>
        <v>Petróleo crudo</v>
      </c>
      <c r="C1463" s="22">
        <f ca="1">IFERROR(__xludf.DUMMYFUNCTION("""COMPUTED_VALUE"""),0)</f>
        <v>0</v>
      </c>
      <c r="D1463" s="23">
        <f ca="1">IFERROR(__xludf.DUMMYFUNCTION("""COMPUTED_VALUE"""),0)</f>
        <v>0</v>
      </c>
      <c r="E1463" s="23">
        <f ca="1">IFERROR(__xludf.DUMMYFUNCTION("""COMPUTED_VALUE"""),0)</f>
        <v>0</v>
      </c>
      <c r="F1463" s="23">
        <f ca="1">IFERROR(__xludf.DUMMYFUNCTION("""COMPUTED_VALUE"""),0)</f>
        <v>0</v>
      </c>
      <c r="G1463" s="23">
        <f ca="1">IFERROR(__xludf.DUMMYFUNCTION("""COMPUTED_VALUE"""),0)</f>
        <v>0</v>
      </c>
      <c r="H1463" s="23">
        <f ca="1">IFERROR(__xludf.DUMMYFUNCTION("""COMPUTED_VALUE"""),0)</f>
        <v>0</v>
      </c>
      <c r="I1463" s="23">
        <f ca="1">IFERROR(__xludf.DUMMYFUNCTION("""COMPUTED_VALUE"""),0)</f>
        <v>0</v>
      </c>
      <c r="J1463" s="23">
        <f ca="1">IFERROR(__xludf.DUMMYFUNCTION("""COMPUTED_VALUE"""),0)</f>
        <v>0</v>
      </c>
      <c r="K1463" s="23">
        <f ca="1">IFERROR(__xludf.DUMMYFUNCTION("""COMPUTED_VALUE"""),0)</f>
        <v>0</v>
      </c>
      <c r="L1463" s="23">
        <f ca="1">IFERROR(__xludf.DUMMYFUNCTION("""COMPUTED_VALUE"""),0)</f>
        <v>0</v>
      </c>
      <c r="M1463" s="23">
        <f ca="1">IFERROR(__xludf.DUMMYFUNCTION("""COMPUTED_VALUE"""),0)</f>
        <v>0</v>
      </c>
      <c r="N1463" s="23">
        <f ca="1">IFERROR(__xludf.DUMMYFUNCTION("""COMPUTED_VALUE"""),0)</f>
        <v>0</v>
      </c>
      <c r="O1463" s="23">
        <f ca="1">IFERROR(__xludf.DUMMYFUNCTION("""COMPUTED_VALUE"""),0)</f>
        <v>0</v>
      </c>
      <c r="P1463" s="23">
        <f ca="1">IFERROR(__xludf.DUMMYFUNCTION("""COMPUTED_VALUE"""),0)</f>
        <v>0</v>
      </c>
      <c r="Q1463" s="24">
        <f ca="1">IFERROR(__xludf.DUMMYFUNCTION("""COMPUTED_VALUE"""),0)</f>
        <v>0</v>
      </c>
      <c r="R1463" s="20"/>
    </row>
    <row r="1464" spans="1:18" ht="13.2" hidden="1" outlineLevel="1" x14ac:dyDescent="0.25">
      <c r="A1464" s="1"/>
      <c r="B1464" s="39" t="str">
        <f ca="1">IFERROR(__xludf.DUMMYFUNCTION("""COMPUTED_VALUE"""),"Condensados")</f>
        <v>Condensados</v>
      </c>
      <c r="C1464" s="22">
        <f ca="1">IFERROR(__xludf.DUMMYFUNCTION("""COMPUTED_VALUE"""),0)</f>
        <v>0</v>
      </c>
      <c r="D1464" s="23">
        <f ca="1">IFERROR(__xludf.DUMMYFUNCTION("""COMPUTED_VALUE"""),0)</f>
        <v>0</v>
      </c>
      <c r="E1464" s="23">
        <f ca="1">IFERROR(__xludf.DUMMYFUNCTION("""COMPUTED_VALUE"""),0)</f>
        <v>0</v>
      </c>
      <c r="F1464" s="23">
        <f ca="1">IFERROR(__xludf.DUMMYFUNCTION("""COMPUTED_VALUE"""),0)</f>
        <v>0</v>
      </c>
      <c r="G1464" s="23">
        <f ca="1">IFERROR(__xludf.DUMMYFUNCTION("""COMPUTED_VALUE"""),0)</f>
        <v>0</v>
      </c>
      <c r="H1464" s="23">
        <f ca="1">IFERROR(__xludf.DUMMYFUNCTION("""COMPUTED_VALUE"""),0)</f>
        <v>0</v>
      </c>
      <c r="I1464" s="23">
        <f ca="1">IFERROR(__xludf.DUMMYFUNCTION("""COMPUTED_VALUE"""),0)</f>
        <v>0</v>
      </c>
      <c r="J1464" s="23">
        <f ca="1">IFERROR(__xludf.DUMMYFUNCTION("""COMPUTED_VALUE"""),0)</f>
        <v>0</v>
      </c>
      <c r="K1464" s="23">
        <f ca="1">IFERROR(__xludf.DUMMYFUNCTION("""COMPUTED_VALUE"""),0)</f>
        <v>0</v>
      </c>
      <c r="L1464" s="23">
        <f ca="1">IFERROR(__xludf.DUMMYFUNCTION("""COMPUTED_VALUE"""),0)</f>
        <v>0</v>
      </c>
      <c r="M1464" s="23">
        <f ca="1">IFERROR(__xludf.DUMMYFUNCTION("""COMPUTED_VALUE"""),0)</f>
        <v>0</v>
      </c>
      <c r="N1464" s="23">
        <f ca="1">IFERROR(__xludf.DUMMYFUNCTION("""COMPUTED_VALUE"""),0)</f>
        <v>0</v>
      </c>
      <c r="O1464" s="23">
        <f ca="1">IFERROR(__xludf.DUMMYFUNCTION("""COMPUTED_VALUE"""),0)</f>
        <v>0</v>
      </c>
      <c r="P1464" s="23">
        <f ca="1">IFERROR(__xludf.DUMMYFUNCTION("""COMPUTED_VALUE"""),0)</f>
        <v>0</v>
      </c>
      <c r="Q1464" s="24">
        <f ca="1">IFERROR(__xludf.DUMMYFUNCTION("""COMPUTED_VALUE"""),0)</f>
        <v>0</v>
      </c>
      <c r="R1464" s="20"/>
    </row>
    <row r="1465" spans="1:18" ht="13.2" hidden="1" outlineLevel="1" x14ac:dyDescent="0.25">
      <c r="A1465" s="1"/>
      <c r="B1465" s="39" t="str">
        <f ca="1">IFERROR(__xludf.DUMMYFUNCTION("""COMPUTED_VALUE"""),"Gas natural")</f>
        <v>Gas natural</v>
      </c>
      <c r="C1465" s="22">
        <f ca="1">IFERROR(__xludf.DUMMYFUNCTION("""COMPUTED_VALUE"""),0)</f>
        <v>0</v>
      </c>
      <c r="D1465" s="23">
        <f ca="1">IFERROR(__xludf.DUMMYFUNCTION("""COMPUTED_VALUE"""),0)</f>
        <v>0</v>
      </c>
      <c r="E1465" s="23">
        <f ca="1">IFERROR(__xludf.DUMMYFUNCTION("""COMPUTED_VALUE"""),0)</f>
        <v>0</v>
      </c>
      <c r="F1465" s="23">
        <f ca="1">IFERROR(__xludf.DUMMYFUNCTION("""COMPUTED_VALUE"""),0)</f>
        <v>0</v>
      </c>
      <c r="G1465" s="23">
        <f ca="1">IFERROR(__xludf.DUMMYFUNCTION("""COMPUTED_VALUE"""),0)</f>
        <v>0</v>
      </c>
      <c r="H1465" s="23">
        <f ca="1">IFERROR(__xludf.DUMMYFUNCTION("""COMPUTED_VALUE"""),0)</f>
        <v>0</v>
      </c>
      <c r="I1465" s="23">
        <f ca="1">IFERROR(__xludf.DUMMYFUNCTION("""COMPUTED_VALUE"""),0)</f>
        <v>0</v>
      </c>
      <c r="J1465" s="23">
        <f ca="1">IFERROR(__xludf.DUMMYFUNCTION("""COMPUTED_VALUE"""),0)</f>
        <v>0</v>
      </c>
      <c r="K1465" s="23">
        <f ca="1">IFERROR(__xludf.DUMMYFUNCTION("""COMPUTED_VALUE"""),0)</f>
        <v>0</v>
      </c>
      <c r="L1465" s="23">
        <f ca="1">IFERROR(__xludf.DUMMYFUNCTION("""COMPUTED_VALUE"""),0)</f>
        <v>0</v>
      </c>
      <c r="M1465" s="23">
        <f ca="1">IFERROR(__xludf.DUMMYFUNCTION("""COMPUTED_VALUE"""),0)</f>
        <v>0</v>
      </c>
      <c r="N1465" s="23">
        <f ca="1">IFERROR(__xludf.DUMMYFUNCTION("""COMPUTED_VALUE"""),0)</f>
        <v>0</v>
      </c>
      <c r="O1465" s="23">
        <f ca="1">IFERROR(__xludf.DUMMYFUNCTION("""COMPUTED_VALUE"""),0)</f>
        <v>0</v>
      </c>
      <c r="P1465" s="23">
        <f ca="1">IFERROR(__xludf.DUMMYFUNCTION("""COMPUTED_VALUE"""),0)</f>
        <v>0</v>
      </c>
      <c r="Q1465" s="24">
        <f ca="1">IFERROR(__xludf.DUMMYFUNCTION("""COMPUTED_VALUE"""),0)</f>
        <v>0</v>
      </c>
      <c r="R1465" s="20"/>
    </row>
    <row r="1466" spans="1:18" ht="13.2" hidden="1" outlineLevel="1" x14ac:dyDescent="0.25">
      <c r="A1466" s="1"/>
      <c r="B1466" s="39" t="str">
        <f ca="1">IFERROR(__xludf.DUMMYFUNCTION("""COMPUTED_VALUE"""),"Energía Nuclear")</f>
        <v>Energía Nuclear</v>
      </c>
      <c r="C1466" s="22">
        <f ca="1">IFERROR(__xludf.DUMMYFUNCTION("""COMPUTED_VALUE"""),0)</f>
        <v>0</v>
      </c>
      <c r="D1466" s="23">
        <f ca="1">IFERROR(__xludf.DUMMYFUNCTION("""COMPUTED_VALUE"""),0)</f>
        <v>0</v>
      </c>
      <c r="E1466" s="23">
        <f ca="1">IFERROR(__xludf.DUMMYFUNCTION("""COMPUTED_VALUE"""),0)</f>
        <v>0</v>
      </c>
      <c r="F1466" s="23">
        <f ca="1">IFERROR(__xludf.DUMMYFUNCTION("""COMPUTED_VALUE"""),0)</f>
        <v>0</v>
      </c>
      <c r="G1466" s="23">
        <f ca="1">IFERROR(__xludf.DUMMYFUNCTION("""COMPUTED_VALUE"""),0)</f>
        <v>0</v>
      </c>
      <c r="H1466" s="23">
        <f ca="1">IFERROR(__xludf.DUMMYFUNCTION("""COMPUTED_VALUE"""),0)</f>
        <v>0</v>
      </c>
      <c r="I1466" s="23">
        <f ca="1">IFERROR(__xludf.DUMMYFUNCTION("""COMPUTED_VALUE"""),0)</f>
        <v>0</v>
      </c>
      <c r="J1466" s="23">
        <f ca="1">IFERROR(__xludf.DUMMYFUNCTION("""COMPUTED_VALUE"""),0)</f>
        <v>0</v>
      </c>
      <c r="K1466" s="23">
        <f ca="1">IFERROR(__xludf.DUMMYFUNCTION("""COMPUTED_VALUE"""),0)</f>
        <v>0</v>
      </c>
      <c r="L1466" s="23">
        <f ca="1">IFERROR(__xludf.DUMMYFUNCTION("""COMPUTED_VALUE"""),0)</f>
        <v>0</v>
      </c>
      <c r="M1466" s="23">
        <f ca="1">IFERROR(__xludf.DUMMYFUNCTION("""COMPUTED_VALUE"""),0)</f>
        <v>0</v>
      </c>
      <c r="N1466" s="23">
        <f ca="1">IFERROR(__xludf.DUMMYFUNCTION("""COMPUTED_VALUE"""),0)</f>
        <v>0</v>
      </c>
      <c r="O1466" s="23">
        <f ca="1">IFERROR(__xludf.DUMMYFUNCTION("""COMPUTED_VALUE"""),0)</f>
        <v>0</v>
      </c>
      <c r="P1466" s="23">
        <f ca="1">IFERROR(__xludf.DUMMYFUNCTION("""COMPUTED_VALUE"""),0)</f>
        <v>0</v>
      </c>
      <c r="Q1466" s="24">
        <f ca="1">IFERROR(__xludf.DUMMYFUNCTION("""COMPUTED_VALUE"""),0)</f>
        <v>0</v>
      </c>
      <c r="R1466" s="20"/>
    </row>
    <row r="1467" spans="1:18" ht="13.2" hidden="1" outlineLevel="1" x14ac:dyDescent="0.25">
      <c r="A1467" s="1"/>
      <c r="B1467" s="39" t="str">
        <f ca="1">IFERROR(__xludf.DUMMYFUNCTION("""COMPUTED_VALUE"""),"Energia Hidraúlica")</f>
        <v>Energia Hidraúlica</v>
      </c>
      <c r="C1467" s="22">
        <f ca="1">IFERROR(__xludf.DUMMYFUNCTION("""COMPUTED_VALUE"""),0)</f>
        <v>0</v>
      </c>
      <c r="D1467" s="23">
        <f ca="1">IFERROR(__xludf.DUMMYFUNCTION("""COMPUTED_VALUE"""),0)</f>
        <v>0</v>
      </c>
      <c r="E1467" s="23">
        <f ca="1">IFERROR(__xludf.DUMMYFUNCTION("""COMPUTED_VALUE"""),0)</f>
        <v>0</v>
      </c>
      <c r="F1467" s="23">
        <f ca="1">IFERROR(__xludf.DUMMYFUNCTION("""COMPUTED_VALUE"""),0)</f>
        <v>0</v>
      </c>
      <c r="G1467" s="23">
        <f ca="1">IFERROR(__xludf.DUMMYFUNCTION("""COMPUTED_VALUE"""),0)</f>
        <v>0</v>
      </c>
      <c r="H1467" s="23">
        <f ca="1">IFERROR(__xludf.DUMMYFUNCTION("""COMPUTED_VALUE"""),0)</f>
        <v>0</v>
      </c>
      <c r="I1467" s="23">
        <f ca="1">IFERROR(__xludf.DUMMYFUNCTION("""COMPUTED_VALUE"""),0)</f>
        <v>0</v>
      </c>
      <c r="J1467" s="23">
        <f ca="1">IFERROR(__xludf.DUMMYFUNCTION("""COMPUTED_VALUE"""),0)</f>
        <v>0</v>
      </c>
      <c r="K1467" s="23">
        <f ca="1">IFERROR(__xludf.DUMMYFUNCTION("""COMPUTED_VALUE"""),0)</f>
        <v>0</v>
      </c>
      <c r="L1467" s="23">
        <f ca="1">IFERROR(__xludf.DUMMYFUNCTION("""COMPUTED_VALUE"""),0)</f>
        <v>0</v>
      </c>
      <c r="M1467" s="23">
        <f ca="1">IFERROR(__xludf.DUMMYFUNCTION("""COMPUTED_VALUE"""),0)</f>
        <v>0</v>
      </c>
      <c r="N1467" s="23">
        <f ca="1">IFERROR(__xludf.DUMMYFUNCTION("""COMPUTED_VALUE"""),0)</f>
        <v>0</v>
      </c>
      <c r="O1467" s="23">
        <f ca="1">IFERROR(__xludf.DUMMYFUNCTION("""COMPUTED_VALUE"""),0)</f>
        <v>0</v>
      </c>
      <c r="P1467" s="23">
        <f ca="1">IFERROR(__xludf.DUMMYFUNCTION("""COMPUTED_VALUE"""),0)</f>
        <v>0</v>
      </c>
      <c r="Q1467" s="24">
        <f ca="1">IFERROR(__xludf.DUMMYFUNCTION("""COMPUTED_VALUE"""),0)</f>
        <v>0</v>
      </c>
      <c r="R1467" s="20"/>
    </row>
    <row r="1468" spans="1:18" ht="13.2" hidden="1" outlineLevel="1" x14ac:dyDescent="0.25">
      <c r="A1468" s="1"/>
      <c r="B1468" s="39" t="str">
        <f ca="1">IFERROR(__xludf.DUMMYFUNCTION("""COMPUTED_VALUE"""),"Geoenergía")</f>
        <v>Geoenergía</v>
      </c>
      <c r="C1468" s="22">
        <f ca="1">IFERROR(__xludf.DUMMYFUNCTION("""COMPUTED_VALUE"""),0)</f>
        <v>0</v>
      </c>
      <c r="D1468" s="23">
        <f ca="1">IFERROR(__xludf.DUMMYFUNCTION("""COMPUTED_VALUE"""),0)</f>
        <v>0</v>
      </c>
      <c r="E1468" s="23">
        <f ca="1">IFERROR(__xludf.DUMMYFUNCTION("""COMPUTED_VALUE"""),0)</f>
        <v>0</v>
      </c>
      <c r="F1468" s="23">
        <f ca="1">IFERROR(__xludf.DUMMYFUNCTION("""COMPUTED_VALUE"""),0)</f>
        <v>0</v>
      </c>
      <c r="G1468" s="23">
        <f ca="1">IFERROR(__xludf.DUMMYFUNCTION("""COMPUTED_VALUE"""),0)</f>
        <v>0</v>
      </c>
      <c r="H1468" s="23">
        <f ca="1">IFERROR(__xludf.DUMMYFUNCTION("""COMPUTED_VALUE"""),0)</f>
        <v>0</v>
      </c>
      <c r="I1468" s="23">
        <f ca="1">IFERROR(__xludf.DUMMYFUNCTION("""COMPUTED_VALUE"""),0)</f>
        <v>0</v>
      </c>
      <c r="J1468" s="23">
        <f ca="1">IFERROR(__xludf.DUMMYFUNCTION("""COMPUTED_VALUE"""),0)</f>
        <v>0</v>
      </c>
      <c r="K1468" s="23">
        <f ca="1">IFERROR(__xludf.DUMMYFUNCTION("""COMPUTED_VALUE"""),0)</f>
        <v>0</v>
      </c>
      <c r="L1468" s="23">
        <f ca="1">IFERROR(__xludf.DUMMYFUNCTION("""COMPUTED_VALUE"""),0)</f>
        <v>0</v>
      </c>
      <c r="M1468" s="23">
        <f ca="1">IFERROR(__xludf.DUMMYFUNCTION("""COMPUTED_VALUE"""),0)</f>
        <v>0</v>
      </c>
      <c r="N1468" s="23">
        <f ca="1">IFERROR(__xludf.DUMMYFUNCTION("""COMPUTED_VALUE"""),0)</f>
        <v>0</v>
      </c>
      <c r="O1468" s="23">
        <f ca="1">IFERROR(__xludf.DUMMYFUNCTION("""COMPUTED_VALUE"""),0)</f>
        <v>0</v>
      </c>
      <c r="P1468" s="23">
        <f ca="1">IFERROR(__xludf.DUMMYFUNCTION("""COMPUTED_VALUE"""),0)</f>
        <v>0</v>
      </c>
      <c r="Q1468" s="24">
        <f ca="1">IFERROR(__xludf.DUMMYFUNCTION("""COMPUTED_VALUE"""),0)</f>
        <v>0</v>
      </c>
      <c r="R1468" s="20"/>
    </row>
    <row r="1469" spans="1:18" ht="13.2" hidden="1" outlineLevel="1" x14ac:dyDescent="0.25">
      <c r="A1469" s="1"/>
      <c r="B1469" s="39" t="str">
        <f ca="1">IFERROR(__xludf.DUMMYFUNCTION("""COMPUTED_VALUE"""),"Energía solar")</f>
        <v>Energía solar</v>
      </c>
      <c r="C1469" s="22">
        <f ca="1">IFERROR(__xludf.DUMMYFUNCTION("""COMPUTED_VALUE"""),0)</f>
        <v>0</v>
      </c>
      <c r="D1469" s="23">
        <f ca="1">IFERROR(__xludf.DUMMYFUNCTION("""COMPUTED_VALUE"""),0)</f>
        <v>0</v>
      </c>
      <c r="E1469" s="23">
        <f ca="1">IFERROR(__xludf.DUMMYFUNCTION("""COMPUTED_VALUE"""),0)</f>
        <v>0</v>
      </c>
      <c r="F1469" s="23">
        <f ca="1">IFERROR(__xludf.DUMMYFUNCTION("""COMPUTED_VALUE"""),0)</f>
        <v>0</v>
      </c>
      <c r="G1469" s="23">
        <f ca="1">IFERROR(__xludf.DUMMYFUNCTION("""COMPUTED_VALUE"""),0)</f>
        <v>0</v>
      </c>
      <c r="H1469" s="23">
        <f ca="1">IFERROR(__xludf.DUMMYFUNCTION("""COMPUTED_VALUE"""),0)</f>
        <v>0</v>
      </c>
      <c r="I1469" s="23">
        <f ca="1">IFERROR(__xludf.DUMMYFUNCTION("""COMPUTED_VALUE"""),0)</f>
        <v>0</v>
      </c>
      <c r="J1469" s="23">
        <f ca="1">IFERROR(__xludf.DUMMYFUNCTION("""COMPUTED_VALUE"""),0)</f>
        <v>0</v>
      </c>
      <c r="K1469" s="23">
        <f ca="1">IFERROR(__xludf.DUMMYFUNCTION("""COMPUTED_VALUE"""),0)</f>
        <v>0</v>
      </c>
      <c r="L1469" s="23">
        <f ca="1">IFERROR(__xludf.DUMMYFUNCTION("""COMPUTED_VALUE"""),0)</f>
        <v>0</v>
      </c>
      <c r="M1469" s="23">
        <f ca="1">IFERROR(__xludf.DUMMYFUNCTION("""COMPUTED_VALUE"""),0)</f>
        <v>0</v>
      </c>
      <c r="N1469" s="23">
        <f ca="1">IFERROR(__xludf.DUMMYFUNCTION("""COMPUTED_VALUE"""),0)</f>
        <v>0</v>
      </c>
      <c r="O1469" s="23">
        <f ca="1">IFERROR(__xludf.DUMMYFUNCTION("""COMPUTED_VALUE"""),0)</f>
        <v>0</v>
      </c>
      <c r="P1469" s="23">
        <f ca="1">IFERROR(__xludf.DUMMYFUNCTION("""COMPUTED_VALUE"""),0)</f>
        <v>0</v>
      </c>
      <c r="Q1469" s="24">
        <f ca="1">IFERROR(__xludf.DUMMYFUNCTION("""COMPUTED_VALUE"""),0)</f>
        <v>0</v>
      </c>
      <c r="R1469" s="20"/>
    </row>
    <row r="1470" spans="1:18" ht="13.2" hidden="1" outlineLevel="1" x14ac:dyDescent="0.25">
      <c r="A1470" s="1"/>
      <c r="B1470" s="39" t="str">
        <f ca="1">IFERROR(__xludf.DUMMYFUNCTION("""COMPUTED_VALUE"""),"Energía eólica")</f>
        <v>Energía eólica</v>
      </c>
      <c r="C1470" s="22">
        <f ca="1">IFERROR(__xludf.DUMMYFUNCTION("""COMPUTED_VALUE"""),0)</f>
        <v>0</v>
      </c>
      <c r="D1470" s="23">
        <f ca="1">IFERROR(__xludf.DUMMYFUNCTION("""COMPUTED_VALUE"""),0)</f>
        <v>0</v>
      </c>
      <c r="E1470" s="23">
        <f ca="1">IFERROR(__xludf.DUMMYFUNCTION("""COMPUTED_VALUE"""),0)</f>
        <v>0</v>
      </c>
      <c r="F1470" s="23">
        <f ca="1">IFERROR(__xludf.DUMMYFUNCTION("""COMPUTED_VALUE"""),0)</f>
        <v>0</v>
      </c>
      <c r="G1470" s="23">
        <f ca="1">IFERROR(__xludf.DUMMYFUNCTION("""COMPUTED_VALUE"""),0)</f>
        <v>0</v>
      </c>
      <c r="H1470" s="23">
        <f ca="1">IFERROR(__xludf.DUMMYFUNCTION("""COMPUTED_VALUE"""),0)</f>
        <v>0</v>
      </c>
      <c r="I1470" s="23">
        <f ca="1">IFERROR(__xludf.DUMMYFUNCTION("""COMPUTED_VALUE"""),0)</f>
        <v>0</v>
      </c>
      <c r="J1470" s="23">
        <f ca="1">IFERROR(__xludf.DUMMYFUNCTION("""COMPUTED_VALUE"""),0)</f>
        <v>0</v>
      </c>
      <c r="K1470" s="23">
        <f ca="1">IFERROR(__xludf.DUMMYFUNCTION("""COMPUTED_VALUE"""),0)</f>
        <v>0</v>
      </c>
      <c r="L1470" s="23">
        <f ca="1">IFERROR(__xludf.DUMMYFUNCTION("""COMPUTED_VALUE"""),0)</f>
        <v>0</v>
      </c>
      <c r="M1470" s="23">
        <f ca="1">IFERROR(__xludf.DUMMYFUNCTION("""COMPUTED_VALUE"""),0)</f>
        <v>0</v>
      </c>
      <c r="N1470" s="23">
        <f ca="1">IFERROR(__xludf.DUMMYFUNCTION("""COMPUTED_VALUE"""),0)</f>
        <v>0</v>
      </c>
      <c r="O1470" s="23">
        <f ca="1">IFERROR(__xludf.DUMMYFUNCTION("""COMPUTED_VALUE"""),0)</f>
        <v>0</v>
      </c>
      <c r="P1470" s="23">
        <f ca="1">IFERROR(__xludf.DUMMYFUNCTION("""COMPUTED_VALUE"""),0)</f>
        <v>0</v>
      </c>
      <c r="Q1470" s="24">
        <f ca="1">IFERROR(__xludf.DUMMYFUNCTION("""COMPUTED_VALUE"""),0)</f>
        <v>0</v>
      </c>
      <c r="R1470" s="20"/>
    </row>
    <row r="1471" spans="1:18" ht="13.2" hidden="1" outlineLevel="1" x14ac:dyDescent="0.25">
      <c r="A1471" s="1"/>
      <c r="B1471" s="39" t="str">
        <f ca="1">IFERROR(__xludf.DUMMYFUNCTION("""COMPUTED_VALUE"""),"Bagazo de caña")</f>
        <v>Bagazo de caña</v>
      </c>
      <c r="C1471" s="22">
        <f ca="1">IFERROR(__xludf.DUMMYFUNCTION("""COMPUTED_VALUE"""),0)</f>
        <v>0</v>
      </c>
      <c r="D1471" s="23">
        <f ca="1">IFERROR(__xludf.DUMMYFUNCTION("""COMPUTED_VALUE"""),0)</f>
        <v>0</v>
      </c>
      <c r="E1471" s="23">
        <f ca="1">IFERROR(__xludf.DUMMYFUNCTION("""COMPUTED_VALUE"""),0)</f>
        <v>0</v>
      </c>
      <c r="F1471" s="23">
        <f ca="1">IFERROR(__xludf.DUMMYFUNCTION("""COMPUTED_VALUE"""),0)</f>
        <v>0</v>
      </c>
      <c r="G1471" s="23">
        <f ca="1">IFERROR(__xludf.DUMMYFUNCTION("""COMPUTED_VALUE"""),0)</f>
        <v>0</v>
      </c>
      <c r="H1471" s="23">
        <f ca="1">IFERROR(__xludf.DUMMYFUNCTION("""COMPUTED_VALUE"""),0)</f>
        <v>0</v>
      </c>
      <c r="I1471" s="23">
        <f ca="1">IFERROR(__xludf.DUMMYFUNCTION("""COMPUTED_VALUE"""),0)</f>
        <v>0</v>
      </c>
      <c r="J1471" s="23">
        <f ca="1">IFERROR(__xludf.DUMMYFUNCTION("""COMPUTED_VALUE"""),0)</f>
        <v>0</v>
      </c>
      <c r="K1471" s="23">
        <f ca="1">IFERROR(__xludf.DUMMYFUNCTION("""COMPUTED_VALUE"""),0)</f>
        <v>0</v>
      </c>
      <c r="L1471" s="23">
        <f ca="1">IFERROR(__xludf.DUMMYFUNCTION("""COMPUTED_VALUE"""),0)</f>
        <v>0</v>
      </c>
      <c r="M1471" s="23">
        <f ca="1">IFERROR(__xludf.DUMMYFUNCTION("""COMPUTED_VALUE"""),0)</f>
        <v>0</v>
      </c>
      <c r="N1471" s="23">
        <f ca="1">IFERROR(__xludf.DUMMYFUNCTION("""COMPUTED_VALUE"""),0)</f>
        <v>0</v>
      </c>
      <c r="O1471" s="23">
        <f ca="1">IFERROR(__xludf.DUMMYFUNCTION("""COMPUTED_VALUE"""),0)</f>
        <v>0</v>
      </c>
      <c r="P1471" s="23">
        <f ca="1">IFERROR(__xludf.DUMMYFUNCTION("""COMPUTED_VALUE"""),0)</f>
        <v>0</v>
      </c>
      <c r="Q1471" s="24">
        <f ca="1">IFERROR(__xludf.DUMMYFUNCTION("""COMPUTED_VALUE"""),0)</f>
        <v>0</v>
      </c>
      <c r="R1471" s="20"/>
    </row>
    <row r="1472" spans="1:18" ht="13.2" hidden="1" outlineLevel="1" x14ac:dyDescent="0.25">
      <c r="A1472" s="1"/>
      <c r="B1472" s="39" t="str">
        <f ca="1">IFERROR(__xludf.DUMMYFUNCTION("""COMPUTED_VALUE"""),"Leña")</f>
        <v>Leña</v>
      </c>
      <c r="C1472" s="22">
        <f ca="1">IFERROR(__xludf.DUMMYFUNCTION("""COMPUTED_VALUE"""),0)</f>
        <v>0</v>
      </c>
      <c r="D1472" s="23">
        <f ca="1">IFERROR(__xludf.DUMMYFUNCTION("""COMPUTED_VALUE"""),0)</f>
        <v>0</v>
      </c>
      <c r="E1472" s="23">
        <f ca="1">IFERROR(__xludf.DUMMYFUNCTION("""COMPUTED_VALUE"""),0)</f>
        <v>0</v>
      </c>
      <c r="F1472" s="23">
        <f ca="1">IFERROR(__xludf.DUMMYFUNCTION("""COMPUTED_VALUE"""),0)</f>
        <v>0</v>
      </c>
      <c r="G1472" s="23">
        <f ca="1">IFERROR(__xludf.DUMMYFUNCTION("""COMPUTED_VALUE"""),0)</f>
        <v>0</v>
      </c>
      <c r="H1472" s="23">
        <f ca="1">IFERROR(__xludf.DUMMYFUNCTION("""COMPUTED_VALUE"""),0)</f>
        <v>0</v>
      </c>
      <c r="I1472" s="23">
        <f ca="1">IFERROR(__xludf.DUMMYFUNCTION("""COMPUTED_VALUE"""),0)</f>
        <v>0</v>
      </c>
      <c r="J1472" s="23">
        <f ca="1">IFERROR(__xludf.DUMMYFUNCTION("""COMPUTED_VALUE"""),0)</f>
        <v>0</v>
      </c>
      <c r="K1472" s="23">
        <f ca="1">IFERROR(__xludf.DUMMYFUNCTION("""COMPUTED_VALUE"""),0)</f>
        <v>0</v>
      </c>
      <c r="L1472" s="23">
        <f ca="1">IFERROR(__xludf.DUMMYFUNCTION("""COMPUTED_VALUE"""),0)</f>
        <v>0</v>
      </c>
      <c r="M1472" s="23">
        <f ca="1">IFERROR(__xludf.DUMMYFUNCTION("""COMPUTED_VALUE"""),0)</f>
        <v>0</v>
      </c>
      <c r="N1472" s="23">
        <f ca="1">IFERROR(__xludf.DUMMYFUNCTION("""COMPUTED_VALUE"""),0)</f>
        <v>0</v>
      </c>
      <c r="O1472" s="23">
        <f ca="1">IFERROR(__xludf.DUMMYFUNCTION("""COMPUTED_VALUE"""),0)</f>
        <v>0</v>
      </c>
      <c r="P1472" s="23">
        <f ca="1">IFERROR(__xludf.DUMMYFUNCTION("""COMPUTED_VALUE"""),0)</f>
        <v>0</v>
      </c>
      <c r="Q1472" s="24">
        <f ca="1">IFERROR(__xludf.DUMMYFUNCTION("""COMPUTED_VALUE"""),0)</f>
        <v>0</v>
      </c>
      <c r="R1472" s="20"/>
    </row>
    <row r="1473" spans="1:18" ht="13.2" hidden="1" outlineLevel="1" x14ac:dyDescent="0.25">
      <c r="A1473" s="1"/>
      <c r="B1473" s="39" t="str">
        <f ca="1">IFERROR(__xludf.DUMMYFUNCTION("""COMPUTED_VALUE"""),"Biogás")</f>
        <v>Biogás</v>
      </c>
      <c r="C1473" s="22">
        <f ca="1">IFERROR(__xludf.DUMMYFUNCTION("""COMPUTED_VALUE"""),0)</f>
        <v>0</v>
      </c>
      <c r="D1473" s="23">
        <f ca="1">IFERROR(__xludf.DUMMYFUNCTION("""COMPUTED_VALUE"""),0)</f>
        <v>0</v>
      </c>
      <c r="E1473" s="23">
        <f ca="1">IFERROR(__xludf.DUMMYFUNCTION("""COMPUTED_VALUE"""),0)</f>
        <v>0</v>
      </c>
      <c r="F1473" s="23">
        <f ca="1">IFERROR(__xludf.DUMMYFUNCTION("""COMPUTED_VALUE"""),0)</f>
        <v>0</v>
      </c>
      <c r="G1473" s="23">
        <f ca="1">IFERROR(__xludf.DUMMYFUNCTION("""COMPUTED_VALUE"""),0)</f>
        <v>0</v>
      </c>
      <c r="H1473" s="23">
        <f ca="1">IFERROR(__xludf.DUMMYFUNCTION("""COMPUTED_VALUE"""),0)</f>
        <v>0</v>
      </c>
      <c r="I1473" s="23">
        <f ca="1">IFERROR(__xludf.DUMMYFUNCTION("""COMPUTED_VALUE"""),0)</f>
        <v>0</v>
      </c>
      <c r="J1473" s="23">
        <f ca="1">IFERROR(__xludf.DUMMYFUNCTION("""COMPUTED_VALUE"""),0)</f>
        <v>0</v>
      </c>
      <c r="K1473" s="23">
        <f ca="1">IFERROR(__xludf.DUMMYFUNCTION("""COMPUTED_VALUE"""),0)</f>
        <v>0</v>
      </c>
      <c r="L1473" s="23">
        <f ca="1">IFERROR(__xludf.DUMMYFUNCTION("""COMPUTED_VALUE"""),0)</f>
        <v>0</v>
      </c>
      <c r="M1473" s="23">
        <f ca="1">IFERROR(__xludf.DUMMYFUNCTION("""COMPUTED_VALUE"""),0)</f>
        <v>0</v>
      </c>
      <c r="N1473" s="23">
        <f ca="1">IFERROR(__xludf.DUMMYFUNCTION("""COMPUTED_VALUE"""),0)</f>
        <v>0</v>
      </c>
      <c r="O1473" s="23">
        <f ca="1">IFERROR(__xludf.DUMMYFUNCTION("""COMPUTED_VALUE"""),0)</f>
        <v>0</v>
      </c>
      <c r="P1473" s="23">
        <f ca="1">IFERROR(__xludf.DUMMYFUNCTION("""COMPUTED_VALUE"""),0)</f>
        <v>0</v>
      </c>
      <c r="Q1473" s="24">
        <f ca="1">IFERROR(__xludf.DUMMYFUNCTION("""COMPUTED_VALUE"""),0)</f>
        <v>0</v>
      </c>
      <c r="R1473" s="20"/>
    </row>
    <row r="1474" spans="1:18" ht="13.2" hidden="1" outlineLevel="1" x14ac:dyDescent="0.25">
      <c r="A1474" s="1"/>
      <c r="B1474" s="39" t="str">
        <f ca="1">IFERROR(__xludf.DUMMYFUNCTION("""COMPUTED_VALUE"""),"Coque de carbón")</f>
        <v>Coque de carbón</v>
      </c>
      <c r="C1474" s="22">
        <f ca="1">IFERROR(__xludf.DUMMYFUNCTION("""COMPUTED_VALUE"""),0)</f>
        <v>0</v>
      </c>
      <c r="D1474" s="23">
        <f ca="1">IFERROR(__xludf.DUMMYFUNCTION("""COMPUTED_VALUE"""),0)</f>
        <v>0</v>
      </c>
      <c r="E1474" s="23">
        <f ca="1">IFERROR(__xludf.DUMMYFUNCTION("""COMPUTED_VALUE"""),0)</f>
        <v>0</v>
      </c>
      <c r="F1474" s="23">
        <f ca="1">IFERROR(__xludf.DUMMYFUNCTION("""COMPUTED_VALUE"""),0)</f>
        <v>0</v>
      </c>
      <c r="G1474" s="23">
        <f ca="1">IFERROR(__xludf.DUMMYFUNCTION("""COMPUTED_VALUE"""),0)</f>
        <v>0</v>
      </c>
      <c r="H1474" s="23">
        <f ca="1">IFERROR(__xludf.DUMMYFUNCTION("""COMPUTED_VALUE"""),0)</f>
        <v>0</v>
      </c>
      <c r="I1474" s="23">
        <f ca="1">IFERROR(__xludf.DUMMYFUNCTION("""COMPUTED_VALUE"""),0)</f>
        <v>0</v>
      </c>
      <c r="J1474" s="23">
        <f ca="1">IFERROR(__xludf.DUMMYFUNCTION("""COMPUTED_VALUE"""),0)</f>
        <v>0</v>
      </c>
      <c r="K1474" s="23">
        <f ca="1">IFERROR(__xludf.DUMMYFUNCTION("""COMPUTED_VALUE"""),0)</f>
        <v>0</v>
      </c>
      <c r="L1474" s="23">
        <f ca="1">IFERROR(__xludf.DUMMYFUNCTION("""COMPUTED_VALUE"""),0)</f>
        <v>0</v>
      </c>
      <c r="M1474" s="23">
        <f ca="1">IFERROR(__xludf.DUMMYFUNCTION("""COMPUTED_VALUE"""),0)</f>
        <v>0</v>
      </c>
      <c r="N1474" s="23">
        <f ca="1">IFERROR(__xludf.DUMMYFUNCTION("""COMPUTED_VALUE"""),0)</f>
        <v>0</v>
      </c>
      <c r="O1474" s="23">
        <f ca="1">IFERROR(__xludf.DUMMYFUNCTION("""COMPUTED_VALUE"""),0)</f>
        <v>0</v>
      </c>
      <c r="P1474" s="23">
        <f ca="1">IFERROR(__xludf.DUMMYFUNCTION("""COMPUTED_VALUE"""),0)</f>
        <v>0</v>
      </c>
      <c r="Q1474" s="24">
        <f ca="1">IFERROR(__xludf.DUMMYFUNCTION("""COMPUTED_VALUE"""),0)</f>
        <v>0</v>
      </c>
      <c r="R1474" s="20"/>
    </row>
    <row r="1475" spans="1:18" ht="13.2" hidden="1" outlineLevel="1" x14ac:dyDescent="0.25">
      <c r="A1475" s="1"/>
      <c r="B1475" s="39" t="str">
        <f ca="1">IFERROR(__xludf.DUMMYFUNCTION("""COMPUTED_VALUE"""),"Coque de petróleo")</f>
        <v>Coque de petróleo</v>
      </c>
      <c r="C1475" s="22">
        <f ca="1">IFERROR(__xludf.DUMMYFUNCTION("""COMPUTED_VALUE"""),68.6820256781839)</f>
        <v>68.682025678183905</v>
      </c>
      <c r="D1475" s="23">
        <f ca="1">IFERROR(__xludf.DUMMYFUNCTION("""COMPUTED_VALUE"""),85.2647251988446)</f>
        <v>85.264725198844602</v>
      </c>
      <c r="E1475" s="23">
        <f ca="1">IFERROR(__xludf.DUMMYFUNCTION("""COMPUTED_VALUE"""),80.5203061568912)</f>
        <v>80.520306156891195</v>
      </c>
      <c r="F1475" s="23">
        <f ca="1">IFERROR(__xludf.DUMMYFUNCTION("""COMPUTED_VALUE"""),101.896947060311)</f>
        <v>101.89694706031101</v>
      </c>
      <c r="G1475" s="23">
        <f ca="1">IFERROR(__xludf.DUMMYFUNCTION("""COMPUTED_VALUE"""),58.2529936569058)</f>
        <v>58.252993656905801</v>
      </c>
      <c r="H1475" s="23">
        <f ca="1">IFERROR(__xludf.DUMMYFUNCTION("""COMPUTED_VALUE"""),65.3569430356368)</f>
        <v>65.356943035636803</v>
      </c>
      <c r="I1475" s="23">
        <f ca="1">IFERROR(__xludf.DUMMYFUNCTION("""COMPUTED_VALUE"""),38.7830254781085)</f>
        <v>38.783025478108499</v>
      </c>
      <c r="J1475" s="23">
        <f ca="1">IFERROR(__xludf.DUMMYFUNCTION("""COMPUTED_VALUE"""),45.5809887428483)</f>
        <v>45.580988742848298</v>
      </c>
      <c r="K1475" s="23">
        <f ca="1">IFERROR(__xludf.DUMMYFUNCTION("""COMPUTED_VALUE"""),54.2823742275517)</f>
        <v>54.282374227551699</v>
      </c>
      <c r="L1475" s="23">
        <f ca="1">IFERROR(__xludf.DUMMYFUNCTION("""COMPUTED_VALUE"""),89.9069049701285)</f>
        <v>89.906904970128494</v>
      </c>
      <c r="M1475" s="23">
        <f ca="1">IFERROR(__xludf.DUMMYFUNCTION("""COMPUTED_VALUE"""),102.047767139303)</f>
        <v>102.04776713930301</v>
      </c>
      <c r="N1475" s="23">
        <f ca="1">IFERROR(__xludf.DUMMYFUNCTION("""COMPUTED_VALUE"""),109.378149693945)</f>
        <v>109.37814969394501</v>
      </c>
      <c r="O1475" s="23">
        <f ca="1">IFERROR(__xludf.DUMMYFUNCTION("""COMPUTED_VALUE"""),110.486077080747)</f>
        <v>110.48607708074699</v>
      </c>
      <c r="P1475" s="23">
        <f ca="1">IFERROR(__xludf.DUMMYFUNCTION("""COMPUTED_VALUE"""),96.3147202916079)</f>
        <v>96.314720291607898</v>
      </c>
      <c r="Q1475" s="24">
        <f ca="1">IFERROR(__xludf.DUMMYFUNCTION("""COMPUTED_VALUE"""),107.180115785564)</f>
        <v>107.180115785564</v>
      </c>
      <c r="R1475" s="20"/>
    </row>
    <row r="1476" spans="1:18" ht="13.2" hidden="1" outlineLevel="1" x14ac:dyDescent="0.25">
      <c r="A1476" s="1"/>
      <c r="B1476" s="39" t="str">
        <f ca="1">IFERROR(__xludf.DUMMYFUNCTION("""COMPUTED_VALUE"""),"Gas licuado de petróleo")</f>
        <v>Gas licuado de petróleo</v>
      </c>
      <c r="C1476" s="22">
        <f ca="1">IFERROR(__xludf.DUMMYFUNCTION("""COMPUTED_VALUE"""),0.12455774060239)</f>
        <v>0.12455774060239</v>
      </c>
      <c r="D1476" s="23">
        <f ca="1">IFERROR(__xludf.DUMMYFUNCTION("""COMPUTED_VALUE"""),0.0512847562378483)</f>
        <v>5.1284756237848297E-2</v>
      </c>
      <c r="E1476" s="23">
        <f ca="1">IFERROR(__xludf.DUMMYFUNCTION("""COMPUTED_VALUE"""),0.116758165437166)</f>
        <v>0.11675816543716599</v>
      </c>
      <c r="F1476" s="23">
        <f ca="1">IFERROR(__xludf.DUMMYFUNCTION("""COMPUTED_VALUE"""),0)</f>
        <v>0</v>
      </c>
      <c r="G1476" s="23">
        <f ca="1">IFERROR(__xludf.DUMMYFUNCTION("""COMPUTED_VALUE"""),0)</f>
        <v>0</v>
      </c>
      <c r="H1476" s="23">
        <f ca="1">IFERROR(__xludf.DUMMYFUNCTION("""COMPUTED_VALUE"""),0)</f>
        <v>0</v>
      </c>
      <c r="I1476" s="23">
        <f ca="1">IFERROR(__xludf.DUMMYFUNCTION("""COMPUTED_VALUE"""),0)</f>
        <v>0</v>
      </c>
      <c r="J1476" s="23">
        <f ca="1">IFERROR(__xludf.DUMMYFUNCTION("""COMPUTED_VALUE"""),0)</f>
        <v>0</v>
      </c>
      <c r="K1476" s="23">
        <f ca="1">IFERROR(__xludf.DUMMYFUNCTION("""COMPUTED_VALUE"""),0)</f>
        <v>0</v>
      </c>
      <c r="L1476" s="23">
        <f ca="1">IFERROR(__xludf.DUMMYFUNCTION("""COMPUTED_VALUE"""),0)</f>
        <v>0</v>
      </c>
      <c r="M1476" s="23">
        <f ca="1">IFERROR(__xludf.DUMMYFUNCTION("""COMPUTED_VALUE"""),0)</f>
        <v>0</v>
      </c>
      <c r="N1476" s="23">
        <f ca="1">IFERROR(__xludf.DUMMYFUNCTION("""COMPUTED_VALUE"""),0.150341738212286)</f>
        <v>0.150341738212286</v>
      </c>
      <c r="O1476" s="23">
        <f ca="1">IFERROR(__xludf.DUMMYFUNCTION("""COMPUTED_VALUE"""),0.155212988328413)</f>
        <v>0.15521298832841299</v>
      </c>
      <c r="P1476" s="23">
        <f ca="1">IFERROR(__xludf.DUMMYFUNCTION("""COMPUTED_VALUE"""),0.161863434497275)</f>
        <v>0.161863434497275</v>
      </c>
      <c r="Q1476" s="24">
        <f ca="1">IFERROR(__xludf.DUMMYFUNCTION("""COMPUTED_VALUE"""),0.099881006626789)</f>
        <v>9.9881006626789004E-2</v>
      </c>
      <c r="R1476" s="20"/>
    </row>
    <row r="1477" spans="1:18" ht="13.2" hidden="1" outlineLevel="1" x14ac:dyDescent="0.25">
      <c r="A1477" s="1"/>
      <c r="B1477" s="39" t="str">
        <f ca="1">IFERROR(__xludf.DUMMYFUNCTION("""COMPUTED_VALUE"""),"Gasolinas y naftas")</f>
        <v>Gasolinas y naftas</v>
      </c>
      <c r="C1477" s="22">
        <f ca="1">IFERROR(__xludf.DUMMYFUNCTION("""COMPUTED_VALUE"""),0)</f>
        <v>0</v>
      </c>
      <c r="D1477" s="23">
        <f ca="1">IFERROR(__xludf.DUMMYFUNCTION("""COMPUTED_VALUE"""),0)</f>
        <v>0</v>
      </c>
      <c r="E1477" s="23">
        <f ca="1">IFERROR(__xludf.DUMMYFUNCTION("""COMPUTED_VALUE"""),0)</f>
        <v>0</v>
      </c>
      <c r="F1477" s="23">
        <f ca="1">IFERROR(__xludf.DUMMYFUNCTION("""COMPUTED_VALUE"""),0)</f>
        <v>0</v>
      </c>
      <c r="G1477" s="23">
        <f ca="1">IFERROR(__xludf.DUMMYFUNCTION("""COMPUTED_VALUE"""),0)</f>
        <v>0</v>
      </c>
      <c r="H1477" s="23">
        <f ca="1">IFERROR(__xludf.DUMMYFUNCTION("""COMPUTED_VALUE"""),0)</f>
        <v>0</v>
      </c>
      <c r="I1477" s="23">
        <f ca="1">IFERROR(__xludf.DUMMYFUNCTION("""COMPUTED_VALUE"""),0)</f>
        <v>0</v>
      </c>
      <c r="J1477" s="23">
        <f ca="1">IFERROR(__xludf.DUMMYFUNCTION("""COMPUTED_VALUE"""),0)</f>
        <v>0</v>
      </c>
      <c r="K1477" s="23">
        <f ca="1">IFERROR(__xludf.DUMMYFUNCTION("""COMPUTED_VALUE"""),0)</f>
        <v>0</v>
      </c>
      <c r="L1477" s="23">
        <f ca="1">IFERROR(__xludf.DUMMYFUNCTION("""COMPUTED_VALUE"""),0)</f>
        <v>0</v>
      </c>
      <c r="M1477" s="23">
        <f ca="1">IFERROR(__xludf.DUMMYFUNCTION("""COMPUTED_VALUE"""),0)</f>
        <v>0</v>
      </c>
      <c r="N1477" s="23">
        <f ca="1">IFERROR(__xludf.DUMMYFUNCTION("""COMPUTED_VALUE"""),0)</f>
        <v>0</v>
      </c>
      <c r="O1477" s="23">
        <f ca="1">IFERROR(__xludf.DUMMYFUNCTION("""COMPUTED_VALUE"""),0)</f>
        <v>0</v>
      </c>
      <c r="P1477" s="23">
        <f ca="1">IFERROR(__xludf.DUMMYFUNCTION("""COMPUTED_VALUE"""),0)</f>
        <v>0</v>
      </c>
      <c r="Q1477" s="24">
        <f ca="1">IFERROR(__xludf.DUMMYFUNCTION("""COMPUTED_VALUE"""),0)</f>
        <v>0</v>
      </c>
      <c r="R1477" s="20"/>
    </row>
    <row r="1478" spans="1:18" ht="13.2" hidden="1" outlineLevel="1" x14ac:dyDescent="0.25">
      <c r="A1478" s="1"/>
      <c r="B1478" s="39" t="str">
        <f ca="1">IFERROR(__xludf.DUMMYFUNCTION("""COMPUTED_VALUE"""),"Querosenos")</f>
        <v>Querosenos</v>
      </c>
      <c r="C1478" s="22">
        <f ca="1">IFERROR(__xludf.DUMMYFUNCTION("""COMPUTED_VALUE"""),0)</f>
        <v>0</v>
      </c>
      <c r="D1478" s="23">
        <f ca="1">IFERROR(__xludf.DUMMYFUNCTION("""COMPUTED_VALUE"""),0)</f>
        <v>0</v>
      </c>
      <c r="E1478" s="23">
        <f ca="1">IFERROR(__xludf.DUMMYFUNCTION("""COMPUTED_VALUE"""),0)</f>
        <v>0</v>
      </c>
      <c r="F1478" s="23">
        <f ca="1">IFERROR(__xludf.DUMMYFUNCTION("""COMPUTED_VALUE"""),0)</f>
        <v>0</v>
      </c>
      <c r="G1478" s="23">
        <f ca="1">IFERROR(__xludf.DUMMYFUNCTION("""COMPUTED_VALUE"""),0)</f>
        <v>0</v>
      </c>
      <c r="H1478" s="23">
        <f ca="1">IFERROR(__xludf.DUMMYFUNCTION("""COMPUTED_VALUE"""),0)</f>
        <v>0</v>
      </c>
      <c r="I1478" s="23">
        <f ca="1">IFERROR(__xludf.DUMMYFUNCTION("""COMPUTED_VALUE"""),0)</f>
        <v>0</v>
      </c>
      <c r="J1478" s="23">
        <f ca="1">IFERROR(__xludf.DUMMYFUNCTION("""COMPUTED_VALUE"""),0)</f>
        <v>0</v>
      </c>
      <c r="K1478" s="23">
        <f ca="1">IFERROR(__xludf.DUMMYFUNCTION("""COMPUTED_VALUE"""),0)</f>
        <v>0</v>
      </c>
      <c r="L1478" s="23">
        <f ca="1">IFERROR(__xludf.DUMMYFUNCTION("""COMPUTED_VALUE"""),0)</f>
        <v>0</v>
      </c>
      <c r="M1478" s="23">
        <f ca="1">IFERROR(__xludf.DUMMYFUNCTION("""COMPUTED_VALUE"""),0)</f>
        <v>0</v>
      </c>
      <c r="N1478" s="23">
        <f ca="1">IFERROR(__xludf.DUMMYFUNCTION("""COMPUTED_VALUE"""),0)</f>
        <v>0</v>
      </c>
      <c r="O1478" s="23">
        <f ca="1">IFERROR(__xludf.DUMMYFUNCTION("""COMPUTED_VALUE"""),0)</f>
        <v>0</v>
      </c>
      <c r="P1478" s="23">
        <f ca="1">IFERROR(__xludf.DUMMYFUNCTION("""COMPUTED_VALUE"""),0)</f>
        <v>0</v>
      </c>
      <c r="Q1478" s="24">
        <f ca="1">IFERROR(__xludf.DUMMYFUNCTION("""COMPUTED_VALUE"""),0)</f>
        <v>0</v>
      </c>
      <c r="R1478" s="20"/>
    </row>
    <row r="1479" spans="1:18" ht="13.2" hidden="1" outlineLevel="1" x14ac:dyDescent="0.25">
      <c r="A1479" s="1"/>
      <c r="B1479" s="39" t="str">
        <f ca="1">IFERROR(__xludf.DUMMYFUNCTION("""COMPUTED_VALUE"""),"Diesel")</f>
        <v>Diesel</v>
      </c>
      <c r="C1479" s="22">
        <f ca="1">IFERROR(__xludf.DUMMYFUNCTION("""COMPUTED_VALUE"""),1.75828777121196)</f>
        <v>1.75828777121196</v>
      </c>
      <c r="D1479" s="23">
        <f ca="1">IFERROR(__xludf.DUMMYFUNCTION("""COMPUTED_VALUE"""),1.82238247925562)</f>
        <v>1.82238247925562</v>
      </c>
      <c r="E1479" s="23">
        <f ca="1">IFERROR(__xludf.DUMMYFUNCTION("""COMPUTED_VALUE"""),0.706358140464701)</f>
        <v>0.70635814046470102</v>
      </c>
      <c r="F1479" s="23">
        <f ca="1">IFERROR(__xludf.DUMMYFUNCTION("""COMPUTED_VALUE"""),0.273685622909238)</f>
        <v>0.27368562290923798</v>
      </c>
      <c r="G1479" s="23">
        <f ca="1">IFERROR(__xludf.DUMMYFUNCTION("""COMPUTED_VALUE"""),0.232880050188205)</f>
        <v>0.23288005018820501</v>
      </c>
      <c r="H1479" s="23">
        <f ca="1">IFERROR(__xludf.DUMMYFUNCTION("""COMPUTED_VALUE"""),0.25041030137479)</f>
        <v>0.25041030137478998</v>
      </c>
      <c r="I1479" s="23">
        <f ca="1">IFERROR(__xludf.DUMMYFUNCTION("""COMPUTED_VALUE"""),0.0955256259604085)</f>
        <v>9.5525625960408506E-2</v>
      </c>
      <c r="J1479" s="23">
        <f ca="1">IFERROR(__xludf.DUMMYFUNCTION("""COMPUTED_VALUE"""),0.0997841409166259)</f>
        <v>9.9784140916625894E-2</v>
      </c>
      <c r="K1479" s="23">
        <f ca="1">IFERROR(__xludf.DUMMYFUNCTION("""COMPUTED_VALUE"""),0.127459299189248)</f>
        <v>0.127459299189248</v>
      </c>
      <c r="L1479" s="23">
        <f ca="1">IFERROR(__xludf.DUMMYFUNCTION("""COMPUTED_VALUE"""),0.116539767751172)</f>
        <v>0.116539767751172</v>
      </c>
      <c r="M1479" s="23">
        <f ca="1">IFERROR(__xludf.DUMMYFUNCTION("""COMPUTED_VALUE"""),0.0819268977821382)</f>
        <v>8.19268977821382E-2</v>
      </c>
      <c r="N1479" s="23">
        <f ca="1">IFERROR(__xludf.DUMMYFUNCTION("""COMPUTED_VALUE"""),2.37257747278813)</f>
        <v>2.3725774727881301</v>
      </c>
      <c r="O1479" s="23">
        <f ca="1">IFERROR(__xludf.DUMMYFUNCTION("""COMPUTED_VALUE"""),2.33854901014002)</f>
        <v>2.3385490101400199</v>
      </c>
      <c r="P1479" s="23">
        <f ca="1">IFERROR(__xludf.DUMMYFUNCTION("""COMPUTED_VALUE"""),2.36898699114276)</f>
        <v>2.3689869911427599</v>
      </c>
      <c r="Q1479" s="24">
        <f ca="1">IFERROR(__xludf.DUMMYFUNCTION("""COMPUTED_VALUE"""),0.231945408183864)</f>
        <v>0.231945408183864</v>
      </c>
      <c r="R1479" s="20"/>
    </row>
    <row r="1480" spans="1:18" ht="13.2" hidden="1" outlineLevel="1" x14ac:dyDescent="0.25">
      <c r="A1480" s="1"/>
      <c r="B1480" s="39" t="str">
        <f ca="1">IFERROR(__xludf.DUMMYFUNCTION("""COMPUTED_VALUE"""),"Combustóleo")</f>
        <v>Combustóleo</v>
      </c>
      <c r="C1480" s="22">
        <f ca="1">IFERROR(__xludf.DUMMYFUNCTION("""COMPUTED_VALUE"""),3.68360151820449)</f>
        <v>3.6836015182044899</v>
      </c>
      <c r="D1480" s="23">
        <f ca="1">IFERROR(__xludf.DUMMYFUNCTION("""COMPUTED_VALUE"""),2.31857775992073)</f>
        <v>2.3185777599207298</v>
      </c>
      <c r="E1480" s="23">
        <f ca="1">IFERROR(__xludf.DUMMYFUNCTION("""COMPUTED_VALUE"""),2.60916141258929)</f>
        <v>2.6091614125892901</v>
      </c>
      <c r="F1480" s="23">
        <f ca="1">IFERROR(__xludf.DUMMYFUNCTION("""COMPUTED_VALUE"""),1.53301155143935)</f>
        <v>1.5330115514393501</v>
      </c>
      <c r="G1480" s="23">
        <f ca="1">IFERROR(__xludf.DUMMYFUNCTION("""COMPUTED_VALUE"""),1.08940509809848)</f>
        <v>1.08940509809848</v>
      </c>
      <c r="H1480" s="23">
        <f ca="1">IFERROR(__xludf.DUMMYFUNCTION("""COMPUTED_VALUE"""),2.10778069962968)</f>
        <v>2.10778069962968</v>
      </c>
      <c r="I1480" s="23">
        <f ca="1">IFERROR(__xludf.DUMMYFUNCTION("""COMPUTED_VALUE"""),1.82221113172324)</f>
        <v>1.8222111317232399</v>
      </c>
      <c r="J1480" s="23">
        <f ca="1">IFERROR(__xludf.DUMMYFUNCTION("""COMPUTED_VALUE"""),1.90492146764737)</f>
        <v>1.90492146764737</v>
      </c>
      <c r="K1480" s="23">
        <f ca="1">IFERROR(__xludf.DUMMYFUNCTION("""COMPUTED_VALUE"""),0.588538036534924)</f>
        <v>0.58853803653492398</v>
      </c>
      <c r="L1480" s="23">
        <f ca="1">IFERROR(__xludf.DUMMYFUNCTION("""COMPUTED_VALUE"""),0.877100773072786)</f>
        <v>0.877100773072786</v>
      </c>
      <c r="M1480" s="23">
        <f ca="1">IFERROR(__xludf.DUMMYFUNCTION("""COMPUTED_VALUE"""),0.901270087434518)</f>
        <v>0.90127008743451797</v>
      </c>
      <c r="N1480" s="23">
        <f ca="1">IFERROR(__xludf.DUMMYFUNCTION("""COMPUTED_VALUE"""),1.79131894559457)</f>
        <v>1.7913189455945699</v>
      </c>
      <c r="O1480" s="23">
        <f ca="1">IFERROR(__xludf.DUMMYFUNCTION("""COMPUTED_VALUE"""),2.02536135103313)</f>
        <v>2.0253613510331299</v>
      </c>
      <c r="P1480" s="23">
        <f ca="1">IFERROR(__xludf.DUMMYFUNCTION("""COMPUTED_VALUE"""),1.88156266231535)</f>
        <v>1.8815626623153501</v>
      </c>
      <c r="Q1480" s="24">
        <f ca="1">IFERROR(__xludf.DUMMYFUNCTION("""COMPUTED_VALUE"""),0.897983151287812)</f>
        <v>0.89798315128781203</v>
      </c>
      <c r="R1480" s="20"/>
    </row>
    <row r="1481" spans="1:18" ht="13.2" hidden="1" outlineLevel="1" x14ac:dyDescent="0.25">
      <c r="A1481" s="1"/>
      <c r="B1481" s="39" t="str">
        <f ca="1">IFERROR(__xludf.DUMMYFUNCTION("""COMPUTED_VALUE"""),"Otros energéticos")</f>
        <v>Otros energéticos</v>
      </c>
      <c r="C1481" s="22">
        <f ca="1">IFERROR(__xludf.DUMMYFUNCTION("""COMPUTED_VALUE"""),0)</f>
        <v>0</v>
      </c>
      <c r="D1481" s="23">
        <f ca="1">IFERROR(__xludf.DUMMYFUNCTION("""COMPUTED_VALUE"""),0)</f>
        <v>0</v>
      </c>
      <c r="E1481" s="23">
        <f ca="1">IFERROR(__xludf.DUMMYFUNCTION("""COMPUTED_VALUE"""),0)</f>
        <v>0</v>
      </c>
      <c r="F1481" s="23">
        <f ca="1">IFERROR(__xludf.DUMMYFUNCTION("""COMPUTED_VALUE"""),0)</f>
        <v>0</v>
      </c>
      <c r="G1481" s="23">
        <f ca="1">IFERROR(__xludf.DUMMYFUNCTION("""COMPUTED_VALUE"""),0)</f>
        <v>0</v>
      </c>
      <c r="H1481" s="23">
        <f ca="1">IFERROR(__xludf.DUMMYFUNCTION("""COMPUTED_VALUE"""),0)</f>
        <v>0</v>
      </c>
      <c r="I1481" s="23">
        <f ca="1">IFERROR(__xludf.DUMMYFUNCTION("""COMPUTED_VALUE"""),0)</f>
        <v>0</v>
      </c>
      <c r="J1481" s="23">
        <f ca="1">IFERROR(__xludf.DUMMYFUNCTION("""COMPUTED_VALUE"""),0)</f>
        <v>0</v>
      </c>
      <c r="K1481" s="23">
        <f ca="1">IFERROR(__xludf.DUMMYFUNCTION("""COMPUTED_VALUE"""),0)</f>
        <v>0</v>
      </c>
      <c r="L1481" s="23">
        <f ca="1">IFERROR(__xludf.DUMMYFUNCTION("""COMPUTED_VALUE"""),0)</f>
        <v>0</v>
      </c>
      <c r="M1481" s="23">
        <f ca="1">IFERROR(__xludf.DUMMYFUNCTION("""COMPUTED_VALUE"""),0)</f>
        <v>0</v>
      </c>
      <c r="N1481" s="23">
        <f ca="1">IFERROR(__xludf.DUMMYFUNCTION("""COMPUTED_VALUE"""),0)</f>
        <v>0</v>
      </c>
      <c r="O1481" s="23">
        <f ca="1">IFERROR(__xludf.DUMMYFUNCTION("""COMPUTED_VALUE"""),0)</f>
        <v>0</v>
      </c>
      <c r="P1481" s="23">
        <f ca="1">IFERROR(__xludf.DUMMYFUNCTION("""COMPUTED_VALUE"""),0)</f>
        <v>0</v>
      </c>
      <c r="Q1481" s="24">
        <f ca="1">IFERROR(__xludf.DUMMYFUNCTION("""COMPUTED_VALUE"""),0)</f>
        <v>0</v>
      </c>
      <c r="R1481" s="20"/>
    </row>
    <row r="1482" spans="1:18" ht="13.2" hidden="1" outlineLevel="1" x14ac:dyDescent="0.25">
      <c r="A1482" s="1"/>
      <c r="B1482" s="39" t="str">
        <f ca="1">IFERROR(__xludf.DUMMYFUNCTION("""COMPUTED_VALUE"""),"Gas natural seco")</f>
        <v>Gas natural seco</v>
      </c>
      <c r="C1482" s="22">
        <f ca="1">IFERROR(__xludf.DUMMYFUNCTION("""COMPUTED_VALUE"""),19.3602472405707)</f>
        <v>19.3602472405707</v>
      </c>
      <c r="D1482" s="23">
        <f ca="1">IFERROR(__xludf.DUMMYFUNCTION("""COMPUTED_VALUE"""),31.5236924257645)</f>
        <v>31.523692425764501</v>
      </c>
      <c r="E1482" s="23">
        <f ca="1">IFERROR(__xludf.DUMMYFUNCTION("""COMPUTED_VALUE"""),25.2454865967737)</f>
        <v>25.245486596773699</v>
      </c>
      <c r="F1482" s="23">
        <f ca="1">IFERROR(__xludf.DUMMYFUNCTION("""COMPUTED_VALUE"""),3.82444088607658)</f>
        <v>3.8244408860765802</v>
      </c>
      <c r="G1482" s="23">
        <f ca="1">IFERROR(__xludf.DUMMYFUNCTION("""COMPUTED_VALUE"""),5.24756332051452)</f>
        <v>5.2475633205145202</v>
      </c>
      <c r="H1482" s="23">
        <f ca="1">IFERROR(__xludf.DUMMYFUNCTION("""COMPUTED_VALUE"""),9.24576911701883)</f>
        <v>9.2457691170188294</v>
      </c>
      <c r="I1482" s="23">
        <f ca="1">IFERROR(__xludf.DUMMYFUNCTION("""COMPUTED_VALUE"""),10.1201561752496)</f>
        <v>10.120156175249599</v>
      </c>
      <c r="J1482" s="23">
        <f ca="1">IFERROR(__xludf.DUMMYFUNCTION("""COMPUTED_VALUE"""),9.26152118613058)</f>
        <v>9.2615211861305795</v>
      </c>
      <c r="K1482" s="23">
        <f ca="1">IFERROR(__xludf.DUMMYFUNCTION("""COMPUTED_VALUE"""),11.9389102024291)</f>
        <v>11.938910202429099</v>
      </c>
      <c r="L1482" s="23">
        <f ca="1">IFERROR(__xludf.DUMMYFUNCTION("""COMPUTED_VALUE"""),14.1645081341879)</f>
        <v>14.1645081341879</v>
      </c>
      <c r="M1482" s="23">
        <f ca="1">IFERROR(__xludf.DUMMYFUNCTION("""COMPUTED_VALUE"""),11.3227560438006)</f>
        <v>11.322756043800601</v>
      </c>
      <c r="N1482" s="23">
        <f ca="1">IFERROR(__xludf.DUMMYFUNCTION("""COMPUTED_VALUE"""),58.7175757156152)</f>
        <v>58.717575715615197</v>
      </c>
      <c r="O1482" s="23">
        <f ca="1">IFERROR(__xludf.DUMMYFUNCTION("""COMPUTED_VALUE"""),64.1418757535846)</f>
        <v>64.1418757535846</v>
      </c>
      <c r="P1482" s="23">
        <f ca="1">IFERROR(__xludf.DUMMYFUNCTION("""COMPUTED_VALUE"""),65.1192408500318)</f>
        <v>65.119240850031801</v>
      </c>
      <c r="Q1482" s="24">
        <f ca="1">IFERROR(__xludf.DUMMYFUNCTION("""COMPUTED_VALUE"""),63.8167046271905)</f>
        <v>63.816704627190497</v>
      </c>
      <c r="R1482" s="20"/>
    </row>
    <row r="1483" spans="1:18" ht="13.2" hidden="1" outlineLevel="1" x14ac:dyDescent="0.25">
      <c r="A1483" s="1"/>
      <c r="B1483" s="40" t="str">
        <f ca="1">IFERROR(__xludf.DUMMYFUNCTION("""COMPUTED_VALUE"""),"Energía eléctrica")</f>
        <v>Energía eléctrica</v>
      </c>
      <c r="C1483" s="26">
        <f ca="1">IFERROR(__xludf.DUMMYFUNCTION("""COMPUTED_VALUE"""),50.9181133275924)</f>
        <v>50.918113327592401</v>
      </c>
      <c r="D1483" s="27">
        <f ca="1">IFERROR(__xludf.DUMMYFUNCTION("""COMPUTED_VALUE"""),43.1049173059991)</f>
        <v>43.104917305999102</v>
      </c>
      <c r="E1483" s="27">
        <f ca="1">IFERROR(__xludf.DUMMYFUNCTION("""COMPUTED_VALUE"""),33.951989182127)</f>
        <v>33.951989182127001</v>
      </c>
      <c r="F1483" s="27">
        <f ca="1">IFERROR(__xludf.DUMMYFUNCTION("""COMPUTED_VALUE"""),38.181102755176)</f>
        <v>38.181102755175999</v>
      </c>
      <c r="G1483" s="27">
        <f ca="1">IFERROR(__xludf.DUMMYFUNCTION("""COMPUTED_VALUE"""),35.7714907028671)</f>
        <v>35.771490702867098</v>
      </c>
      <c r="H1483" s="27">
        <f ca="1">IFERROR(__xludf.DUMMYFUNCTION("""COMPUTED_VALUE"""),36.9362449499213)</f>
        <v>36.936244949921303</v>
      </c>
      <c r="I1483" s="27">
        <f ca="1">IFERROR(__xludf.DUMMYFUNCTION("""COMPUTED_VALUE"""),38.1188589021368)</f>
        <v>38.1188589021368</v>
      </c>
      <c r="J1483" s="27">
        <f ca="1">IFERROR(__xludf.DUMMYFUNCTION("""COMPUTED_VALUE"""),38.7036448899981)</f>
        <v>38.703644889998102</v>
      </c>
      <c r="K1483" s="27">
        <f ca="1">IFERROR(__xludf.DUMMYFUNCTION("""COMPUTED_VALUE"""),38.5997172901968)</f>
        <v>38.5997172901968</v>
      </c>
      <c r="L1483" s="27">
        <f ca="1">IFERROR(__xludf.DUMMYFUNCTION("""COMPUTED_VALUE"""),39.4760402801552)</f>
        <v>39.476040280155203</v>
      </c>
      <c r="M1483" s="27">
        <f ca="1">IFERROR(__xludf.DUMMYFUNCTION("""COMPUTED_VALUE"""),38.1945099307189)</f>
        <v>38.194509930718901</v>
      </c>
      <c r="N1483" s="27">
        <f ca="1">IFERROR(__xludf.DUMMYFUNCTION("""COMPUTED_VALUE"""),71.9435719874001)</f>
        <v>71.943571987400105</v>
      </c>
      <c r="O1483" s="27">
        <f ca="1">IFERROR(__xludf.DUMMYFUNCTION("""COMPUTED_VALUE"""),34.7638651092354)</f>
        <v>34.763865109235397</v>
      </c>
      <c r="P1483" s="27">
        <f ca="1">IFERROR(__xludf.DUMMYFUNCTION("""COMPUTED_VALUE"""),65.4075487397404)</f>
        <v>65.407548739740406</v>
      </c>
      <c r="Q1483" s="28">
        <f ca="1">IFERROR(__xludf.DUMMYFUNCTION("""COMPUTED_VALUE"""),61.286367309988)</f>
        <v>61.286367309988002</v>
      </c>
      <c r="R1483" s="20"/>
    </row>
    <row r="1484" spans="1:18" ht="13.2" collapsed="1" x14ac:dyDescent="0.25">
      <c r="A1484" s="1"/>
      <c r="B1484" s="31" t="str">
        <f ca="1">IFERROR(__xludf.DUMMYFUNCTION("""COMPUTED_VALUE"""),"331	Industrias metálicas básicas")</f>
        <v>331	Industrias metálicas básicas</v>
      </c>
      <c r="C1484" s="41"/>
      <c r="D1484" s="42"/>
      <c r="E1484" s="41"/>
      <c r="F1484" s="41"/>
      <c r="G1484" s="43"/>
      <c r="H1484" s="44"/>
      <c r="I1484" s="45"/>
      <c r="J1484" s="45"/>
      <c r="K1484" s="45"/>
      <c r="L1484" s="45"/>
      <c r="M1484" s="45"/>
      <c r="N1484" s="45"/>
      <c r="O1484" s="45"/>
      <c r="P1484" s="45"/>
      <c r="Q1484" s="45"/>
      <c r="R1484" s="10"/>
    </row>
    <row r="1485" spans="1:18" ht="13.2" hidden="1" outlineLevel="1" x14ac:dyDescent="0.25">
      <c r="A1485" s="1"/>
      <c r="B1485" s="46"/>
      <c r="C1485" s="35">
        <f ca="1">IFERROR(__xludf.DUMMYFUNCTION("""COMPUTED_VALUE"""),2010)</f>
        <v>2010</v>
      </c>
      <c r="D1485" s="36">
        <f ca="1">IFERROR(__xludf.DUMMYFUNCTION("""COMPUTED_VALUE"""),2011)</f>
        <v>2011</v>
      </c>
      <c r="E1485" s="36">
        <f ca="1">IFERROR(__xludf.DUMMYFUNCTION("""COMPUTED_VALUE"""),2012)</f>
        <v>2012</v>
      </c>
      <c r="F1485" s="36">
        <f ca="1">IFERROR(__xludf.DUMMYFUNCTION("""COMPUTED_VALUE"""),2013)</f>
        <v>2013</v>
      </c>
      <c r="G1485" s="36">
        <f ca="1">IFERROR(__xludf.DUMMYFUNCTION("""COMPUTED_VALUE"""),2014)</f>
        <v>2014</v>
      </c>
      <c r="H1485" s="36">
        <f ca="1">IFERROR(__xludf.DUMMYFUNCTION("""COMPUTED_VALUE"""),2015)</f>
        <v>2015</v>
      </c>
      <c r="I1485" s="36">
        <f ca="1">IFERROR(__xludf.DUMMYFUNCTION("""COMPUTED_VALUE"""),2016)</f>
        <v>2016</v>
      </c>
      <c r="J1485" s="36">
        <f ca="1">IFERROR(__xludf.DUMMYFUNCTION("""COMPUTED_VALUE"""),2017)</f>
        <v>2017</v>
      </c>
      <c r="K1485" s="36">
        <f ca="1">IFERROR(__xludf.DUMMYFUNCTION("""COMPUTED_VALUE"""),2018)</f>
        <v>2018</v>
      </c>
      <c r="L1485" s="36">
        <f ca="1">IFERROR(__xludf.DUMMYFUNCTION("""COMPUTED_VALUE"""),2019)</f>
        <v>2019</v>
      </c>
      <c r="M1485" s="36">
        <f ca="1">IFERROR(__xludf.DUMMYFUNCTION("""COMPUTED_VALUE"""),2020)</f>
        <v>2020</v>
      </c>
      <c r="N1485" s="36">
        <f ca="1">IFERROR(__xludf.DUMMYFUNCTION("""COMPUTED_VALUE"""),2021)</f>
        <v>2021</v>
      </c>
      <c r="O1485" s="36">
        <f ca="1">IFERROR(__xludf.DUMMYFUNCTION("""COMPUTED_VALUE"""),2022)</f>
        <v>2022</v>
      </c>
      <c r="P1485" s="36">
        <f ca="1">IFERROR(__xludf.DUMMYFUNCTION("""COMPUTED_VALUE"""),2023)</f>
        <v>2023</v>
      </c>
      <c r="Q1485" s="37">
        <f ca="1">IFERROR(__xludf.DUMMYFUNCTION("""COMPUTED_VALUE"""),2024)</f>
        <v>2024</v>
      </c>
      <c r="R1485" s="15"/>
    </row>
    <row r="1486" spans="1:18" ht="13.2" hidden="1" outlineLevel="1" x14ac:dyDescent="0.25">
      <c r="A1486" s="1"/>
      <c r="B1486" s="38" t="str">
        <f ca="1">IFERROR(__xludf.DUMMYFUNCTION("""COMPUTED_VALUE"""),"Carbón mineral")</f>
        <v>Carbón mineral</v>
      </c>
      <c r="C1486" s="17">
        <f ca="1">IFERROR(__xludf.DUMMYFUNCTION("""COMPUTED_VALUE"""),0)</f>
        <v>0</v>
      </c>
      <c r="D1486" s="18">
        <f ca="1">IFERROR(__xludf.DUMMYFUNCTION("""COMPUTED_VALUE"""),0)</f>
        <v>0</v>
      </c>
      <c r="E1486" s="18">
        <f ca="1">IFERROR(__xludf.DUMMYFUNCTION("""COMPUTED_VALUE"""),0)</f>
        <v>0</v>
      </c>
      <c r="F1486" s="18">
        <f ca="1">IFERROR(__xludf.DUMMYFUNCTION("""COMPUTED_VALUE"""),0)</f>
        <v>0</v>
      </c>
      <c r="G1486" s="18">
        <f ca="1">IFERROR(__xludf.DUMMYFUNCTION("""COMPUTED_VALUE"""),0)</f>
        <v>0</v>
      </c>
      <c r="H1486" s="18">
        <f ca="1">IFERROR(__xludf.DUMMYFUNCTION("""COMPUTED_VALUE"""),0)</f>
        <v>0</v>
      </c>
      <c r="I1486" s="18">
        <f ca="1">IFERROR(__xludf.DUMMYFUNCTION("""COMPUTED_VALUE"""),0)</f>
        <v>0</v>
      </c>
      <c r="J1486" s="18">
        <f ca="1">IFERROR(__xludf.DUMMYFUNCTION("""COMPUTED_VALUE"""),0)</f>
        <v>0</v>
      </c>
      <c r="K1486" s="18">
        <f ca="1">IFERROR(__xludf.DUMMYFUNCTION("""COMPUTED_VALUE"""),0)</f>
        <v>0</v>
      </c>
      <c r="L1486" s="18">
        <f ca="1">IFERROR(__xludf.DUMMYFUNCTION("""COMPUTED_VALUE"""),0)</f>
        <v>0</v>
      </c>
      <c r="M1486" s="18">
        <f ca="1">IFERROR(__xludf.DUMMYFUNCTION("""COMPUTED_VALUE"""),0)</f>
        <v>0</v>
      </c>
      <c r="N1486" s="18">
        <f ca="1">IFERROR(__xludf.DUMMYFUNCTION("""COMPUTED_VALUE"""),0)</f>
        <v>0</v>
      </c>
      <c r="O1486" s="18">
        <f ca="1">IFERROR(__xludf.DUMMYFUNCTION("""COMPUTED_VALUE"""),0)</f>
        <v>0</v>
      </c>
      <c r="P1486" s="18">
        <f ca="1">IFERROR(__xludf.DUMMYFUNCTION("""COMPUTED_VALUE"""),0)</f>
        <v>0</v>
      </c>
      <c r="Q1486" s="19">
        <f ca="1">IFERROR(__xludf.DUMMYFUNCTION("""COMPUTED_VALUE"""),0)</f>
        <v>0</v>
      </c>
      <c r="R1486" s="20"/>
    </row>
    <row r="1487" spans="1:18" ht="13.2" hidden="1" outlineLevel="1" x14ac:dyDescent="0.25">
      <c r="A1487" s="1"/>
      <c r="B1487" s="39" t="str">
        <f ca="1">IFERROR(__xludf.DUMMYFUNCTION("""COMPUTED_VALUE"""),"Petróleo crudo")</f>
        <v>Petróleo crudo</v>
      </c>
      <c r="C1487" s="22">
        <f ca="1">IFERROR(__xludf.DUMMYFUNCTION("""COMPUTED_VALUE"""),0)</f>
        <v>0</v>
      </c>
      <c r="D1487" s="23">
        <f ca="1">IFERROR(__xludf.DUMMYFUNCTION("""COMPUTED_VALUE"""),0)</f>
        <v>0</v>
      </c>
      <c r="E1487" s="23">
        <f ca="1">IFERROR(__xludf.DUMMYFUNCTION("""COMPUTED_VALUE"""),0)</f>
        <v>0</v>
      </c>
      <c r="F1487" s="23">
        <f ca="1">IFERROR(__xludf.DUMMYFUNCTION("""COMPUTED_VALUE"""),0)</f>
        <v>0</v>
      </c>
      <c r="G1487" s="23">
        <f ca="1">IFERROR(__xludf.DUMMYFUNCTION("""COMPUTED_VALUE"""),0)</f>
        <v>0</v>
      </c>
      <c r="H1487" s="23">
        <f ca="1">IFERROR(__xludf.DUMMYFUNCTION("""COMPUTED_VALUE"""),0)</f>
        <v>0</v>
      </c>
      <c r="I1487" s="23">
        <f ca="1">IFERROR(__xludf.DUMMYFUNCTION("""COMPUTED_VALUE"""),0)</f>
        <v>0</v>
      </c>
      <c r="J1487" s="23">
        <f ca="1">IFERROR(__xludf.DUMMYFUNCTION("""COMPUTED_VALUE"""),0)</f>
        <v>0</v>
      </c>
      <c r="K1487" s="23">
        <f ca="1">IFERROR(__xludf.DUMMYFUNCTION("""COMPUTED_VALUE"""),0)</f>
        <v>0</v>
      </c>
      <c r="L1487" s="23">
        <f ca="1">IFERROR(__xludf.DUMMYFUNCTION("""COMPUTED_VALUE"""),0)</f>
        <v>0</v>
      </c>
      <c r="M1487" s="23">
        <f ca="1">IFERROR(__xludf.DUMMYFUNCTION("""COMPUTED_VALUE"""),0)</f>
        <v>0</v>
      </c>
      <c r="N1487" s="23">
        <f ca="1">IFERROR(__xludf.DUMMYFUNCTION("""COMPUTED_VALUE"""),0)</f>
        <v>0</v>
      </c>
      <c r="O1487" s="23">
        <f ca="1">IFERROR(__xludf.DUMMYFUNCTION("""COMPUTED_VALUE"""),0)</f>
        <v>0</v>
      </c>
      <c r="P1487" s="23">
        <f ca="1">IFERROR(__xludf.DUMMYFUNCTION("""COMPUTED_VALUE"""),0)</f>
        <v>0</v>
      </c>
      <c r="Q1487" s="24">
        <f ca="1">IFERROR(__xludf.DUMMYFUNCTION("""COMPUTED_VALUE"""),0)</f>
        <v>0</v>
      </c>
      <c r="R1487" s="20"/>
    </row>
    <row r="1488" spans="1:18" ht="13.2" hidden="1" outlineLevel="1" x14ac:dyDescent="0.25">
      <c r="A1488" s="1"/>
      <c r="B1488" s="39" t="str">
        <f ca="1">IFERROR(__xludf.DUMMYFUNCTION("""COMPUTED_VALUE"""),"Condensados")</f>
        <v>Condensados</v>
      </c>
      <c r="C1488" s="22">
        <f ca="1">IFERROR(__xludf.DUMMYFUNCTION("""COMPUTED_VALUE"""),0)</f>
        <v>0</v>
      </c>
      <c r="D1488" s="23">
        <f ca="1">IFERROR(__xludf.DUMMYFUNCTION("""COMPUTED_VALUE"""),0)</f>
        <v>0</v>
      </c>
      <c r="E1488" s="23">
        <f ca="1">IFERROR(__xludf.DUMMYFUNCTION("""COMPUTED_VALUE"""),0)</f>
        <v>0</v>
      </c>
      <c r="F1488" s="23">
        <f ca="1">IFERROR(__xludf.DUMMYFUNCTION("""COMPUTED_VALUE"""),0)</f>
        <v>0</v>
      </c>
      <c r="G1488" s="23">
        <f ca="1">IFERROR(__xludf.DUMMYFUNCTION("""COMPUTED_VALUE"""),0)</f>
        <v>0</v>
      </c>
      <c r="H1488" s="23">
        <f ca="1">IFERROR(__xludf.DUMMYFUNCTION("""COMPUTED_VALUE"""),0)</f>
        <v>0</v>
      </c>
      <c r="I1488" s="23">
        <f ca="1">IFERROR(__xludf.DUMMYFUNCTION("""COMPUTED_VALUE"""),0)</f>
        <v>0</v>
      </c>
      <c r="J1488" s="23">
        <f ca="1">IFERROR(__xludf.DUMMYFUNCTION("""COMPUTED_VALUE"""),0)</f>
        <v>0</v>
      </c>
      <c r="K1488" s="23">
        <f ca="1">IFERROR(__xludf.DUMMYFUNCTION("""COMPUTED_VALUE"""),0)</f>
        <v>0</v>
      </c>
      <c r="L1488" s="23">
        <f ca="1">IFERROR(__xludf.DUMMYFUNCTION("""COMPUTED_VALUE"""),0)</f>
        <v>0</v>
      </c>
      <c r="M1488" s="23">
        <f ca="1">IFERROR(__xludf.DUMMYFUNCTION("""COMPUTED_VALUE"""),0)</f>
        <v>0</v>
      </c>
      <c r="N1488" s="23">
        <f ca="1">IFERROR(__xludf.DUMMYFUNCTION("""COMPUTED_VALUE"""),0)</f>
        <v>0</v>
      </c>
      <c r="O1488" s="23">
        <f ca="1">IFERROR(__xludf.DUMMYFUNCTION("""COMPUTED_VALUE"""),0)</f>
        <v>0</v>
      </c>
      <c r="P1488" s="23">
        <f ca="1">IFERROR(__xludf.DUMMYFUNCTION("""COMPUTED_VALUE"""),0)</f>
        <v>0</v>
      </c>
      <c r="Q1488" s="24">
        <f ca="1">IFERROR(__xludf.DUMMYFUNCTION("""COMPUTED_VALUE"""),0)</f>
        <v>0</v>
      </c>
      <c r="R1488" s="20"/>
    </row>
    <row r="1489" spans="1:18" ht="13.2" hidden="1" outlineLevel="1" x14ac:dyDescent="0.25">
      <c r="A1489" s="1"/>
      <c r="B1489" s="39" t="str">
        <f ca="1">IFERROR(__xludf.DUMMYFUNCTION("""COMPUTED_VALUE"""),"Gas natural")</f>
        <v>Gas natural</v>
      </c>
      <c r="C1489" s="22">
        <f ca="1">IFERROR(__xludf.DUMMYFUNCTION("""COMPUTED_VALUE"""),0)</f>
        <v>0</v>
      </c>
      <c r="D1489" s="23">
        <f ca="1">IFERROR(__xludf.DUMMYFUNCTION("""COMPUTED_VALUE"""),0)</f>
        <v>0</v>
      </c>
      <c r="E1489" s="23">
        <f ca="1">IFERROR(__xludf.DUMMYFUNCTION("""COMPUTED_VALUE"""),0)</f>
        <v>0</v>
      </c>
      <c r="F1489" s="23">
        <f ca="1">IFERROR(__xludf.DUMMYFUNCTION("""COMPUTED_VALUE"""),0)</f>
        <v>0</v>
      </c>
      <c r="G1489" s="23">
        <f ca="1">IFERROR(__xludf.DUMMYFUNCTION("""COMPUTED_VALUE"""),0)</f>
        <v>0</v>
      </c>
      <c r="H1489" s="23">
        <f ca="1">IFERROR(__xludf.DUMMYFUNCTION("""COMPUTED_VALUE"""),0)</f>
        <v>0</v>
      </c>
      <c r="I1489" s="23">
        <f ca="1">IFERROR(__xludf.DUMMYFUNCTION("""COMPUTED_VALUE"""),0)</f>
        <v>0</v>
      </c>
      <c r="J1489" s="23">
        <f ca="1">IFERROR(__xludf.DUMMYFUNCTION("""COMPUTED_VALUE"""),0)</f>
        <v>0</v>
      </c>
      <c r="K1489" s="23">
        <f ca="1">IFERROR(__xludf.DUMMYFUNCTION("""COMPUTED_VALUE"""),0)</f>
        <v>0</v>
      </c>
      <c r="L1489" s="23">
        <f ca="1">IFERROR(__xludf.DUMMYFUNCTION("""COMPUTED_VALUE"""),0)</f>
        <v>0</v>
      </c>
      <c r="M1489" s="23">
        <f ca="1">IFERROR(__xludf.DUMMYFUNCTION("""COMPUTED_VALUE"""),0)</f>
        <v>0</v>
      </c>
      <c r="N1489" s="23">
        <f ca="1">IFERROR(__xludf.DUMMYFUNCTION("""COMPUTED_VALUE"""),0)</f>
        <v>0</v>
      </c>
      <c r="O1489" s="23">
        <f ca="1">IFERROR(__xludf.DUMMYFUNCTION("""COMPUTED_VALUE"""),0)</f>
        <v>0</v>
      </c>
      <c r="P1489" s="23">
        <f ca="1">IFERROR(__xludf.DUMMYFUNCTION("""COMPUTED_VALUE"""),0)</f>
        <v>0</v>
      </c>
      <c r="Q1489" s="24">
        <f ca="1">IFERROR(__xludf.DUMMYFUNCTION("""COMPUTED_VALUE"""),0)</f>
        <v>0</v>
      </c>
      <c r="R1489" s="20"/>
    </row>
    <row r="1490" spans="1:18" ht="13.2" hidden="1" outlineLevel="1" x14ac:dyDescent="0.25">
      <c r="A1490" s="1"/>
      <c r="B1490" s="39" t="str">
        <f ca="1">IFERROR(__xludf.DUMMYFUNCTION("""COMPUTED_VALUE"""),"Energía Nuclear")</f>
        <v>Energía Nuclear</v>
      </c>
      <c r="C1490" s="22">
        <f ca="1">IFERROR(__xludf.DUMMYFUNCTION("""COMPUTED_VALUE"""),0)</f>
        <v>0</v>
      </c>
      <c r="D1490" s="23">
        <f ca="1">IFERROR(__xludf.DUMMYFUNCTION("""COMPUTED_VALUE"""),0)</f>
        <v>0</v>
      </c>
      <c r="E1490" s="23">
        <f ca="1">IFERROR(__xludf.DUMMYFUNCTION("""COMPUTED_VALUE"""),0)</f>
        <v>0</v>
      </c>
      <c r="F1490" s="23">
        <f ca="1">IFERROR(__xludf.DUMMYFUNCTION("""COMPUTED_VALUE"""),0)</f>
        <v>0</v>
      </c>
      <c r="G1490" s="23">
        <f ca="1">IFERROR(__xludf.DUMMYFUNCTION("""COMPUTED_VALUE"""),0)</f>
        <v>0</v>
      </c>
      <c r="H1490" s="23">
        <f ca="1">IFERROR(__xludf.DUMMYFUNCTION("""COMPUTED_VALUE"""),0)</f>
        <v>0</v>
      </c>
      <c r="I1490" s="23">
        <f ca="1">IFERROR(__xludf.DUMMYFUNCTION("""COMPUTED_VALUE"""),0)</f>
        <v>0</v>
      </c>
      <c r="J1490" s="23">
        <f ca="1">IFERROR(__xludf.DUMMYFUNCTION("""COMPUTED_VALUE"""),0)</f>
        <v>0</v>
      </c>
      <c r="K1490" s="23">
        <f ca="1">IFERROR(__xludf.DUMMYFUNCTION("""COMPUTED_VALUE"""),0)</f>
        <v>0</v>
      </c>
      <c r="L1490" s="23">
        <f ca="1">IFERROR(__xludf.DUMMYFUNCTION("""COMPUTED_VALUE"""),0)</f>
        <v>0</v>
      </c>
      <c r="M1490" s="23">
        <f ca="1">IFERROR(__xludf.DUMMYFUNCTION("""COMPUTED_VALUE"""),0)</f>
        <v>0</v>
      </c>
      <c r="N1490" s="23">
        <f ca="1">IFERROR(__xludf.DUMMYFUNCTION("""COMPUTED_VALUE"""),0)</f>
        <v>0</v>
      </c>
      <c r="O1490" s="23">
        <f ca="1">IFERROR(__xludf.DUMMYFUNCTION("""COMPUTED_VALUE"""),0)</f>
        <v>0</v>
      </c>
      <c r="P1490" s="23">
        <f ca="1">IFERROR(__xludf.DUMMYFUNCTION("""COMPUTED_VALUE"""),0)</f>
        <v>0</v>
      </c>
      <c r="Q1490" s="24">
        <f ca="1">IFERROR(__xludf.DUMMYFUNCTION("""COMPUTED_VALUE"""),0)</f>
        <v>0</v>
      </c>
      <c r="R1490" s="20"/>
    </row>
    <row r="1491" spans="1:18" ht="13.2" hidden="1" outlineLevel="1" x14ac:dyDescent="0.25">
      <c r="A1491" s="1"/>
      <c r="B1491" s="39" t="str">
        <f ca="1">IFERROR(__xludf.DUMMYFUNCTION("""COMPUTED_VALUE"""),"Energia Hidraúlica")</f>
        <v>Energia Hidraúlica</v>
      </c>
      <c r="C1491" s="22">
        <f ca="1">IFERROR(__xludf.DUMMYFUNCTION("""COMPUTED_VALUE"""),0)</f>
        <v>0</v>
      </c>
      <c r="D1491" s="23">
        <f ca="1">IFERROR(__xludf.DUMMYFUNCTION("""COMPUTED_VALUE"""),0)</f>
        <v>0</v>
      </c>
      <c r="E1491" s="23">
        <f ca="1">IFERROR(__xludf.DUMMYFUNCTION("""COMPUTED_VALUE"""),0)</f>
        <v>0</v>
      </c>
      <c r="F1491" s="23">
        <f ca="1">IFERROR(__xludf.DUMMYFUNCTION("""COMPUTED_VALUE"""),0)</f>
        <v>0</v>
      </c>
      <c r="G1491" s="23">
        <f ca="1">IFERROR(__xludf.DUMMYFUNCTION("""COMPUTED_VALUE"""),0)</f>
        <v>0</v>
      </c>
      <c r="H1491" s="23">
        <f ca="1">IFERROR(__xludf.DUMMYFUNCTION("""COMPUTED_VALUE"""),0)</f>
        <v>0</v>
      </c>
      <c r="I1491" s="23">
        <f ca="1">IFERROR(__xludf.DUMMYFUNCTION("""COMPUTED_VALUE"""),0)</f>
        <v>0</v>
      </c>
      <c r="J1491" s="23">
        <f ca="1">IFERROR(__xludf.DUMMYFUNCTION("""COMPUTED_VALUE"""),0)</f>
        <v>0</v>
      </c>
      <c r="K1491" s="23">
        <f ca="1">IFERROR(__xludf.DUMMYFUNCTION("""COMPUTED_VALUE"""),0)</f>
        <v>0</v>
      </c>
      <c r="L1491" s="23">
        <f ca="1">IFERROR(__xludf.DUMMYFUNCTION("""COMPUTED_VALUE"""),0)</f>
        <v>0</v>
      </c>
      <c r="M1491" s="23">
        <f ca="1">IFERROR(__xludf.DUMMYFUNCTION("""COMPUTED_VALUE"""),0)</f>
        <v>0</v>
      </c>
      <c r="N1491" s="23">
        <f ca="1">IFERROR(__xludf.DUMMYFUNCTION("""COMPUTED_VALUE"""),0)</f>
        <v>0</v>
      </c>
      <c r="O1491" s="23">
        <f ca="1">IFERROR(__xludf.DUMMYFUNCTION("""COMPUTED_VALUE"""),0)</f>
        <v>0</v>
      </c>
      <c r="P1491" s="23">
        <f ca="1">IFERROR(__xludf.DUMMYFUNCTION("""COMPUTED_VALUE"""),0)</f>
        <v>0</v>
      </c>
      <c r="Q1491" s="24">
        <f ca="1">IFERROR(__xludf.DUMMYFUNCTION("""COMPUTED_VALUE"""),0)</f>
        <v>0</v>
      </c>
      <c r="R1491" s="20"/>
    </row>
    <row r="1492" spans="1:18" ht="13.2" hidden="1" outlineLevel="1" x14ac:dyDescent="0.25">
      <c r="A1492" s="1"/>
      <c r="B1492" s="39" t="str">
        <f ca="1">IFERROR(__xludf.DUMMYFUNCTION("""COMPUTED_VALUE"""),"Geoenergía")</f>
        <v>Geoenergía</v>
      </c>
      <c r="C1492" s="22">
        <f ca="1">IFERROR(__xludf.DUMMYFUNCTION("""COMPUTED_VALUE"""),0)</f>
        <v>0</v>
      </c>
      <c r="D1492" s="23">
        <f ca="1">IFERROR(__xludf.DUMMYFUNCTION("""COMPUTED_VALUE"""),0)</f>
        <v>0</v>
      </c>
      <c r="E1492" s="23">
        <f ca="1">IFERROR(__xludf.DUMMYFUNCTION("""COMPUTED_VALUE"""),0)</f>
        <v>0</v>
      </c>
      <c r="F1492" s="23">
        <f ca="1">IFERROR(__xludf.DUMMYFUNCTION("""COMPUTED_VALUE"""),0)</f>
        <v>0</v>
      </c>
      <c r="G1492" s="23">
        <f ca="1">IFERROR(__xludf.DUMMYFUNCTION("""COMPUTED_VALUE"""),0)</f>
        <v>0</v>
      </c>
      <c r="H1492" s="23">
        <f ca="1">IFERROR(__xludf.DUMMYFUNCTION("""COMPUTED_VALUE"""),0)</f>
        <v>0</v>
      </c>
      <c r="I1492" s="23">
        <f ca="1">IFERROR(__xludf.DUMMYFUNCTION("""COMPUTED_VALUE"""),0)</f>
        <v>0</v>
      </c>
      <c r="J1492" s="23">
        <f ca="1">IFERROR(__xludf.DUMMYFUNCTION("""COMPUTED_VALUE"""),0)</f>
        <v>0</v>
      </c>
      <c r="K1492" s="23">
        <f ca="1">IFERROR(__xludf.DUMMYFUNCTION("""COMPUTED_VALUE"""),0)</f>
        <v>0</v>
      </c>
      <c r="L1492" s="23">
        <f ca="1">IFERROR(__xludf.DUMMYFUNCTION("""COMPUTED_VALUE"""),0)</f>
        <v>0</v>
      </c>
      <c r="M1492" s="23">
        <f ca="1">IFERROR(__xludf.DUMMYFUNCTION("""COMPUTED_VALUE"""),0)</f>
        <v>0</v>
      </c>
      <c r="N1492" s="23">
        <f ca="1">IFERROR(__xludf.DUMMYFUNCTION("""COMPUTED_VALUE"""),0)</f>
        <v>0</v>
      </c>
      <c r="O1492" s="23">
        <f ca="1">IFERROR(__xludf.DUMMYFUNCTION("""COMPUTED_VALUE"""),0)</f>
        <v>0</v>
      </c>
      <c r="P1492" s="23">
        <f ca="1">IFERROR(__xludf.DUMMYFUNCTION("""COMPUTED_VALUE"""),0)</f>
        <v>0</v>
      </c>
      <c r="Q1492" s="24">
        <f ca="1">IFERROR(__xludf.DUMMYFUNCTION("""COMPUTED_VALUE"""),0)</f>
        <v>0</v>
      </c>
      <c r="R1492" s="20"/>
    </row>
    <row r="1493" spans="1:18" ht="13.2" hidden="1" outlineLevel="1" x14ac:dyDescent="0.25">
      <c r="A1493" s="1"/>
      <c r="B1493" s="39" t="str">
        <f ca="1">IFERROR(__xludf.DUMMYFUNCTION("""COMPUTED_VALUE"""),"Energía solar")</f>
        <v>Energía solar</v>
      </c>
      <c r="C1493" s="22">
        <f ca="1">IFERROR(__xludf.DUMMYFUNCTION("""COMPUTED_VALUE"""),0)</f>
        <v>0</v>
      </c>
      <c r="D1493" s="23">
        <f ca="1">IFERROR(__xludf.DUMMYFUNCTION("""COMPUTED_VALUE"""),0)</f>
        <v>0</v>
      </c>
      <c r="E1493" s="23">
        <f ca="1">IFERROR(__xludf.DUMMYFUNCTION("""COMPUTED_VALUE"""),0)</f>
        <v>0</v>
      </c>
      <c r="F1493" s="23">
        <f ca="1">IFERROR(__xludf.DUMMYFUNCTION("""COMPUTED_VALUE"""),0)</f>
        <v>0</v>
      </c>
      <c r="G1493" s="23">
        <f ca="1">IFERROR(__xludf.DUMMYFUNCTION("""COMPUTED_VALUE"""),0)</f>
        <v>0</v>
      </c>
      <c r="H1493" s="23">
        <f ca="1">IFERROR(__xludf.DUMMYFUNCTION("""COMPUTED_VALUE"""),0)</f>
        <v>0</v>
      </c>
      <c r="I1493" s="23">
        <f ca="1">IFERROR(__xludf.DUMMYFUNCTION("""COMPUTED_VALUE"""),0)</f>
        <v>0</v>
      </c>
      <c r="J1493" s="23">
        <f ca="1">IFERROR(__xludf.DUMMYFUNCTION("""COMPUTED_VALUE"""),0)</f>
        <v>0</v>
      </c>
      <c r="K1493" s="23">
        <f ca="1">IFERROR(__xludf.DUMMYFUNCTION("""COMPUTED_VALUE"""),0)</f>
        <v>0</v>
      </c>
      <c r="L1493" s="23">
        <f ca="1">IFERROR(__xludf.DUMMYFUNCTION("""COMPUTED_VALUE"""),0)</f>
        <v>0</v>
      </c>
      <c r="M1493" s="23">
        <f ca="1">IFERROR(__xludf.DUMMYFUNCTION("""COMPUTED_VALUE"""),0)</f>
        <v>0</v>
      </c>
      <c r="N1493" s="23">
        <f ca="1">IFERROR(__xludf.DUMMYFUNCTION("""COMPUTED_VALUE"""),0)</f>
        <v>0</v>
      </c>
      <c r="O1493" s="23">
        <f ca="1">IFERROR(__xludf.DUMMYFUNCTION("""COMPUTED_VALUE"""),0)</f>
        <v>0</v>
      </c>
      <c r="P1493" s="23">
        <f ca="1">IFERROR(__xludf.DUMMYFUNCTION("""COMPUTED_VALUE"""),0)</f>
        <v>0</v>
      </c>
      <c r="Q1493" s="24">
        <f ca="1">IFERROR(__xludf.DUMMYFUNCTION("""COMPUTED_VALUE"""),0)</f>
        <v>0</v>
      </c>
      <c r="R1493" s="20"/>
    </row>
    <row r="1494" spans="1:18" ht="13.2" hidden="1" outlineLevel="1" x14ac:dyDescent="0.25">
      <c r="A1494" s="1"/>
      <c r="B1494" s="39" t="str">
        <f ca="1">IFERROR(__xludf.DUMMYFUNCTION("""COMPUTED_VALUE"""),"Energía eólica")</f>
        <v>Energía eólica</v>
      </c>
      <c r="C1494" s="22">
        <f ca="1">IFERROR(__xludf.DUMMYFUNCTION("""COMPUTED_VALUE"""),0)</f>
        <v>0</v>
      </c>
      <c r="D1494" s="23">
        <f ca="1">IFERROR(__xludf.DUMMYFUNCTION("""COMPUTED_VALUE"""),0)</f>
        <v>0</v>
      </c>
      <c r="E1494" s="23">
        <f ca="1">IFERROR(__xludf.DUMMYFUNCTION("""COMPUTED_VALUE"""),0)</f>
        <v>0</v>
      </c>
      <c r="F1494" s="23">
        <f ca="1">IFERROR(__xludf.DUMMYFUNCTION("""COMPUTED_VALUE"""),0)</f>
        <v>0</v>
      </c>
      <c r="G1494" s="23">
        <f ca="1">IFERROR(__xludf.DUMMYFUNCTION("""COMPUTED_VALUE"""),0)</f>
        <v>0</v>
      </c>
      <c r="H1494" s="23">
        <f ca="1">IFERROR(__xludf.DUMMYFUNCTION("""COMPUTED_VALUE"""),0)</f>
        <v>0</v>
      </c>
      <c r="I1494" s="23">
        <f ca="1">IFERROR(__xludf.DUMMYFUNCTION("""COMPUTED_VALUE"""),0)</f>
        <v>0</v>
      </c>
      <c r="J1494" s="23">
        <f ca="1">IFERROR(__xludf.DUMMYFUNCTION("""COMPUTED_VALUE"""),0)</f>
        <v>0</v>
      </c>
      <c r="K1494" s="23">
        <f ca="1">IFERROR(__xludf.DUMMYFUNCTION("""COMPUTED_VALUE"""),0)</f>
        <v>0</v>
      </c>
      <c r="L1494" s="23">
        <f ca="1">IFERROR(__xludf.DUMMYFUNCTION("""COMPUTED_VALUE"""),0)</f>
        <v>0</v>
      </c>
      <c r="M1494" s="23">
        <f ca="1">IFERROR(__xludf.DUMMYFUNCTION("""COMPUTED_VALUE"""),0)</f>
        <v>0</v>
      </c>
      <c r="N1494" s="23">
        <f ca="1">IFERROR(__xludf.DUMMYFUNCTION("""COMPUTED_VALUE"""),0)</f>
        <v>0</v>
      </c>
      <c r="O1494" s="23">
        <f ca="1">IFERROR(__xludf.DUMMYFUNCTION("""COMPUTED_VALUE"""),0)</f>
        <v>0</v>
      </c>
      <c r="P1494" s="23">
        <f ca="1">IFERROR(__xludf.DUMMYFUNCTION("""COMPUTED_VALUE"""),0)</f>
        <v>0</v>
      </c>
      <c r="Q1494" s="24">
        <f ca="1">IFERROR(__xludf.DUMMYFUNCTION("""COMPUTED_VALUE"""),0)</f>
        <v>0</v>
      </c>
      <c r="R1494" s="20"/>
    </row>
    <row r="1495" spans="1:18" ht="13.2" hidden="1" outlineLevel="1" x14ac:dyDescent="0.25">
      <c r="A1495" s="1"/>
      <c r="B1495" s="39" t="str">
        <f ca="1">IFERROR(__xludf.DUMMYFUNCTION("""COMPUTED_VALUE"""),"Bagazo de caña")</f>
        <v>Bagazo de caña</v>
      </c>
      <c r="C1495" s="22">
        <f ca="1">IFERROR(__xludf.DUMMYFUNCTION("""COMPUTED_VALUE"""),0)</f>
        <v>0</v>
      </c>
      <c r="D1495" s="23">
        <f ca="1">IFERROR(__xludf.DUMMYFUNCTION("""COMPUTED_VALUE"""),0)</f>
        <v>0</v>
      </c>
      <c r="E1495" s="23">
        <f ca="1">IFERROR(__xludf.DUMMYFUNCTION("""COMPUTED_VALUE"""),0)</f>
        <v>0</v>
      </c>
      <c r="F1495" s="23">
        <f ca="1">IFERROR(__xludf.DUMMYFUNCTION("""COMPUTED_VALUE"""),0)</f>
        <v>0</v>
      </c>
      <c r="G1495" s="23">
        <f ca="1">IFERROR(__xludf.DUMMYFUNCTION("""COMPUTED_VALUE"""),0)</f>
        <v>0</v>
      </c>
      <c r="H1495" s="23">
        <f ca="1">IFERROR(__xludf.DUMMYFUNCTION("""COMPUTED_VALUE"""),0)</f>
        <v>0</v>
      </c>
      <c r="I1495" s="23">
        <f ca="1">IFERROR(__xludf.DUMMYFUNCTION("""COMPUTED_VALUE"""),0)</f>
        <v>0</v>
      </c>
      <c r="J1495" s="23">
        <f ca="1">IFERROR(__xludf.DUMMYFUNCTION("""COMPUTED_VALUE"""),0)</f>
        <v>0</v>
      </c>
      <c r="K1495" s="23">
        <f ca="1">IFERROR(__xludf.DUMMYFUNCTION("""COMPUTED_VALUE"""),0)</f>
        <v>0</v>
      </c>
      <c r="L1495" s="23">
        <f ca="1">IFERROR(__xludf.DUMMYFUNCTION("""COMPUTED_VALUE"""),0)</f>
        <v>0</v>
      </c>
      <c r="M1495" s="23">
        <f ca="1">IFERROR(__xludf.DUMMYFUNCTION("""COMPUTED_VALUE"""),0)</f>
        <v>0</v>
      </c>
      <c r="N1495" s="23">
        <f ca="1">IFERROR(__xludf.DUMMYFUNCTION("""COMPUTED_VALUE"""),0)</f>
        <v>0</v>
      </c>
      <c r="O1495" s="23">
        <f ca="1">IFERROR(__xludf.DUMMYFUNCTION("""COMPUTED_VALUE"""),0)</f>
        <v>0</v>
      </c>
      <c r="P1495" s="23">
        <f ca="1">IFERROR(__xludf.DUMMYFUNCTION("""COMPUTED_VALUE"""),0)</f>
        <v>0</v>
      </c>
      <c r="Q1495" s="24">
        <f ca="1">IFERROR(__xludf.DUMMYFUNCTION("""COMPUTED_VALUE"""),0)</f>
        <v>0</v>
      </c>
      <c r="R1495" s="20"/>
    </row>
    <row r="1496" spans="1:18" ht="13.2" hidden="1" outlineLevel="1" x14ac:dyDescent="0.25">
      <c r="A1496" s="1"/>
      <c r="B1496" s="39" t="str">
        <f ca="1">IFERROR(__xludf.DUMMYFUNCTION("""COMPUTED_VALUE"""),"Leña")</f>
        <v>Leña</v>
      </c>
      <c r="C1496" s="22">
        <f ca="1">IFERROR(__xludf.DUMMYFUNCTION("""COMPUTED_VALUE"""),0)</f>
        <v>0</v>
      </c>
      <c r="D1496" s="23">
        <f ca="1">IFERROR(__xludf.DUMMYFUNCTION("""COMPUTED_VALUE"""),0)</f>
        <v>0</v>
      </c>
      <c r="E1496" s="23">
        <f ca="1">IFERROR(__xludf.DUMMYFUNCTION("""COMPUTED_VALUE"""),0)</f>
        <v>0</v>
      </c>
      <c r="F1496" s="23">
        <f ca="1">IFERROR(__xludf.DUMMYFUNCTION("""COMPUTED_VALUE"""),0)</f>
        <v>0</v>
      </c>
      <c r="G1496" s="23">
        <f ca="1">IFERROR(__xludf.DUMMYFUNCTION("""COMPUTED_VALUE"""),0)</f>
        <v>0</v>
      </c>
      <c r="H1496" s="23">
        <f ca="1">IFERROR(__xludf.DUMMYFUNCTION("""COMPUTED_VALUE"""),0)</f>
        <v>0</v>
      </c>
      <c r="I1496" s="23">
        <f ca="1">IFERROR(__xludf.DUMMYFUNCTION("""COMPUTED_VALUE"""),0)</f>
        <v>0</v>
      </c>
      <c r="J1496" s="23">
        <f ca="1">IFERROR(__xludf.DUMMYFUNCTION("""COMPUTED_VALUE"""),0)</f>
        <v>0</v>
      </c>
      <c r="K1496" s="23">
        <f ca="1">IFERROR(__xludf.DUMMYFUNCTION("""COMPUTED_VALUE"""),0)</f>
        <v>0</v>
      </c>
      <c r="L1496" s="23">
        <f ca="1">IFERROR(__xludf.DUMMYFUNCTION("""COMPUTED_VALUE"""),0)</f>
        <v>0</v>
      </c>
      <c r="M1496" s="23">
        <f ca="1">IFERROR(__xludf.DUMMYFUNCTION("""COMPUTED_VALUE"""),0)</f>
        <v>0</v>
      </c>
      <c r="N1496" s="23">
        <f ca="1">IFERROR(__xludf.DUMMYFUNCTION("""COMPUTED_VALUE"""),0)</f>
        <v>0</v>
      </c>
      <c r="O1496" s="23">
        <f ca="1">IFERROR(__xludf.DUMMYFUNCTION("""COMPUTED_VALUE"""),0)</f>
        <v>0</v>
      </c>
      <c r="P1496" s="23">
        <f ca="1">IFERROR(__xludf.DUMMYFUNCTION("""COMPUTED_VALUE"""),0)</f>
        <v>0</v>
      </c>
      <c r="Q1496" s="24">
        <f ca="1">IFERROR(__xludf.DUMMYFUNCTION("""COMPUTED_VALUE"""),0)</f>
        <v>0</v>
      </c>
      <c r="R1496" s="20"/>
    </row>
    <row r="1497" spans="1:18" ht="13.2" hidden="1" outlineLevel="1" x14ac:dyDescent="0.25">
      <c r="A1497" s="1"/>
      <c r="B1497" s="39" t="str">
        <f ca="1">IFERROR(__xludf.DUMMYFUNCTION("""COMPUTED_VALUE"""),"Biogás")</f>
        <v>Biogás</v>
      </c>
      <c r="C1497" s="22">
        <f ca="1">IFERROR(__xludf.DUMMYFUNCTION("""COMPUTED_VALUE"""),0)</f>
        <v>0</v>
      </c>
      <c r="D1497" s="23">
        <f ca="1">IFERROR(__xludf.DUMMYFUNCTION("""COMPUTED_VALUE"""),0)</f>
        <v>0</v>
      </c>
      <c r="E1497" s="23">
        <f ca="1">IFERROR(__xludf.DUMMYFUNCTION("""COMPUTED_VALUE"""),0)</f>
        <v>0</v>
      </c>
      <c r="F1497" s="23">
        <f ca="1">IFERROR(__xludf.DUMMYFUNCTION("""COMPUTED_VALUE"""),0)</f>
        <v>0</v>
      </c>
      <c r="G1497" s="23">
        <f ca="1">IFERROR(__xludf.DUMMYFUNCTION("""COMPUTED_VALUE"""),0)</f>
        <v>0</v>
      </c>
      <c r="H1497" s="23">
        <f ca="1">IFERROR(__xludf.DUMMYFUNCTION("""COMPUTED_VALUE"""),0)</f>
        <v>0</v>
      </c>
      <c r="I1497" s="23">
        <f ca="1">IFERROR(__xludf.DUMMYFUNCTION("""COMPUTED_VALUE"""),0)</f>
        <v>0</v>
      </c>
      <c r="J1497" s="23">
        <f ca="1">IFERROR(__xludf.DUMMYFUNCTION("""COMPUTED_VALUE"""),0)</f>
        <v>0</v>
      </c>
      <c r="K1497" s="23">
        <f ca="1">IFERROR(__xludf.DUMMYFUNCTION("""COMPUTED_VALUE"""),0)</f>
        <v>0</v>
      </c>
      <c r="L1497" s="23">
        <f ca="1">IFERROR(__xludf.DUMMYFUNCTION("""COMPUTED_VALUE"""),0)</f>
        <v>0</v>
      </c>
      <c r="M1497" s="23">
        <f ca="1">IFERROR(__xludf.DUMMYFUNCTION("""COMPUTED_VALUE"""),0)</f>
        <v>0</v>
      </c>
      <c r="N1497" s="23">
        <f ca="1">IFERROR(__xludf.DUMMYFUNCTION("""COMPUTED_VALUE"""),0)</f>
        <v>0</v>
      </c>
      <c r="O1497" s="23">
        <f ca="1">IFERROR(__xludf.DUMMYFUNCTION("""COMPUTED_VALUE"""),0)</f>
        <v>0</v>
      </c>
      <c r="P1497" s="23">
        <f ca="1">IFERROR(__xludf.DUMMYFUNCTION("""COMPUTED_VALUE"""),0)</f>
        <v>0</v>
      </c>
      <c r="Q1497" s="24">
        <f ca="1">IFERROR(__xludf.DUMMYFUNCTION("""COMPUTED_VALUE"""),0)</f>
        <v>0</v>
      </c>
      <c r="R1497" s="20"/>
    </row>
    <row r="1498" spans="1:18" ht="13.2" hidden="1" outlineLevel="1" x14ac:dyDescent="0.25">
      <c r="A1498" s="1"/>
      <c r="B1498" s="39" t="str">
        <f ca="1">IFERROR(__xludf.DUMMYFUNCTION("""COMPUTED_VALUE"""),"Coque de carbón")</f>
        <v>Coque de carbón</v>
      </c>
      <c r="C1498" s="22">
        <f ca="1">IFERROR(__xludf.DUMMYFUNCTION("""COMPUTED_VALUE"""),66.432840822)</f>
        <v>66.432840822000003</v>
      </c>
      <c r="D1498" s="23">
        <f ca="1">IFERROR(__xludf.DUMMYFUNCTION("""COMPUTED_VALUE"""),67.0299150743096)</f>
        <v>67.029915074309599</v>
      </c>
      <c r="E1498" s="23">
        <f ca="1">IFERROR(__xludf.DUMMYFUNCTION("""COMPUTED_VALUE"""),73.1587203386133)</f>
        <v>73.158720338613307</v>
      </c>
      <c r="F1498" s="23">
        <f ca="1">IFERROR(__xludf.DUMMYFUNCTION("""COMPUTED_VALUE"""),66.9847602551256)</f>
        <v>66.984760255125593</v>
      </c>
      <c r="G1498" s="23">
        <f ca="1">IFERROR(__xludf.DUMMYFUNCTION("""COMPUTED_VALUE"""),58.5812691872887)</f>
        <v>58.581269187288697</v>
      </c>
      <c r="H1498" s="23">
        <f ca="1">IFERROR(__xludf.DUMMYFUNCTION("""COMPUTED_VALUE"""),53.8321235807582)</f>
        <v>53.8321235807582</v>
      </c>
      <c r="I1498" s="23">
        <f ca="1">IFERROR(__xludf.DUMMYFUNCTION("""COMPUTED_VALUE"""),57.1561297215027)</f>
        <v>57.156129721502701</v>
      </c>
      <c r="J1498" s="23">
        <f ca="1">IFERROR(__xludf.DUMMYFUNCTION("""COMPUTED_VALUE"""),55.5608846289609)</f>
        <v>55.560884628960899</v>
      </c>
      <c r="K1498" s="23">
        <f ca="1">IFERROR(__xludf.DUMMYFUNCTION("""COMPUTED_VALUE"""),53.1912739849831)</f>
        <v>53.191273984983098</v>
      </c>
      <c r="L1498" s="23">
        <f ca="1">IFERROR(__xludf.DUMMYFUNCTION("""COMPUTED_VALUE"""),50.1064132497143)</f>
        <v>50.106413249714301</v>
      </c>
      <c r="M1498" s="23">
        <f ca="1">IFERROR(__xludf.DUMMYFUNCTION("""COMPUTED_VALUE"""),40.2683926637378)</f>
        <v>40.268392663737799</v>
      </c>
      <c r="N1498" s="23">
        <f ca="1">IFERROR(__xludf.DUMMYFUNCTION("""COMPUTED_VALUE"""),40.8188723035134)</f>
        <v>40.818872303513402</v>
      </c>
      <c r="O1498" s="23">
        <f ca="1">IFERROR(__xludf.DUMMYFUNCTION("""COMPUTED_VALUE"""),37.1934878647723)</f>
        <v>37.193487864772301</v>
      </c>
      <c r="P1498" s="23">
        <f ca="1">IFERROR(__xludf.DUMMYFUNCTION("""COMPUTED_VALUE"""),16.188271552169)</f>
        <v>16.188271552168999</v>
      </c>
      <c r="Q1498" s="24">
        <f ca="1">IFERROR(__xludf.DUMMYFUNCTION("""COMPUTED_VALUE"""),14.1090842855813)</f>
        <v>14.1090842855813</v>
      </c>
      <c r="R1498" s="20"/>
    </row>
    <row r="1499" spans="1:18" ht="13.2" hidden="1" outlineLevel="1" x14ac:dyDescent="0.25">
      <c r="A1499" s="1"/>
      <c r="B1499" s="39" t="str">
        <f ca="1">IFERROR(__xludf.DUMMYFUNCTION("""COMPUTED_VALUE"""),"Coque de petróleo")</f>
        <v>Coque de petróleo</v>
      </c>
      <c r="C1499" s="22">
        <f ca="1">IFERROR(__xludf.DUMMYFUNCTION("""COMPUTED_VALUE"""),0.874713039573216)</f>
        <v>0.874713039573216</v>
      </c>
      <c r="D1499" s="23">
        <f ca="1">IFERROR(__xludf.DUMMYFUNCTION("""COMPUTED_VALUE"""),2.602344019767)</f>
        <v>2.602344019767</v>
      </c>
      <c r="E1499" s="23">
        <f ca="1">IFERROR(__xludf.DUMMYFUNCTION("""COMPUTED_VALUE"""),1.22030976815922)</f>
        <v>1.2203097681592201</v>
      </c>
      <c r="F1499" s="23">
        <f ca="1">IFERROR(__xludf.DUMMYFUNCTION("""COMPUTED_VALUE"""),1.46496758992818)</f>
        <v>1.46496758992818</v>
      </c>
      <c r="G1499" s="23">
        <f ca="1">IFERROR(__xludf.DUMMYFUNCTION("""COMPUTED_VALUE"""),0.355832283628305)</f>
        <v>0.35583228362830499</v>
      </c>
      <c r="H1499" s="23">
        <f ca="1">IFERROR(__xludf.DUMMYFUNCTION("""COMPUTED_VALUE"""),0.690294673501376)</f>
        <v>0.69029467350137597</v>
      </c>
      <c r="I1499" s="23">
        <f ca="1">IFERROR(__xludf.DUMMYFUNCTION("""COMPUTED_VALUE"""),0.411514591182612)</f>
        <v>0.41151459118261202</v>
      </c>
      <c r="J1499" s="23">
        <f ca="1">IFERROR(__xludf.DUMMYFUNCTION("""COMPUTED_VALUE"""),0.921380455006223)</f>
        <v>0.92138045500622301</v>
      </c>
      <c r="K1499" s="23">
        <f ca="1">IFERROR(__xludf.DUMMYFUNCTION("""COMPUTED_VALUE"""),1.96378017298618)</f>
        <v>1.9637801729861799</v>
      </c>
      <c r="L1499" s="23">
        <f ca="1">IFERROR(__xludf.DUMMYFUNCTION("""COMPUTED_VALUE"""),2.06550227245088)</f>
        <v>2.06550227245088</v>
      </c>
      <c r="M1499" s="23">
        <f ca="1">IFERROR(__xludf.DUMMYFUNCTION("""COMPUTED_VALUE"""),1.1657560730902)</f>
        <v>1.1657560730901999</v>
      </c>
      <c r="N1499" s="23">
        <f ca="1">IFERROR(__xludf.DUMMYFUNCTION("""COMPUTED_VALUE"""),2.87714752106469)</f>
        <v>2.87714752106469</v>
      </c>
      <c r="O1499" s="23">
        <f ca="1">IFERROR(__xludf.DUMMYFUNCTION("""COMPUTED_VALUE"""),2.90316313508957)</f>
        <v>2.9031631350895699</v>
      </c>
      <c r="P1499" s="23">
        <f ca="1">IFERROR(__xludf.DUMMYFUNCTION("""COMPUTED_VALUE"""),2.73722410374216)</f>
        <v>2.7372241037421601</v>
      </c>
      <c r="Q1499" s="24">
        <f ca="1">IFERROR(__xludf.DUMMYFUNCTION("""COMPUTED_VALUE"""),2.32066647280666)</f>
        <v>2.3206664728066602</v>
      </c>
      <c r="R1499" s="20"/>
    </row>
    <row r="1500" spans="1:18" ht="13.2" hidden="1" outlineLevel="1" x14ac:dyDescent="0.25">
      <c r="A1500" s="1"/>
      <c r="B1500" s="39" t="str">
        <f ca="1">IFERROR(__xludf.DUMMYFUNCTION("""COMPUTED_VALUE"""),"Gas licuado de petróleo")</f>
        <v>Gas licuado de petróleo</v>
      </c>
      <c r="C1500" s="22">
        <f ca="1">IFERROR(__xludf.DUMMYFUNCTION("""COMPUTED_VALUE"""),0.0111039846273636)</f>
        <v>1.1103984627363599E-2</v>
      </c>
      <c r="D1500" s="23">
        <f ca="1">IFERROR(__xludf.DUMMYFUNCTION("""COMPUTED_VALUE"""),0.00829606350906224)</f>
        <v>8.2960635090622396E-3</v>
      </c>
      <c r="E1500" s="23">
        <f ca="1">IFERROR(__xludf.DUMMYFUNCTION("""COMPUTED_VALUE"""),0.0135628171972471)</f>
        <v>1.35628171972471E-2</v>
      </c>
      <c r="F1500" s="23">
        <f ca="1">IFERROR(__xludf.DUMMYFUNCTION("""COMPUTED_VALUE"""),0.00997531742119969)</f>
        <v>9.9753174211996906E-3</v>
      </c>
      <c r="G1500" s="23">
        <f ca="1">IFERROR(__xludf.DUMMYFUNCTION("""COMPUTED_VALUE"""),0.010205243808426)</f>
        <v>1.0205243808426001E-2</v>
      </c>
      <c r="H1500" s="23">
        <f ca="1">IFERROR(__xludf.DUMMYFUNCTION("""COMPUTED_VALUE"""),0.0111020834042822)</f>
        <v>1.11020834042822E-2</v>
      </c>
      <c r="I1500" s="23">
        <f ca="1">IFERROR(__xludf.DUMMYFUNCTION("""COMPUTED_VALUE"""),0.0110757701915209)</f>
        <v>1.10757701915209E-2</v>
      </c>
      <c r="J1500" s="23">
        <f ca="1">IFERROR(__xludf.DUMMYFUNCTION("""COMPUTED_VALUE"""),0.0106934740868227)</f>
        <v>1.06934740868227E-2</v>
      </c>
      <c r="K1500" s="23">
        <f ca="1">IFERROR(__xludf.DUMMYFUNCTION("""COMPUTED_VALUE"""),0.0110289465201752)</f>
        <v>1.1028946520175199E-2</v>
      </c>
      <c r="L1500" s="23">
        <f ca="1">IFERROR(__xludf.DUMMYFUNCTION("""COMPUTED_VALUE"""),0.0150205668110213)</f>
        <v>1.50205668110213E-2</v>
      </c>
      <c r="M1500" s="23">
        <f ca="1">IFERROR(__xludf.DUMMYFUNCTION("""COMPUTED_VALUE"""),0.00979053097258964)</f>
        <v>9.7905309725896394E-3</v>
      </c>
      <c r="N1500" s="23">
        <f ca="1">IFERROR(__xludf.DUMMYFUNCTION("""COMPUTED_VALUE"""),0.0107386955865907)</f>
        <v>1.0738695586590701E-2</v>
      </c>
      <c r="O1500" s="23">
        <f ca="1">IFERROR(__xludf.DUMMYFUNCTION("""COMPUTED_VALUE"""),0.0103475325552283)</f>
        <v>1.03475325552283E-2</v>
      </c>
      <c r="P1500" s="23">
        <f ca="1">IFERROR(__xludf.DUMMYFUNCTION("""COMPUTED_VALUE"""),0.0115616738926613)</f>
        <v>1.1561673892661301E-2</v>
      </c>
      <c r="Q1500" s="24">
        <f ca="1">IFERROR(__xludf.DUMMYFUNCTION("""COMPUTED_VALUE"""),0.011544035941785)</f>
        <v>1.1544035941785E-2</v>
      </c>
      <c r="R1500" s="20"/>
    </row>
    <row r="1501" spans="1:18" ht="13.2" hidden="1" outlineLevel="1" x14ac:dyDescent="0.25">
      <c r="A1501" s="1"/>
      <c r="B1501" s="39" t="str">
        <f ca="1">IFERROR(__xludf.DUMMYFUNCTION("""COMPUTED_VALUE"""),"Gasolinas y naftas")</f>
        <v>Gasolinas y naftas</v>
      </c>
      <c r="C1501" s="22">
        <f ca="1">IFERROR(__xludf.DUMMYFUNCTION("""COMPUTED_VALUE"""),0)</f>
        <v>0</v>
      </c>
      <c r="D1501" s="23">
        <f ca="1">IFERROR(__xludf.DUMMYFUNCTION("""COMPUTED_VALUE"""),0)</f>
        <v>0</v>
      </c>
      <c r="E1501" s="23">
        <f ca="1">IFERROR(__xludf.DUMMYFUNCTION("""COMPUTED_VALUE"""),0)</f>
        <v>0</v>
      </c>
      <c r="F1501" s="23">
        <f ca="1">IFERROR(__xludf.DUMMYFUNCTION("""COMPUTED_VALUE"""),0)</f>
        <v>0</v>
      </c>
      <c r="G1501" s="23">
        <f ca="1">IFERROR(__xludf.DUMMYFUNCTION("""COMPUTED_VALUE"""),0)</f>
        <v>0</v>
      </c>
      <c r="H1501" s="23">
        <f ca="1">IFERROR(__xludf.DUMMYFUNCTION("""COMPUTED_VALUE"""),0)</f>
        <v>0</v>
      </c>
      <c r="I1501" s="23">
        <f ca="1">IFERROR(__xludf.DUMMYFUNCTION("""COMPUTED_VALUE"""),0)</f>
        <v>0</v>
      </c>
      <c r="J1501" s="23">
        <f ca="1">IFERROR(__xludf.DUMMYFUNCTION("""COMPUTED_VALUE"""),0)</f>
        <v>0</v>
      </c>
      <c r="K1501" s="23">
        <f ca="1">IFERROR(__xludf.DUMMYFUNCTION("""COMPUTED_VALUE"""),0)</f>
        <v>0</v>
      </c>
      <c r="L1501" s="23">
        <f ca="1">IFERROR(__xludf.DUMMYFUNCTION("""COMPUTED_VALUE"""),0)</f>
        <v>0</v>
      </c>
      <c r="M1501" s="23">
        <f ca="1">IFERROR(__xludf.DUMMYFUNCTION("""COMPUTED_VALUE"""),0)</f>
        <v>0</v>
      </c>
      <c r="N1501" s="23">
        <f ca="1">IFERROR(__xludf.DUMMYFUNCTION("""COMPUTED_VALUE"""),0)</f>
        <v>0</v>
      </c>
      <c r="O1501" s="23">
        <f ca="1">IFERROR(__xludf.DUMMYFUNCTION("""COMPUTED_VALUE"""),0)</f>
        <v>0</v>
      </c>
      <c r="P1501" s="23">
        <f ca="1">IFERROR(__xludf.DUMMYFUNCTION("""COMPUTED_VALUE"""),0)</f>
        <v>0</v>
      </c>
      <c r="Q1501" s="24">
        <f ca="1">IFERROR(__xludf.DUMMYFUNCTION("""COMPUTED_VALUE"""),0)</f>
        <v>0</v>
      </c>
      <c r="R1501" s="20"/>
    </row>
    <row r="1502" spans="1:18" ht="13.2" hidden="1" outlineLevel="1" x14ac:dyDescent="0.25">
      <c r="A1502" s="1"/>
      <c r="B1502" s="39" t="str">
        <f ca="1">IFERROR(__xludf.DUMMYFUNCTION("""COMPUTED_VALUE"""),"Querosenos")</f>
        <v>Querosenos</v>
      </c>
      <c r="C1502" s="22">
        <f ca="1">IFERROR(__xludf.DUMMYFUNCTION("""COMPUTED_VALUE"""),0)</f>
        <v>0</v>
      </c>
      <c r="D1502" s="23">
        <f ca="1">IFERROR(__xludf.DUMMYFUNCTION("""COMPUTED_VALUE"""),0)</f>
        <v>0</v>
      </c>
      <c r="E1502" s="23">
        <f ca="1">IFERROR(__xludf.DUMMYFUNCTION("""COMPUTED_VALUE"""),0)</f>
        <v>0</v>
      </c>
      <c r="F1502" s="23">
        <f ca="1">IFERROR(__xludf.DUMMYFUNCTION("""COMPUTED_VALUE"""),0)</f>
        <v>0</v>
      </c>
      <c r="G1502" s="23">
        <f ca="1">IFERROR(__xludf.DUMMYFUNCTION("""COMPUTED_VALUE"""),0)</f>
        <v>0</v>
      </c>
      <c r="H1502" s="23">
        <f ca="1">IFERROR(__xludf.DUMMYFUNCTION("""COMPUTED_VALUE"""),0)</f>
        <v>0</v>
      </c>
      <c r="I1502" s="23">
        <f ca="1">IFERROR(__xludf.DUMMYFUNCTION("""COMPUTED_VALUE"""),0)</f>
        <v>0</v>
      </c>
      <c r="J1502" s="23">
        <f ca="1">IFERROR(__xludf.DUMMYFUNCTION("""COMPUTED_VALUE"""),0)</f>
        <v>0</v>
      </c>
      <c r="K1502" s="23">
        <f ca="1">IFERROR(__xludf.DUMMYFUNCTION("""COMPUTED_VALUE"""),0)</f>
        <v>0</v>
      </c>
      <c r="L1502" s="23">
        <f ca="1">IFERROR(__xludf.DUMMYFUNCTION("""COMPUTED_VALUE"""),0)</f>
        <v>0</v>
      </c>
      <c r="M1502" s="23">
        <f ca="1">IFERROR(__xludf.DUMMYFUNCTION("""COMPUTED_VALUE"""),0)</f>
        <v>0</v>
      </c>
      <c r="N1502" s="23">
        <f ca="1">IFERROR(__xludf.DUMMYFUNCTION("""COMPUTED_VALUE"""),0)</f>
        <v>0</v>
      </c>
      <c r="O1502" s="23">
        <f ca="1">IFERROR(__xludf.DUMMYFUNCTION("""COMPUTED_VALUE"""),0)</f>
        <v>0</v>
      </c>
      <c r="P1502" s="23">
        <f ca="1">IFERROR(__xludf.DUMMYFUNCTION("""COMPUTED_VALUE"""),0)</f>
        <v>0</v>
      </c>
      <c r="Q1502" s="24">
        <f ca="1">IFERROR(__xludf.DUMMYFUNCTION("""COMPUTED_VALUE"""),0)</f>
        <v>0</v>
      </c>
      <c r="R1502" s="20"/>
    </row>
    <row r="1503" spans="1:18" ht="13.2" hidden="1" outlineLevel="1" x14ac:dyDescent="0.25">
      <c r="A1503" s="1"/>
      <c r="B1503" s="39" t="str">
        <f ca="1">IFERROR(__xludf.DUMMYFUNCTION("""COMPUTED_VALUE"""),"Diesel")</f>
        <v>Diesel</v>
      </c>
      <c r="C1503" s="22">
        <f ca="1">IFERROR(__xludf.DUMMYFUNCTION("""COMPUTED_VALUE"""),0.423966037280883)</f>
        <v>0.423966037280883</v>
      </c>
      <c r="D1503" s="23">
        <f ca="1">IFERROR(__xludf.DUMMYFUNCTION("""COMPUTED_VALUE"""),0.17047507038872)</f>
        <v>0.17047507038872001</v>
      </c>
      <c r="E1503" s="23">
        <f ca="1">IFERROR(__xludf.DUMMYFUNCTION("""COMPUTED_VALUE"""),0.440094104654577)</f>
        <v>0.44009410465457699</v>
      </c>
      <c r="F1503" s="23">
        <f ca="1">IFERROR(__xludf.DUMMYFUNCTION("""COMPUTED_VALUE"""),0.36846356231298)</f>
        <v>0.36846356231298</v>
      </c>
      <c r="G1503" s="23">
        <f ca="1">IFERROR(__xludf.DUMMYFUNCTION("""COMPUTED_VALUE"""),0.481562530564617)</f>
        <v>0.48156253056461701</v>
      </c>
      <c r="H1503" s="23">
        <f ca="1">IFERROR(__xludf.DUMMYFUNCTION("""COMPUTED_VALUE"""),0.507282190166256)</f>
        <v>0.50728219016625598</v>
      </c>
      <c r="I1503" s="23">
        <f ca="1">IFERROR(__xludf.DUMMYFUNCTION("""COMPUTED_VALUE"""),0.563346712898852)</f>
        <v>0.56334671289885196</v>
      </c>
      <c r="J1503" s="23">
        <f ca="1">IFERROR(__xludf.DUMMYFUNCTION("""COMPUTED_VALUE"""),0.382167671798785)</f>
        <v>0.38216767179878502</v>
      </c>
      <c r="K1503" s="23">
        <f ca="1">IFERROR(__xludf.DUMMYFUNCTION("""COMPUTED_VALUE"""),0.354976233939681)</f>
        <v>0.35497623393968097</v>
      </c>
      <c r="L1503" s="23">
        <f ca="1">IFERROR(__xludf.DUMMYFUNCTION("""COMPUTED_VALUE"""),0.393040855319925)</f>
        <v>0.393040855319925</v>
      </c>
      <c r="M1503" s="23">
        <f ca="1">IFERROR(__xludf.DUMMYFUNCTION("""COMPUTED_VALUE"""),0.210892697414175)</f>
        <v>0.21089269741417499</v>
      </c>
      <c r="N1503" s="23">
        <f ca="1">IFERROR(__xludf.DUMMYFUNCTION("""COMPUTED_VALUE"""),0.093147391581662)</f>
        <v>9.3147391581662006E-2</v>
      </c>
      <c r="O1503" s="23">
        <f ca="1">IFERROR(__xludf.DUMMYFUNCTION("""COMPUTED_VALUE"""),0.0980711659983624)</f>
        <v>9.8071165998362395E-2</v>
      </c>
      <c r="P1503" s="23">
        <f ca="1">IFERROR(__xludf.DUMMYFUNCTION("""COMPUTED_VALUE"""),0.105048779810573)</f>
        <v>0.10504877981057301</v>
      </c>
      <c r="Q1503" s="24">
        <f ca="1">IFERROR(__xludf.DUMMYFUNCTION("""COMPUTED_VALUE"""),0.421929449063166)</f>
        <v>0.42192944906316598</v>
      </c>
      <c r="R1503" s="20"/>
    </row>
    <row r="1504" spans="1:18" ht="13.2" hidden="1" outlineLevel="1" x14ac:dyDescent="0.25">
      <c r="A1504" s="1"/>
      <c r="B1504" s="39" t="str">
        <f ca="1">IFERROR(__xludf.DUMMYFUNCTION("""COMPUTED_VALUE"""),"Combustóleo")</f>
        <v>Combustóleo</v>
      </c>
      <c r="C1504" s="22">
        <f ca="1">IFERROR(__xludf.DUMMYFUNCTION("""COMPUTED_VALUE"""),3.95710472987548)</f>
        <v>3.9571047298754798</v>
      </c>
      <c r="D1504" s="23">
        <f ca="1">IFERROR(__xludf.DUMMYFUNCTION("""COMPUTED_VALUE"""),4.11913161316455)</f>
        <v>4.1191316131645497</v>
      </c>
      <c r="E1504" s="23">
        <f ca="1">IFERROR(__xludf.DUMMYFUNCTION("""COMPUTED_VALUE"""),1.83084548300608)</f>
        <v>1.8308454830060801</v>
      </c>
      <c r="F1504" s="23">
        <f ca="1">IFERROR(__xludf.DUMMYFUNCTION("""COMPUTED_VALUE"""),3.01457976222637)</f>
        <v>3.0145797622263699</v>
      </c>
      <c r="G1504" s="23">
        <f ca="1">IFERROR(__xludf.DUMMYFUNCTION("""COMPUTED_VALUE"""),1.79604624281102)</f>
        <v>1.79604624281102</v>
      </c>
      <c r="H1504" s="23">
        <f ca="1">IFERROR(__xludf.DUMMYFUNCTION("""COMPUTED_VALUE"""),1.67328204663584)</f>
        <v>1.67328204663584</v>
      </c>
      <c r="I1504" s="23">
        <f ca="1">IFERROR(__xludf.DUMMYFUNCTION("""COMPUTED_VALUE"""),1.44657988965748)</f>
        <v>1.44657988965748</v>
      </c>
      <c r="J1504" s="23">
        <f ca="1">IFERROR(__xludf.DUMMYFUNCTION("""COMPUTED_VALUE"""),1.52566108494834)</f>
        <v>1.5256610849483401</v>
      </c>
      <c r="K1504" s="23">
        <f ca="1">IFERROR(__xludf.DUMMYFUNCTION("""COMPUTED_VALUE"""),0.472613877823499)</f>
        <v>0.47261387782349901</v>
      </c>
      <c r="L1504" s="23">
        <f ca="1">IFERROR(__xludf.DUMMYFUNCTION("""COMPUTED_VALUE"""),0.699993886202319)</f>
        <v>0.69999388620231895</v>
      </c>
      <c r="M1504" s="23">
        <f ca="1">IFERROR(__xludf.DUMMYFUNCTION("""COMPUTED_VALUE"""),0.71928285824101)</f>
        <v>0.71928285824101001</v>
      </c>
      <c r="N1504" s="23">
        <f ca="1">IFERROR(__xludf.DUMMYFUNCTION("""COMPUTED_VALUE"""),0.0176484625181731)</f>
        <v>1.7648462518173098E-2</v>
      </c>
      <c r="O1504" s="23">
        <f ca="1">IFERROR(__xludf.DUMMYFUNCTION("""COMPUTED_VALUE"""),0.0189286107573189)</f>
        <v>1.8928610757318901E-2</v>
      </c>
      <c r="P1504" s="23">
        <f ca="1">IFERROR(__xludf.DUMMYFUNCTION("""COMPUTED_VALUE"""),0.0180919486761092)</f>
        <v>1.80919486761092E-2</v>
      </c>
      <c r="Q1504" s="24">
        <f ca="1">IFERROR(__xludf.DUMMYFUNCTION("""COMPUTED_VALUE"""),0.375747250374014)</f>
        <v>0.37574725037401402</v>
      </c>
      <c r="R1504" s="20"/>
    </row>
    <row r="1505" spans="1:18" ht="13.2" hidden="1" outlineLevel="1" x14ac:dyDescent="0.25">
      <c r="A1505" s="1"/>
      <c r="B1505" s="39" t="str">
        <f ca="1">IFERROR(__xludf.DUMMYFUNCTION("""COMPUTED_VALUE"""),"Otros energéticos")</f>
        <v>Otros energéticos</v>
      </c>
      <c r="C1505" s="22">
        <f ca="1">IFERROR(__xludf.DUMMYFUNCTION("""COMPUTED_VALUE"""),0)</f>
        <v>0</v>
      </c>
      <c r="D1505" s="23">
        <f ca="1">IFERROR(__xludf.DUMMYFUNCTION("""COMPUTED_VALUE"""),0)</f>
        <v>0</v>
      </c>
      <c r="E1505" s="23">
        <f ca="1">IFERROR(__xludf.DUMMYFUNCTION("""COMPUTED_VALUE"""),0)</f>
        <v>0</v>
      </c>
      <c r="F1505" s="23">
        <f ca="1">IFERROR(__xludf.DUMMYFUNCTION("""COMPUTED_VALUE"""),0)</f>
        <v>0</v>
      </c>
      <c r="G1505" s="23">
        <f ca="1">IFERROR(__xludf.DUMMYFUNCTION("""COMPUTED_VALUE"""),0)</f>
        <v>0</v>
      </c>
      <c r="H1505" s="23">
        <f ca="1">IFERROR(__xludf.DUMMYFUNCTION("""COMPUTED_VALUE"""),0)</f>
        <v>0</v>
      </c>
      <c r="I1505" s="23">
        <f ca="1">IFERROR(__xludf.DUMMYFUNCTION("""COMPUTED_VALUE"""),0)</f>
        <v>0</v>
      </c>
      <c r="J1505" s="23">
        <f ca="1">IFERROR(__xludf.DUMMYFUNCTION("""COMPUTED_VALUE"""),0)</f>
        <v>0</v>
      </c>
      <c r="K1505" s="23">
        <f ca="1">IFERROR(__xludf.DUMMYFUNCTION("""COMPUTED_VALUE"""),0)</f>
        <v>0</v>
      </c>
      <c r="L1505" s="23">
        <f ca="1">IFERROR(__xludf.DUMMYFUNCTION("""COMPUTED_VALUE"""),0)</f>
        <v>0</v>
      </c>
      <c r="M1505" s="23">
        <f ca="1">IFERROR(__xludf.DUMMYFUNCTION("""COMPUTED_VALUE"""),0)</f>
        <v>0</v>
      </c>
      <c r="N1505" s="23">
        <f ca="1">IFERROR(__xludf.DUMMYFUNCTION("""COMPUTED_VALUE"""),0)</f>
        <v>0</v>
      </c>
      <c r="O1505" s="23">
        <f ca="1">IFERROR(__xludf.DUMMYFUNCTION("""COMPUTED_VALUE"""),0)</f>
        <v>0</v>
      </c>
      <c r="P1505" s="23">
        <f ca="1">IFERROR(__xludf.DUMMYFUNCTION("""COMPUTED_VALUE"""),0)</f>
        <v>0</v>
      </c>
      <c r="Q1505" s="24">
        <f ca="1">IFERROR(__xludf.DUMMYFUNCTION("""COMPUTED_VALUE"""),0)</f>
        <v>0</v>
      </c>
      <c r="R1505" s="20"/>
    </row>
    <row r="1506" spans="1:18" ht="13.2" hidden="1" outlineLevel="1" x14ac:dyDescent="0.25">
      <c r="A1506" s="1"/>
      <c r="B1506" s="39" t="str">
        <f ca="1">IFERROR(__xludf.DUMMYFUNCTION("""COMPUTED_VALUE"""),"Gas natural seco")</f>
        <v>Gas natural seco</v>
      </c>
      <c r="C1506" s="22">
        <f ca="1">IFERROR(__xludf.DUMMYFUNCTION("""COMPUTED_VALUE"""),110.076834310673)</f>
        <v>110.07683431067299</v>
      </c>
      <c r="D1506" s="23">
        <f ca="1">IFERROR(__xludf.DUMMYFUNCTION("""COMPUTED_VALUE"""),87.00539109511)</f>
        <v>87.005391095109999</v>
      </c>
      <c r="E1506" s="23">
        <f ca="1">IFERROR(__xludf.DUMMYFUNCTION("""COMPUTED_VALUE"""),89.1735736240878)</f>
        <v>89.173573624087794</v>
      </c>
      <c r="F1506" s="23">
        <f ca="1">IFERROR(__xludf.DUMMYFUNCTION("""COMPUTED_VALUE"""),99.5304265814378)</f>
        <v>99.530426581437794</v>
      </c>
      <c r="G1506" s="23">
        <f ca="1">IFERROR(__xludf.DUMMYFUNCTION("""COMPUTED_VALUE"""),119.844350881845)</f>
        <v>119.844350881845</v>
      </c>
      <c r="H1506" s="23">
        <f ca="1">IFERROR(__xludf.DUMMYFUNCTION("""COMPUTED_VALUE"""),140.007360914856)</f>
        <v>140.00736091485601</v>
      </c>
      <c r="I1506" s="23">
        <f ca="1">IFERROR(__xludf.DUMMYFUNCTION("""COMPUTED_VALUE"""),153.792373339094)</f>
        <v>153.79237333909401</v>
      </c>
      <c r="J1506" s="23">
        <f ca="1">IFERROR(__xludf.DUMMYFUNCTION("""COMPUTED_VALUE"""),150.599561135458)</f>
        <v>150.599561135458</v>
      </c>
      <c r="K1506" s="23">
        <f ca="1">IFERROR(__xludf.DUMMYFUNCTION("""COMPUTED_VALUE"""),184.429768987854)</f>
        <v>184.429768987854</v>
      </c>
      <c r="L1506" s="23">
        <f ca="1">IFERROR(__xludf.DUMMYFUNCTION("""COMPUTED_VALUE"""),203.412793826366)</f>
        <v>203.412793826366</v>
      </c>
      <c r="M1506" s="23">
        <f ca="1">IFERROR(__xludf.DUMMYFUNCTION("""COMPUTED_VALUE"""),162.596092113977)</f>
        <v>162.59609211397699</v>
      </c>
      <c r="N1506" s="23">
        <f ca="1">IFERROR(__xludf.DUMMYFUNCTION("""COMPUTED_VALUE"""),170.361959334892)</f>
        <v>170.36195933489199</v>
      </c>
      <c r="O1506" s="23">
        <f ca="1">IFERROR(__xludf.DUMMYFUNCTION("""COMPUTED_VALUE"""),191.631638022056)</f>
        <v>191.63163802205599</v>
      </c>
      <c r="P1506" s="23">
        <f ca="1">IFERROR(__xludf.DUMMYFUNCTION("""COMPUTED_VALUE"""),199.934637677373)</f>
        <v>199.93463767737299</v>
      </c>
      <c r="Q1506" s="24">
        <f ca="1">IFERROR(__xludf.DUMMYFUNCTION("""COMPUTED_VALUE"""),170.965739556794)</f>
        <v>170.96573955679401</v>
      </c>
      <c r="R1506" s="20"/>
    </row>
    <row r="1507" spans="1:18" ht="13.2" hidden="1" outlineLevel="1" x14ac:dyDescent="0.25">
      <c r="A1507" s="1"/>
      <c r="B1507" s="40" t="str">
        <f ca="1">IFERROR(__xludf.DUMMYFUNCTION("""COMPUTED_VALUE"""),"Energía eléctrica")</f>
        <v>Energía eléctrica</v>
      </c>
      <c r="C1507" s="26">
        <f ca="1">IFERROR(__xludf.DUMMYFUNCTION("""COMPUTED_VALUE"""),9.04688838897337)</f>
        <v>9.04688838897337</v>
      </c>
      <c r="D1507" s="27">
        <f ca="1">IFERROR(__xludf.DUMMYFUNCTION("""COMPUTED_VALUE"""),12.1227066503467)</f>
        <v>12.1227066503467</v>
      </c>
      <c r="E1507" s="27">
        <f ca="1">IFERROR(__xludf.DUMMYFUNCTION("""COMPUTED_VALUE"""),13.0420524139981)</f>
        <v>13.0420524139981</v>
      </c>
      <c r="F1507" s="27">
        <f ca="1">IFERROR(__xludf.DUMMYFUNCTION("""COMPUTED_VALUE"""),7.93845467851305)</f>
        <v>7.9384546785130503</v>
      </c>
      <c r="G1507" s="27">
        <f ca="1">IFERROR(__xludf.DUMMYFUNCTION("""COMPUTED_VALUE"""),8.34169923529613)</f>
        <v>8.3416992352961294</v>
      </c>
      <c r="H1507" s="27">
        <f ca="1">IFERROR(__xludf.DUMMYFUNCTION("""COMPUTED_VALUE"""),6.37640554832295)</f>
        <v>6.3764055483229498</v>
      </c>
      <c r="I1507" s="27">
        <f ca="1">IFERROR(__xludf.DUMMYFUNCTION("""COMPUTED_VALUE"""),6.41263910895733)</f>
        <v>6.4126391089573298</v>
      </c>
      <c r="J1507" s="27">
        <f ca="1">IFERROR(__xludf.DUMMYFUNCTION("""COMPUTED_VALUE"""),9.39342835522971)</f>
        <v>9.3934283552297106</v>
      </c>
      <c r="K1507" s="27">
        <f ca="1">IFERROR(__xludf.DUMMYFUNCTION("""COMPUTED_VALUE"""),8.86901355059828)</f>
        <v>8.8690135505982806</v>
      </c>
      <c r="L1507" s="27">
        <f ca="1">IFERROR(__xludf.DUMMYFUNCTION("""COMPUTED_VALUE"""),6.67876694878834)</f>
        <v>6.6787669487883399</v>
      </c>
      <c r="M1507" s="27">
        <f ca="1">IFERROR(__xludf.DUMMYFUNCTION("""COMPUTED_VALUE"""),8.0926796387226)</f>
        <v>8.0926796387226005</v>
      </c>
      <c r="N1507" s="27">
        <f ca="1">IFERROR(__xludf.DUMMYFUNCTION("""COMPUTED_VALUE"""),14.9879662704159)</f>
        <v>14.9879662704159</v>
      </c>
      <c r="O1507" s="27">
        <f ca="1">IFERROR(__xludf.DUMMYFUNCTION("""COMPUTED_VALUE"""),20.3398337414111)</f>
        <v>20.339833741411098</v>
      </c>
      <c r="P1507" s="27">
        <f ca="1">IFERROR(__xludf.DUMMYFUNCTION("""COMPUTED_VALUE"""),10.9278758567434)</f>
        <v>10.9278758567434</v>
      </c>
      <c r="Q1507" s="28">
        <f ca="1">IFERROR(__xludf.DUMMYFUNCTION("""COMPUTED_VALUE"""),11.4779481073654)</f>
        <v>11.4779481073654</v>
      </c>
      <c r="R1507" s="20"/>
    </row>
    <row r="1508" spans="1:18" ht="13.2" collapsed="1" x14ac:dyDescent="0.25">
      <c r="A1508" s="1"/>
      <c r="B1508" s="31" t="str">
        <f ca="1">IFERROR(__xludf.DUMMYFUNCTION("""COMPUTED_VALUE"""),"332	Fabricación de productos metálicos")</f>
        <v>332	Fabricación de productos metálicos</v>
      </c>
      <c r="C1508" s="41"/>
      <c r="D1508" s="42"/>
      <c r="E1508" s="41"/>
      <c r="F1508" s="41"/>
      <c r="G1508" s="43"/>
      <c r="H1508" s="44"/>
      <c r="I1508" s="45"/>
      <c r="J1508" s="45"/>
      <c r="K1508" s="45"/>
      <c r="L1508" s="45"/>
      <c r="M1508" s="45"/>
      <c r="N1508" s="45"/>
      <c r="O1508" s="45"/>
      <c r="P1508" s="45"/>
      <c r="Q1508" s="45"/>
      <c r="R1508" s="10"/>
    </row>
    <row r="1509" spans="1:18" ht="13.2" hidden="1" outlineLevel="1" x14ac:dyDescent="0.25">
      <c r="A1509" s="1"/>
      <c r="B1509" s="46"/>
      <c r="C1509" s="35">
        <f ca="1">IFERROR(__xludf.DUMMYFUNCTION("""COMPUTED_VALUE"""),2010)</f>
        <v>2010</v>
      </c>
      <c r="D1509" s="36">
        <f ca="1">IFERROR(__xludf.DUMMYFUNCTION("""COMPUTED_VALUE"""),2011)</f>
        <v>2011</v>
      </c>
      <c r="E1509" s="36">
        <f ca="1">IFERROR(__xludf.DUMMYFUNCTION("""COMPUTED_VALUE"""),2012)</f>
        <v>2012</v>
      </c>
      <c r="F1509" s="36">
        <f ca="1">IFERROR(__xludf.DUMMYFUNCTION("""COMPUTED_VALUE"""),2013)</f>
        <v>2013</v>
      </c>
      <c r="G1509" s="36">
        <f ca="1">IFERROR(__xludf.DUMMYFUNCTION("""COMPUTED_VALUE"""),2014)</f>
        <v>2014</v>
      </c>
      <c r="H1509" s="36">
        <f ca="1">IFERROR(__xludf.DUMMYFUNCTION("""COMPUTED_VALUE"""),2015)</f>
        <v>2015</v>
      </c>
      <c r="I1509" s="36">
        <f ca="1">IFERROR(__xludf.DUMMYFUNCTION("""COMPUTED_VALUE"""),2016)</f>
        <v>2016</v>
      </c>
      <c r="J1509" s="36">
        <f ca="1">IFERROR(__xludf.DUMMYFUNCTION("""COMPUTED_VALUE"""),2017)</f>
        <v>2017</v>
      </c>
      <c r="K1509" s="36">
        <f ca="1">IFERROR(__xludf.DUMMYFUNCTION("""COMPUTED_VALUE"""),2018)</f>
        <v>2018</v>
      </c>
      <c r="L1509" s="36">
        <f ca="1">IFERROR(__xludf.DUMMYFUNCTION("""COMPUTED_VALUE"""),2019)</f>
        <v>2019</v>
      </c>
      <c r="M1509" s="36">
        <f ca="1">IFERROR(__xludf.DUMMYFUNCTION("""COMPUTED_VALUE"""),2020)</f>
        <v>2020</v>
      </c>
      <c r="N1509" s="36">
        <f ca="1">IFERROR(__xludf.DUMMYFUNCTION("""COMPUTED_VALUE"""),2021)</f>
        <v>2021</v>
      </c>
      <c r="O1509" s="36">
        <f ca="1">IFERROR(__xludf.DUMMYFUNCTION("""COMPUTED_VALUE"""),2022)</f>
        <v>2022</v>
      </c>
      <c r="P1509" s="36">
        <f ca="1">IFERROR(__xludf.DUMMYFUNCTION("""COMPUTED_VALUE"""),2023)</f>
        <v>2023</v>
      </c>
      <c r="Q1509" s="37">
        <f ca="1">IFERROR(__xludf.DUMMYFUNCTION("""COMPUTED_VALUE"""),2024)</f>
        <v>2024</v>
      </c>
      <c r="R1509" s="15"/>
    </row>
    <row r="1510" spans="1:18" ht="13.2" hidden="1" outlineLevel="1" x14ac:dyDescent="0.25">
      <c r="A1510" s="1"/>
      <c r="B1510" s="38" t="str">
        <f ca="1">IFERROR(__xludf.DUMMYFUNCTION("""COMPUTED_VALUE"""),"Carbón mineral")</f>
        <v>Carbón mineral</v>
      </c>
      <c r="C1510" s="17">
        <f ca="1">IFERROR(__xludf.DUMMYFUNCTION("""COMPUTED_VALUE"""),0)</f>
        <v>0</v>
      </c>
      <c r="D1510" s="18">
        <f ca="1">IFERROR(__xludf.DUMMYFUNCTION("""COMPUTED_VALUE"""),0)</f>
        <v>0</v>
      </c>
      <c r="E1510" s="18">
        <f ca="1">IFERROR(__xludf.DUMMYFUNCTION("""COMPUTED_VALUE"""),0)</f>
        <v>0</v>
      </c>
      <c r="F1510" s="18">
        <f ca="1">IFERROR(__xludf.DUMMYFUNCTION("""COMPUTED_VALUE"""),0)</f>
        <v>0</v>
      </c>
      <c r="G1510" s="18">
        <f ca="1">IFERROR(__xludf.DUMMYFUNCTION("""COMPUTED_VALUE"""),0)</f>
        <v>0</v>
      </c>
      <c r="H1510" s="18">
        <f ca="1">IFERROR(__xludf.DUMMYFUNCTION("""COMPUTED_VALUE"""),0)</f>
        <v>0</v>
      </c>
      <c r="I1510" s="18">
        <f ca="1">IFERROR(__xludf.DUMMYFUNCTION("""COMPUTED_VALUE"""),0)</f>
        <v>0</v>
      </c>
      <c r="J1510" s="18">
        <f ca="1">IFERROR(__xludf.DUMMYFUNCTION("""COMPUTED_VALUE"""),0)</f>
        <v>0</v>
      </c>
      <c r="K1510" s="18">
        <f ca="1">IFERROR(__xludf.DUMMYFUNCTION("""COMPUTED_VALUE"""),0)</f>
        <v>0</v>
      </c>
      <c r="L1510" s="18">
        <f ca="1">IFERROR(__xludf.DUMMYFUNCTION("""COMPUTED_VALUE"""),0)</f>
        <v>0</v>
      </c>
      <c r="M1510" s="18">
        <f ca="1">IFERROR(__xludf.DUMMYFUNCTION("""COMPUTED_VALUE"""),0)</f>
        <v>0</v>
      </c>
      <c r="N1510" s="18">
        <f ca="1">IFERROR(__xludf.DUMMYFUNCTION("""COMPUTED_VALUE"""),0)</f>
        <v>0</v>
      </c>
      <c r="O1510" s="18">
        <f ca="1">IFERROR(__xludf.DUMMYFUNCTION("""COMPUTED_VALUE"""),0)</f>
        <v>0</v>
      </c>
      <c r="P1510" s="18">
        <f ca="1">IFERROR(__xludf.DUMMYFUNCTION("""COMPUTED_VALUE"""),0)</f>
        <v>0</v>
      </c>
      <c r="Q1510" s="19">
        <f ca="1">IFERROR(__xludf.DUMMYFUNCTION("""COMPUTED_VALUE"""),0)</f>
        <v>0</v>
      </c>
      <c r="R1510" s="20"/>
    </row>
    <row r="1511" spans="1:18" ht="13.2" hidden="1" outlineLevel="1" x14ac:dyDescent="0.25">
      <c r="A1511" s="1"/>
      <c r="B1511" s="39" t="str">
        <f ca="1">IFERROR(__xludf.DUMMYFUNCTION("""COMPUTED_VALUE"""),"Petróleo crudo")</f>
        <v>Petróleo crudo</v>
      </c>
      <c r="C1511" s="22">
        <f ca="1">IFERROR(__xludf.DUMMYFUNCTION("""COMPUTED_VALUE"""),0)</f>
        <v>0</v>
      </c>
      <c r="D1511" s="23">
        <f ca="1">IFERROR(__xludf.DUMMYFUNCTION("""COMPUTED_VALUE"""),0)</f>
        <v>0</v>
      </c>
      <c r="E1511" s="23">
        <f ca="1">IFERROR(__xludf.DUMMYFUNCTION("""COMPUTED_VALUE"""),0)</f>
        <v>0</v>
      </c>
      <c r="F1511" s="23">
        <f ca="1">IFERROR(__xludf.DUMMYFUNCTION("""COMPUTED_VALUE"""),0)</f>
        <v>0</v>
      </c>
      <c r="G1511" s="23">
        <f ca="1">IFERROR(__xludf.DUMMYFUNCTION("""COMPUTED_VALUE"""),0)</f>
        <v>0</v>
      </c>
      <c r="H1511" s="23">
        <f ca="1">IFERROR(__xludf.DUMMYFUNCTION("""COMPUTED_VALUE"""),0)</f>
        <v>0</v>
      </c>
      <c r="I1511" s="23">
        <f ca="1">IFERROR(__xludf.DUMMYFUNCTION("""COMPUTED_VALUE"""),0)</f>
        <v>0</v>
      </c>
      <c r="J1511" s="23">
        <f ca="1">IFERROR(__xludf.DUMMYFUNCTION("""COMPUTED_VALUE"""),0)</f>
        <v>0</v>
      </c>
      <c r="K1511" s="23">
        <f ca="1">IFERROR(__xludf.DUMMYFUNCTION("""COMPUTED_VALUE"""),0)</f>
        <v>0</v>
      </c>
      <c r="L1511" s="23">
        <f ca="1">IFERROR(__xludf.DUMMYFUNCTION("""COMPUTED_VALUE"""),0)</f>
        <v>0</v>
      </c>
      <c r="M1511" s="23">
        <f ca="1">IFERROR(__xludf.DUMMYFUNCTION("""COMPUTED_VALUE"""),0)</f>
        <v>0</v>
      </c>
      <c r="N1511" s="23">
        <f ca="1">IFERROR(__xludf.DUMMYFUNCTION("""COMPUTED_VALUE"""),0)</f>
        <v>0</v>
      </c>
      <c r="O1511" s="23">
        <f ca="1">IFERROR(__xludf.DUMMYFUNCTION("""COMPUTED_VALUE"""),0)</f>
        <v>0</v>
      </c>
      <c r="P1511" s="23">
        <f ca="1">IFERROR(__xludf.DUMMYFUNCTION("""COMPUTED_VALUE"""),0)</f>
        <v>0</v>
      </c>
      <c r="Q1511" s="24">
        <f ca="1">IFERROR(__xludf.DUMMYFUNCTION("""COMPUTED_VALUE"""),0)</f>
        <v>0</v>
      </c>
      <c r="R1511" s="20"/>
    </row>
    <row r="1512" spans="1:18" ht="13.2" hidden="1" outlineLevel="1" x14ac:dyDescent="0.25">
      <c r="A1512" s="1"/>
      <c r="B1512" s="39" t="str">
        <f ca="1">IFERROR(__xludf.DUMMYFUNCTION("""COMPUTED_VALUE"""),"Condensados")</f>
        <v>Condensados</v>
      </c>
      <c r="C1512" s="22">
        <f ca="1">IFERROR(__xludf.DUMMYFUNCTION("""COMPUTED_VALUE"""),0)</f>
        <v>0</v>
      </c>
      <c r="D1512" s="23">
        <f ca="1">IFERROR(__xludf.DUMMYFUNCTION("""COMPUTED_VALUE"""),0)</f>
        <v>0</v>
      </c>
      <c r="E1512" s="23">
        <f ca="1">IFERROR(__xludf.DUMMYFUNCTION("""COMPUTED_VALUE"""),0)</f>
        <v>0</v>
      </c>
      <c r="F1512" s="23">
        <f ca="1">IFERROR(__xludf.DUMMYFUNCTION("""COMPUTED_VALUE"""),0)</f>
        <v>0</v>
      </c>
      <c r="G1512" s="23">
        <f ca="1">IFERROR(__xludf.DUMMYFUNCTION("""COMPUTED_VALUE"""),0)</f>
        <v>0</v>
      </c>
      <c r="H1512" s="23">
        <f ca="1">IFERROR(__xludf.DUMMYFUNCTION("""COMPUTED_VALUE"""),0)</f>
        <v>0</v>
      </c>
      <c r="I1512" s="23">
        <f ca="1">IFERROR(__xludf.DUMMYFUNCTION("""COMPUTED_VALUE"""),0)</f>
        <v>0</v>
      </c>
      <c r="J1512" s="23">
        <f ca="1">IFERROR(__xludf.DUMMYFUNCTION("""COMPUTED_VALUE"""),0)</f>
        <v>0</v>
      </c>
      <c r="K1512" s="23">
        <f ca="1">IFERROR(__xludf.DUMMYFUNCTION("""COMPUTED_VALUE"""),0)</f>
        <v>0</v>
      </c>
      <c r="L1512" s="23">
        <f ca="1">IFERROR(__xludf.DUMMYFUNCTION("""COMPUTED_VALUE"""),0)</f>
        <v>0</v>
      </c>
      <c r="M1512" s="23">
        <f ca="1">IFERROR(__xludf.DUMMYFUNCTION("""COMPUTED_VALUE"""),0)</f>
        <v>0</v>
      </c>
      <c r="N1512" s="23">
        <f ca="1">IFERROR(__xludf.DUMMYFUNCTION("""COMPUTED_VALUE"""),0)</f>
        <v>0</v>
      </c>
      <c r="O1512" s="23">
        <f ca="1">IFERROR(__xludf.DUMMYFUNCTION("""COMPUTED_VALUE"""),0)</f>
        <v>0</v>
      </c>
      <c r="P1512" s="23">
        <f ca="1">IFERROR(__xludf.DUMMYFUNCTION("""COMPUTED_VALUE"""),0)</f>
        <v>0</v>
      </c>
      <c r="Q1512" s="24">
        <f ca="1">IFERROR(__xludf.DUMMYFUNCTION("""COMPUTED_VALUE"""),0)</f>
        <v>0</v>
      </c>
      <c r="R1512" s="20"/>
    </row>
    <row r="1513" spans="1:18" ht="13.2" hidden="1" outlineLevel="1" x14ac:dyDescent="0.25">
      <c r="A1513" s="1"/>
      <c r="B1513" s="39" t="str">
        <f ca="1">IFERROR(__xludf.DUMMYFUNCTION("""COMPUTED_VALUE"""),"Gas natural")</f>
        <v>Gas natural</v>
      </c>
      <c r="C1513" s="22">
        <f ca="1">IFERROR(__xludf.DUMMYFUNCTION("""COMPUTED_VALUE"""),0)</f>
        <v>0</v>
      </c>
      <c r="D1513" s="23">
        <f ca="1">IFERROR(__xludf.DUMMYFUNCTION("""COMPUTED_VALUE"""),0)</f>
        <v>0</v>
      </c>
      <c r="E1513" s="23">
        <f ca="1">IFERROR(__xludf.DUMMYFUNCTION("""COMPUTED_VALUE"""),0)</f>
        <v>0</v>
      </c>
      <c r="F1513" s="23">
        <f ca="1">IFERROR(__xludf.DUMMYFUNCTION("""COMPUTED_VALUE"""),0)</f>
        <v>0</v>
      </c>
      <c r="G1513" s="23">
        <f ca="1">IFERROR(__xludf.DUMMYFUNCTION("""COMPUTED_VALUE"""),0)</f>
        <v>0</v>
      </c>
      <c r="H1513" s="23">
        <f ca="1">IFERROR(__xludf.DUMMYFUNCTION("""COMPUTED_VALUE"""),0)</f>
        <v>0</v>
      </c>
      <c r="I1513" s="23">
        <f ca="1">IFERROR(__xludf.DUMMYFUNCTION("""COMPUTED_VALUE"""),0)</f>
        <v>0</v>
      </c>
      <c r="J1513" s="23">
        <f ca="1">IFERROR(__xludf.DUMMYFUNCTION("""COMPUTED_VALUE"""),0)</f>
        <v>0</v>
      </c>
      <c r="K1513" s="23">
        <f ca="1">IFERROR(__xludf.DUMMYFUNCTION("""COMPUTED_VALUE"""),0)</f>
        <v>0</v>
      </c>
      <c r="L1513" s="23">
        <f ca="1">IFERROR(__xludf.DUMMYFUNCTION("""COMPUTED_VALUE"""),0)</f>
        <v>0</v>
      </c>
      <c r="M1513" s="23">
        <f ca="1">IFERROR(__xludf.DUMMYFUNCTION("""COMPUTED_VALUE"""),0)</f>
        <v>0</v>
      </c>
      <c r="N1513" s="23">
        <f ca="1">IFERROR(__xludf.DUMMYFUNCTION("""COMPUTED_VALUE"""),0)</f>
        <v>0</v>
      </c>
      <c r="O1513" s="23">
        <f ca="1">IFERROR(__xludf.DUMMYFUNCTION("""COMPUTED_VALUE"""),0)</f>
        <v>0</v>
      </c>
      <c r="P1513" s="23">
        <f ca="1">IFERROR(__xludf.DUMMYFUNCTION("""COMPUTED_VALUE"""),0)</f>
        <v>0</v>
      </c>
      <c r="Q1513" s="24">
        <f ca="1">IFERROR(__xludf.DUMMYFUNCTION("""COMPUTED_VALUE"""),0)</f>
        <v>0</v>
      </c>
      <c r="R1513" s="20"/>
    </row>
    <row r="1514" spans="1:18" ht="13.2" hidden="1" outlineLevel="1" x14ac:dyDescent="0.25">
      <c r="A1514" s="1"/>
      <c r="B1514" s="39" t="str">
        <f ca="1">IFERROR(__xludf.DUMMYFUNCTION("""COMPUTED_VALUE"""),"Energía Nuclear")</f>
        <v>Energía Nuclear</v>
      </c>
      <c r="C1514" s="22">
        <f ca="1">IFERROR(__xludf.DUMMYFUNCTION("""COMPUTED_VALUE"""),0)</f>
        <v>0</v>
      </c>
      <c r="D1514" s="23">
        <f ca="1">IFERROR(__xludf.DUMMYFUNCTION("""COMPUTED_VALUE"""),0)</f>
        <v>0</v>
      </c>
      <c r="E1514" s="23">
        <f ca="1">IFERROR(__xludf.DUMMYFUNCTION("""COMPUTED_VALUE"""),0)</f>
        <v>0</v>
      </c>
      <c r="F1514" s="23">
        <f ca="1">IFERROR(__xludf.DUMMYFUNCTION("""COMPUTED_VALUE"""),0)</f>
        <v>0</v>
      </c>
      <c r="G1514" s="23">
        <f ca="1">IFERROR(__xludf.DUMMYFUNCTION("""COMPUTED_VALUE"""),0)</f>
        <v>0</v>
      </c>
      <c r="H1514" s="23">
        <f ca="1">IFERROR(__xludf.DUMMYFUNCTION("""COMPUTED_VALUE"""),0)</f>
        <v>0</v>
      </c>
      <c r="I1514" s="23">
        <f ca="1">IFERROR(__xludf.DUMMYFUNCTION("""COMPUTED_VALUE"""),0)</f>
        <v>0</v>
      </c>
      <c r="J1514" s="23">
        <f ca="1">IFERROR(__xludf.DUMMYFUNCTION("""COMPUTED_VALUE"""),0)</f>
        <v>0</v>
      </c>
      <c r="K1514" s="23">
        <f ca="1">IFERROR(__xludf.DUMMYFUNCTION("""COMPUTED_VALUE"""),0)</f>
        <v>0</v>
      </c>
      <c r="L1514" s="23">
        <f ca="1">IFERROR(__xludf.DUMMYFUNCTION("""COMPUTED_VALUE"""),0)</f>
        <v>0</v>
      </c>
      <c r="M1514" s="23">
        <f ca="1">IFERROR(__xludf.DUMMYFUNCTION("""COMPUTED_VALUE"""),0)</f>
        <v>0</v>
      </c>
      <c r="N1514" s="23">
        <f ca="1">IFERROR(__xludf.DUMMYFUNCTION("""COMPUTED_VALUE"""),0)</f>
        <v>0</v>
      </c>
      <c r="O1514" s="23">
        <f ca="1">IFERROR(__xludf.DUMMYFUNCTION("""COMPUTED_VALUE"""),0)</f>
        <v>0</v>
      </c>
      <c r="P1514" s="23">
        <f ca="1">IFERROR(__xludf.DUMMYFUNCTION("""COMPUTED_VALUE"""),0)</f>
        <v>0</v>
      </c>
      <c r="Q1514" s="24">
        <f ca="1">IFERROR(__xludf.DUMMYFUNCTION("""COMPUTED_VALUE"""),0)</f>
        <v>0</v>
      </c>
      <c r="R1514" s="20"/>
    </row>
    <row r="1515" spans="1:18" ht="13.2" hidden="1" outlineLevel="1" x14ac:dyDescent="0.25">
      <c r="A1515" s="1"/>
      <c r="B1515" s="39" t="str">
        <f ca="1">IFERROR(__xludf.DUMMYFUNCTION("""COMPUTED_VALUE"""),"Energia Hidraúlica")</f>
        <v>Energia Hidraúlica</v>
      </c>
      <c r="C1515" s="22">
        <f ca="1">IFERROR(__xludf.DUMMYFUNCTION("""COMPUTED_VALUE"""),0)</f>
        <v>0</v>
      </c>
      <c r="D1515" s="23">
        <f ca="1">IFERROR(__xludf.DUMMYFUNCTION("""COMPUTED_VALUE"""),0)</f>
        <v>0</v>
      </c>
      <c r="E1515" s="23">
        <f ca="1">IFERROR(__xludf.DUMMYFUNCTION("""COMPUTED_VALUE"""),0)</f>
        <v>0</v>
      </c>
      <c r="F1515" s="23">
        <f ca="1">IFERROR(__xludf.DUMMYFUNCTION("""COMPUTED_VALUE"""),0)</f>
        <v>0</v>
      </c>
      <c r="G1515" s="23">
        <f ca="1">IFERROR(__xludf.DUMMYFUNCTION("""COMPUTED_VALUE"""),0)</f>
        <v>0</v>
      </c>
      <c r="H1515" s="23">
        <f ca="1">IFERROR(__xludf.DUMMYFUNCTION("""COMPUTED_VALUE"""),0)</f>
        <v>0</v>
      </c>
      <c r="I1515" s="23">
        <f ca="1">IFERROR(__xludf.DUMMYFUNCTION("""COMPUTED_VALUE"""),0)</f>
        <v>0</v>
      </c>
      <c r="J1515" s="23">
        <f ca="1">IFERROR(__xludf.DUMMYFUNCTION("""COMPUTED_VALUE"""),0)</f>
        <v>0</v>
      </c>
      <c r="K1515" s="23">
        <f ca="1">IFERROR(__xludf.DUMMYFUNCTION("""COMPUTED_VALUE"""),0)</f>
        <v>0</v>
      </c>
      <c r="L1515" s="23">
        <f ca="1">IFERROR(__xludf.DUMMYFUNCTION("""COMPUTED_VALUE"""),0)</f>
        <v>0</v>
      </c>
      <c r="M1515" s="23">
        <f ca="1">IFERROR(__xludf.DUMMYFUNCTION("""COMPUTED_VALUE"""),0)</f>
        <v>0</v>
      </c>
      <c r="N1515" s="23">
        <f ca="1">IFERROR(__xludf.DUMMYFUNCTION("""COMPUTED_VALUE"""),0)</f>
        <v>0</v>
      </c>
      <c r="O1515" s="23">
        <f ca="1">IFERROR(__xludf.DUMMYFUNCTION("""COMPUTED_VALUE"""),0)</f>
        <v>0</v>
      </c>
      <c r="P1515" s="23">
        <f ca="1">IFERROR(__xludf.DUMMYFUNCTION("""COMPUTED_VALUE"""),0)</f>
        <v>0</v>
      </c>
      <c r="Q1515" s="24">
        <f ca="1">IFERROR(__xludf.DUMMYFUNCTION("""COMPUTED_VALUE"""),0)</f>
        <v>0</v>
      </c>
      <c r="R1515" s="20"/>
    </row>
    <row r="1516" spans="1:18" ht="13.2" hidden="1" outlineLevel="1" x14ac:dyDescent="0.25">
      <c r="A1516" s="1"/>
      <c r="B1516" s="39" t="str">
        <f ca="1">IFERROR(__xludf.DUMMYFUNCTION("""COMPUTED_VALUE"""),"Geoenergía")</f>
        <v>Geoenergía</v>
      </c>
      <c r="C1516" s="22">
        <f ca="1">IFERROR(__xludf.DUMMYFUNCTION("""COMPUTED_VALUE"""),0)</f>
        <v>0</v>
      </c>
      <c r="D1516" s="23">
        <f ca="1">IFERROR(__xludf.DUMMYFUNCTION("""COMPUTED_VALUE"""),0)</f>
        <v>0</v>
      </c>
      <c r="E1516" s="23">
        <f ca="1">IFERROR(__xludf.DUMMYFUNCTION("""COMPUTED_VALUE"""),0)</f>
        <v>0</v>
      </c>
      <c r="F1516" s="23">
        <f ca="1">IFERROR(__xludf.DUMMYFUNCTION("""COMPUTED_VALUE"""),0)</f>
        <v>0</v>
      </c>
      <c r="G1516" s="23">
        <f ca="1">IFERROR(__xludf.DUMMYFUNCTION("""COMPUTED_VALUE"""),0)</f>
        <v>0</v>
      </c>
      <c r="H1516" s="23">
        <f ca="1">IFERROR(__xludf.DUMMYFUNCTION("""COMPUTED_VALUE"""),0)</f>
        <v>0</v>
      </c>
      <c r="I1516" s="23">
        <f ca="1">IFERROR(__xludf.DUMMYFUNCTION("""COMPUTED_VALUE"""),0)</f>
        <v>0</v>
      </c>
      <c r="J1516" s="23">
        <f ca="1">IFERROR(__xludf.DUMMYFUNCTION("""COMPUTED_VALUE"""),0)</f>
        <v>0</v>
      </c>
      <c r="K1516" s="23">
        <f ca="1">IFERROR(__xludf.DUMMYFUNCTION("""COMPUTED_VALUE"""),0)</f>
        <v>0</v>
      </c>
      <c r="L1516" s="23">
        <f ca="1">IFERROR(__xludf.DUMMYFUNCTION("""COMPUTED_VALUE"""),0)</f>
        <v>0</v>
      </c>
      <c r="M1516" s="23">
        <f ca="1">IFERROR(__xludf.DUMMYFUNCTION("""COMPUTED_VALUE"""),0)</f>
        <v>0</v>
      </c>
      <c r="N1516" s="23">
        <f ca="1">IFERROR(__xludf.DUMMYFUNCTION("""COMPUTED_VALUE"""),0)</f>
        <v>0</v>
      </c>
      <c r="O1516" s="23">
        <f ca="1">IFERROR(__xludf.DUMMYFUNCTION("""COMPUTED_VALUE"""),0)</f>
        <v>0</v>
      </c>
      <c r="P1516" s="23">
        <f ca="1">IFERROR(__xludf.DUMMYFUNCTION("""COMPUTED_VALUE"""),0)</f>
        <v>0</v>
      </c>
      <c r="Q1516" s="24">
        <f ca="1">IFERROR(__xludf.DUMMYFUNCTION("""COMPUTED_VALUE"""),0)</f>
        <v>0</v>
      </c>
      <c r="R1516" s="20"/>
    </row>
    <row r="1517" spans="1:18" ht="13.2" hidden="1" outlineLevel="1" x14ac:dyDescent="0.25">
      <c r="A1517" s="1"/>
      <c r="B1517" s="39" t="str">
        <f ca="1">IFERROR(__xludf.DUMMYFUNCTION("""COMPUTED_VALUE"""),"Energía solar")</f>
        <v>Energía solar</v>
      </c>
      <c r="C1517" s="22">
        <f ca="1">IFERROR(__xludf.DUMMYFUNCTION("""COMPUTED_VALUE"""),0)</f>
        <v>0</v>
      </c>
      <c r="D1517" s="23">
        <f ca="1">IFERROR(__xludf.DUMMYFUNCTION("""COMPUTED_VALUE"""),0)</f>
        <v>0</v>
      </c>
      <c r="E1517" s="23">
        <f ca="1">IFERROR(__xludf.DUMMYFUNCTION("""COMPUTED_VALUE"""),0)</f>
        <v>0</v>
      </c>
      <c r="F1517" s="23">
        <f ca="1">IFERROR(__xludf.DUMMYFUNCTION("""COMPUTED_VALUE"""),0)</f>
        <v>0</v>
      </c>
      <c r="G1517" s="23">
        <f ca="1">IFERROR(__xludf.DUMMYFUNCTION("""COMPUTED_VALUE"""),0)</f>
        <v>0</v>
      </c>
      <c r="H1517" s="23">
        <f ca="1">IFERROR(__xludf.DUMMYFUNCTION("""COMPUTED_VALUE"""),0)</f>
        <v>0</v>
      </c>
      <c r="I1517" s="23">
        <f ca="1">IFERROR(__xludf.DUMMYFUNCTION("""COMPUTED_VALUE"""),0)</f>
        <v>0</v>
      </c>
      <c r="J1517" s="23">
        <f ca="1">IFERROR(__xludf.DUMMYFUNCTION("""COMPUTED_VALUE"""),0)</f>
        <v>0</v>
      </c>
      <c r="K1517" s="23">
        <f ca="1">IFERROR(__xludf.DUMMYFUNCTION("""COMPUTED_VALUE"""),0)</f>
        <v>0</v>
      </c>
      <c r="L1517" s="23">
        <f ca="1">IFERROR(__xludf.DUMMYFUNCTION("""COMPUTED_VALUE"""),0)</f>
        <v>0</v>
      </c>
      <c r="M1517" s="23">
        <f ca="1">IFERROR(__xludf.DUMMYFUNCTION("""COMPUTED_VALUE"""),0)</f>
        <v>0</v>
      </c>
      <c r="N1517" s="23">
        <f ca="1">IFERROR(__xludf.DUMMYFUNCTION("""COMPUTED_VALUE"""),0)</f>
        <v>0</v>
      </c>
      <c r="O1517" s="23">
        <f ca="1">IFERROR(__xludf.DUMMYFUNCTION("""COMPUTED_VALUE"""),0)</f>
        <v>0</v>
      </c>
      <c r="P1517" s="23">
        <f ca="1">IFERROR(__xludf.DUMMYFUNCTION("""COMPUTED_VALUE"""),0)</f>
        <v>0</v>
      </c>
      <c r="Q1517" s="24">
        <f ca="1">IFERROR(__xludf.DUMMYFUNCTION("""COMPUTED_VALUE"""),0)</f>
        <v>0</v>
      </c>
      <c r="R1517" s="20"/>
    </row>
    <row r="1518" spans="1:18" ht="13.2" hidden="1" outlineLevel="1" x14ac:dyDescent="0.25">
      <c r="A1518" s="1"/>
      <c r="B1518" s="39" t="str">
        <f ca="1">IFERROR(__xludf.DUMMYFUNCTION("""COMPUTED_VALUE"""),"Energía eólica")</f>
        <v>Energía eólica</v>
      </c>
      <c r="C1518" s="22">
        <f ca="1">IFERROR(__xludf.DUMMYFUNCTION("""COMPUTED_VALUE"""),0)</f>
        <v>0</v>
      </c>
      <c r="D1518" s="23">
        <f ca="1">IFERROR(__xludf.DUMMYFUNCTION("""COMPUTED_VALUE"""),0)</f>
        <v>0</v>
      </c>
      <c r="E1518" s="23">
        <f ca="1">IFERROR(__xludf.DUMMYFUNCTION("""COMPUTED_VALUE"""),0)</f>
        <v>0</v>
      </c>
      <c r="F1518" s="23">
        <f ca="1">IFERROR(__xludf.DUMMYFUNCTION("""COMPUTED_VALUE"""),0)</f>
        <v>0</v>
      </c>
      <c r="G1518" s="23">
        <f ca="1">IFERROR(__xludf.DUMMYFUNCTION("""COMPUTED_VALUE"""),0)</f>
        <v>0</v>
      </c>
      <c r="H1518" s="23">
        <f ca="1">IFERROR(__xludf.DUMMYFUNCTION("""COMPUTED_VALUE"""),0)</f>
        <v>0</v>
      </c>
      <c r="I1518" s="23">
        <f ca="1">IFERROR(__xludf.DUMMYFUNCTION("""COMPUTED_VALUE"""),0)</f>
        <v>0</v>
      </c>
      <c r="J1518" s="23">
        <f ca="1">IFERROR(__xludf.DUMMYFUNCTION("""COMPUTED_VALUE"""),0)</f>
        <v>0</v>
      </c>
      <c r="K1518" s="23">
        <f ca="1">IFERROR(__xludf.DUMMYFUNCTION("""COMPUTED_VALUE"""),0)</f>
        <v>0</v>
      </c>
      <c r="L1518" s="23">
        <f ca="1">IFERROR(__xludf.DUMMYFUNCTION("""COMPUTED_VALUE"""),0)</f>
        <v>0</v>
      </c>
      <c r="M1518" s="23">
        <f ca="1">IFERROR(__xludf.DUMMYFUNCTION("""COMPUTED_VALUE"""),0)</f>
        <v>0</v>
      </c>
      <c r="N1518" s="23">
        <f ca="1">IFERROR(__xludf.DUMMYFUNCTION("""COMPUTED_VALUE"""),0)</f>
        <v>0</v>
      </c>
      <c r="O1518" s="23">
        <f ca="1">IFERROR(__xludf.DUMMYFUNCTION("""COMPUTED_VALUE"""),0)</f>
        <v>0</v>
      </c>
      <c r="P1518" s="23">
        <f ca="1">IFERROR(__xludf.DUMMYFUNCTION("""COMPUTED_VALUE"""),0)</f>
        <v>0</v>
      </c>
      <c r="Q1518" s="24">
        <f ca="1">IFERROR(__xludf.DUMMYFUNCTION("""COMPUTED_VALUE"""),0)</f>
        <v>0</v>
      </c>
      <c r="R1518" s="20"/>
    </row>
    <row r="1519" spans="1:18" ht="13.2" hidden="1" outlineLevel="1" x14ac:dyDescent="0.25">
      <c r="A1519" s="1"/>
      <c r="B1519" s="39" t="str">
        <f ca="1">IFERROR(__xludf.DUMMYFUNCTION("""COMPUTED_VALUE"""),"Bagazo de caña")</f>
        <v>Bagazo de caña</v>
      </c>
      <c r="C1519" s="22">
        <f ca="1">IFERROR(__xludf.DUMMYFUNCTION("""COMPUTED_VALUE"""),0)</f>
        <v>0</v>
      </c>
      <c r="D1519" s="23">
        <f ca="1">IFERROR(__xludf.DUMMYFUNCTION("""COMPUTED_VALUE"""),0)</f>
        <v>0</v>
      </c>
      <c r="E1519" s="23">
        <f ca="1">IFERROR(__xludf.DUMMYFUNCTION("""COMPUTED_VALUE"""),0)</f>
        <v>0</v>
      </c>
      <c r="F1519" s="23">
        <f ca="1">IFERROR(__xludf.DUMMYFUNCTION("""COMPUTED_VALUE"""),0)</f>
        <v>0</v>
      </c>
      <c r="G1519" s="23">
        <f ca="1">IFERROR(__xludf.DUMMYFUNCTION("""COMPUTED_VALUE"""),0)</f>
        <v>0</v>
      </c>
      <c r="H1519" s="23">
        <f ca="1">IFERROR(__xludf.DUMMYFUNCTION("""COMPUTED_VALUE"""),0)</f>
        <v>0</v>
      </c>
      <c r="I1519" s="23">
        <f ca="1">IFERROR(__xludf.DUMMYFUNCTION("""COMPUTED_VALUE"""),0)</f>
        <v>0</v>
      </c>
      <c r="J1519" s="23">
        <f ca="1">IFERROR(__xludf.DUMMYFUNCTION("""COMPUTED_VALUE"""),0)</f>
        <v>0</v>
      </c>
      <c r="K1519" s="23">
        <f ca="1">IFERROR(__xludf.DUMMYFUNCTION("""COMPUTED_VALUE"""),0)</f>
        <v>0</v>
      </c>
      <c r="L1519" s="23">
        <f ca="1">IFERROR(__xludf.DUMMYFUNCTION("""COMPUTED_VALUE"""),0)</f>
        <v>0</v>
      </c>
      <c r="M1519" s="23">
        <f ca="1">IFERROR(__xludf.DUMMYFUNCTION("""COMPUTED_VALUE"""),0)</f>
        <v>0</v>
      </c>
      <c r="N1519" s="23">
        <f ca="1">IFERROR(__xludf.DUMMYFUNCTION("""COMPUTED_VALUE"""),0)</f>
        <v>0</v>
      </c>
      <c r="O1519" s="23">
        <f ca="1">IFERROR(__xludf.DUMMYFUNCTION("""COMPUTED_VALUE"""),0)</f>
        <v>0</v>
      </c>
      <c r="P1519" s="23">
        <f ca="1">IFERROR(__xludf.DUMMYFUNCTION("""COMPUTED_VALUE"""),0)</f>
        <v>0</v>
      </c>
      <c r="Q1519" s="24">
        <f ca="1">IFERROR(__xludf.DUMMYFUNCTION("""COMPUTED_VALUE"""),0)</f>
        <v>0</v>
      </c>
      <c r="R1519" s="20"/>
    </row>
    <row r="1520" spans="1:18" ht="13.2" hidden="1" outlineLevel="1" x14ac:dyDescent="0.25">
      <c r="A1520" s="1"/>
      <c r="B1520" s="39" t="str">
        <f ca="1">IFERROR(__xludf.DUMMYFUNCTION("""COMPUTED_VALUE"""),"Leña")</f>
        <v>Leña</v>
      </c>
      <c r="C1520" s="22">
        <f ca="1">IFERROR(__xludf.DUMMYFUNCTION("""COMPUTED_VALUE"""),0)</f>
        <v>0</v>
      </c>
      <c r="D1520" s="23">
        <f ca="1">IFERROR(__xludf.DUMMYFUNCTION("""COMPUTED_VALUE"""),0)</f>
        <v>0</v>
      </c>
      <c r="E1520" s="23">
        <f ca="1">IFERROR(__xludf.DUMMYFUNCTION("""COMPUTED_VALUE"""),0)</f>
        <v>0</v>
      </c>
      <c r="F1520" s="23">
        <f ca="1">IFERROR(__xludf.DUMMYFUNCTION("""COMPUTED_VALUE"""),0)</f>
        <v>0</v>
      </c>
      <c r="G1520" s="23">
        <f ca="1">IFERROR(__xludf.DUMMYFUNCTION("""COMPUTED_VALUE"""),0)</f>
        <v>0</v>
      </c>
      <c r="H1520" s="23">
        <f ca="1">IFERROR(__xludf.DUMMYFUNCTION("""COMPUTED_VALUE"""),0)</f>
        <v>0</v>
      </c>
      <c r="I1520" s="23">
        <f ca="1">IFERROR(__xludf.DUMMYFUNCTION("""COMPUTED_VALUE"""),0)</f>
        <v>0</v>
      </c>
      <c r="J1520" s="23">
        <f ca="1">IFERROR(__xludf.DUMMYFUNCTION("""COMPUTED_VALUE"""),0)</f>
        <v>0</v>
      </c>
      <c r="K1520" s="23">
        <f ca="1">IFERROR(__xludf.DUMMYFUNCTION("""COMPUTED_VALUE"""),0)</f>
        <v>0</v>
      </c>
      <c r="L1520" s="23">
        <f ca="1">IFERROR(__xludf.DUMMYFUNCTION("""COMPUTED_VALUE"""),0)</f>
        <v>0</v>
      </c>
      <c r="M1520" s="23">
        <f ca="1">IFERROR(__xludf.DUMMYFUNCTION("""COMPUTED_VALUE"""),0)</f>
        <v>0</v>
      </c>
      <c r="N1520" s="23">
        <f ca="1">IFERROR(__xludf.DUMMYFUNCTION("""COMPUTED_VALUE"""),0)</f>
        <v>0</v>
      </c>
      <c r="O1520" s="23">
        <f ca="1">IFERROR(__xludf.DUMMYFUNCTION("""COMPUTED_VALUE"""),0)</f>
        <v>0</v>
      </c>
      <c r="P1520" s="23">
        <f ca="1">IFERROR(__xludf.DUMMYFUNCTION("""COMPUTED_VALUE"""),0)</f>
        <v>0</v>
      </c>
      <c r="Q1520" s="24">
        <f ca="1">IFERROR(__xludf.DUMMYFUNCTION("""COMPUTED_VALUE"""),0)</f>
        <v>0</v>
      </c>
      <c r="R1520" s="20"/>
    </row>
    <row r="1521" spans="1:18" ht="13.2" hidden="1" outlineLevel="1" x14ac:dyDescent="0.25">
      <c r="A1521" s="1"/>
      <c r="B1521" s="39" t="str">
        <f ca="1">IFERROR(__xludf.DUMMYFUNCTION("""COMPUTED_VALUE"""),"Biogás")</f>
        <v>Biogás</v>
      </c>
      <c r="C1521" s="22">
        <f ca="1">IFERROR(__xludf.DUMMYFUNCTION("""COMPUTED_VALUE"""),0)</f>
        <v>0</v>
      </c>
      <c r="D1521" s="23">
        <f ca="1">IFERROR(__xludf.DUMMYFUNCTION("""COMPUTED_VALUE"""),0)</f>
        <v>0</v>
      </c>
      <c r="E1521" s="23">
        <f ca="1">IFERROR(__xludf.DUMMYFUNCTION("""COMPUTED_VALUE"""),0)</f>
        <v>0</v>
      </c>
      <c r="F1521" s="23">
        <f ca="1">IFERROR(__xludf.DUMMYFUNCTION("""COMPUTED_VALUE"""),0)</f>
        <v>0</v>
      </c>
      <c r="G1521" s="23">
        <f ca="1">IFERROR(__xludf.DUMMYFUNCTION("""COMPUTED_VALUE"""),0)</f>
        <v>0</v>
      </c>
      <c r="H1521" s="23">
        <f ca="1">IFERROR(__xludf.DUMMYFUNCTION("""COMPUTED_VALUE"""),0)</f>
        <v>0</v>
      </c>
      <c r="I1521" s="23">
        <f ca="1">IFERROR(__xludf.DUMMYFUNCTION("""COMPUTED_VALUE"""),0)</f>
        <v>0</v>
      </c>
      <c r="J1521" s="23">
        <f ca="1">IFERROR(__xludf.DUMMYFUNCTION("""COMPUTED_VALUE"""),0)</f>
        <v>0</v>
      </c>
      <c r="K1521" s="23">
        <f ca="1">IFERROR(__xludf.DUMMYFUNCTION("""COMPUTED_VALUE"""),0)</f>
        <v>0</v>
      </c>
      <c r="L1521" s="23">
        <f ca="1">IFERROR(__xludf.DUMMYFUNCTION("""COMPUTED_VALUE"""),0)</f>
        <v>0</v>
      </c>
      <c r="M1521" s="23">
        <f ca="1">IFERROR(__xludf.DUMMYFUNCTION("""COMPUTED_VALUE"""),0)</f>
        <v>0</v>
      </c>
      <c r="N1521" s="23">
        <f ca="1">IFERROR(__xludf.DUMMYFUNCTION("""COMPUTED_VALUE"""),0)</f>
        <v>0</v>
      </c>
      <c r="O1521" s="23">
        <f ca="1">IFERROR(__xludf.DUMMYFUNCTION("""COMPUTED_VALUE"""),0)</f>
        <v>0</v>
      </c>
      <c r="P1521" s="23">
        <f ca="1">IFERROR(__xludf.DUMMYFUNCTION("""COMPUTED_VALUE"""),0)</f>
        <v>0</v>
      </c>
      <c r="Q1521" s="24">
        <f ca="1">IFERROR(__xludf.DUMMYFUNCTION("""COMPUTED_VALUE"""),0)</f>
        <v>0</v>
      </c>
      <c r="R1521" s="20"/>
    </row>
    <row r="1522" spans="1:18" ht="13.2" hidden="1" outlineLevel="1" x14ac:dyDescent="0.25">
      <c r="A1522" s="1"/>
      <c r="B1522" s="39" t="str">
        <f ca="1">IFERROR(__xludf.DUMMYFUNCTION("""COMPUTED_VALUE"""),"Coque de carbón")</f>
        <v>Coque de carbón</v>
      </c>
      <c r="C1522" s="22">
        <f ca="1">IFERROR(__xludf.DUMMYFUNCTION("""COMPUTED_VALUE"""),6.698864178)</f>
        <v>6.698864178</v>
      </c>
      <c r="D1522" s="23">
        <f ca="1">IFERROR(__xludf.DUMMYFUNCTION("""COMPUTED_VALUE"""),7.13159311169031)</f>
        <v>7.13159311169031</v>
      </c>
      <c r="E1522" s="23">
        <f ca="1">IFERROR(__xludf.DUMMYFUNCTION("""COMPUTED_VALUE"""),6.47198562738664)</f>
        <v>6.4719856273866396</v>
      </c>
      <c r="F1522" s="23">
        <f ca="1">IFERROR(__xludf.DUMMYFUNCTION("""COMPUTED_VALUE"""),9.40660333887438)</f>
        <v>9.4066033388743797</v>
      </c>
      <c r="G1522" s="23">
        <f ca="1">IFERROR(__xludf.DUMMYFUNCTION("""COMPUTED_VALUE"""),10.2892565442992)</f>
        <v>10.289256544299199</v>
      </c>
      <c r="H1522" s="23">
        <f ca="1">IFERROR(__xludf.DUMMYFUNCTION("""COMPUTED_VALUE"""),9.05844271664672)</f>
        <v>9.0584427166467201</v>
      </c>
      <c r="I1522" s="23">
        <f ca="1">IFERROR(__xludf.DUMMYFUNCTION("""COMPUTED_VALUE"""),6.35745586262927)</f>
        <v>6.3574558626292701</v>
      </c>
      <c r="J1522" s="23">
        <f ca="1">IFERROR(__xludf.DUMMYFUNCTION("""COMPUTED_VALUE"""),5.62992128931708)</f>
        <v>5.62992128931708</v>
      </c>
      <c r="K1522" s="23">
        <f ca="1">IFERROR(__xludf.DUMMYFUNCTION("""COMPUTED_VALUE"""),8.21669302588985)</f>
        <v>8.2166930258898496</v>
      </c>
      <c r="L1522" s="23">
        <f ca="1">IFERROR(__xludf.DUMMYFUNCTION("""COMPUTED_VALUE"""),6.92264309109861)</f>
        <v>6.9226430910986103</v>
      </c>
      <c r="M1522" s="23">
        <f ca="1">IFERROR(__xludf.DUMMYFUNCTION("""COMPUTED_VALUE"""),4.28885817996015)</f>
        <v>4.2888581799601502</v>
      </c>
      <c r="N1522" s="23">
        <f ca="1">IFERROR(__xludf.DUMMYFUNCTION("""COMPUTED_VALUE"""),6.60963706569255)</f>
        <v>6.6096370656925503</v>
      </c>
      <c r="O1522" s="23">
        <f ca="1">IFERROR(__xludf.DUMMYFUNCTION("""COMPUTED_VALUE"""),4.68522261346306)</f>
        <v>4.6852226134630603</v>
      </c>
      <c r="P1522" s="23">
        <f ca="1">IFERROR(__xludf.DUMMYFUNCTION("""COMPUTED_VALUE"""),1.80871516173396)</f>
        <v>1.8087151617339601</v>
      </c>
      <c r="Q1522" s="24">
        <f ca="1">IFERROR(__xludf.DUMMYFUNCTION("""COMPUTED_VALUE"""),1.97772889982733)</f>
        <v>1.9777288998273299</v>
      </c>
      <c r="R1522" s="20"/>
    </row>
    <row r="1523" spans="1:18" ht="13.2" hidden="1" outlineLevel="1" x14ac:dyDescent="0.25">
      <c r="A1523" s="1"/>
      <c r="B1523" s="39" t="str">
        <f ca="1">IFERROR(__xludf.DUMMYFUNCTION("""COMPUTED_VALUE"""),"Coque de petróleo")</f>
        <v>Coque de petróleo</v>
      </c>
      <c r="C1523" s="22">
        <f ca="1">IFERROR(__xludf.DUMMYFUNCTION("""COMPUTED_VALUE"""),0.1900855420616)</f>
        <v>0.1900855420616</v>
      </c>
      <c r="D1523" s="23">
        <f ca="1">IFERROR(__xludf.DUMMYFUNCTION("""COMPUTED_VALUE"""),0.520077716488495)</f>
        <v>0.52007771648849499</v>
      </c>
      <c r="E1523" s="23">
        <f ca="1">IFERROR(__xludf.DUMMYFUNCTION("""COMPUTED_VALUE"""),0.213658501836412)</f>
        <v>0.213658501836412</v>
      </c>
      <c r="F1523" s="23">
        <f ca="1">IFERROR(__xludf.DUMMYFUNCTION("""COMPUTED_VALUE"""),0.192556027720259)</f>
        <v>0.19255602772025901</v>
      </c>
      <c r="G1523" s="23">
        <f ca="1">IFERROR(__xludf.DUMMYFUNCTION("""COMPUTED_VALUE"""),0.0569714073352689)</f>
        <v>5.6971407335268898E-2</v>
      </c>
      <c r="H1523" s="23">
        <f ca="1">IFERROR(__xludf.DUMMYFUNCTION("""COMPUTED_VALUE"""),0.112663108207386)</f>
        <v>0.112663108207386</v>
      </c>
      <c r="I1523" s="23">
        <f ca="1">IFERROR(__xludf.DUMMYFUNCTION("""COMPUTED_VALUE"""),0.0800243368329257)</f>
        <v>8.0024336832925702E-2</v>
      </c>
      <c r="J1523" s="23">
        <f ca="1">IFERROR(__xludf.DUMMYFUNCTION("""COMPUTED_VALUE"""),0.150147635846528)</f>
        <v>0.15014763584652799</v>
      </c>
      <c r="K1523" s="23">
        <f ca="1">IFERROR(__xludf.DUMMYFUNCTION("""COMPUTED_VALUE"""),0.432166760545927)</f>
        <v>0.43216676054592701</v>
      </c>
      <c r="L1523" s="23">
        <f ca="1">IFERROR(__xludf.DUMMYFUNCTION("""COMPUTED_VALUE"""),0.443430459611127)</f>
        <v>0.44343045961112698</v>
      </c>
      <c r="M1523" s="23">
        <f ca="1">IFERROR(__xludf.DUMMYFUNCTION("""COMPUTED_VALUE"""),0.217958870831216)</f>
        <v>0.21795887083121601</v>
      </c>
      <c r="N1523" s="23">
        <f ca="1">IFERROR(__xludf.DUMMYFUNCTION("""COMPUTED_VALUE"""),0.702237117178382)</f>
        <v>0.702237117178382</v>
      </c>
      <c r="O1523" s="23">
        <f ca="1">IFERROR(__xludf.DUMMYFUNCTION("""COMPUTED_VALUE"""),0.661178312283738)</f>
        <v>0.66117831228373802</v>
      </c>
      <c r="P1523" s="23">
        <f ca="1">IFERROR(__xludf.DUMMYFUNCTION("""COMPUTED_VALUE"""),0.67595789780148)</f>
        <v>0.67595789780147997</v>
      </c>
      <c r="Q1523" s="24">
        <f ca="1">IFERROR(__xludf.DUMMYFUNCTION("""COMPUTED_VALUE"""),0.452283342709665)</f>
        <v>0.45228334270966503</v>
      </c>
      <c r="R1523" s="20"/>
    </row>
    <row r="1524" spans="1:18" ht="13.2" hidden="1" outlineLevel="1" x14ac:dyDescent="0.25">
      <c r="A1524" s="1"/>
      <c r="B1524" s="39" t="str">
        <f ca="1">IFERROR(__xludf.DUMMYFUNCTION("""COMPUTED_VALUE"""),"Gas licuado de petróleo")</f>
        <v>Gas licuado de petróleo</v>
      </c>
      <c r="C1524" s="22">
        <f ca="1">IFERROR(__xludf.DUMMYFUNCTION("""COMPUTED_VALUE"""),0)</f>
        <v>0</v>
      </c>
      <c r="D1524" s="23">
        <f ca="1">IFERROR(__xludf.DUMMYFUNCTION("""COMPUTED_VALUE"""),0)</f>
        <v>0</v>
      </c>
      <c r="E1524" s="23">
        <f ca="1">IFERROR(__xludf.DUMMYFUNCTION("""COMPUTED_VALUE"""),0)</f>
        <v>0</v>
      </c>
      <c r="F1524" s="23">
        <f ca="1">IFERROR(__xludf.DUMMYFUNCTION("""COMPUTED_VALUE"""),0)</f>
        <v>0</v>
      </c>
      <c r="G1524" s="23">
        <f ca="1">IFERROR(__xludf.DUMMYFUNCTION("""COMPUTED_VALUE"""),0)</f>
        <v>0</v>
      </c>
      <c r="H1524" s="23">
        <f ca="1">IFERROR(__xludf.DUMMYFUNCTION("""COMPUTED_VALUE"""),0)</f>
        <v>0</v>
      </c>
      <c r="I1524" s="23">
        <f ca="1">IFERROR(__xludf.DUMMYFUNCTION("""COMPUTED_VALUE"""),0)</f>
        <v>0</v>
      </c>
      <c r="J1524" s="23">
        <f ca="1">IFERROR(__xludf.DUMMYFUNCTION("""COMPUTED_VALUE"""),0)</f>
        <v>0</v>
      </c>
      <c r="K1524" s="23">
        <f ca="1">IFERROR(__xludf.DUMMYFUNCTION("""COMPUTED_VALUE"""),0)</f>
        <v>0</v>
      </c>
      <c r="L1524" s="23">
        <f ca="1">IFERROR(__xludf.DUMMYFUNCTION("""COMPUTED_VALUE"""),0)</f>
        <v>0</v>
      </c>
      <c r="M1524" s="23">
        <f ca="1">IFERROR(__xludf.DUMMYFUNCTION("""COMPUTED_VALUE"""),0)</f>
        <v>0</v>
      </c>
      <c r="N1524" s="23">
        <f ca="1">IFERROR(__xludf.DUMMYFUNCTION("""COMPUTED_VALUE"""),0)</f>
        <v>0</v>
      </c>
      <c r="O1524" s="23">
        <f ca="1">IFERROR(__xludf.DUMMYFUNCTION("""COMPUTED_VALUE"""),0)</f>
        <v>0</v>
      </c>
      <c r="P1524" s="23">
        <f ca="1">IFERROR(__xludf.DUMMYFUNCTION("""COMPUTED_VALUE"""),0)</f>
        <v>0</v>
      </c>
      <c r="Q1524" s="24">
        <f ca="1">IFERROR(__xludf.DUMMYFUNCTION("""COMPUTED_VALUE"""),0)</f>
        <v>0</v>
      </c>
      <c r="R1524" s="20"/>
    </row>
    <row r="1525" spans="1:18" ht="13.2" hidden="1" outlineLevel="1" x14ac:dyDescent="0.25">
      <c r="A1525" s="1"/>
      <c r="B1525" s="39" t="str">
        <f ca="1">IFERROR(__xludf.DUMMYFUNCTION("""COMPUTED_VALUE"""),"Gasolinas y naftas")</f>
        <v>Gasolinas y naftas</v>
      </c>
      <c r="C1525" s="22">
        <f ca="1">IFERROR(__xludf.DUMMYFUNCTION("""COMPUTED_VALUE"""),0)</f>
        <v>0</v>
      </c>
      <c r="D1525" s="23">
        <f ca="1">IFERROR(__xludf.DUMMYFUNCTION("""COMPUTED_VALUE"""),0)</f>
        <v>0</v>
      </c>
      <c r="E1525" s="23">
        <f ca="1">IFERROR(__xludf.DUMMYFUNCTION("""COMPUTED_VALUE"""),0)</f>
        <v>0</v>
      </c>
      <c r="F1525" s="23">
        <f ca="1">IFERROR(__xludf.DUMMYFUNCTION("""COMPUTED_VALUE"""),0)</f>
        <v>0</v>
      </c>
      <c r="G1525" s="23">
        <f ca="1">IFERROR(__xludf.DUMMYFUNCTION("""COMPUTED_VALUE"""),0)</f>
        <v>0</v>
      </c>
      <c r="H1525" s="23">
        <f ca="1">IFERROR(__xludf.DUMMYFUNCTION("""COMPUTED_VALUE"""),0)</f>
        <v>0</v>
      </c>
      <c r="I1525" s="23">
        <f ca="1">IFERROR(__xludf.DUMMYFUNCTION("""COMPUTED_VALUE"""),0)</f>
        <v>0</v>
      </c>
      <c r="J1525" s="23">
        <f ca="1">IFERROR(__xludf.DUMMYFUNCTION("""COMPUTED_VALUE"""),0)</f>
        <v>0</v>
      </c>
      <c r="K1525" s="23">
        <f ca="1">IFERROR(__xludf.DUMMYFUNCTION("""COMPUTED_VALUE"""),0)</f>
        <v>0</v>
      </c>
      <c r="L1525" s="23">
        <f ca="1">IFERROR(__xludf.DUMMYFUNCTION("""COMPUTED_VALUE"""),0)</f>
        <v>0</v>
      </c>
      <c r="M1525" s="23">
        <f ca="1">IFERROR(__xludf.DUMMYFUNCTION("""COMPUTED_VALUE"""),0)</f>
        <v>0</v>
      </c>
      <c r="N1525" s="23">
        <f ca="1">IFERROR(__xludf.DUMMYFUNCTION("""COMPUTED_VALUE"""),0)</f>
        <v>0</v>
      </c>
      <c r="O1525" s="23">
        <f ca="1">IFERROR(__xludf.DUMMYFUNCTION("""COMPUTED_VALUE"""),0)</f>
        <v>0</v>
      </c>
      <c r="P1525" s="23">
        <f ca="1">IFERROR(__xludf.DUMMYFUNCTION("""COMPUTED_VALUE"""),0)</f>
        <v>0</v>
      </c>
      <c r="Q1525" s="24">
        <f ca="1">IFERROR(__xludf.DUMMYFUNCTION("""COMPUTED_VALUE"""),0)</f>
        <v>0</v>
      </c>
      <c r="R1525" s="20"/>
    </row>
    <row r="1526" spans="1:18" ht="13.2" hidden="1" outlineLevel="1" x14ac:dyDescent="0.25">
      <c r="A1526" s="1"/>
      <c r="B1526" s="39" t="str">
        <f ca="1">IFERROR(__xludf.DUMMYFUNCTION("""COMPUTED_VALUE"""),"Querosenos")</f>
        <v>Querosenos</v>
      </c>
      <c r="C1526" s="22">
        <f ca="1">IFERROR(__xludf.DUMMYFUNCTION("""COMPUTED_VALUE"""),0)</f>
        <v>0</v>
      </c>
      <c r="D1526" s="23">
        <f ca="1">IFERROR(__xludf.DUMMYFUNCTION("""COMPUTED_VALUE"""),0)</f>
        <v>0</v>
      </c>
      <c r="E1526" s="23">
        <f ca="1">IFERROR(__xludf.DUMMYFUNCTION("""COMPUTED_VALUE"""),0)</f>
        <v>0</v>
      </c>
      <c r="F1526" s="23">
        <f ca="1">IFERROR(__xludf.DUMMYFUNCTION("""COMPUTED_VALUE"""),0)</f>
        <v>0</v>
      </c>
      <c r="G1526" s="23">
        <f ca="1">IFERROR(__xludf.DUMMYFUNCTION("""COMPUTED_VALUE"""),0)</f>
        <v>0</v>
      </c>
      <c r="H1526" s="23">
        <f ca="1">IFERROR(__xludf.DUMMYFUNCTION("""COMPUTED_VALUE"""),0)</f>
        <v>0</v>
      </c>
      <c r="I1526" s="23">
        <f ca="1">IFERROR(__xludf.DUMMYFUNCTION("""COMPUTED_VALUE"""),0)</f>
        <v>0</v>
      </c>
      <c r="J1526" s="23">
        <f ca="1">IFERROR(__xludf.DUMMYFUNCTION("""COMPUTED_VALUE"""),0)</f>
        <v>0</v>
      </c>
      <c r="K1526" s="23">
        <f ca="1">IFERROR(__xludf.DUMMYFUNCTION("""COMPUTED_VALUE"""),0)</f>
        <v>0</v>
      </c>
      <c r="L1526" s="23">
        <f ca="1">IFERROR(__xludf.DUMMYFUNCTION("""COMPUTED_VALUE"""),0)</f>
        <v>0</v>
      </c>
      <c r="M1526" s="23">
        <f ca="1">IFERROR(__xludf.DUMMYFUNCTION("""COMPUTED_VALUE"""),0)</f>
        <v>0</v>
      </c>
      <c r="N1526" s="23">
        <f ca="1">IFERROR(__xludf.DUMMYFUNCTION("""COMPUTED_VALUE"""),0)</f>
        <v>0</v>
      </c>
      <c r="O1526" s="23">
        <f ca="1">IFERROR(__xludf.DUMMYFUNCTION("""COMPUTED_VALUE"""),0)</f>
        <v>0</v>
      </c>
      <c r="P1526" s="23">
        <f ca="1">IFERROR(__xludf.DUMMYFUNCTION("""COMPUTED_VALUE"""),0)</f>
        <v>0</v>
      </c>
      <c r="Q1526" s="24">
        <f ca="1">IFERROR(__xludf.DUMMYFUNCTION("""COMPUTED_VALUE"""),0)</f>
        <v>0</v>
      </c>
      <c r="R1526" s="20"/>
    </row>
    <row r="1527" spans="1:18" ht="13.2" hidden="1" outlineLevel="1" x14ac:dyDescent="0.25">
      <c r="A1527" s="1"/>
      <c r="B1527" s="39" t="str">
        <f ca="1">IFERROR(__xludf.DUMMYFUNCTION("""COMPUTED_VALUE"""),"Diesel")</f>
        <v>Diesel</v>
      </c>
      <c r="C1527" s="22">
        <f ca="1">IFERROR(__xludf.DUMMYFUNCTION("""COMPUTED_VALUE"""),0.19646102519911)</f>
        <v>0.19646102519910999</v>
      </c>
      <c r="D1527" s="23">
        <f ca="1">IFERROR(__xludf.DUMMYFUNCTION("""COMPUTED_VALUE"""),0.0816760981428891)</f>
        <v>8.1676098142889106E-2</v>
      </c>
      <c r="E1527" s="23">
        <f ca="1">IFERROR(__xludf.DUMMYFUNCTION("""COMPUTED_VALUE"""),0.260918713200827)</f>
        <v>0.26091871320082699</v>
      </c>
      <c r="F1527" s="23">
        <f ca="1">IFERROR(__xludf.DUMMYFUNCTION("""COMPUTED_VALUE"""),0.209096626823021)</f>
        <v>0.20909662682302099</v>
      </c>
      <c r="G1527" s="23">
        <f ca="1">IFERROR(__xludf.DUMMYFUNCTION("""COMPUTED_VALUE"""),0.268341606700125)</f>
        <v>0.26834160670012502</v>
      </c>
      <c r="H1527" s="23">
        <f ca="1">IFERROR(__xludf.DUMMYFUNCTION("""COMPUTED_VALUE"""),0.350846968496723)</f>
        <v>0.35084696849672298</v>
      </c>
      <c r="I1527" s="23">
        <f ca="1">IFERROR(__xludf.DUMMYFUNCTION("""COMPUTED_VALUE"""),0.215888487824279)</f>
        <v>0.215888487824279</v>
      </c>
      <c r="J1527" s="23">
        <f ca="1">IFERROR(__xludf.DUMMYFUNCTION("""COMPUTED_VALUE"""),0.160846247677427)</f>
        <v>0.160846247677427</v>
      </c>
      <c r="K1527" s="23">
        <f ca="1">IFERROR(__xludf.DUMMYFUNCTION("""COMPUTED_VALUE"""),0.195327436356457)</f>
        <v>0.195327436356457</v>
      </c>
      <c r="L1527" s="23">
        <f ca="1">IFERROR(__xludf.DUMMYFUNCTION("""COMPUTED_VALUE"""),0.207534601110126)</f>
        <v>0.207534601110126</v>
      </c>
      <c r="M1527" s="23">
        <f ca="1">IFERROR(__xludf.DUMMYFUNCTION("""COMPUTED_VALUE"""),0.150128992013323)</f>
        <v>0.150128992013323</v>
      </c>
      <c r="N1527" s="23">
        <f ca="1">IFERROR(__xludf.DUMMYFUNCTION("""COMPUTED_VALUE"""),0.0494445145329046)</f>
        <v>4.9444514532904597E-2</v>
      </c>
      <c r="O1527" s="23">
        <f ca="1">IFERROR(__xludf.DUMMYFUNCTION("""COMPUTED_VALUE"""),0.0515996679612873)</f>
        <v>5.1599667961287302E-2</v>
      </c>
      <c r="P1527" s="23">
        <f ca="1">IFERROR(__xludf.DUMMYFUNCTION("""COMPUTED_VALUE"""),0.0417060159790683)</f>
        <v>4.1706015979068298E-2</v>
      </c>
      <c r="Q1527" s="24">
        <f ca="1">IFERROR(__xludf.DUMMYFUNCTION("""COMPUTED_VALUE"""),0.245505081941064)</f>
        <v>0.24550508194106399</v>
      </c>
      <c r="R1527" s="20"/>
    </row>
    <row r="1528" spans="1:18" ht="13.2" hidden="1" outlineLevel="1" x14ac:dyDescent="0.25">
      <c r="A1528" s="1"/>
      <c r="B1528" s="39" t="str">
        <f ca="1">IFERROR(__xludf.DUMMYFUNCTION("""COMPUTED_VALUE"""),"Combustóleo")</f>
        <v>Combustóleo</v>
      </c>
      <c r="C1528" s="22">
        <f ca="1">IFERROR(__xludf.DUMMYFUNCTION("""COMPUTED_VALUE"""),0)</f>
        <v>0</v>
      </c>
      <c r="D1528" s="23">
        <f ca="1">IFERROR(__xludf.DUMMYFUNCTION("""COMPUTED_VALUE"""),0)</f>
        <v>0</v>
      </c>
      <c r="E1528" s="23">
        <f ca="1">IFERROR(__xludf.DUMMYFUNCTION("""COMPUTED_VALUE"""),0)</f>
        <v>0</v>
      </c>
      <c r="F1528" s="23">
        <f ca="1">IFERROR(__xludf.DUMMYFUNCTION("""COMPUTED_VALUE"""),0)</f>
        <v>0</v>
      </c>
      <c r="G1528" s="23">
        <f ca="1">IFERROR(__xludf.DUMMYFUNCTION("""COMPUTED_VALUE"""),0)</f>
        <v>0</v>
      </c>
      <c r="H1528" s="23">
        <f ca="1">IFERROR(__xludf.DUMMYFUNCTION("""COMPUTED_VALUE"""),0)</f>
        <v>0</v>
      </c>
      <c r="I1528" s="23">
        <f ca="1">IFERROR(__xludf.DUMMYFUNCTION("""COMPUTED_VALUE"""),0)</f>
        <v>0</v>
      </c>
      <c r="J1528" s="23">
        <f ca="1">IFERROR(__xludf.DUMMYFUNCTION("""COMPUTED_VALUE"""),0)</f>
        <v>0</v>
      </c>
      <c r="K1528" s="23">
        <f ca="1">IFERROR(__xludf.DUMMYFUNCTION("""COMPUTED_VALUE"""),0)</f>
        <v>0</v>
      </c>
      <c r="L1528" s="23">
        <f ca="1">IFERROR(__xludf.DUMMYFUNCTION("""COMPUTED_VALUE"""),0)</f>
        <v>0</v>
      </c>
      <c r="M1528" s="23">
        <f ca="1">IFERROR(__xludf.DUMMYFUNCTION("""COMPUTED_VALUE"""),0)</f>
        <v>0</v>
      </c>
      <c r="N1528" s="23">
        <f ca="1">IFERROR(__xludf.DUMMYFUNCTION("""COMPUTED_VALUE"""),0)</f>
        <v>0</v>
      </c>
      <c r="O1528" s="23">
        <f ca="1">IFERROR(__xludf.DUMMYFUNCTION("""COMPUTED_VALUE"""),0)</f>
        <v>0</v>
      </c>
      <c r="P1528" s="23">
        <f ca="1">IFERROR(__xludf.DUMMYFUNCTION("""COMPUTED_VALUE"""),0)</f>
        <v>0</v>
      </c>
      <c r="Q1528" s="24">
        <f ca="1">IFERROR(__xludf.DUMMYFUNCTION("""COMPUTED_VALUE"""),0)</f>
        <v>0</v>
      </c>
      <c r="R1528" s="20"/>
    </row>
    <row r="1529" spans="1:18" ht="13.2" hidden="1" outlineLevel="1" x14ac:dyDescent="0.25">
      <c r="A1529" s="1"/>
      <c r="B1529" s="39" t="str">
        <f ca="1">IFERROR(__xludf.DUMMYFUNCTION("""COMPUTED_VALUE"""),"Otros energéticos")</f>
        <v>Otros energéticos</v>
      </c>
      <c r="C1529" s="22">
        <f ca="1">IFERROR(__xludf.DUMMYFUNCTION("""COMPUTED_VALUE"""),0)</f>
        <v>0</v>
      </c>
      <c r="D1529" s="23">
        <f ca="1">IFERROR(__xludf.DUMMYFUNCTION("""COMPUTED_VALUE"""),0)</f>
        <v>0</v>
      </c>
      <c r="E1529" s="23">
        <f ca="1">IFERROR(__xludf.DUMMYFUNCTION("""COMPUTED_VALUE"""),0)</f>
        <v>0</v>
      </c>
      <c r="F1529" s="23">
        <f ca="1">IFERROR(__xludf.DUMMYFUNCTION("""COMPUTED_VALUE"""),0)</f>
        <v>0</v>
      </c>
      <c r="G1529" s="23">
        <f ca="1">IFERROR(__xludf.DUMMYFUNCTION("""COMPUTED_VALUE"""),0)</f>
        <v>0</v>
      </c>
      <c r="H1529" s="23">
        <f ca="1">IFERROR(__xludf.DUMMYFUNCTION("""COMPUTED_VALUE"""),0)</f>
        <v>0</v>
      </c>
      <c r="I1529" s="23">
        <f ca="1">IFERROR(__xludf.DUMMYFUNCTION("""COMPUTED_VALUE"""),0)</f>
        <v>0</v>
      </c>
      <c r="J1529" s="23">
        <f ca="1">IFERROR(__xludf.DUMMYFUNCTION("""COMPUTED_VALUE"""),0)</f>
        <v>0</v>
      </c>
      <c r="K1529" s="23">
        <f ca="1">IFERROR(__xludf.DUMMYFUNCTION("""COMPUTED_VALUE"""),0)</f>
        <v>0</v>
      </c>
      <c r="L1529" s="23">
        <f ca="1">IFERROR(__xludf.DUMMYFUNCTION("""COMPUTED_VALUE"""),0)</f>
        <v>0</v>
      </c>
      <c r="M1529" s="23">
        <f ca="1">IFERROR(__xludf.DUMMYFUNCTION("""COMPUTED_VALUE"""),0)</f>
        <v>0</v>
      </c>
      <c r="N1529" s="23">
        <f ca="1">IFERROR(__xludf.DUMMYFUNCTION("""COMPUTED_VALUE"""),0)</f>
        <v>0</v>
      </c>
      <c r="O1529" s="23">
        <f ca="1">IFERROR(__xludf.DUMMYFUNCTION("""COMPUTED_VALUE"""),0)</f>
        <v>0</v>
      </c>
      <c r="P1529" s="23">
        <f ca="1">IFERROR(__xludf.DUMMYFUNCTION("""COMPUTED_VALUE"""),0)</f>
        <v>0</v>
      </c>
      <c r="Q1529" s="24">
        <f ca="1">IFERROR(__xludf.DUMMYFUNCTION("""COMPUTED_VALUE"""),0)</f>
        <v>0</v>
      </c>
      <c r="R1529" s="20"/>
    </row>
    <row r="1530" spans="1:18" ht="13.2" hidden="1" outlineLevel="1" x14ac:dyDescent="0.25">
      <c r="A1530" s="1"/>
      <c r="B1530" s="39" t="str">
        <f ca="1">IFERROR(__xludf.DUMMYFUNCTION("""COMPUTED_VALUE"""),"Gas natural seco")</f>
        <v>Gas natural seco</v>
      </c>
      <c r="C1530" s="22">
        <f ca="1">IFERROR(__xludf.DUMMYFUNCTION("""COMPUTED_VALUE"""),0)</f>
        <v>0</v>
      </c>
      <c r="D1530" s="23">
        <f ca="1">IFERROR(__xludf.DUMMYFUNCTION("""COMPUTED_VALUE"""),0)</f>
        <v>0</v>
      </c>
      <c r="E1530" s="23">
        <f ca="1">IFERROR(__xludf.DUMMYFUNCTION("""COMPUTED_VALUE"""),0)</f>
        <v>0</v>
      </c>
      <c r="F1530" s="23">
        <f ca="1">IFERROR(__xludf.DUMMYFUNCTION("""COMPUTED_VALUE"""),0)</f>
        <v>0</v>
      </c>
      <c r="G1530" s="23">
        <f ca="1">IFERROR(__xludf.DUMMYFUNCTION("""COMPUTED_VALUE"""),0)</f>
        <v>0</v>
      </c>
      <c r="H1530" s="23">
        <f ca="1">IFERROR(__xludf.DUMMYFUNCTION("""COMPUTED_VALUE"""),0)</f>
        <v>0</v>
      </c>
      <c r="I1530" s="23">
        <f ca="1">IFERROR(__xludf.DUMMYFUNCTION("""COMPUTED_VALUE"""),0)</f>
        <v>0</v>
      </c>
      <c r="J1530" s="23">
        <f ca="1">IFERROR(__xludf.DUMMYFUNCTION("""COMPUTED_VALUE"""),0)</f>
        <v>0</v>
      </c>
      <c r="K1530" s="23">
        <f ca="1">IFERROR(__xludf.DUMMYFUNCTION("""COMPUTED_VALUE"""),0)</f>
        <v>0</v>
      </c>
      <c r="L1530" s="23">
        <f ca="1">IFERROR(__xludf.DUMMYFUNCTION("""COMPUTED_VALUE"""),0)</f>
        <v>0</v>
      </c>
      <c r="M1530" s="23">
        <f ca="1">IFERROR(__xludf.DUMMYFUNCTION("""COMPUTED_VALUE"""),0)</f>
        <v>0</v>
      </c>
      <c r="N1530" s="23">
        <f ca="1">IFERROR(__xludf.DUMMYFUNCTION("""COMPUTED_VALUE"""),0)</f>
        <v>0</v>
      </c>
      <c r="O1530" s="23">
        <f ca="1">IFERROR(__xludf.DUMMYFUNCTION("""COMPUTED_VALUE"""),0)</f>
        <v>0</v>
      </c>
      <c r="P1530" s="23">
        <f ca="1">IFERROR(__xludf.DUMMYFUNCTION("""COMPUTED_VALUE"""),0)</f>
        <v>0</v>
      </c>
      <c r="Q1530" s="24">
        <f ca="1">IFERROR(__xludf.DUMMYFUNCTION("""COMPUTED_VALUE"""),0)</f>
        <v>0</v>
      </c>
      <c r="R1530" s="20"/>
    </row>
    <row r="1531" spans="1:18" ht="13.2" hidden="1" outlineLevel="1" x14ac:dyDescent="0.25">
      <c r="A1531" s="1"/>
      <c r="B1531" s="40" t="str">
        <f ca="1">IFERROR(__xludf.DUMMYFUNCTION("""COMPUTED_VALUE"""),"Energía eléctrica")</f>
        <v>Energía eléctrica</v>
      </c>
      <c r="C1531" s="26">
        <f ca="1">IFERROR(__xludf.DUMMYFUNCTION("""COMPUTED_VALUE"""),7.81739240101959)</f>
        <v>7.8173924010195899</v>
      </c>
      <c r="D1531" s="27">
        <f ca="1">IFERROR(__xludf.DUMMYFUNCTION("""COMPUTED_VALUE"""),6.7760428785062)</f>
        <v>6.7760428785061997</v>
      </c>
      <c r="E1531" s="27">
        <f ca="1">IFERROR(__xludf.DUMMYFUNCTION("""COMPUTED_VALUE"""),6.71835056446605)</f>
        <v>6.7183505644660499</v>
      </c>
      <c r="F1531" s="27">
        <f ca="1">IFERROR(__xludf.DUMMYFUNCTION("""COMPUTED_VALUE"""),6.61803949354923)</f>
        <v>6.6180394935492304</v>
      </c>
      <c r="G1531" s="27">
        <f ca="1">IFERROR(__xludf.DUMMYFUNCTION("""COMPUTED_VALUE"""),4.96068543275479)</f>
        <v>4.96068543275479</v>
      </c>
      <c r="H1531" s="27">
        <f ca="1">IFERROR(__xludf.DUMMYFUNCTION("""COMPUTED_VALUE"""),5.73306450321757)</f>
        <v>5.7330645032175704</v>
      </c>
      <c r="I1531" s="27">
        <f ca="1">IFERROR(__xludf.DUMMYFUNCTION("""COMPUTED_VALUE"""),4.96135762640383)</f>
        <v>4.9613576264038297</v>
      </c>
      <c r="J1531" s="27">
        <f ca="1">IFERROR(__xludf.DUMMYFUNCTION("""COMPUTED_VALUE"""),4.90260639885066)</f>
        <v>4.9026063988506596</v>
      </c>
      <c r="K1531" s="27">
        <f ca="1">IFERROR(__xludf.DUMMYFUNCTION("""COMPUTED_VALUE"""),5.45817524105931)</f>
        <v>5.4581752410593101</v>
      </c>
      <c r="L1531" s="27">
        <f ca="1">IFERROR(__xludf.DUMMYFUNCTION("""COMPUTED_VALUE"""),4.62597686104865)</f>
        <v>4.6259768610486498</v>
      </c>
      <c r="M1531" s="27">
        <f ca="1">IFERROR(__xludf.DUMMYFUNCTION("""COMPUTED_VALUE"""),4.49678868602664)</f>
        <v>4.4967886860266404</v>
      </c>
      <c r="N1531" s="27">
        <f ca="1">IFERROR(__xludf.DUMMYFUNCTION("""COMPUTED_VALUE"""),9.17030953194045)</f>
        <v>9.1703095319404504</v>
      </c>
      <c r="O1531" s="27">
        <f ca="1">IFERROR(__xludf.DUMMYFUNCTION("""COMPUTED_VALUE"""),8.94903356003478)</f>
        <v>8.9490335600347795</v>
      </c>
      <c r="P1531" s="27">
        <f ca="1">IFERROR(__xludf.DUMMYFUNCTION("""COMPUTED_VALUE"""),7.94889880538177)</f>
        <v>7.94889880538177</v>
      </c>
      <c r="Q1531" s="28">
        <f ca="1">IFERROR(__xludf.DUMMYFUNCTION("""COMPUTED_VALUE"""),6.96924845294096)</f>
        <v>6.9692484529409597</v>
      </c>
      <c r="R1531" s="20"/>
    </row>
    <row r="1532" spans="1:18" ht="13.2" collapsed="1" x14ac:dyDescent="0.25">
      <c r="A1532" s="1"/>
      <c r="B1532" s="31" t="str">
        <f ca="1">IFERROR(__xludf.DUMMYFUNCTION("""COMPUTED_VALUE"""),"333	Fabricación de maquinaria y equipo")</f>
        <v>333	Fabricación de maquinaria y equipo</v>
      </c>
      <c r="C1532" s="41"/>
      <c r="D1532" s="42"/>
      <c r="E1532" s="41"/>
      <c r="F1532" s="41"/>
      <c r="G1532" s="43"/>
      <c r="H1532" s="44"/>
      <c r="I1532" s="45"/>
      <c r="J1532" s="45"/>
      <c r="K1532" s="45"/>
      <c r="L1532" s="45"/>
      <c r="M1532" s="45"/>
      <c r="N1532" s="45"/>
      <c r="O1532" s="45"/>
      <c r="P1532" s="45"/>
      <c r="Q1532" s="45"/>
      <c r="R1532" s="10"/>
    </row>
    <row r="1533" spans="1:18" ht="13.2" hidden="1" outlineLevel="1" x14ac:dyDescent="0.25">
      <c r="A1533" s="1"/>
      <c r="B1533" s="46"/>
      <c r="C1533" s="35">
        <f ca="1">IFERROR(__xludf.DUMMYFUNCTION("""COMPUTED_VALUE"""),2010)</f>
        <v>2010</v>
      </c>
      <c r="D1533" s="36">
        <f ca="1">IFERROR(__xludf.DUMMYFUNCTION("""COMPUTED_VALUE"""),2011)</f>
        <v>2011</v>
      </c>
      <c r="E1533" s="36">
        <f ca="1">IFERROR(__xludf.DUMMYFUNCTION("""COMPUTED_VALUE"""),2012)</f>
        <v>2012</v>
      </c>
      <c r="F1533" s="36">
        <f ca="1">IFERROR(__xludf.DUMMYFUNCTION("""COMPUTED_VALUE"""),2013)</f>
        <v>2013</v>
      </c>
      <c r="G1533" s="36">
        <f ca="1">IFERROR(__xludf.DUMMYFUNCTION("""COMPUTED_VALUE"""),2014)</f>
        <v>2014</v>
      </c>
      <c r="H1533" s="36">
        <f ca="1">IFERROR(__xludf.DUMMYFUNCTION("""COMPUTED_VALUE"""),2015)</f>
        <v>2015</v>
      </c>
      <c r="I1533" s="36">
        <f ca="1">IFERROR(__xludf.DUMMYFUNCTION("""COMPUTED_VALUE"""),2016)</f>
        <v>2016</v>
      </c>
      <c r="J1533" s="36">
        <f ca="1">IFERROR(__xludf.DUMMYFUNCTION("""COMPUTED_VALUE"""),2017)</f>
        <v>2017</v>
      </c>
      <c r="K1533" s="36">
        <f ca="1">IFERROR(__xludf.DUMMYFUNCTION("""COMPUTED_VALUE"""),2018)</f>
        <v>2018</v>
      </c>
      <c r="L1533" s="36">
        <f ca="1">IFERROR(__xludf.DUMMYFUNCTION("""COMPUTED_VALUE"""),2019)</f>
        <v>2019</v>
      </c>
      <c r="M1533" s="36">
        <f ca="1">IFERROR(__xludf.DUMMYFUNCTION("""COMPUTED_VALUE"""),2020)</f>
        <v>2020</v>
      </c>
      <c r="N1533" s="36">
        <f ca="1">IFERROR(__xludf.DUMMYFUNCTION("""COMPUTED_VALUE"""),2021)</f>
        <v>2021</v>
      </c>
      <c r="O1533" s="36">
        <f ca="1">IFERROR(__xludf.DUMMYFUNCTION("""COMPUTED_VALUE"""),2022)</f>
        <v>2022</v>
      </c>
      <c r="P1533" s="36">
        <f ca="1">IFERROR(__xludf.DUMMYFUNCTION("""COMPUTED_VALUE"""),2023)</f>
        <v>2023</v>
      </c>
      <c r="Q1533" s="37">
        <f ca="1">IFERROR(__xludf.DUMMYFUNCTION("""COMPUTED_VALUE"""),2024)</f>
        <v>2024</v>
      </c>
      <c r="R1533" s="15"/>
    </row>
    <row r="1534" spans="1:18" ht="13.2" hidden="1" outlineLevel="1" x14ac:dyDescent="0.25">
      <c r="A1534" s="1"/>
      <c r="B1534" s="38" t="str">
        <f ca="1">IFERROR(__xludf.DUMMYFUNCTION("""COMPUTED_VALUE"""),"Carbón mineral")</f>
        <v>Carbón mineral</v>
      </c>
      <c r="C1534" s="17">
        <f ca="1">IFERROR(__xludf.DUMMYFUNCTION("""COMPUTED_VALUE"""),0)</f>
        <v>0</v>
      </c>
      <c r="D1534" s="18">
        <f ca="1">IFERROR(__xludf.DUMMYFUNCTION("""COMPUTED_VALUE"""),0)</f>
        <v>0</v>
      </c>
      <c r="E1534" s="18">
        <f ca="1">IFERROR(__xludf.DUMMYFUNCTION("""COMPUTED_VALUE"""),0)</f>
        <v>0</v>
      </c>
      <c r="F1534" s="18">
        <f ca="1">IFERROR(__xludf.DUMMYFUNCTION("""COMPUTED_VALUE"""),0)</f>
        <v>0</v>
      </c>
      <c r="G1534" s="18">
        <f ca="1">IFERROR(__xludf.DUMMYFUNCTION("""COMPUTED_VALUE"""),0)</f>
        <v>0</v>
      </c>
      <c r="H1534" s="18">
        <f ca="1">IFERROR(__xludf.DUMMYFUNCTION("""COMPUTED_VALUE"""),0)</f>
        <v>0</v>
      </c>
      <c r="I1534" s="18">
        <f ca="1">IFERROR(__xludf.DUMMYFUNCTION("""COMPUTED_VALUE"""),0)</f>
        <v>0</v>
      </c>
      <c r="J1534" s="18">
        <f ca="1">IFERROR(__xludf.DUMMYFUNCTION("""COMPUTED_VALUE"""),0)</f>
        <v>0</v>
      </c>
      <c r="K1534" s="18">
        <f ca="1">IFERROR(__xludf.DUMMYFUNCTION("""COMPUTED_VALUE"""),0)</f>
        <v>0</v>
      </c>
      <c r="L1534" s="18">
        <f ca="1">IFERROR(__xludf.DUMMYFUNCTION("""COMPUTED_VALUE"""),0)</f>
        <v>0</v>
      </c>
      <c r="M1534" s="18">
        <f ca="1">IFERROR(__xludf.DUMMYFUNCTION("""COMPUTED_VALUE"""),0)</f>
        <v>0</v>
      </c>
      <c r="N1534" s="18">
        <f ca="1">IFERROR(__xludf.DUMMYFUNCTION("""COMPUTED_VALUE"""),0)</f>
        <v>0</v>
      </c>
      <c r="O1534" s="18">
        <f ca="1">IFERROR(__xludf.DUMMYFUNCTION("""COMPUTED_VALUE"""),0)</f>
        <v>0</v>
      </c>
      <c r="P1534" s="18">
        <f ca="1">IFERROR(__xludf.DUMMYFUNCTION("""COMPUTED_VALUE"""),0)</f>
        <v>0</v>
      </c>
      <c r="Q1534" s="19">
        <f ca="1">IFERROR(__xludf.DUMMYFUNCTION("""COMPUTED_VALUE"""),0)</f>
        <v>0</v>
      </c>
      <c r="R1534" s="20"/>
    </row>
    <row r="1535" spans="1:18" ht="13.2" hidden="1" outlineLevel="1" x14ac:dyDescent="0.25">
      <c r="A1535" s="1"/>
      <c r="B1535" s="39" t="str">
        <f ca="1">IFERROR(__xludf.DUMMYFUNCTION("""COMPUTED_VALUE"""),"Petróleo crudo")</f>
        <v>Petróleo crudo</v>
      </c>
      <c r="C1535" s="22">
        <f ca="1">IFERROR(__xludf.DUMMYFUNCTION("""COMPUTED_VALUE"""),0)</f>
        <v>0</v>
      </c>
      <c r="D1535" s="23">
        <f ca="1">IFERROR(__xludf.DUMMYFUNCTION("""COMPUTED_VALUE"""),0)</f>
        <v>0</v>
      </c>
      <c r="E1535" s="23">
        <f ca="1">IFERROR(__xludf.DUMMYFUNCTION("""COMPUTED_VALUE"""),0)</f>
        <v>0</v>
      </c>
      <c r="F1535" s="23">
        <f ca="1">IFERROR(__xludf.DUMMYFUNCTION("""COMPUTED_VALUE"""),0)</f>
        <v>0</v>
      </c>
      <c r="G1535" s="23">
        <f ca="1">IFERROR(__xludf.DUMMYFUNCTION("""COMPUTED_VALUE"""),0)</f>
        <v>0</v>
      </c>
      <c r="H1535" s="23">
        <f ca="1">IFERROR(__xludf.DUMMYFUNCTION("""COMPUTED_VALUE"""),0)</f>
        <v>0</v>
      </c>
      <c r="I1535" s="23">
        <f ca="1">IFERROR(__xludf.DUMMYFUNCTION("""COMPUTED_VALUE"""),0)</f>
        <v>0</v>
      </c>
      <c r="J1535" s="23">
        <f ca="1">IFERROR(__xludf.DUMMYFUNCTION("""COMPUTED_VALUE"""),0)</f>
        <v>0</v>
      </c>
      <c r="K1535" s="23">
        <f ca="1">IFERROR(__xludf.DUMMYFUNCTION("""COMPUTED_VALUE"""),0)</f>
        <v>0</v>
      </c>
      <c r="L1535" s="23">
        <f ca="1">IFERROR(__xludf.DUMMYFUNCTION("""COMPUTED_VALUE"""),0)</f>
        <v>0</v>
      </c>
      <c r="M1535" s="23">
        <f ca="1">IFERROR(__xludf.DUMMYFUNCTION("""COMPUTED_VALUE"""),0)</f>
        <v>0</v>
      </c>
      <c r="N1535" s="23">
        <f ca="1">IFERROR(__xludf.DUMMYFUNCTION("""COMPUTED_VALUE"""),0)</f>
        <v>0</v>
      </c>
      <c r="O1535" s="23">
        <f ca="1">IFERROR(__xludf.DUMMYFUNCTION("""COMPUTED_VALUE"""),0)</f>
        <v>0</v>
      </c>
      <c r="P1535" s="23">
        <f ca="1">IFERROR(__xludf.DUMMYFUNCTION("""COMPUTED_VALUE"""),0)</f>
        <v>0</v>
      </c>
      <c r="Q1535" s="24">
        <f ca="1">IFERROR(__xludf.DUMMYFUNCTION("""COMPUTED_VALUE"""),0)</f>
        <v>0</v>
      </c>
      <c r="R1535" s="20"/>
    </row>
    <row r="1536" spans="1:18" ht="13.2" hidden="1" outlineLevel="1" x14ac:dyDescent="0.25">
      <c r="A1536" s="1"/>
      <c r="B1536" s="39" t="str">
        <f ca="1">IFERROR(__xludf.DUMMYFUNCTION("""COMPUTED_VALUE"""),"Condensados")</f>
        <v>Condensados</v>
      </c>
      <c r="C1536" s="22">
        <f ca="1">IFERROR(__xludf.DUMMYFUNCTION("""COMPUTED_VALUE"""),0)</f>
        <v>0</v>
      </c>
      <c r="D1536" s="23">
        <f ca="1">IFERROR(__xludf.DUMMYFUNCTION("""COMPUTED_VALUE"""),0)</f>
        <v>0</v>
      </c>
      <c r="E1536" s="23">
        <f ca="1">IFERROR(__xludf.DUMMYFUNCTION("""COMPUTED_VALUE"""),0)</f>
        <v>0</v>
      </c>
      <c r="F1536" s="23">
        <f ca="1">IFERROR(__xludf.DUMMYFUNCTION("""COMPUTED_VALUE"""),0)</f>
        <v>0</v>
      </c>
      <c r="G1536" s="23">
        <f ca="1">IFERROR(__xludf.DUMMYFUNCTION("""COMPUTED_VALUE"""),0)</f>
        <v>0</v>
      </c>
      <c r="H1536" s="23">
        <f ca="1">IFERROR(__xludf.DUMMYFUNCTION("""COMPUTED_VALUE"""),0)</f>
        <v>0</v>
      </c>
      <c r="I1536" s="23">
        <f ca="1">IFERROR(__xludf.DUMMYFUNCTION("""COMPUTED_VALUE"""),0)</f>
        <v>0</v>
      </c>
      <c r="J1536" s="23">
        <f ca="1">IFERROR(__xludf.DUMMYFUNCTION("""COMPUTED_VALUE"""),0)</f>
        <v>0</v>
      </c>
      <c r="K1536" s="23">
        <f ca="1">IFERROR(__xludf.DUMMYFUNCTION("""COMPUTED_VALUE"""),0)</f>
        <v>0</v>
      </c>
      <c r="L1536" s="23">
        <f ca="1">IFERROR(__xludf.DUMMYFUNCTION("""COMPUTED_VALUE"""),0)</f>
        <v>0</v>
      </c>
      <c r="M1536" s="23">
        <f ca="1">IFERROR(__xludf.DUMMYFUNCTION("""COMPUTED_VALUE"""),0)</f>
        <v>0</v>
      </c>
      <c r="N1536" s="23">
        <f ca="1">IFERROR(__xludf.DUMMYFUNCTION("""COMPUTED_VALUE"""),0)</f>
        <v>0</v>
      </c>
      <c r="O1536" s="23">
        <f ca="1">IFERROR(__xludf.DUMMYFUNCTION("""COMPUTED_VALUE"""),0)</f>
        <v>0</v>
      </c>
      <c r="P1536" s="23">
        <f ca="1">IFERROR(__xludf.DUMMYFUNCTION("""COMPUTED_VALUE"""),0)</f>
        <v>0</v>
      </c>
      <c r="Q1536" s="24">
        <f ca="1">IFERROR(__xludf.DUMMYFUNCTION("""COMPUTED_VALUE"""),0)</f>
        <v>0</v>
      </c>
      <c r="R1536" s="20"/>
    </row>
    <row r="1537" spans="1:18" ht="13.2" hidden="1" outlineLevel="1" x14ac:dyDescent="0.25">
      <c r="A1537" s="1"/>
      <c r="B1537" s="39" t="str">
        <f ca="1">IFERROR(__xludf.DUMMYFUNCTION("""COMPUTED_VALUE"""),"Gas natural")</f>
        <v>Gas natural</v>
      </c>
      <c r="C1537" s="22">
        <f ca="1">IFERROR(__xludf.DUMMYFUNCTION("""COMPUTED_VALUE"""),0)</f>
        <v>0</v>
      </c>
      <c r="D1537" s="23">
        <f ca="1">IFERROR(__xludf.DUMMYFUNCTION("""COMPUTED_VALUE"""),0)</f>
        <v>0</v>
      </c>
      <c r="E1537" s="23">
        <f ca="1">IFERROR(__xludf.DUMMYFUNCTION("""COMPUTED_VALUE"""),0)</f>
        <v>0</v>
      </c>
      <c r="F1537" s="23">
        <f ca="1">IFERROR(__xludf.DUMMYFUNCTION("""COMPUTED_VALUE"""),0)</f>
        <v>0</v>
      </c>
      <c r="G1537" s="23">
        <f ca="1">IFERROR(__xludf.DUMMYFUNCTION("""COMPUTED_VALUE"""),0)</f>
        <v>0</v>
      </c>
      <c r="H1537" s="23">
        <f ca="1">IFERROR(__xludf.DUMMYFUNCTION("""COMPUTED_VALUE"""),0)</f>
        <v>0</v>
      </c>
      <c r="I1537" s="23">
        <f ca="1">IFERROR(__xludf.DUMMYFUNCTION("""COMPUTED_VALUE"""),0)</f>
        <v>0</v>
      </c>
      <c r="J1537" s="23">
        <f ca="1">IFERROR(__xludf.DUMMYFUNCTION("""COMPUTED_VALUE"""),0)</f>
        <v>0</v>
      </c>
      <c r="K1537" s="23">
        <f ca="1">IFERROR(__xludf.DUMMYFUNCTION("""COMPUTED_VALUE"""),0)</f>
        <v>0</v>
      </c>
      <c r="L1537" s="23">
        <f ca="1">IFERROR(__xludf.DUMMYFUNCTION("""COMPUTED_VALUE"""),0)</f>
        <v>0</v>
      </c>
      <c r="M1537" s="23">
        <f ca="1">IFERROR(__xludf.DUMMYFUNCTION("""COMPUTED_VALUE"""),0)</f>
        <v>0</v>
      </c>
      <c r="N1537" s="23">
        <f ca="1">IFERROR(__xludf.DUMMYFUNCTION("""COMPUTED_VALUE"""),0)</f>
        <v>0</v>
      </c>
      <c r="O1537" s="23">
        <f ca="1">IFERROR(__xludf.DUMMYFUNCTION("""COMPUTED_VALUE"""),0)</f>
        <v>0</v>
      </c>
      <c r="P1537" s="23">
        <f ca="1">IFERROR(__xludf.DUMMYFUNCTION("""COMPUTED_VALUE"""),0)</f>
        <v>0</v>
      </c>
      <c r="Q1537" s="24">
        <f ca="1">IFERROR(__xludf.DUMMYFUNCTION("""COMPUTED_VALUE"""),0)</f>
        <v>0</v>
      </c>
      <c r="R1537" s="20"/>
    </row>
    <row r="1538" spans="1:18" ht="13.2" hidden="1" outlineLevel="1" x14ac:dyDescent="0.25">
      <c r="A1538" s="1"/>
      <c r="B1538" s="39" t="str">
        <f ca="1">IFERROR(__xludf.DUMMYFUNCTION("""COMPUTED_VALUE"""),"Energía Nuclear")</f>
        <v>Energía Nuclear</v>
      </c>
      <c r="C1538" s="22">
        <f ca="1">IFERROR(__xludf.DUMMYFUNCTION("""COMPUTED_VALUE"""),0)</f>
        <v>0</v>
      </c>
      <c r="D1538" s="23">
        <f ca="1">IFERROR(__xludf.DUMMYFUNCTION("""COMPUTED_VALUE"""),0)</f>
        <v>0</v>
      </c>
      <c r="E1538" s="23">
        <f ca="1">IFERROR(__xludf.DUMMYFUNCTION("""COMPUTED_VALUE"""),0)</f>
        <v>0</v>
      </c>
      <c r="F1538" s="23">
        <f ca="1">IFERROR(__xludf.DUMMYFUNCTION("""COMPUTED_VALUE"""),0)</f>
        <v>0</v>
      </c>
      <c r="G1538" s="23">
        <f ca="1">IFERROR(__xludf.DUMMYFUNCTION("""COMPUTED_VALUE"""),0)</f>
        <v>0</v>
      </c>
      <c r="H1538" s="23">
        <f ca="1">IFERROR(__xludf.DUMMYFUNCTION("""COMPUTED_VALUE"""),0)</f>
        <v>0</v>
      </c>
      <c r="I1538" s="23">
        <f ca="1">IFERROR(__xludf.DUMMYFUNCTION("""COMPUTED_VALUE"""),0)</f>
        <v>0</v>
      </c>
      <c r="J1538" s="23">
        <f ca="1">IFERROR(__xludf.DUMMYFUNCTION("""COMPUTED_VALUE"""),0)</f>
        <v>0</v>
      </c>
      <c r="K1538" s="23">
        <f ca="1">IFERROR(__xludf.DUMMYFUNCTION("""COMPUTED_VALUE"""),0)</f>
        <v>0</v>
      </c>
      <c r="L1538" s="23">
        <f ca="1">IFERROR(__xludf.DUMMYFUNCTION("""COMPUTED_VALUE"""),0)</f>
        <v>0</v>
      </c>
      <c r="M1538" s="23">
        <f ca="1">IFERROR(__xludf.DUMMYFUNCTION("""COMPUTED_VALUE"""),0)</f>
        <v>0</v>
      </c>
      <c r="N1538" s="23">
        <f ca="1">IFERROR(__xludf.DUMMYFUNCTION("""COMPUTED_VALUE"""),0)</f>
        <v>0</v>
      </c>
      <c r="O1538" s="23">
        <f ca="1">IFERROR(__xludf.DUMMYFUNCTION("""COMPUTED_VALUE"""),0)</f>
        <v>0</v>
      </c>
      <c r="P1538" s="23">
        <f ca="1">IFERROR(__xludf.DUMMYFUNCTION("""COMPUTED_VALUE"""),0)</f>
        <v>0</v>
      </c>
      <c r="Q1538" s="24">
        <f ca="1">IFERROR(__xludf.DUMMYFUNCTION("""COMPUTED_VALUE"""),0)</f>
        <v>0</v>
      </c>
      <c r="R1538" s="20"/>
    </row>
    <row r="1539" spans="1:18" ht="13.2" hidden="1" outlineLevel="1" x14ac:dyDescent="0.25">
      <c r="A1539" s="1"/>
      <c r="B1539" s="39" t="str">
        <f ca="1">IFERROR(__xludf.DUMMYFUNCTION("""COMPUTED_VALUE"""),"Energia Hidraúlica")</f>
        <v>Energia Hidraúlica</v>
      </c>
      <c r="C1539" s="22">
        <f ca="1">IFERROR(__xludf.DUMMYFUNCTION("""COMPUTED_VALUE"""),0)</f>
        <v>0</v>
      </c>
      <c r="D1539" s="23">
        <f ca="1">IFERROR(__xludf.DUMMYFUNCTION("""COMPUTED_VALUE"""),0)</f>
        <v>0</v>
      </c>
      <c r="E1539" s="23">
        <f ca="1">IFERROR(__xludf.DUMMYFUNCTION("""COMPUTED_VALUE"""),0)</f>
        <v>0</v>
      </c>
      <c r="F1539" s="23">
        <f ca="1">IFERROR(__xludf.DUMMYFUNCTION("""COMPUTED_VALUE"""),0)</f>
        <v>0</v>
      </c>
      <c r="G1539" s="23">
        <f ca="1">IFERROR(__xludf.DUMMYFUNCTION("""COMPUTED_VALUE"""),0)</f>
        <v>0</v>
      </c>
      <c r="H1539" s="23">
        <f ca="1">IFERROR(__xludf.DUMMYFUNCTION("""COMPUTED_VALUE"""),0)</f>
        <v>0</v>
      </c>
      <c r="I1539" s="23">
        <f ca="1">IFERROR(__xludf.DUMMYFUNCTION("""COMPUTED_VALUE"""),0)</f>
        <v>0</v>
      </c>
      <c r="J1539" s="23">
        <f ca="1">IFERROR(__xludf.DUMMYFUNCTION("""COMPUTED_VALUE"""),0)</f>
        <v>0</v>
      </c>
      <c r="K1539" s="23">
        <f ca="1">IFERROR(__xludf.DUMMYFUNCTION("""COMPUTED_VALUE"""),0)</f>
        <v>0</v>
      </c>
      <c r="L1539" s="23">
        <f ca="1">IFERROR(__xludf.DUMMYFUNCTION("""COMPUTED_VALUE"""),0)</f>
        <v>0</v>
      </c>
      <c r="M1539" s="23">
        <f ca="1">IFERROR(__xludf.DUMMYFUNCTION("""COMPUTED_VALUE"""),0)</f>
        <v>0</v>
      </c>
      <c r="N1539" s="23">
        <f ca="1">IFERROR(__xludf.DUMMYFUNCTION("""COMPUTED_VALUE"""),0)</f>
        <v>0</v>
      </c>
      <c r="O1539" s="23">
        <f ca="1">IFERROR(__xludf.DUMMYFUNCTION("""COMPUTED_VALUE"""),0)</f>
        <v>0</v>
      </c>
      <c r="P1539" s="23">
        <f ca="1">IFERROR(__xludf.DUMMYFUNCTION("""COMPUTED_VALUE"""),0)</f>
        <v>0</v>
      </c>
      <c r="Q1539" s="24">
        <f ca="1">IFERROR(__xludf.DUMMYFUNCTION("""COMPUTED_VALUE"""),0)</f>
        <v>0</v>
      </c>
      <c r="R1539" s="20"/>
    </row>
    <row r="1540" spans="1:18" ht="13.2" hidden="1" outlineLevel="1" x14ac:dyDescent="0.25">
      <c r="A1540" s="1"/>
      <c r="B1540" s="39" t="str">
        <f ca="1">IFERROR(__xludf.DUMMYFUNCTION("""COMPUTED_VALUE"""),"Geoenergía")</f>
        <v>Geoenergía</v>
      </c>
      <c r="C1540" s="22">
        <f ca="1">IFERROR(__xludf.DUMMYFUNCTION("""COMPUTED_VALUE"""),0)</f>
        <v>0</v>
      </c>
      <c r="D1540" s="23">
        <f ca="1">IFERROR(__xludf.DUMMYFUNCTION("""COMPUTED_VALUE"""),0)</f>
        <v>0</v>
      </c>
      <c r="E1540" s="23">
        <f ca="1">IFERROR(__xludf.DUMMYFUNCTION("""COMPUTED_VALUE"""),0)</f>
        <v>0</v>
      </c>
      <c r="F1540" s="23">
        <f ca="1">IFERROR(__xludf.DUMMYFUNCTION("""COMPUTED_VALUE"""),0)</f>
        <v>0</v>
      </c>
      <c r="G1540" s="23">
        <f ca="1">IFERROR(__xludf.DUMMYFUNCTION("""COMPUTED_VALUE"""),0)</f>
        <v>0</v>
      </c>
      <c r="H1540" s="23">
        <f ca="1">IFERROR(__xludf.DUMMYFUNCTION("""COMPUTED_VALUE"""),0)</f>
        <v>0</v>
      </c>
      <c r="I1540" s="23">
        <f ca="1">IFERROR(__xludf.DUMMYFUNCTION("""COMPUTED_VALUE"""),0)</f>
        <v>0</v>
      </c>
      <c r="J1540" s="23">
        <f ca="1">IFERROR(__xludf.DUMMYFUNCTION("""COMPUTED_VALUE"""),0)</f>
        <v>0</v>
      </c>
      <c r="K1540" s="23">
        <f ca="1">IFERROR(__xludf.DUMMYFUNCTION("""COMPUTED_VALUE"""),0)</f>
        <v>0</v>
      </c>
      <c r="L1540" s="23">
        <f ca="1">IFERROR(__xludf.DUMMYFUNCTION("""COMPUTED_VALUE"""),0)</f>
        <v>0</v>
      </c>
      <c r="M1540" s="23">
        <f ca="1">IFERROR(__xludf.DUMMYFUNCTION("""COMPUTED_VALUE"""),0)</f>
        <v>0</v>
      </c>
      <c r="N1540" s="23">
        <f ca="1">IFERROR(__xludf.DUMMYFUNCTION("""COMPUTED_VALUE"""),0)</f>
        <v>0</v>
      </c>
      <c r="O1540" s="23">
        <f ca="1">IFERROR(__xludf.DUMMYFUNCTION("""COMPUTED_VALUE"""),0)</f>
        <v>0</v>
      </c>
      <c r="P1540" s="23">
        <f ca="1">IFERROR(__xludf.DUMMYFUNCTION("""COMPUTED_VALUE"""),0)</f>
        <v>0</v>
      </c>
      <c r="Q1540" s="24">
        <f ca="1">IFERROR(__xludf.DUMMYFUNCTION("""COMPUTED_VALUE"""),0)</f>
        <v>0</v>
      </c>
      <c r="R1540" s="20"/>
    </row>
    <row r="1541" spans="1:18" ht="13.2" hidden="1" outlineLevel="1" x14ac:dyDescent="0.25">
      <c r="A1541" s="1"/>
      <c r="B1541" s="39" t="str">
        <f ca="1">IFERROR(__xludf.DUMMYFUNCTION("""COMPUTED_VALUE"""),"Energía solar")</f>
        <v>Energía solar</v>
      </c>
      <c r="C1541" s="22">
        <f ca="1">IFERROR(__xludf.DUMMYFUNCTION("""COMPUTED_VALUE"""),0)</f>
        <v>0</v>
      </c>
      <c r="D1541" s="23">
        <f ca="1">IFERROR(__xludf.DUMMYFUNCTION("""COMPUTED_VALUE"""),0)</f>
        <v>0</v>
      </c>
      <c r="E1541" s="23">
        <f ca="1">IFERROR(__xludf.DUMMYFUNCTION("""COMPUTED_VALUE"""),0)</f>
        <v>0</v>
      </c>
      <c r="F1541" s="23">
        <f ca="1">IFERROR(__xludf.DUMMYFUNCTION("""COMPUTED_VALUE"""),0)</f>
        <v>0</v>
      </c>
      <c r="G1541" s="23">
        <f ca="1">IFERROR(__xludf.DUMMYFUNCTION("""COMPUTED_VALUE"""),0)</f>
        <v>0</v>
      </c>
      <c r="H1541" s="23">
        <f ca="1">IFERROR(__xludf.DUMMYFUNCTION("""COMPUTED_VALUE"""),0)</f>
        <v>0</v>
      </c>
      <c r="I1541" s="23">
        <f ca="1">IFERROR(__xludf.DUMMYFUNCTION("""COMPUTED_VALUE"""),0)</f>
        <v>0</v>
      </c>
      <c r="J1541" s="23">
        <f ca="1">IFERROR(__xludf.DUMMYFUNCTION("""COMPUTED_VALUE"""),0)</f>
        <v>0</v>
      </c>
      <c r="K1541" s="23">
        <f ca="1">IFERROR(__xludf.DUMMYFUNCTION("""COMPUTED_VALUE"""),0)</f>
        <v>0</v>
      </c>
      <c r="L1541" s="23">
        <f ca="1">IFERROR(__xludf.DUMMYFUNCTION("""COMPUTED_VALUE"""),0)</f>
        <v>0</v>
      </c>
      <c r="M1541" s="23">
        <f ca="1">IFERROR(__xludf.DUMMYFUNCTION("""COMPUTED_VALUE"""),0)</f>
        <v>0</v>
      </c>
      <c r="N1541" s="23">
        <f ca="1">IFERROR(__xludf.DUMMYFUNCTION("""COMPUTED_VALUE"""),0)</f>
        <v>0</v>
      </c>
      <c r="O1541" s="23">
        <f ca="1">IFERROR(__xludf.DUMMYFUNCTION("""COMPUTED_VALUE"""),0)</f>
        <v>0</v>
      </c>
      <c r="P1541" s="23">
        <f ca="1">IFERROR(__xludf.DUMMYFUNCTION("""COMPUTED_VALUE"""),0)</f>
        <v>0</v>
      </c>
      <c r="Q1541" s="24">
        <f ca="1">IFERROR(__xludf.DUMMYFUNCTION("""COMPUTED_VALUE"""),0)</f>
        <v>0</v>
      </c>
      <c r="R1541" s="20"/>
    </row>
    <row r="1542" spans="1:18" ht="13.2" hidden="1" outlineLevel="1" x14ac:dyDescent="0.25">
      <c r="A1542" s="1"/>
      <c r="B1542" s="39" t="str">
        <f ca="1">IFERROR(__xludf.DUMMYFUNCTION("""COMPUTED_VALUE"""),"Energía eólica")</f>
        <v>Energía eólica</v>
      </c>
      <c r="C1542" s="22">
        <f ca="1">IFERROR(__xludf.DUMMYFUNCTION("""COMPUTED_VALUE"""),0)</f>
        <v>0</v>
      </c>
      <c r="D1542" s="23">
        <f ca="1">IFERROR(__xludf.DUMMYFUNCTION("""COMPUTED_VALUE"""),0)</f>
        <v>0</v>
      </c>
      <c r="E1542" s="23">
        <f ca="1">IFERROR(__xludf.DUMMYFUNCTION("""COMPUTED_VALUE"""),0)</f>
        <v>0</v>
      </c>
      <c r="F1542" s="23">
        <f ca="1">IFERROR(__xludf.DUMMYFUNCTION("""COMPUTED_VALUE"""),0)</f>
        <v>0</v>
      </c>
      <c r="G1542" s="23">
        <f ca="1">IFERROR(__xludf.DUMMYFUNCTION("""COMPUTED_VALUE"""),0)</f>
        <v>0</v>
      </c>
      <c r="H1542" s="23">
        <f ca="1">IFERROR(__xludf.DUMMYFUNCTION("""COMPUTED_VALUE"""),0)</f>
        <v>0</v>
      </c>
      <c r="I1542" s="23">
        <f ca="1">IFERROR(__xludf.DUMMYFUNCTION("""COMPUTED_VALUE"""),0)</f>
        <v>0</v>
      </c>
      <c r="J1542" s="23">
        <f ca="1">IFERROR(__xludf.DUMMYFUNCTION("""COMPUTED_VALUE"""),0)</f>
        <v>0</v>
      </c>
      <c r="K1542" s="23">
        <f ca="1">IFERROR(__xludf.DUMMYFUNCTION("""COMPUTED_VALUE"""),0)</f>
        <v>0</v>
      </c>
      <c r="L1542" s="23">
        <f ca="1">IFERROR(__xludf.DUMMYFUNCTION("""COMPUTED_VALUE"""),0)</f>
        <v>0</v>
      </c>
      <c r="M1542" s="23">
        <f ca="1">IFERROR(__xludf.DUMMYFUNCTION("""COMPUTED_VALUE"""),0)</f>
        <v>0</v>
      </c>
      <c r="N1542" s="23">
        <f ca="1">IFERROR(__xludf.DUMMYFUNCTION("""COMPUTED_VALUE"""),0)</f>
        <v>0</v>
      </c>
      <c r="O1542" s="23">
        <f ca="1">IFERROR(__xludf.DUMMYFUNCTION("""COMPUTED_VALUE"""),0)</f>
        <v>0</v>
      </c>
      <c r="P1542" s="23">
        <f ca="1">IFERROR(__xludf.DUMMYFUNCTION("""COMPUTED_VALUE"""),0)</f>
        <v>0</v>
      </c>
      <c r="Q1542" s="24">
        <f ca="1">IFERROR(__xludf.DUMMYFUNCTION("""COMPUTED_VALUE"""),0)</f>
        <v>0</v>
      </c>
      <c r="R1542" s="20"/>
    </row>
    <row r="1543" spans="1:18" ht="13.2" hidden="1" outlineLevel="1" x14ac:dyDescent="0.25">
      <c r="A1543" s="1"/>
      <c r="B1543" s="39" t="str">
        <f ca="1">IFERROR(__xludf.DUMMYFUNCTION("""COMPUTED_VALUE"""),"Bagazo de caña")</f>
        <v>Bagazo de caña</v>
      </c>
      <c r="C1543" s="22">
        <f ca="1">IFERROR(__xludf.DUMMYFUNCTION("""COMPUTED_VALUE"""),0)</f>
        <v>0</v>
      </c>
      <c r="D1543" s="23">
        <f ca="1">IFERROR(__xludf.DUMMYFUNCTION("""COMPUTED_VALUE"""),0)</f>
        <v>0</v>
      </c>
      <c r="E1543" s="23">
        <f ca="1">IFERROR(__xludf.DUMMYFUNCTION("""COMPUTED_VALUE"""),0)</f>
        <v>0</v>
      </c>
      <c r="F1543" s="23">
        <f ca="1">IFERROR(__xludf.DUMMYFUNCTION("""COMPUTED_VALUE"""),0)</f>
        <v>0</v>
      </c>
      <c r="G1543" s="23">
        <f ca="1">IFERROR(__xludf.DUMMYFUNCTION("""COMPUTED_VALUE"""),0)</f>
        <v>0</v>
      </c>
      <c r="H1543" s="23">
        <f ca="1">IFERROR(__xludf.DUMMYFUNCTION("""COMPUTED_VALUE"""),0)</f>
        <v>0</v>
      </c>
      <c r="I1543" s="23">
        <f ca="1">IFERROR(__xludf.DUMMYFUNCTION("""COMPUTED_VALUE"""),0)</f>
        <v>0</v>
      </c>
      <c r="J1543" s="23">
        <f ca="1">IFERROR(__xludf.DUMMYFUNCTION("""COMPUTED_VALUE"""),0)</f>
        <v>0</v>
      </c>
      <c r="K1543" s="23">
        <f ca="1">IFERROR(__xludf.DUMMYFUNCTION("""COMPUTED_VALUE"""),0)</f>
        <v>0</v>
      </c>
      <c r="L1543" s="23">
        <f ca="1">IFERROR(__xludf.DUMMYFUNCTION("""COMPUTED_VALUE"""),0)</f>
        <v>0</v>
      </c>
      <c r="M1543" s="23">
        <f ca="1">IFERROR(__xludf.DUMMYFUNCTION("""COMPUTED_VALUE"""),0)</f>
        <v>0</v>
      </c>
      <c r="N1543" s="23">
        <f ca="1">IFERROR(__xludf.DUMMYFUNCTION("""COMPUTED_VALUE"""),0)</f>
        <v>0</v>
      </c>
      <c r="O1543" s="23">
        <f ca="1">IFERROR(__xludf.DUMMYFUNCTION("""COMPUTED_VALUE"""),0)</f>
        <v>0</v>
      </c>
      <c r="P1543" s="23">
        <f ca="1">IFERROR(__xludf.DUMMYFUNCTION("""COMPUTED_VALUE"""),0)</f>
        <v>0</v>
      </c>
      <c r="Q1543" s="24">
        <f ca="1">IFERROR(__xludf.DUMMYFUNCTION("""COMPUTED_VALUE"""),0)</f>
        <v>0</v>
      </c>
      <c r="R1543" s="20"/>
    </row>
    <row r="1544" spans="1:18" ht="13.2" hidden="1" outlineLevel="1" x14ac:dyDescent="0.25">
      <c r="A1544" s="1"/>
      <c r="B1544" s="39" t="str">
        <f ca="1">IFERROR(__xludf.DUMMYFUNCTION("""COMPUTED_VALUE"""),"Leña")</f>
        <v>Leña</v>
      </c>
      <c r="C1544" s="22">
        <f ca="1">IFERROR(__xludf.DUMMYFUNCTION("""COMPUTED_VALUE"""),0)</f>
        <v>0</v>
      </c>
      <c r="D1544" s="23">
        <f ca="1">IFERROR(__xludf.DUMMYFUNCTION("""COMPUTED_VALUE"""),0)</f>
        <v>0</v>
      </c>
      <c r="E1544" s="23">
        <f ca="1">IFERROR(__xludf.DUMMYFUNCTION("""COMPUTED_VALUE"""),0)</f>
        <v>0</v>
      </c>
      <c r="F1544" s="23">
        <f ca="1">IFERROR(__xludf.DUMMYFUNCTION("""COMPUTED_VALUE"""),0)</f>
        <v>0</v>
      </c>
      <c r="G1544" s="23">
        <f ca="1">IFERROR(__xludf.DUMMYFUNCTION("""COMPUTED_VALUE"""),0)</f>
        <v>0</v>
      </c>
      <c r="H1544" s="23">
        <f ca="1">IFERROR(__xludf.DUMMYFUNCTION("""COMPUTED_VALUE"""),0)</f>
        <v>0</v>
      </c>
      <c r="I1544" s="23">
        <f ca="1">IFERROR(__xludf.DUMMYFUNCTION("""COMPUTED_VALUE"""),0)</f>
        <v>0</v>
      </c>
      <c r="J1544" s="23">
        <f ca="1">IFERROR(__xludf.DUMMYFUNCTION("""COMPUTED_VALUE"""),0)</f>
        <v>0</v>
      </c>
      <c r="K1544" s="23">
        <f ca="1">IFERROR(__xludf.DUMMYFUNCTION("""COMPUTED_VALUE"""),0)</f>
        <v>0</v>
      </c>
      <c r="L1544" s="23">
        <f ca="1">IFERROR(__xludf.DUMMYFUNCTION("""COMPUTED_VALUE"""),0)</f>
        <v>0</v>
      </c>
      <c r="M1544" s="23">
        <f ca="1">IFERROR(__xludf.DUMMYFUNCTION("""COMPUTED_VALUE"""),0)</f>
        <v>0</v>
      </c>
      <c r="N1544" s="23">
        <f ca="1">IFERROR(__xludf.DUMMYFUNCTION("""COMPUTED_VALUE"""),0)</f>
        <v>0</v>
      </c>
      <c r="O1544" s="23">
        <f ca="1">IFERROR(__xludf.DUMMYFUNCTION("""COMPUTED_VALUE"""),0)</f>
        <v>0</v>
      </c>
      <c r="P1544" s="23">
        <f ca="1">IFERROR(__xludf.DUMMYFUNCTION("""COMPUTED_VALUE"""),0)</f>
        <v>0</v>
      </c>
      <c r="Q1544" s="24">
        <f ca="1">IFERROR(__xludf.DUMMYFUNCTION("""COMPUTED_VALUE"""),0)</f>
        <v>0</v>
      </c>
      <c r="R1544" s="20"/>
    </row>
    <row r="1545" spans="1:18" ht="13.2" hidden="1" outlineLevel="1" x14ac:dyDescent="0.25">
      <c r="A1545" s="1"/>
      <c r="B1545" s="39" t="str">
        <f ca="1">IFERROR(__xludf.DUMMYFUNCTION("""COMPUTED_VALUE"""),"Biogás")</f>
        <v>Biogás</v>
      </c>
      <c r="C1545" s="22">
        <f ca="1">IFERROR(__xludf.DUMMYFUNCTION("""COMPUTED_VALUE"""),0)</f>
        <v>0</v>
      </c>
      <c r="D1545" s="23">
        <f ca="1">IFERROR(__xludf.DUMMYFUNCTION("""COMPUTED_VALUE"""),0)</f>
        <v>0</v>
      </c>
      <c r="E1545" s="23">
        <f ca="1">IFERROR(__xludf.DUMMYFUNCTION("""COMPUTED_VALUE"""),0)</f>
        <v>0</v>
      </c>
      <c r="F1545" s="23">
        <f ca="1">IFERROR(__xludf.DUMMYFUNCTION("""COMPUTED_VALUE"""),0)</f>
        <v>0</v>
      </c>
      <c r="G1545" s="23">
        <f ca="1">IFERROR(__xludf.DUMMYFUNCTION("""COMPUTED_VALUE"""),0)</f>
        <v>0</v>
      </c>
      <c r="H1545" s="23">
        <f ca="1">IFERROR(__xludf.DUMMYFUNCTION("""COMPUTED_VALUE"""),0)</f>
        <v>0</v>
      </c>
      <c r="I1545" s="23">
        <f ca="1">IFERROR(__xludf.DUMMYFUNCTION("""COMPUTED_VALUE"""),0)</f>
        <v>0</v>
      </c>
      <c r="J1545" s="23">
        <f ca="1">IFERROR(__xludf.DUMMYFUNCTION("""COMPUTED_VALUE"""),0)</f>
        <v>0</v>
      </c>
      <c r="K1545" s="23">
        <f ca="1">IFERROR(__xludf.DUMMYFUNCTION("""COMPUTED_VALUE"""),0)</f>
        <v>0</v>
      </c>
      <c r="L1545" s="23">
        <f ca="1">IFERROR(__xludf.DUMMYFUNCTION("""COMPUTED_VALUE"""),0)</f>
        <v>0</v>
      </c>
      <c r="M1545" s="23">
        <f ca="1">IFERROR(__xludf.DUMMYFUNCTION("""COMPUTED_VALUE"""),0)</f>
        <v>0</v>
      </c>
      <c r="N1545" s="23">
        <f ca="1">IFERROR(__xludf.DUMMYFUNCTION("""COMPUTED_VALUE"""),0)</f>
        <v>0</v>
      </c>
      <c r="O1545" s="23">
        <f ca="1">IFERROR(__xludf.DUMMYFUNCTION("""COMPUTED_VALUE"""),0)</f>
        <v>0</v>
      </c>
      <c r="P1545" s="23">
        <f ca="1">IFERROR(__xludf.DUMMYFUNCTION("""COMPUTED_VALUE"""),0)</f>
        <v>0</v>
      </c>
      <c r="Q1545" s="24">
        <f ca="1">IFERROR(__xludf.DUMMYFUNCTION("""COMPUTED_VALUE"""),0)</f>
        <v>0</v>
      </c>
      <c r="R1545" s="20"/>
    </row>
    <row r="1546" spans="1:18" ht="13.2" hidden="1" outlineLevel="1" x14ac:dyDescent="0.25">
      <c r="A1546" s="1"/>
      <c r="B1546" s="39" t="str">
        <f ca="1">IFERROR(__xludf.DUMMYFUNCTION("""COMPUTED_VALUE"""),"Coque de carbón")</f>
        <v>Coque de carbón</v>
      </c>
      <c r="C1546" s="22">
        <f ca="1">IFERROR(__xludf.DUMMYFUNCTION("""COMPUTED_VALUE"""),0)</f>
        <v>0</v>
      </c>
      <c r="D1546" s="23">
        <f ca="1">IFERROR(__xludf.DUMMYFUNCTION("""COMPUTED_VALUE"""),0)</f>
        <v>0</v>
      </c>
      <c r="E1546" s="23">
        <f ca="1">IFERROR(__xludf.DUMMYFUNCTION("""COMPUTED_VALUE"""),0)</f>
        <v>0</v>
      </c>
      <c r="F1546" s="23">
        <f ca="1">IFERROR(__xludf.DUMMYFUNCTION("""COMPUTED_VALUE"""),0)</f>
        <v>0</v>
      </c>
      <c r="G1546" s="23">
        <f ca="1">IFERROR(__xludf.DUMMYFUNCTION("""COMPUTED_VALUE"""),0)</f>
        <v>0</v>
      </c>
      <c r="H1546" s="23">
        <f ca="1">IFERROR(__xludf.DUMMYFUNCTION("""COMPUTED_VALUE"""),0)</f>
        <v>0</v>
      </c>
      <c r="I1546" s="23">
        <f ca="1">IFERROR(__xludf.DUMMYFUNCTION("""COMPUTED_VALUE"""),0)</f>
        <v>0</v>
      </c>
      <c r="J1546" s="23">
        <f ca="1">IFERROR(__xludf.DUMMYFUNCTION("""COMPUTED_VALUE"""),0)</f>
        <v>0</v>
      </c>
      <c r="K1546" s="23">
        <f ca="1">IFERROR(__xludf.DUMMYFUNCTION("""COMPUTED_VALUE"""),0)</f>
        <v>0</v>
      </c>
      <c r="L1546" s="23">
        <f ca="1">IFERROR(__xludf.DUMMYFUNCTION("""COMPUTED_VALUE"""),0)</f>
        <v>0</v>
      </c>
      <c r="M1546" s="23">
        <f ca="1">IFERROR(__xludf.DUMMYFUNCTION("""COMPUTED_VALUE"""),0)</f>
        <v>0</v>
      </c>
      <c r="N1546" s="23">
        <f ca="1">IFERROR(__xludf.DUMMYFUNCTION("""COMPUTED_VALUE"""),0)</f>
        <v>0</v>
      </c>
      <c r="O1546" s="23">
        <f ca="1">IFERROR(__xludf.DUMMYFUNCTION("""COMPUTED_VALUE"""),0)</f>
        <v>0</v>
      </c>
      <c r="P1546" s="23">
        <f ca="1">IFERROR(__xludf.DUMMYFUNCTION("""COMPUTED_VALUE"""),0)</f>
        <v>0</v>
      </c>
      <c r="Q1546" s="24">
        <f ca="1">IFERROR(__xludf.DUMMYFUNCTION("""COMPUTED_VALUE"""),0)</f>
        <v>0</v>
      </c>
      <c r="R1546" s="20"/>
    </row>
    <row r="1547" spans="1:18" ht="13.2" hidden="1" outlineLevel="1" x14ac:dyDescent="0.25">
      <c r="A1547" s="1"/>
      <c r="B1547" s="39" t="str">
        <f ca="1">IFERROR(__xludf.DUMMYFUNCTION("""COMPUTED_VALUE"""),"Coque de petróleo")</f>
        <v>Coque de petróleo</v>
      </c>
      <c r="C1547" s="22">
        <f ca="1">IFERROR(__xludf.DUMMYFUNCTION("""COMPUTED_VALUE"""),0.0447364525795222)</f>
        <v>4.4736452579522197E-2</v>
      </c>
      <c r="D1547" s="23">
        <f ca="1">IFERROR(__xludf.DUMMYFUNCTION("""COMPUTED_VALUE"""),0.308170061162015)</f>
        <v>0.30817006116201501</v>
      </c>
      <c r="E1547" s="23">
        <f ca="1">IFERROR(__xludf.DUMMYFUNCTION("""COMPUTED_VALUE"""),0.176725298315048)</f>
        <v>0.17672529831504799</v>
      </c>
      <c r="F1547" s="23">
        <f ca="1">IFERROR(__xludf.DUMMYFUNCTION("""COMPUTED_VALUE"""),0.191132562461574)</f>
        <v>0.19113256246157401</v>
      </c>
      <c r="G1547" s="23">
        <f ca="1">IFERROR(__xludf.DUMMYFUNCTION("""COMPUTED_VALUE"""),0.04245767498871)</f>
        <v>4.2457674988709997E-2</v>
      </c>
      <c r="H1547" s="23">
        <f ca="1">IFERROR(__xludf.DUMMYFUNCTION("""COMPUTED_VALUE"""),0.0486795922982402)</f>
        <v>4.8679592298240197E-2</v>
      </c>
      <c r="I1547" s="23">
        <f ca="1">IFERROR(__xludf.DUMMYFUNCTION("""COMPUTED_VALUE"""),0.00662053932090129)</f>
        <v>6.6205393209012899E-3</v>
      </c>
      <c r="J1547" s="23">
        <f ca="1">IFERROR(__xludf.DUMMYFUNCTION("""COMPUTED_VALUE"""),0.148390952424209)</f>
        <v>0.14839095242420899</v>
      </c>
      <c r="K1547" s="23">
        <f ca="1">IFERROR(__xludf.DUMMYFUNCTION("""COMPUTED_VALUE"""),0.106321380670467)</f>
        <v>0.10632138067046699</v>
      </c>
      <c r="L1547" s="23">
        <f ca="1">IFERROR(__xludf.DUMMYFUNCTION("""COMPUTED_VALUE"""),-0.0155090950223865)</f>
        <v>-1.5509095022386499E-2</v>
      </c>
      <c r="M1547" s="23">
        <f ca="1">IFERROR(__xludf.DUMMYFUNCTION("""COMPUTED_VALUE"""),0.169694441234424)</f>
        <v>0.16969444123442401</v>
      </c>
      <c r="N1547" s="23">
        <f ca="1">IFERROR(__xludf.DUMMYFUNCTION("""COMPUTED_VALUE"""),0.0951332686083841)</f>
        <v>9.51332686083841E-2</v>
      </c>
      <c r="O1547" s="23">
        <f ca="1">IFERROR(__xludf.DUMMYFUNCTION("""COMPUTED_VALUE"""),0.0113348940021602)</f>
        <v>1.1334894002160201E-2</v>
      </c>
      <c r="P1547" s="23">
        <f ca="1">IFERROR(__xludf.DUMMYFUNCTION("""COMPUTED_VALUE"""),0.0222616750241591)</f>
        <v>2.22616750241591E-2</v>
      </c>
      <c r="Q1547" s="24">
        <f ca="1">IFERROR(__xludf.DUMMYFUNCTION("""COMPUTED_VALUE"""),0.281161486459935)</f>
        <v>0.28116148645993499</v>
      </c>
      <c r="R1547" s="20"/>
    </row>
    <row r="1548" spans="1:18" ht="13.2" hidden="1" outlineLevel="1" x14ac:dyDescent="0.25">
      <c r="A1548" s="1"/>
      <c r="B1548" s="39" t="str">
        <f ca="1">IFERROR(__xludf.DUMMYFUNCTION("""COMPUTED_VALUE"""),"Gas licuado de petróleo")</f>
        <v>Gas licuado de petróleo</v>
      </c>
      <c r="C1548" s="22">
        <f ca="1">IFERROR(__xludf.DUMMYFUNCTION("""COMPUTED_VALUE"""),0)</f>
        <v>0</v>
      </c>
      <c r="D1548" s="23">
        <f ca="1">IFERROR(__xludf.DUMMYFUNCTION("""COMPUTED_VALUE"""),0)</f>
        <v>0</v>
      </c>
      <c r="E1548" s="23">
        <f ca="1">IFERROR(__xludf.DUMMYFUNCTION("""COMPUTED_VALUE"""),0)</f>
        <v>0</v>
      </c>
      <c r="F1548" s="23">
        <f ca="1">IFERROR(__xludf.DUMMYFUNCTION("""COMPUTED_VALUE"""),0)</f>
        <v>0</v>
      </c>
      <c r="G1548" s="23">
        <f ca="1">IFERROR(__xludf.DUMMYFUNCTION("""COMPUTED_VALUE"""),0)</f>
        <v>0</v>
      </c>
      <c r="H1548" s="23">
        <f ca="1">IFERROR(__xludf.DUMMYFUNCTION("""COMPUTED_VALUE"""),0)</f>
        <v>0</v>
      </c>
      <c r="I1548" s="23">
        <f ca="1">IFERROR(__xludf.DUMMYFUNCTION("""COMPUTED_VALUE"""),0)</f>
        <v>0</v>
      </c>
      <c r="J1548" s="23">
        <f ca="1">IFERROR(__xludf.DUMMYFUNCTION("""COMPUTED_VALUE"""),0)</f>
        <v>0</v>
      </c>
      <c r="K1548" s="23">
        <f ca="1">IFERROR(__xludf.DUMMYFUNCTION("""COMPUTED_VALUE"""),0)</f>
        <v>0</v>
      </c>
      <c r="L1548" s="23">
        <f ca="1">IFERROR(__xludf.DUMMYFUNCTION("""COMPUTED_VALUE"""),0)</f>
        <v>0</v>
      </c>
      <c r="M1548" s="23">
        <f ca="1">IFERROR(__xludf.DUMMYFUNCTION("""COMPUTED_VALUE"""),0)</f>
        <v>0</v>
      </c>
      <c r="N1548" s="23">
        <f ca="1">IFERROR(__xludf.DUMMYFUNCTION("""COMPUTED_VALUE"""),0)</f>
        <v>0</v>
      </c>
      <c r="O1548" s="23">
        <f ca="1">IFERROR(__xludf.DUMMYFUNCTION("""COMPUTED_VALUE"""),0)</f>
        <v>0</v>
      </c>
      <c r="P1548" s="23">
        <f ca="1">IFERROR(__xludf.DUMMYFUNCTION("""COMPUTED_VALUE"""),0)</f>
        <v>0</v>
      </c>
      <c r="Q1548" s="24">
        <f ca="1">IFERROR(__xludf.DUMMYFUNCTION("""COMPUTED_VALUE"""),0)</f>
        <v>0</v>
      </c>
      <c r="R1548" s="20"/>
    </row>
    <row r="1549" spans="1:18" ht="13.2" hidden="1" outlineLevel="1" x14ac:dyDescent="0.25">
      <c r="A1549" s="1"/>
      <c r="B1549" s="39" t="str">
        <f ca="1">IFERROR(__xludf.DUMMYFUNCTION("""COMPUTED_VALUE"""),"Gasolinas y naftas")</f>
        <v>Gasolinas y naftas</v>
      </c>
      <c r="C1549" s="22">
        <f ca="1">IFERROR(__xludf.DUMMYFUNCTION("""COMPUTED_VALUE"""),0)</f>
        <v>0</v>
      </c>
      <c r="D1549" s="23">
        <f ca="1">IFERROR(__xludf.DUMMYFUNCTION("""COMPUTED_VALUE"""),0)</f>
        <v>0</v>
      </c>
      <c r="E1549" s="23">
        <f ca="1">IFERROR(__xludf.DUMMYFUNCTION("""COMPUTED_VALUE"""),0)</f>
        <v>0</v>
      </c>
      <c r="F1549" s="23">
        <f ca="1">IFERROR(__xludf.DUMMYFUNCTION("""COMPUTED_VALUE"""),0)</f>
        <v>0</v>
      </c>
      <c r="G1549" s="23">
        <f ca="1">IFERROR(__xludf.DUMMYFUNCTION("""COMPUTED_VALUE"""),0)</f>
        <v>0</v>
      </c>
      <c r="H1549" s="23">
        <f ca="1">IFERROR(__xludf.DUMMYFUNCTION("""COMPUTED_VALUE"""),0)</f>
        <v>0</v>
      </c>
      <c r="I1549" s="23">
        <f ca="1">IFERROR(__xludf.DUMMYFUNCTION("""COMPUTED_VALUE"""),0)</f>
        <v>0</v>
      </c>
      <c r="J1549" s="23">
        <f ca="1">IFERROR(__xludf.DUMMYFUNCTION("""COMPUTED_VALUE"""),0)</f>
        <v>0</v>
      </c>
      <c r="K1549" s="23">
        <f ca="1">IFERROR(__xludf.DUMMYFUNCTION("""COMPUTED_VALUE"""),0)</f>
        <v>0</v>
      </c>
      <c r="L1549" s="23">
        <f ca="1">IFERROR(__xludf.DUMMYFUNCTION("""COMPUTED_VALUE"""),0)</f>
        <v>0</v>
      </c>
      <c r="M1549" s="23">
        <f ca="1">IFERROR(__xludf.DUMMYFUNCTION("""COMPUTED_VALUE"""),0)</f>
        <v>0</v>
      </c>
      <c r="N1549" s="23">
        <f ca="1">IFERROR(__xludf.DUMMYFUNCTION("""COMPUTED_VALUE"""),0)</f>
        <v>0</v>
      </c>
      <c r="O1549" s="23">
        <f ca="1">IFERROR(__xludf.DUMMYFUNCTION("""COMPUTED_VALUE"""),0)</f>
        <v>0</v>
      </c>
      <c r="P1549" s="23">
        <f ca="1">IFERROR(__xludf.DUMMYFUNCTION("""COMPUTED_VALUE"""),0)</f>
        <v>0</v>
      </c>
      <c r="Q1549" s="24">
        <f ca="1">IFERROR(__xludf.DUMMYFUNCTION("""COMPUTED_VALUE"""),0)</f>
        <v>0</v>
      </c>
      <c r="R1549" s="20"/>
    </row>
    <row r="1550" spans="1:18" ht="13.2" hidden="1" outlineLevel="1" x14ac:dyDescent="0.25">
      <c r="A1550" s="1"/>
      <c r="B1550" s="39" t="str">
        <f ca="1">IFERROR(__xludf.DUMMYFUNCTION("""COMPUTED_VALUE"""),"Querosenos")</f>
        <v>Querosenos</v>
      </c>
      <c r="C1550" s="22">
        <f ca="1">IFERROR(__xludf.DUMMYFUNCTION("""COMPUTED_VALUE"""),0)</f>
        <v>0</v>
      </c>
      <c r="D1550" s="23">
        <f ca="1">IFERROR(__xludf.DUMMYFUNCTION("""COMPUTED_VALUE"""),0)</f>
        <v>0</v>
      </c>
      <c r="E1550" s="23">
        <f ca="1">IFERROR(__xludf.DUMMYFUNCTION("""COMPUTED_VALUE"""),0)</f>
        <v>0</v>
      </c>
      <c r="F1550" s="23">
        <f ca="1">IFERROR(__xludf.DUMMYFUNCTION("""COMPUTED_VALUE"""),0)</f>
        <v>0</v>
      </c>
      <c r="G1550" s="23">
        <f ca="1">IFERROR(__xludf.DUMMYFUNCTION("""COMPUTED_VALUE"""),0)</f>
        <v>0</v>
      </c>
      <c r="H1550" s="23">
        <f ca="1">IFERROR(__xludf.DUMMYFUNCTION("""COMPUTED_VALUE"""),0)</f>
        <v>0</v>
      </c>
      <c r="I1550" s="23">
        <f ca="1">IFERROR(__xludf.DUMMYFUNCTION("""COMPUTED_VALUE"""),0)</f>
        <v>0</v>
      </c>
      <c r="J1550" s="23">
        <f ca="1">IFERROR(__xludf.DUMMYFUNCTION("""COMPUTED_VALUE"""),0)</f>
        <v>0</v>
      </c>
      <c r="K1550" s="23">
        <f ca="1">IFERROR(__xludf.DUMMYFUNCTION("""COMPUTED_VALUE"""),0)</f>
        <v>0</v>
      </c>
      <c r="L1550" s="23">
        <f ca="1">IFERROR(__xludf.DUMMYFUNCTION("""COMPUTED_VALUE"""),0)</f>
        <v>0</v>
      </c>
      <c r="M1550" s="23">
        <f ca="1">IFERROR(__xludf.DUMMYFUNCTION("""COMPUTED_VALUE"""),0)</f>
        <v>0</v>
      </c>
      <c r="N1550" s="23">
        <f ca="1">IFERROR(__xludf.DUMMYFUNCTION("""COMPUTED_VALUE"""),0)</f>
        <v>0</v>
      </c>
      <c r="O1550" s="23">
        <f ca="1">IFERROR(__xludf.DUMMYFUNCTION("""COMPUTED_VALUE"""),0)</f>
        <v>0</v>
      </c>
      <c r="P1550" s="23">
        <f ca="1">IFERROR(__xludf.DUMMYFUNCTION("""COMPUTED_VALUE"""),0)</f>
        <v>0</v>
      </c>
      <c r="Q1550" s="24">
        <f ca="1">IFERROR(__xludf.DUMMYFUNCTION("""COMPUTED_VALUE"""),0)</f>
        <v>0</v>
      </c>
      <c r="R1550" s="20"/>
    </row>
    <row r="1551" spans="1:18" ht="13.2" hidden="1" outlineLevel="1" x14ac:dyDescent="0.25">
      <c r="A1551" s="1"/>
      <c r="B1551" s="39" t="str">
        <f ca="1">IFERROR(__xludf.DUMMYFUNCTION("""COMPUTED_VALUE"""),"Diesel")</f>
        <v>Diesel</v>
      </c>
      <c r="C1551" s="22">
        <f ca="1">IFERROR(__xludf.DUMMYFUNCTION("""COMPUTED_VALUE"""),0.173739908168846)</f>
        <v>0.17373990816884599</v>
      </c>
      <c r="D1551" s="23">
        <f ca="1">IFERROR(__xludf.DUMMYFUNCTION("""COMPUTED_VALUE"""),0.104170697548528)</f>
        <v>0.10417069754852799</v>
      </c>
      <c r="E1551" s="23">
        <f ca="1">IFERROR(__xludf.DUMMYFUNCTION("""COMPUTED_VALUE"""),0.198055833124324)</f>
        <v>0.19805583312432401</v>
      </c>
      <c r="F1551" s="23">
        <f ca="1">IFERROR(__xludf.DUMMYFUNCTION("""COMPUTED_VALUE"""),0.314452211457069)</f>
        <v>0.31445221145706898</v>
      </c>
      <c r="G1551" s="23">
        <f ca="1">IFERROR(__xludf.DUMMYFUNCTION("""COMPUTED_VALUE"""),0.363870015809284)</f>
        <v>0.36387001580928402</v>
      </c>
      <c r="H1551" s="23">
        <f ca="1">IFERROR(__xludf.DUMMYFUNCTION("""COMPUTED_VALUE"""),0.173561283001157)</f>
        <v>0.173561283001157</v>
      </c>
      <c r="I1551" s="23">
        <f ca="1">IFERROR(__xludf.DUMMYFUNCTION("""COMPUTED_VALUE"""),0.261994122245322)</f>
        <v>0.26199412224532198</v>
      </c>
      <c r="J1551" s="23">
        <f ca="1">IFERROR(__xludf.DUMMYFUNCTION("""COMPUTED_VALUE"""),0.195388723306818)</f>
        <v>0.195388723306818</v>
      </c>
      <c r="K1551" s="23">
        <f ca="1">IFERROR(__xludf.DUMMYFUNCTION("""COMPUTED_VALUE"""),0.295562587959784)</f>
        <v>0.29556258795978402</v>
      </c>
      <c r="L1551" s="23">
        <f ca="1">IFERROR(__xludf.DUMMYFUNCTION("""COMPUTED_VALUE"""),0.156933033952567)</f>
        <v>0.156933033952567</v>
      </c>
      <c r="M1551" s="23">
        <f ca="1">IFERROR(__xludf.DUMMYFUNCTION("""COMPUTED_VALUE"""),0.0731908688178332)</f>
        <v>7.3190868817833196E-2</v>
      </c>
      <c r="N1551" s="23">
        <f ca="1">IFERROR(__xludf.DUMMYFUNCTION("""COMPUTED_VALUE"""),0.0551228832844442)</f>
        <v>5.5122883284444202E-2</v>
      </c>
      <c r="O1551" s="23">
        <f ca="1">IFERROR(__xludf.DUMMYFUNCTION("""COMPUTED_VALUE"""),0.0351947004387714)</f>
        <v>3.5194700438771397E-2</v>
      </c>
      <c r="P1551" s="23">
        <f ca="1">IFERROR(__xludf.DUMMYFUNCTION("""COMPUTED_VALUE"""),0.0506607868055879)</f>
        <v>5.0660786805587901E-2</v>
      </c>
      <c r="Q1551" s="24">
        <f ca="1">IFERROR(__xludf.DUMMYFUNCTION("""COMPUTED_VALUE"""),0.258580412949694)</f>
        <v>0.25858041294969403</v>
      </c>
      <c r="R1551" s="20"/>
    </row>
    <row r="1552" spans="1:18" ht="13.2" hidden="1" outlineLevel="1" x14ac:dyDescent="0.25">
      <c r="A1552" s="1"/>
      <c r="B1552" s="39" t="str">
        <f ca="1">IFERROR(__xludf.DUMMYFUNCTION("""COMPUTED_VALUE"""),"Combustóleo")</f>
        <v>Combustóleo</v>
      </c>
      <c r="C1552" s="22">
        <f ca="1">IFERROR(__xludf.DUMMYFUNCTION("""COMPUTED_VALUE"""),0)</f>
        <v>0</v>
      </c>
      <c r="D1552" s="23">
        <f ca="1">IFERROR(__xludf.DUMMYFUNCTION("""COMPUTED_VALUE"""),0)</f>
        <v>0</v>
      </c>
      <c r="E1552" s="23">
        <f ca="1">IFERROR(__xludf.DUMMYFUNCTION("""COMPUTED_VALUE"""),0)</f>
        <v>0</v>
      </c>
      <c r="F1552" s="23">
        <f ca="1">IFERROR(__xludf.DUMMYFUNCTION("""COMPUTED_VALUE"""),0)</f>
        <v>0</v>
      </c>
      <c r="G1552" s="23">
        <f ca="1">IFERROR(__xludf.DUMMYFUNCTION("""COMPUTED_VALUE"""),0)</f>
        <v>0</v>
      </c>
      <c r="H1552" s="23">
        <f ca="1">IFERROR(__xludf.DUMMYFUNCTION("""COMPUTED_VALUE"""),0)</f>
        <v>0</v>
      </c>
      <c r="I1552" s="23">
        <f ca="1">IFERROR(__xludf.DUMMYFUNCTION("""COMPUTED_VALUE"""),0)</f>
        <v>0</v>
      </c>
      <c r="J1552" s="23">
        <f ca="1">IFERROR(__xludf.DUMMYFUNCTION("""COMPUTED_VALUE"""),0)</f>
        <v>0</v>
      </c>
      <c r="K1552" s="23">
        <f ca="1">IFERROR(__xludf.DUMMYFUNCTION("""COMPUTED_VALUE"""),0)</f>
        <v>0</v>
      </c>
      <c r="L1552" s="23">
        <f ca="1">IFERROR(__xludf.DUMMYFUNCTION("""COMPUTED_VALUE"""),0)</f>
        <v>0</v>
      </c>
      <c r="M1552" s="23">
        <f ca="1">IFERROR(__xludf.DUMMYFUNCTION("""COMPUTED_VALUE"""),0)</f>
        <v>0</v>
      </c>
      <c r="N1552" s="23">
        <f ca="1">IFERROR(__xludf.DUMMYFUNCTION("""COMPUTED_VALUE"""),0)</f>
        <v>0</v>
      </c>
      <c r="O1552" s="23">
        <f ca="1">IFERROR(__xludf.DUMMYFUNCTION("""COMPUTED_VALUE"""),0)</f>
        <v>0</v>
      </c>
      <c r="P1552" s="23">
        <f ca="1">IFERROR(__xludf.DUMMYFUNCTION("""COMPUTED_VALUE"""),0)</f>
        <v>0</v>
      </c>
      <c r="Q1552" s="24">
        <f ca="1">IFERROR(__xludf.DUMMYFUNCTION("""COMPUTED_VALUE"""),0)</f>
        <v>0</v>
      </c>
      <c r="R1552" s="20"/>
    </row>
    <row r="1553" spans="1:18" ht="13.2" hidden="1" outlineLevel="1" x14ac:dyDescent="0.25">
      <c r="A1553" s="1"/>
      <c r="B1553" s="39" t="str">
        <f ca="1">IFERROR(__xludf.DUMMYFUNCTION("""COMPUTED_VALUE"""),"Otros energéticos")</f>
        <v>Otros energéticos</v>
      </c>
      <c r="C1553" s="22">
        <f ca="1">IFERROR(__xludf.DUMMYFUNCTION("""COMPUTED_VALUE"""),0)</f>
        <v>0</v>
      </c>
      <c r="D1553" s="23">
        <f ca="1">IFERROR(__xludf.DUMMYFUNCTION("""COMPUTED_VALUE"""),0)</f>
        <v>0</v>
      </c>
      <c r="E1553" s="23">
        <f ca="1">IFERROR(__xludf.DUMMYFUNCTION("""COMPUTED_VALUE"""),0)</f>
        <v>0</v>
      </c>
      <c r="F1553" s="23">
        <f ca="1">IFERROR(__xludf.DUMMYFUNCTION("""COMPUTED_VALUE"""),0)</f>
        <v>0</v>
      </c>
      <c r="G1553" s="23">
        <f ca="1">IFERROR(__xludf.DUMMYFUNCTION("""COMPUTED_VALUE"""),0)</f>
        <v>0</v>
      </c>
      <c r="H1553" s="23">
        <f ca="1">IFERROR(__xludf.DUMMYFUNCTION("""COMPUTED_VALUE"""),0)</f>
        <v>0</v>
      </c>
      <c r="I1553" s="23">
        <f ca="1">IFERROR(__xludf.DUMMYFUNCTION("""COMPUTED_VALUE"""),0)</f>
        <v>0</v>
      </c>
      <c r="J1553" s="23">
        <f ca="1">IFERROR(__xludf.DUMMYFUNCTION("""COMPUTED_VALUE"""),0)</f>
        <v>0</v>
      </c>
      <c r="K1553" s="23">
        <f ca="1">IFERROR(__xludf.DUMMYFUNCTION("""COMPUTED_VALUE"""),0)</f>
        <v>0</v>
      </c>
      <c r="L1553" s="23">
        <f ca="1">IFERROR(__xludf.DUMMYFUNCTION("""COMPUTED_VALUE"""),0)</f>
        <v>0</v>
      </c>
      <c r="M1553" s="23">
        <f ca="1">IFERROR(__xludf.DUMMYFUNCTION("""COMPUTED_VALUE"""),0)</f>
        <v>0</v>
      </c>
      <c r="N1553" s="23">
        <f ca="1">IFERROR(__xludf.DUMMYFUNCTION("""COMPUTED_VALUE"""),0)</f>
        <v>0</v>
      </c>
      <c r="O1553" s="23">
        <f ca="1">IFERROR(__xludf.DUMMYFUNCTION("""COMPUTED_VALUE"""),0)</f>
        <v>0</v>
      </c>
      <c r="P1553" s="23">
        <f ca="1">IFERROR(__xludf.DUMMYFUNCTION("""COMPUTED_VALUE"""),0)</f>
        <v>0</v>
      </c>
      <c r="Q1553" s="24">
        <f ca="1">IFERROR(__xludf.DUMMYFUNCTION("""COMPUTED_VALUE"""),0)</f>
        <v>0</v>
      </c>
      <c r="R1553" s="20"/>
    </row>
    <row r="1554" spans="1:18" ht="13.2" hidden="1" outlineLevel="1" x14ac:dyDescent="0.25">
      <c r="A1554" s="1"/>
      <c r="B1554" s="39" t="str">
        <f ca="1">IFERROR(__xludf.DUMMYFUNCTION("""COMPUTED_VALUE"""),"Gas natural seco")</f>
        <v>Gas natural seco</v>
      </c>
      <c r="C1554" s="22">
        <f ca="1">IFERROR(__xludf.DUMMYFUNCTION("""COMPUTED_VALUE"""),0)</f>
        <v>0</v>
      </c>
      <c r="D1554" s="23">
        <f ca="1">IFERROR(__xludf.DUMMYFUNCTION("""COMPUTED_VALUE"""),0)</f>
        <v>0</v>
      </c>
      <c r="E1554" s="23">
        <f ca="1">IFERROR(__xludf.DUMMYFUNCTION("""COMPUTED_VALUE"""),0)</f>
        <v>0</v>
      </c>
      <c r="F1554" s="23">
        <f ca="1">IFERROR(__xludf.DUMMYFUNCTION("""COMPUTED_VALUE"""),0)</f>
        <v>0</v>
      </c>
      <c r="G1554" s="23">
        <f ca="1">IFERROR(__xludf.DUMMYFUNCTION("""COMPUTED_VALUE"""),0)</f>
        <v>0</v>
      </c>
      <c r="H1554" s="23">
        <f ca="1">IFERROR(__xludf.DUMMYFUNCTION("""COMPUTED_VALUE"""),0)</f>
        <v>0</v>
      </c>
      <c r="I1554" s="23">
        <f ca="1">IFERROR(__xludf.DUMMYFUNCTION("""COMPUTED_VALUE"""),0)</f>
        <v>0</v>
      </c>
      <c r="J1554" s="23">
        <f ca="1">IFERROR(__xludf.DUMMYFUNCTION("""COMPUTED_VALUE"""),0)</f>
        <v>0</v>
      </c>
      <c r="K1554" s="23">
        <f ca="1">IFERROR(__xludf.DUMMYFUNCTION("""COMPUTED_VALUE"""),0)</f>
        <v>0</v>
      </c>
      <c r="L1554" s="23">
        <f ca="1">IFERROR(__xludf.DUMMYFUNCTION("""COMPUTED_VALUE"""),0)</f>
        <v>0</v>
      </c>
      <c r="M1554" s="23">
        <f ca="1">IFERROR(__xludf.DUMMYFUNCTION("""COMPUTED_VALUE"""),0)</f>
        <v>0</v>
      </c>
      <c r="N1554" s="23">
        <f ca="1">IFERROR(__xludf.DUMMYFUNCTION("""COMPUTED_VALUE"""),0)</f>
        <v>0</v>
      </c>
      <c r="O1554" s="23">
        <f ca="1">IFERROR(__xludf.DUMMYFUNCTION("""COMPUTED_VALUE"""),0)</f>
        <v>0</v>
      </c>
      <c r="P1554" s="23">
        <f ca="1">IFERROR(__xludf.DUMMYFUNCTION("""COMPUTED_VALUE"""),0)</f>
        <v>0</v>
      </c>
      <c r="Q1554" s="24">
        <f ca="1">IFERROR(__xludf.DUMMYFUNCTION("""COMPUTED_VALUE"""),0)</f>
        <v>0</v>
      </c>
      <c r="R1554" s="20"/>
    </row>
    <row r="1555" spans="1:18" ht="13.2" hidden="1" outlineLevel="1" x14ac:dyDescent="0.25">
      <c r="A1555" s="1"/>
      <c r="B1555" s="40" t="str">
        <f ca="1">IFERROR(__xludf.DUMMYFUNCTION("""COMPUTED_VALUE"""),"Energía eléctrica")</f>
        <v>Energía eléctrica</v>
      </c>
      <c r="C1555" s="26">
        <f ca="1">IFERROR(__xludf.DUMMYFUNCTION("""COMPUTED_VALUE"""),9.35098547767836)</f>
        <v>9.3509854776783605</v>
      </c>
      <c r="D1555" s="27">
        <f ca="1">IFERROR(__xludf.DUMMYFUNCTION("""COMPUTED_VALUE"""),5.66102893619311)</f>
        <v>5.6610289361931097</v>
      </c>
      <c r="E1555" s="27">
        <f ca="1">IFERROR(__xludf.DUMMYFUNCTION("""COMPUTED_VALUE"""),11.3142989848385)</f>
        <v>11.3142989848385</v>
      </c>
      <c r="F1555" s="27">
        <f ca="1">IFERROR(__xludf.DUMMYFUNCTION("""COMPUTED_VALUE"""),8.24860401384134)</f>
        <v>8.2486040138413408</v>
      </c>
      <c r="G1555" s="27">
        <f ca="1">IFERROR(__xludf.DUMMYFUNCTION("""COMPUTED_VALUE"""),8.21902718771825)</f>
        <v>8.2190271877182504</v>
      </c>
      <c r="H1555" s="27">
        <f ca="1">IFERROR(__xludf.DUMMYFUNCTION("""COMPUTED_VALUE"""),8.24942378090824)</f>
        <v>8.2494237809082396</v>
      </c>
      <c r="I1555" s="27">
        <f ca="1">IFERROR(__xludf.DUMMYFUNCTION("""COMPUTED_VALUE"""),9.72021085989321)</f>
        <v>9.7202108598932107</v>
      </c>
      <c r="J1555" s="27">
        <f ca="1">IFERROR(__xludf.DUMMYFUNCTION("""COMPUTED_VALUE"""),7.26336013972203)</f>
        <v>7.26336013972203</v>
      </c>
      <c r="K1555" s="27">
        <f ca="1">IFERROR(__xludf.DUMMYFUNCTION("""COMPUTED_VALUE"""),6.52145613217476)</f>
        <v>6.5214561321747597</v>
      </c>
      <c r="L1555" s="27">
        <f ca="1">IFERROR(__xludf.DUMMYFUNCTION("""COMPUTED_VALUE"""),9.2642951454705)</f>
        <v>9.2642951454705003</v>
      </c>
      <c r="M1555" s="27">
        <f ca="1">IFERROR(__xludf.DUMMYFUNCTION("""COMPUTED_VALUE"""),6.66048324214562)</f>
        <v>6.6604832421456202</v>
      </c>
      <c r="N1555" s="27">
        <f ca="1">IFERROR(__xludf.DUMMYFUNCTION("""COMPUTED_VALUE"""),6.77025550267037)</f>
        <v>6.7702555026703699</v>
      </c>
      <c r="O1555" s="27">
        <f ca="1">IFERROR(__xludf.DUMMYFUNCTION("""COMPUTED_VALUE"""),11.818314876022)</f>
        <v>11.818314876022001</v>
      </c>
      <c r="P1555" s="27">
        <f ca="1">IFERROR(__xludf.DUMMYFUNCTION("""COMPUTED_VALUE"""),10.8832358409888)</f>
        <v>10.883235840988799</v>
      </c>
      <c r="Q1555" s="28">
        <f ca="1">IFERROR(__xludf.DUMMYFUNCTION("""COMPUTED_VALUE"""),9.23051770872045)</f>
        <v>9.2305177087204502</v>
      </c>
      <c r="R1555" s="20"/>
    </row>
    <row r="1556" spans="1:18" ht="13.2" collapsed="1" x14ac:dyDescent="0.25">
      <c r="A1556" s="1"/>
      <c r="B1556" s="31" t="str">
        <f ca="1">IFERROR(__xludf.DUMMYFUNCTION("""COMPUTED_VALUE"""),"334	Fabricación de equipo de computación, comunicación, medición y de otros equipos, componentes y accesorios electrónicos")</f>
        <v>334	Fabricación de equipo de computación, comunicación, medición y de otros equipos, componentes y accesorios electrónicos</v>
      </c>
      <c r="C1556" s="41"/>
      <c r="D1556" s="42"/>
      <c r="E1556" s="41"/>
      <c r="F1556" s="41"/>
      <c r="G1556" s="43"/>
      <c r="H1556" s="44"/>
      <c r="I1556" s="45"/>
      <c r="J1556" s="45"/>
      <c r="K1556" s="45"/>
      <c r="L1556" s="45"/>
      <c r="M1556" s="45"/>
      <c r="N1556" s="45"/>
      <c r="O1556" s="45"/>
      <c r="P1556" s="45"/>
      <c r="Q1556" s="45"/>
      <c r="R1556" s="10"/>
    </row>
    <row r="1557" spans="1:18" ht="13.2" hidden="1" outlineLevel="1" x14ac:dyDescent="0.25">
      <c r="A1557" s="1"/>
      <c r="B1557" s="46"/>
      <c r="C1557" s="35">
        <f ca="1">IFERROR(__xludf.DUMMYFUNCTION("""COMPUTED_VALUE"""),2010)</f>
        <v>2010</v>
      </c>
      <c r="D1557" s="36">
        <f ca="1">IFERROR(__xludf.DUMMYFUNCTION("""COMPUTED_VALUE"""),2011)</f>
        <v>2011</v>
      </c>
      <c r="E1557" s="36">
        <f ca="1">IFERROR(__xludf.DUMMYFUNCTION("""COMPUTED_VALUE"""),2012)</f>
        <v>2012</v>
      </c>
      <c r="F1557" s="36">
        <f ca="1">IFERROR(__xludf.DUMMYFUNCTION("""COMPUTED_VALUE"""),2013)</f>
        <v>2013</v>
      </c>
      <c r="G1557" s="36">
        <f ca="1">IFERROR(__xludf.DUMMYFUNCTION("""COMPUTED_VALUE"""),2014)</f>
        <v>2014</v>
      </c>
      <c r="H1557" s="36">
        <f ca="1">IFERROR(__xludf.DUMMYFUNCTION("""COMPUTED_VALUE"""),2015)</f>
        <v>2015</v>
      </c>
      <c r="I1557" s="36">
        <f ca="1">IFERROR(__xludf.DUMMYFUNCTION("""COMPUTED_VALUE"""),2016)</f>
        <v>2016</v>
      </c>
      <c r="J1557" s="36">
        <f ca="1">IFERROR(__xludf.DUMMYFUNCTION("""COMPUTED_VALUE"""),2017)</f>
        <v>2017</v>
      </c>
      <c r="K1557" s="36">
        <f ca="1">IFERROR(__xludf.DUMMYFUNCTION("""COMPUTED_VALUE"""),2018)</f>
        <v>2018</v>
      </c>
      <c r="L1557" s="36">
        <f ca="1">IFERROR(__xludf.DUMMYFUNCTION("""COMPUTED_VALUE"""),2019)</f>
        <v>2019</v>
      </c>
      <c r="M1557" s="36">
        <f ca="1">IFERROR(__xludf.DUMMYFUNCTION("""COMPUTED_VALUE"""),2020)</f>
        <v>2020</v>
      </c>
      <c r="N1557" s="36">
        <f ca="1">IFERROR(__xludf.DUMMYFUNCTION("""COMPUTED_VALUE"""),2021)</f>
        <v>2021</v>
      </c>
      <c r="O1557" s="36">
        <f ca="1">IFERROR(__xludf.DUMMYFUNCTION("""COMPUTED_VALUE"""),2022)</f>
        <v>2022</v>
      </c>
      <c r="P1557" s="36">
        <f ca="1">IFERROR(__xludf.DUMMYFUNCTION("""COMPUTED_VALUE"""),2023)</f>
        <v>2023</v>
      </c>
      <c r="Q1557" s="37">
        <f ca="1">IFERROR(__xludf.DUMMYFUNCTION("""COMPUTED_VALUE"""),2024)</f>
        <v>2024</v>
      </c>
      <c r="R1557" s="15"/>
    </row>
    <row r="1558" spans="1:18" ht="13.2" hidden="1" outlineLevel="1" x14ac:dyDescent="0.25">
      <c r="A1558" s="1"/>
      <c r="B1558" s="38" t="str">
        <f ca="1">IFERROR(__xludf.DUMMYFUNCTION("""COMPUTED_VALUE"""),"Carbón mineral")</f>
        <v>Carbón mineral</v>
      </c>
      <c r="C1558" s="17">
        <f ca="1">IFERROR(__xludf.DUMMYFUNCTION("""COMPUTED_VALUE"""),0)</f>
        <v>0</v>
      </c>
      <c r="D1558" s="18">
        <f ca="1">IFERROR(__xludf.DUMMYFUNCTION("""COMPUTED_VALUE"""),0)</f>
        <v>0</v>
      </c>
      <c r="E1558" s="18">
        <f ca="1">IFERROR(__xludf.DUMMYFUNCTION("""COMPUTED_VALUE"""),0)</f>
        <v>0</v>
      </c>
      <c r="F1558" s="18">
        <f ca="1">IFERROR(__xludf.DUMMYFUNCTION("""COMPUTED_VALUE"""),0)</f>
        <v>0</v>
      </c>
      <c r="G1558" s="18">
        <f ca="1">IFERROR(__xludf.DUMMYFUNCTION("""COMPUTED_VALUE"""),0)</f>
        <v>0</v>
      </c>
      <c r="H1558" s="18">
        <f ca="1">IFERROR(__xludf.DUMMYFUNCTION("""COMPUTED_VALUE"""),0)</f>
        <v>0</v>
      </c>
      <c r="I1558" s="18">
        <f ca="1">IFERROR(__xludf.DUMMYFUNCTION("""COMPUTED_VALUE"""),0)</f>
        <v>0</v>
      </c>
      <c r="J1558" s="18">
        <f ca="1">IFERROR(__xludf.DUMMYFUNCTION("""COMPUTED_VALUE"""),0)</f>
        <v>0</v>
      </c>
      <c r="K1558" s="18">
        <f ca="1">IFERROR(__xludf.DUMMYFUNCTION("""COMPUTED_VALUE"""),0)</f>
        <v>0</v>
      </c>
      <c r="L1558" s="18">
        <f ca="1">IFERROR(__xludf.DUMMYFUNCTION("""COMPUTED_VALUE"""),0)</f>
        <v>0</v>
      </c>
      <c r="M1558" s="18">
        <f ca="1">IFERROR(__xludf.DUMMYFUNCTION("""COMPUTED_VALUE"""),0)</f>
        <v>0</v>
      </c>
      <c r="N1558" s="18">
        <f ca="1">IFERROR(__xludf.DUMMYFUNCTION("""COMPUTED_VALUE"""),0)</f>
        <v>0</v>
      </c>
      <c r="O1558" s="18">
        <f ca="1">IFERROR(__xludf.DUMMYFUNCTION("""COMPUTED_VALUE"""),0)</f>
        <v>0</v>
      </c>
      <c r="P1558" s="18">
        <f ca="1">IFERROR(__xludf.DUMMYFUNCTION("""COMPUTED_VALUE"""),0)</f>
        <v>0</v>
      </c>
      <c r="Q1558" s="19">
        <f ca="1">IFERROR(__xludf.DUMMYFUNCTION("""COMPUTED_VALUE"""),0)</f>
        <v>0</v>
      </c>
      <c r="R1558" s="20"/>
    </row>
    <row r="1559" spans="1:18" ht="13.2" hidden="1" outlineLevel="1" x14ac:dyDescent="0.25">
      <c r="A1559" s="1"/>
      <c r="B1559" s="39" t="str">
        <f ca="1">IFERROR(__xludf.DUMMYFUNCTION("""COMPUTED_VALUE"""),"Petróleo crudo")</f>
        <v>Petróleo crudo</v>
      </c>
      <c r="C1559" s="22">
        <f ca="1">IFERROR(__xludf.DUMMYFUNCTION("""COMPUTED_VALUE"""),0)</f>
        <v>0</v>
      </c>
      <c r="D1559" s="23">
        <f ca="1">IFERROR(__xludf.DUMMYFUNCTION("""COMPUTED_VALUE"""),0)</f>
        <v>0</v>
      </c>
      <c r="E1559" s="23">
        <f ca="1">IFERROR(__xludf.DUMMYFUNCTION("""COMPUTED_VALUE"""),0)</f>
        <v>0</v>
      </c>
      <c r="F1559" s="23">
        <f ca="1">IFERROR(__xludf.DUMMYFUNCTION("""COMPUTED_VALUE"""),0)</f>
        <v>0</v>
      </c>
      <c r="G1559" s="23">
        <f ca="1">IFERROR(__xludf.DUMMYFUNCTION("""COMPUTED_VALUE"""),0)</f>
        <v>0</v>
      </c>
      <c r="H1559" s="23">
        <f ca="1">IFERROR(__xludf.DUMMYFUNCTION("""COMPUTED_VALUE"""),0)</f>
        <v>0</v>
      </c>
      <c r="I1559" s="23">
        <f ca="1">IFERROR(__xludf.DUMMYFUNCTION("""COMPUTED_VALUE"""),0)</f>
        <v>0</v>
      </c>
      <c r="J1559" s="23">
        <f ca="1">IFERROR(__xludf.DUMMYFUNCTION("""COMPUTED_VALUE"""),0)</f>
        <v>0</v>
      </c>
      <c r="K1559" s="23">
        <f ca="1">IFERROR(__xludf.DUMMYFUNCTION("""COMPUTED_VALUE"""),0)</f>
        <v>0</v>
      </c>
      <c r="L1559" s="23">
        <f ca="1">IFERROR(__xludf.DUMMYFUNCTION("""COMPUTED_VALUE"""),0)</f>
        <v>0</v>
      </c>
      <c r="M1559" s="23">
        <f ca="1">IFERROR(__xludf.DUMMYFUNCTION("""COMPUTED_VALUE"""),0)</f>
        <v>0</v>
      </c>
      <c r="N1559" s="23">
        <f ca="1">IFERROR(__xludf.DUMMYFUNCTION("""COMPUTED_VALUE"""),0)</f>
        <v>0</v>
      </c>
      <c r="O1559" s="23">
        <f ca="1">IFERROR(__xludf.DUMMYFUNCTION("""COMPUTED_VALUE"""),0)</f>
        <v>0</v>
      </c>
      <c r="P1559" s="23">
        <f ca="1">IFERROR(__xludf.DUMMYFUNCTION("""COMPUTED_VALUE"""),0)</f>
        <v>0</v>
      </c>
      <c r="Q1559" s="24">
        <f ca="1">IFERROR(__xludf.DUMMYFUNCTION("""COMPUTED_VALUE"""),0)</f>
        <v>0</v>
      </c>
      <c r="R1559" s="20"/>
    </row>
    <row r="1560" spans="1:18" ht="13.2" hidden="1" outlineLevel="1" x14ac:dyDescent="0.25">
      <c r="A1560" s="1"/>
      <c r="B1560" s="39" t="str">
        <f ca="1">IFERROR(__xludf.DUMMYFUNCTION("""COMPUTED_VALUE"""),"Condensados")</f>
        <v>Condensados</v>
      </c>
      <c r="C1560" s="22">
        <f ca="1">IFERROR(__xludf.DUMMYFUNCTION("""COMPUTED_VALUE"""),0)</f>
        <v>0</v>
      </c>
      <c r="D1560" s="23">
        <f ca="1">IFERROR(__xludf.DUMMYFUNCTION("""COMPUTED_VALUE"""),0)</f>
        <v>0</v>
      </c>
      <c r="E1560" s="23">
        <f ca="1">IFERROR(__xludf.DUMMYFUNCTION("""COMPUTED_VALUE"""),0)</f>
        <v>0</v>
      </c>
      <c r="F1560" s="23">
        <f ca="1">IFERROR(__xludf.DUMMYFUNCTION("""COMPUTED_VALUE"""),0)</f>
        <v>0</v>
      </c>
      <c r="G1560" s="23">
        <f ca="1">IFERROR(__xludf.DUMMYFUNCTION("""COMPUTED_VALUE"""),0)</f>
        <v>0</v>
      </c>
      <c r="H1560" s="23">
        <f ca="1">IFERROR(__xludf.DUMMYFUNCTION("""COMPUTED_VALUE"""),0)</f>
        <v>0</v>
      </c>
      <c r="I1560" s="23">
        <f ca="1">IFERROR(__xludf.DUMMYFUNCTION("""COMPUTED_VALUE"""),0)</f>
        <v>0</v>
      </c>
      <c r="J1560" s="23">
        <f ca="1">IFERROR(__xludf.DUMMYFUNCTION("""COMPUTED_VALUE"""),0)</f>
        <v>0</v>
      </c>
      <c r="K1560" s="23">
        <f ca="1">IFERROR(__xludf.DUMMYFUNCTION("""COMPUTED_VALUE"""),0)</f>
        <v>0</v>
      </c>
      <c r="L1560" s="23">
        <f ca="1">IFERROR(__xludf.DUMMYFUNCTION("""COMPUTED_VALUE"""),0)</f>
        <v>0</v>
      </c>
      <c r="M1560" s="23">
        <f ca="1">IFERROR(__xludf.DUMMYFUNCTION("""COMPUTED_VALUE"""),0)</f>
        <v>0</v>
      </c>
      <c r="N1560" s="23">
        <f ca="1">IFERROR(__xludf.DUMMYFUNCTION("""COMPUTED_VALUE"""),0)</f>
        <v>0</v>
      </c>
      <c r="O1560" s="23">
        <f ca="1">IFERROR(__xludf.DUMMYFUNCTION("""COMPUTED_VALUE"""),0)</f>
        <v>0</v>
      </c>
      <c r="P1560" s="23">
        <f ca="1">IFERROR(__xludf.DUMMYFUNCTION("""COMPUTED_VALUE"""),0)</f>
        <v>0</v>
      </c>
      <c r="Q1560" s="24">
        <f ca="1">IFERROR(__xludf.DUMMYFUNCTION("""COMPUTED_VALUE"""),0)</f>
        <v>0</v>
      </c>
      <c r="R1560" s="20"/>
    </row>
    <row r="1561" spans="1:18" ht="13.2" hidden="1" outlineLevel="1" x14ac:dyDescent="0.25">
      <c r="A1561" s="1"/>
      <c r="B1561" s="39" t="str">
        <f ca="1">IFERROR(__xludf.DUMMYFUNCTION("""COMPUTED_VALUE"""),"Gas natural")</f>
        <v>Gas natural</v>
      </c>
      <c r="C1561" s="22">
        <f ca="1">IFERROR(__xludf.DUMMYFUNCTION("""COMPUTED_VALUE"""),0)</f>
        <v>0</v>
      </c>
      <c r="D1561" s="23">
        <f ca="1">IFERROR(__xludf.DUMMYFUNCTION("""COMPUTED_VALUE"""),0)</f>
        <v>0</v>
      </c>
      <c r="E1561" s="23">
        <f ca="1">IFERROR(__xludf.DUMMYFUNCTION("""COMPUTED_VALUE"""),0)</f>
        <v>0</v>
      </c>
      <c r="F1561" s="23">
        <f ca="1">IFERROR(__xludf.DUMMYFUNCTION("""COMPUTED_VALUE"""),0)</f>
        <v>0</v>
      </c>
      <c r="G1561" s="23">
        <f ca="1">IFERROR(__xludf.DUMMYFUNCTION("""COMPUTED_VALUE"""),0)</f>
        <v>0</v>
      </c>
      <c r="H1561" s="23">
        <f ca="1">IFERROR(__xludf.DUMMYFUNCTION("""COMPUTED_VALUE"""),0)</f>
        <v>0</v>
      </c>
      <c r="I1561" s="23">
        <f ca="1">IFERROR(__xludf.DUMMYFUNCTION("""COMPUTED_VALUE"""),0)</f>
        <v>0</v>
      </c>
      <c r="J1561" s="23">
        <f ca="1">IFERROR(__xludf.DUMMYFUNCTION("""COMPUTED_VALUE"""),0)</f>
        <v>0</v>
      </c>
      <c r="K1561" s="23">
        <f ca="1">IFERROR(__xludf.DUMMYFUNCTION("""COMPUTED_VALUE"""),0)</f>
        <v>0</v>
      </c>
      <c r="L1561" s="23">
        <f ca="1">IFERROR(__xludf.DUMMYFUNCTION("""COMPUTED_VALUE"""),0)</f>
        <v>0</v>
      </c>
      <c r="M1561" s="23">
        <f ca="1">IFERROR(__xludf.DUMMYFUNCTION("""COMPUTED_VALUE"""),0)</f>
        <v>0</v>
      </c>
      <c r="N1561" s="23">
        <f ca="1">IFERROR(__xludf.DUMMYFUNCTION("""COMPUTED_VALUE"""),0)</f>
        <v>0</v>
      </c>
      <c r="O1561" s="23">
        <f ca="1">IFERROR(__xludf.DUMMYFUNCTION("""COMPUTED_VALUE"""),0)</f>
        <v>0</v>
      </c>
      <c r="P1561" s="23">
        <f ca="1">IFERROR(__xludf.DUMMYFUNCTION("""COMPUTED_VALUE"""),0)</f>
        <v>0</v>
      </c>
      <c r="Q1561" s="24">
        <f ca="1">IFERROR(__xludf.DUMMYFUNCTION("""COMPUTED_VALUE"""),0)</f>
        <v>0</v>
      </c>
      <c r="R1561" s="20"/>
    </row>
    <row r="1562" spans="1:18" ht="13.2" hidden="1" outlineLevel="1" x14ac:dyDescent="0.25">
      <c r="A1562" s="1"/>
      <c r="B1562" s="39" t="str">
        <f ca="1">IFERROR(__xludf.DUMMYFUNCTION("""COMPUTED_VALUE"""),"Energía Nuclear")</f>
        <v>Energía Nuclear</v>
      </c>
      <c r="C1562" s="22">
        <f ca="1">IFERROR(__xludf.DUMMYFUNCTION("""COMPUTED_VALUE"""),0)</f>
        <v>0</v>
      </c>
      <c r="D1562" s="23">
        <f ca="1">IFERROR(__xludf.DUMMYFUNCTION("""COMPUTED_VALUE"""),0)</f>
        <v>0</v>
      </c>
      <c r="E1562" s="23">
        <f ca="1">IFERROR(__xludf.DUMMYFUNCTION("""COMPUTED_VALUE"""),0)</f>
        <v>0</v>
      </c>
      <c r="F1562" s="23">
        <f ca="1">IFERROR(__xludf.DUMMYFUNCTION("""COMPUTED_VALUE"""),0)</f>
        <v>0</v>
      </c>
      <c r="G1562" s="23">
        <f ca="1">IFERROR(__xludf.DUMMYFUNCTION("""COMPUTED_VALUE"""),0)</f>
        <v>0</v>
      </c>
      <c r="H1562" s="23">
        <f ca="1">IFERROR(__xludf.DUMMYFUNCTION("""COMPUTED_VALUE"""),0)</f>
        <v>0</v>
      </c>
      <c r="I1562" s="23">
        <f ca="1">IFERROR(__xludf.DUMMYFUNCTION("""COMPUTED_VALUE"""),0)</f>
        <v>0</v>
      </c>
      <c r="J1562" s="23">
        <f ca="1">IFERROR(__xludf.DUMMYFUNCTION("""COMPUTED_VALUE"""),0)</f>
        <v>0</v>
      </c>
      <c r="K1562" s="23">
        <f ca="1">IFERROR(__xludf.DUMMYFUNCTION("""COMPUTED_VALUE"""),0)</f>
        <v>0</v>
      </c>
      <c r="L1562" s="23">
        <f ca="1">IFERROR(__xludf.DUMMYFUNCTION("""COMPUTED_VALUE"""),0)</f>
        <v>0</v>
      </c>
      <c r="M1562" s="23">
        <f ca="1">IFERROR(__xludf.DUMMYFUNCTION("""COMPUTED_VALUE"""),0)</f>
        <v>0</v>
      </c>
      <c r="N1562" s="23">
        <f ca="1">IFERROR(__xludf.DUMMYFUNCTION("""COMPUTED_VALUE"""),0)</f>
        <v>0</v>
      </c>
      <c r="O1562" s="23">
        <f ca="1">IFERROR(__xludf.DUMMYFUNCTION("""COMPUTED_VALUE"""),0)</f>
        <v>0</v>
      </c>
      <c r="P1562" s="23">
        <f ca="1">IFERROR(__xludf.DUMMYFUNCTION("""COMPUTED_VALUE"""),0)</f>
        <v>0</v>
      </c>
      <c r="Q1562" s="24">
        <f ca="1">IFERROR(__xludf.DUMMYFUNCTION("""COMPUTED_VALUE"""),0)</f>
        <v>0</v>
      </c>
      <c r="R1562" s="20"/>
    </row>
    <row r="1563" spans="1:18" ht="13.2" hidden="1" outlineLevel="1" x14ac:dyDescent="0.25">
      <c r="A1563" s="1"/>
      <c r="B1563" s="39" t="str">
        <f ca="1">IFERROR(__xludf.DUMMYFUNCTION("""COMPUTED_VALUE"""),"Energia Hidraúlica")</f>
        <v>Energia Hidraúlica</v>
      </c>
      <c r="C1563" s="22">
        <f ca="1">IFERROR(__xludf.DUMMYFUNCTION("""COMPUTED_VALUE"""),0)</f>
        <v>0</v>
      </c>
      <c r="D1563" s="23">
        <f ca="1">IFERROR(__xludf.DUMMYFUNCTION("""COMPUTED_VALUE"""),0)</f>
        <v>0</v>
      </c>
      <c r="E1563" s="23">
        <f ca="1">IFERROR(__xludf.DUMMYFUNCTION("""COMPUTED_VALUE"""),0)</f>
        <v>0</v>
      </c>
      <c r="F1563" s="23">
        <f ca="1">IFERROR(__xludf.DUMMYFUNCTION("""COMPUTED_VALUE"""),0)</f>
        <v>0</v>
      </c>
      <c r="G1563" s="23">
        <f ca="1">IFERROR(__xludf.DUMMYFUNCTION("""COMPUTED_VALUE"""),0)</f>
        <v>0</v>
      </c>
      <c r="H1563" s="23">
        <f ca="1">IFERROR(__xludf.DUMMYFUNCTION("""COMPUTED_VALUE"""),0)</f>
        <v>0</v>
      </c>
      <c r="I1563" s="23">
        <f ca="1">IFERROR(__xludf.DUMMYFUNCTION("""COMPUTED_VALUE"""),0)</f>
        <v>0</v>
      </c>
      <c r="J1563" s="23">
        <f ca="1">IFERROR(__xludf.DUMMYFUNCTION("""COMPUTED_VALUE"""),0)</f>
        <v>0</v>
      </c>
      <c r="K1563" s="23">
        <f ca="1">IFERROR(__xludf.DUMMYFUNCTION("""COMPUTED_VALUE"""),0)</f>
        <v>0</v>
      </c>
      <c r="L1563" s="23">
        <f ca="1">IFERROR(__xludf.DUMMYFUNCTION("""COMPUTED_VALUE"""),0)</f>
        <v>0</v>
      </c>
      <c r="M1563" s="23">
        <f ca="1">IFERROR(__xludf.DUMMYFUNCTION("""COMPUTED_VALUE"""),0)</f>
        <v>0</v>
      </c>
      <c r="N1563" s="23">
        <f ca="1">IFERROR(__xludf.DUMMYFUNCTION("""COMPUTED_VALUE"""),0)</f>
        <v>0</v>
      </c>
      <c r="O1563" s="23">
        <f ca="1">IFERROR(__xludf.DUMMYFUNCTION("""COMPUTED_VALUE"""),0)</f>
        <v>0</v>
      </c>
      <c r="P1563" s="23">
        <f ca="1">IFERROR(__xludf.DUMMYFUNCTION("""COMPUTED_VALUE"""),0)</f>
        <v>0</v>
      </c>
      <c r="Q1563" s="24">
        <f ca="1">IFERROR(__xludf.DUMMYFUNCTION("""COMPUTED_VALUE"""),0)</f>
        <v>0</v>
      </c>
      <c r="R1563" s="20"/>
    </row>
    <row r="1564" spans="1:18" ht="13.2" hidden="1" outlineLevel="1" x14ac:dyDescent="0.25">
      <c r="A1564" s="1"/>
      <c r="B1564" s="39" t="str">
        <f ca="1">IFERROR(__xludf.DUMMYFUNCTION("""COMPUTED_VALUE"""),"Geoenergía")</f>
        <v>Geoenergía</v>
      </c>
      <c r="C1564" s="22">
        <f ca="1">IFERROR(__xludf.DUMMYFUNCTION("""COMPUTED_VALUE"""),0)</f>
        <v>0</v>
      </c>
      <c r="D1564" s="23">
        <f ca="1">IFERROR(__xludf.DUMMYFUNCTION("""COMPUTED_VALUE"""),0)</f>
        <v>0</v>
      </c>
      <c r="E1564" s="23">
        <f ca="1">IFERROR(__xludf.DUMMYFUNCTION("""COMPUTED_VALUE"""),0)</f>
        <v>0</v>
      </c>
      <c r="F1564" s="23">
        <f ca="1">IFERROR(__xludf.DUMMYFUNCTION("""COMPUTED_VALUE"""),0)</f>
        <v>0</v>
      </c>
      <c r="G1564" s="23">
        <f ca="1">IFERROR(__xludf.DUMMYFUNCTION("""COMPUTED_VALUE"""),0)</f>
        <v>0</v>
      </c>
      <c r="H1564" s="23">
        <f ca="1">IFERROR(__xludf.DUMMYFUNCTION("""COMPUTED_VALUE"""),0)</f>
        <v>0</v>
      </c>
      <c r="I1564" s="23">
        <f ca="1">IFERROR(__xludf.DUMMYFUNCTION("""COMPUTED_VALUE"""),0)</f>
        <v>0</v>
      </c>
      <c r="J1564" s="23">
        <f ca="1">IFERROR(__xludf.DUMMYFUNCTION("""COMPUTED_VALUE"""),0)</f>
        <v>0</v>
      </c>
      <c r="K1564" s="23">
        <f ca="1">IFERROR(__xludf.DUMMYFUNCTION("""COMPUTED_VALUE"""),0)</f>
        <v>0</v>
      </c>
      <c r="L1564" s="23">
        <f ca="1">IFERROR(__xludf.DUMMYFUNCTION("""COMPUTED_VALUE"""),0)</f>
        <v>0</v>
      </c>
      <c r="M1564" s="23">
        <f ca="1">IFERROR(__xludf.DUMMYFUNCTION("""COMPUTED_VALUE"""),0)</f>
        <v>0</v>
      </c>
      <c r="N1564" s="23">
        <f ca="1">IFERROR(__xludf.DUMMYFUNCTION("""COMPUTED_VALUE"""),0)</f>
        <v>0</v>
      </c>
      <c r="O1564" s="23">
        <f ca="1">IFERROR(__xludf.DUMMYFUNCTION("""COMPUTED_VALUE"""),0)</f>
        <v>0</v>
      </c>
      <c r="P1564" s="23">
        <f ca="1">IFERROR(__xludf.DUMMYFUNCTION("""COMPUTED_VALUE"""),0)</f>
        <v>0</v>
      </c>
      <c r="Q1564" s="24">
        <f ca="1">IFERROR(__xludf.DUMMYFUNCTION("""COMPUTED_VALUE"""),0)</f>
        <v>0</v>
      </c>
      <c r="R1564" s="20"/>
    </row>
    <row r="1565" spans="1:18" ht="13.2" hidden="1" outlineLevel="1" x14ac:dyDescent="0.25">
      <c r="A1565" s="1"/>
      <c r="B1565" s="39" t="str">
        <f ca="1">IFERROR(__xludf.DUMMYFUNCTION("""COMPUTED_VALUE"""),"Energía solar")</f>
        <v>Energía solar</v>
      </c>
      <c r="C1565" s="22">
        <f ca="1">IFERROR(__xludf.DUMMYFUNCTION("""COMPUTED_VALUE"""),0)</f>
        <v>0</v>
      </c>
      <c r="D1565" s="23">
        <f ca="1">IFERROR(__xludf.DUMMYFUNCTION("""COMPUTED_VALUE"""),0)</f>
        <v>0</v>
      </c>
      <c r="E1565" s="23">
        <f ca="1">IFERROR(__xludf.DUMMYFUNCTION("""COMPUTED_VALUE"""),0)</f>
        <v>0</v>
      </c>
      <c r="F1565" s="23">
        <f ca="1">IFERROR(__xludf.DUMMYFUNCTION("""COMPUTED_VALUE"""),0)</f>
        <v>0</v>
      </c>
      <c r="G1565" s="23">
        <f ca="1">IFERROR(__xludf.DUMMYFUNCTION("""COMPUTED_VALUE"""),0)</f>
        <v>0</v>
      </c>
      <c r="H1565" s="23">
        <f ca="1">IFERROR(__xludf.DUMMYFUNCTION("""COMPUTED_VALUE"""),0)</f>
        <v>0</v>
      </c>
      <c r="I1565" s="23">
        <f ca="1">IFERROR(__xludf.DUMMYFUNCTION("""COMPUTED_VALUE"""),0)</f>
        <v>0</v>
      </c>
      <c r="J1565" s="23">
        <f ca="1">IFERROR(__xludf.DUMMYFUNCTION("""COMPUTED_VALUE"""),0)</f>
        <v>0</v>
      </c>
      <c r="K1565" s="23">
        <f ca="1">IFERROR(__xludf.DUMMYFUNCTION("""COMPUTED_VALUE"""),0)</f>
        <v>0</v>
      </c>
      <c r="L1565" s="23">
        <f ca="1">IFERROR(__xludf.DUMMYFUNCTION("""COMPUTED_VALUE"""),0)</f>
        <v>0</v>
      </c>
      <c r="M1565" s="23">
        <f ca="1">IFERROR(__xludf.DUMMYFUNCTION("""COMPUTED_VALUE"""),0)</f>
        <v>0</v>
      </c>
      <c r="N1565" s="23">
        <f ca="1">IFERROR(__xludf.DUMMYFUNCTION("""COMPUTED_VALUE"""),0)</f>
        <v>0</v>
      </c>
      <c r="O1565" s="23">
        <f ca="1">IFERROR(__xludf.DUMMYFUNCTION("""COMPUTED_VALUE"""),0)</f>
        <v>0</v>
      </c>
      <c r="P1565" s="23">
        <f ca="1">IFERROR(__xludf.DUMMYFUNCTION("""COMPUTED_VALUE"""),0)</f>
        <v>0</v>
      </c>
      <c r="Q1565" s="24">
        <f ca="1">IFERROR(__xludf.DUMMYFUNCTION("""COMPUTED_VALUE"""),0)</f>
        <v>0</v>
      </c>
      <c r="R1565" s="20"/>
    </row>
    <row r="1566" spans="1:18" ht="13.2" hidden="1" outlineLevel="1" x14ac:dyDescent="0.25">
      <c r="A1566" s="1"/>
      <c r="B1566" s="39" t="str">
        <f ca="1">IFERROR(__xludf.DUMMYFUNCTION("""COMPUTED_VALUE"""),"Energía eólica")</f>
        <v>Energía eólica</v>
      </c>
      <c r="C1566" s="22">
        <f ca="1">IFERROR(__xludf.DUMMYFUNCTION("""COMPUTED_VALUE"""),0)</f>
        <v>0</v>
      </c>
      <c r="D1566" s="23">
        <f ca="1">IFERROR(__xludf.DUMMYFUNCTION("""COMPUTED_VALUE"""),0)</f>
        <v>0</v>
      </c>
      <c r="E1566" s="23">
        <f ca="1">IFERROR(__xludf.DUMMYFUNCTION("""COMPUTED_VALUE"""),0)</f>
        <v>0</v>
      </c>
      <c r="F1566" s="23">
        <f ca="1">IFERROR(__xludf.DUMMYFUNCTION("""COMPUTED_VALUE"""),0)</f>
        <v>0</v>
      </c>
      <c r="G1566" s="23">
        <f ca="1">IFERROR(__xludf.DUMMYFUNCTION("""COMPUTED_VALUE"""),0)</f>
        <v>0</v>
      </c>
      <c r="H1566" s="23">
        <f ca="1">IFERROR(__xludf.DUMMYFUNCTION("""COMPUTED_VALUE"""),0)</f>
        <v>0</v>
      </c>
      <c r="I1566" s="23">
        <f ca="1">IFERROR(__xludf.DUMMYFUNCTION("""COMPUTED_VALUE"""),0)</f>
        <v>0</v>
      </c>
      <c r="J1566" s="23">
        <f ca="1">IFERROR(__xludf.DUMMYFUNCTION("""COMPUTED_VALUE"""),0)</f>
        <v>0</v>
      </c>
      <c r="K1566" s="23">
        <f ca="1">IFERROR(__xludf.DUMMYFUNCTION("""COMPUTED_VALUE"""),0)</f>
        <v>0</v>
      </c>
      <c r="L1566" s="23">
        <f ca="1">IFERROR(__xludf.DUMMYFUNCTION("""COMPUTED_VALUE"""),0)</f>
        <v>0</v>
      </c>
      <c r="M1566" s="23">
        <f ca="1">IFERROR(__xludf.DUMMYFUNCTION("""COMPUTED_VALUE"""),0)</f>
        <v>0</v>
      </c>
      <c r="N1566" s="23">
        <f ca="1">IFERROR(__xludf.DUMMYFUNCTION("""COMPUTED_VALUE"""),0)</f>
        <v>0</v>
      </c>
      <c r="O1566" s="23">
        <f ca="1">IFERROR(__xludf.DUMMYFUNCTION("""COMPUTED_VALUE"""),0)</f>
        <v>0</v>
      </c>
      <c r="P1566" s="23">
        <f ca="1">IFERROR(__xludf.DUMMYFUNCTION("""COMPUTED_VALUE"""),0)</f>
        <v>0</v>
      </c>
      <c r="Q1566" s="24">
        <f ca="1">IFERROR(__xludf.DUMMYFUNCTION("""COMPUTED_VALUE"""),0)</f>
        <v>0</v>
      </c>
      <c r="R1566" s="20"/>
    </row>
    <row r="1567" spans="1:18" ht="13.2" hidden="1" outlineLevel="1" x14ac:dyDescent="0.25">
      <c r="A1567" s="1"/>
      <c r="B1567" s="39" t="str">
        <f ca="1">IFERROR(__xludf.DUMMYFUNCTION("""COMPUTED_VALUE"""),"Bagazo de caña")</f>
        <v>Bagazo de caña</v>
      </c>
      <c r="C1567" s="22">
        <f ca="1">IFERROR(__xludf.DUMMYFUNCTION("""COMPUTED_VALUE"""),0)</f>
        <v>0</v>
      </c>
      <c r="D1567" s="23">
        <f ca="1">IFERROR(__xludf.DUMMYFUNCTION("""COMPUTED_VALUE"""),0)</f>
        <v>0</v>
      </c>
      <c r="E1567" s="23">
        <f ca="1">IFERROR(__xludf.DUMMYFUNCTION("""COMPUTED_VALUE"""),0)</f>
        <v>0</v>
      </c>
      <c r="F1567" s="23">
        <f ca="1">IFERROR(__xludf.DUMMYFUNCTION("""COMPUTED_VALUE"""),0)</f>
        <v>0</v>
      </c>
      <c r="G1567" s="23">
        <f ca="1">IFERROR(__xludf.DUMMYFUNCTION("""COMPUTED_VALUE"""),0)</f>
        <v>0</v>
      </c>
      <c r="H1567" s="23">
        <f ca="1">IFERROR(__xludf.DUMMYFUNCTION("""COMPUTED_VALUE"""),0)</f>
        <v>0</v>
      </c>
      <c r="I1567" s="23">
        <f ca="1">IFERROR(__xludf.DUMMYFUNCTION("""COMPUTED_VALUE"""),0)</f>
        <v>0</v>
      </c>
      <c r="J1567" s="23">
        <f ca="1">IFERROR(__xludf.DUMMYFUNCTION("""COMPUTED_VALUE"""),0)</f>
        <v>0</v>
      </c>
      <c r="K1567" s="23">
        <f ca="1">IFERROR(__xludf.DUMMYFUNCTION("""COMPUTED_VALUE"""),0)</f>
        <v>0</v>
      </c>
      <c r="L1567" s="23">
        <f ca="1">IFERROR(__xludf.DUMMYFUNCTION("""COMPUTED_VALUE"""),0)</f>
        <v>0</v>
      </c>
      <c r="M1567" s="23">
        <f ca="1">IFERROR(__xludf.DUMMYFUNCTION("""COMPUTED_VALUE"""),0)</f>
        <v>0</v>
      </c>
      <c r="N1567" s="23">
        <f ca="1">IFERROR(__xludf.DUMMYFUNCTION("""COMPUTED_VALUE"""),0)</f>
        <v>0</v>
      </c>
      <c r="O1567" s="23">
        <f ca="1">IFERROR(__xludf.DUMMYFUNCTION("""COMPUTED_VALUE"""),0)</f>
        <v>0</v>
      </c>
      <c r="P1567" s="23">
        <f ca="1">IFERROR(__xludf.DUMMYFUNCTION("""COMPUTED_VALUE"""),0)</f>
        <v>0</v>
      </c>
      <c r="Q1567" s="24">
        <f ca="1">IFERROR(__xludf.DUMMYFUNCTION("""COMPUTED_VALUE"""),0)</f>
        <v>0</v>
      </c>
      <c r="R1567" s="20"/>
    </row>
    <row r="1568" spans="1:18" ht="13.2" hidden="1" outlineLevel="1" x14ac:dyDescent="0.25">
      <c r="A1568" s="1"/>
      <c r="B1568" s="39" t="str">
        <f ca="1">IFERROR(__xludf.DUMMYFUNCTION("""COMPUTED_VALUE"""),"Leña")</f>
        <v>Leña</v>
      </c>
      <c r="C1568" s="22">
        <f ca="1">IFERROR(__xludf.DUMMYFUNCTION("""COMPUTED_VALUE"""),0)</f>
        <v>0</v>
      </c>
      <c r="D1568" s="23">
        <f ca="1">IFERROR(__xludf.DUMMYFUNCTION("""COMPUTED_VALUE"""),0)</f>
        <v>0</v>
      </c>
      <c r="E1568" s="23">
        <f ca="1">IFERROR(__xludf.DUMMYFUNCTION("""COMPUTED_VALUE"""),0)</f>
        <v>0</v>
      </c>
      <c r="F1568" s="23">
        <f ca="1">IFERROR(__xludf.DUMMYFUNCTION("""COMPUTED_VALUE"""),0)</f>
        <v>0</v>
      </c>
      <c r="G1568" s="23">
        <f ca="1">IFERROR(__xludf.DUMMYFUNCTION("""COMPUTED_VALUE"""),0)</f>
        <v>0</v>
      </c>
      <c r="H1568" s="23">
        <f ca="1">IFERROR(__xludf.DUMMYFUNCTION("""COMPUTED_VALUE"""),0)</f>
        <v>0</v>
      </c>
      <c r="I1568" s="23">
        <f ca="1">IFERROR(__xludf.DUMMYFUNCTION("""COMPUTED_VALUE"""),0)</f>
        <v>0</v>
      </c>
      <c r="J1568" s="23">
        <f ca="1">IFERROR(__xludf.DUMMYFUNCTION("""COMPUTED_VALUE"""),0)</f>
        <v>0</v>
      </c>
      <c r="K1568" s="23">
        <f ca="1">IFERROR(__xludf.DUMMYFUNCTION("""COMPUTED_VALUE"""),0)</f>
        <v>0</v>
      </c>
      <c r="L1568" s="23">
        <f ca="1">IFERROR(__xludf.DUMMYFUNCTION("""COMPUTED_VALUE"""),0)</f>
        <v>0</v>
      </c>
      <c r="M1568" s="23">
        <f ca="1">IFERROR(__xludf.DUMMYFUNCTION("""COMPUTED_VALUE"""),0)</f>
        <v>0</v>
      </c>
      <c r="N1568" s="23">
        <f ca="1">IFERROR(__xludf.DUMMYFUNCTION("""COMPUTED_VALUE"""),0)</f>
        <v>0</v>
      </c>
      <c r="O1568" s="23">
        <f ca="1">IFERROR(__xludf.DUMMYFUNCTION("""COMPUTED_VALUE"""),0)</f>
        <v>0</v>
      </c>
      <c r="P1568" s="23">
        <f ca="1">IFERROR(__xludf.DUMMYFUNCTION("""COMPUTED_VALUE"""),0)</f>
        <v>0</v>
      </c>
      <c r="Q1568" s="24">
        <f ca="1">IFERROR(__xludf.DUMMYFUNCTION("""COMPUTED_VALUE"""),0)</f>
        <v>0</v>
      </c>
      <c r="R1568" s="20"/>
    </row>
    <row r="1569" spans="1:18" ht="13.2" hidden="1" outlineLevel="1" x14ac:dyDescent="0.25">
      <c r="A1569" s="1"/>
      <c r="B1569" s="39" t="str">
        <f ca="1">IFERROR(__xludf.DUMMYFUNCTION("""COMPUTED_VALUE"""),"Biogás")</f>
        <v>Biogás</v>
      </c>
      <c r="C1569" s="22">
        <f ca="1">IFERROR(__xludf.DUMMYFUNCTION("""COMPUTED_VALUE"""),0)</f>
        <v>0</v>
      </c>
      <c r="D1569" s="23">
        <f ca="1">IFERROR(__xludf.DUMMYFUNCTION("""COMPUTED_VALUE"""),0)</f>
        <v>0</v>
      </c>
      <c r="E1569" s="23">
        <f ca="1">IFERROR(__xludf.DUMMYFUNCTION("""COMPUTED_VALUE"""),0)</f>
        <v>0</v>
      </c>
      <c r="F1569" s="23">
        <f ca="1">IFERROR(__xludf.DUMMYFUNCTION("""COMPUTED_VALUE"""),0)</f>
        <v>0</v>
      </c>
      <c r="G1569" s="23">
        <f ca="1">IFERROR(__xludf.DUMMYFUNCTION("""COMPUTED_VALUE"""),0)</f>
        <v>0</v>
      </c>
      <c r="H1569" s="23">
        <f ca="1">IFERROR(__xludf.DUMMYFUNCTION("""COMPUTED_VALUE"""),0)</f>
        <v>0</v>
      </c>
      <c r="I1569" s="23">
        <f ca="1">IFERROR(__xludf.DUMMYFUNCTION("""COMPUTED_VALUE"""),0)</f>
        <v>0</v>
      </c>
      <c r="J1569" s="23">
        <f ca="1">IFERROR(__xludf.DUMMYFUNCTION("""COMPUTED_VALUE"""),0)</f>
        <v>0</v>
      </c>
      <c r="K1569" s="23">
        <f ca="1">IFERROR(__xludf.DUMMYFUNCTION("""COMPUTED_VALUE"""),0)</f>
        <v>0</v>
      </c>
      <c r="L1569" s="23">
        <f ca="1">IFERROR(__xludf.DUMMYFUNCTION("""COMPUTED_VALUE"""),0)</f>
        <v>0</v>
      </c>
      <c r="M1569" s="23">
        <f ca="1">IFERROR(__xludf.DUMMYFUNCTION("""COMPUTED_VALUE"""),0)</f>
        <v>0</v>
      </c>
      <c r="N1569" s="23">
        <f ca="1">IFERROR(__xludf.DUMMYFUNCTION("""COMPUTED_VALUE"""),0)</f>
        <v>0</v>
      </c>
      <c r="O1569" s="23">
        <f ca="1">IFERROR(__xludf.DUMMYFUNCTION("""COMPUTED_VALUE"""),0)</f>
        <v>0</v>
      </c>
      <c r="P1569" s="23">
        <f ca="1">IFERROR(__xludf.DUMMYFUNCTION("""COMPUTED_VALUE"""),0)</f>
        <v>0</v>
      </c>
      <c r="Q1569" s="24">
        <f ca="1">IFERROR(__xludf.DUMMYFUNCTION("""COMPUTED_VALUE"""),0)</f>
        <v>0</v>
      </c>
      <c r="R1569" s="20"/>
    </row>
    <row r="1570" spans="1:18" ht="13.2" hidden="1" outlineLevel="1" x14ac:dyDescent="0.25">
      <c r="A1570" s="1"/>
      <c r="B1570" s="39" t="str">
        <f ca="1">IFERROR(__xludf.DUMMYFUNCTION("""COMPUTED_VALUE"""),"Coque de carbón")</f>
        <v>Coque de carbón</v>
      </c>
      <c r="C1570" s="22">
        <f ca="1">IFERROR(__xludf.DUMMYFUNCTION("""COMPUTED_VALUE"""),0)</f>
        <v>0</v>
      </c>
      <c r="D1570" s="23">
        <f ca="1">IFERROR(__xludf.DUMMYFUNCTION("""COMPUTED_VALUE"""),0)</f>
        <v>0</v>
      </c>
      <c r="E1570" s="23">
        <f ca="1">IFERROR(__xludf.DUMMYFUNCTION("""COMPUTED_VALUE"""),0)</f>
        <v>0</v>
      </c>
      <c r="F1570" s="23">
        <f ca="1">IFERROR(__xludf.DUMMYFUNCTION("""COMPUTED_VALUE"""),0)</f>
        <v>0</v>
      </c>
      <c r="G1570" s="23">
        <f ca="1">IFERROR(__xludf.DUMMYFUNCTION("""COMPUTED_VALUE"""),0)</f>
        <v>0</v>
      </c>
      <c r="H1570" s="23">
        <f ca="1">IFERROR(__xludf.DUMMYFUNCTION("""COMPUTED_VALUE"""),0)</f>
        <v>0</v>
      </c>
      <c r="I1570" s="23">
        <f ca="1">IFERROR(__xludf.DUMMYFUNCTION("""COMPUTED_VALUE"""),0)</f>
        <v>0</v>
      </c>
      <c r="J1570" s="23">
        <f ca="1">IFERROR(__xludf.DUMMYFUNCTION("""COMPUTED_VALUE"""),0)</f>
        <v>0</v>
      </c>
      <c r="K1570" s="23">
        <f ca="1">IFERROR(__xludf.DUMMYFUNCTION("""COMPUTED_VALUE"""),0)</f>
        <v>0</v>
      </c>
      <c r="L1570" s="23">
        <f ca="1">IFERROR(__xludf.DUMMYFUNCTION("""COMPUTED_VALUE"""),0)</f>
        <v>0</v>
      </c>
      <c r="M1570" s="23">
        <f ca="1">IFERROR(__xludf.DUMMYFUNCTION("""COMPUTED_VALUE"""),0)</f>
        <v>0</v>
      </c>
      <c r="N1570" s="23">
        <f ca="1">IFERROR(__xludf.DUMMYFUNCTION("""COMPUTED_VALUE"""),0)</f>
        <v>0</v>
      </c>
      <c r="O1570" s="23">
        <f ca="1">IFERROR(__xludf.DUMMYFUNCTION("""COMPUTED_VALUE"""),0)</f>
        <v>0</v>
      </c>
      <c r="P1570" s="23">
        <f ca="1">IFERROR(__xludf.DUMMYFUNCTION("""COMPUTED_VALUE"""),0)</f>
        <v>0</v>
      </c>
      <c r="Q1570" s="24">
        <f ca="1">IFERROR(__xludf.DUMMYFUNCTION("""COMPUTED_VALUE"""),0)</f>
        <v>0</v>
      </c>
      <c r="R1570" s="20"/>
    </row>
    <row r="1571" spans="1:18" ht="13.2" hidden="1" outlineLevel="1" x14ac:dyDescent="0.25">
      <c r="A1571" s="1"/>
      <c r="B1571" s="39" t="str">
        <f ca="1">IFERROR(__xludf.DUMMYFUNCTION("""COMPUTED_VALUE"""),"Coque de petróleo")</f>
        <v>Coque de petróleo</v>
      </c>
      <c r="C1571" s="22">
        <f ca="1">IFERROR(__xludf.DUMMYFUNCTION("""COMPUTED_VALUE"""),0)</f>
        <v>0</v>
      </c>
      <c r="D1571" s="23">
        <f ca="1">IFERROR(__xludf.DUMMYFUNCTION("""COMPUTED_VALUE"""),0)</f>
        <v>0</v>
      </c>
      <c r="E1571" s="23">
        <f ca="1">IFERROR(__xludf.DUMMYFUNCTION("""COMPUTED_VALUE"""),0)</f>
        <v>0</v>
      </c>
      <c r="F1571" s="23">
        <f ca="1">IFERROR(__xludf.DUMMYFUNCTION("""COMPUTED_VALUE"""),0)</f>
        <v>0</v>
      </c>
      <c r="G1571" s="23">
        <f ca="1">IFERROR(__xludf.DUMMYFUNCTION("""COMPUTED_VALUE"""),0)</f>
        <v>0</v>
      </c>
      <c r="H1571" s="23">
        <f ca="1">IFERROR(__xludf.DUMMYFUNCTION("""COMPUTED_VALUE"""),0)</f>
        <v>0</v>
      </c>
      <c r="I1571" s="23">
        <f ca="1">IFERROR(__xludf.DUMMYFUNCTION("""COMPUTED_VALUE"""),0)</f>
        <v>0</v>
      </c>
      <c r="J1571" s="23">
        <f ca="1">IFERROR(__xludf.DUMMYFUNCTION("""COMPUTED_VALUE"""),0)</f>
        <v>0</v>
      </c>
      <c r="K1571" s="23">
        <f ca="1">IFERROR(__xludf.DUMMYFUNCTION("""COMPUTED_VALUE"""),0)</f>
        <v>0</v>
      </c>
      <c r="L1571" s="23">
        <f ca="1">IFERROR(__xludf.DUMMYFUNCTION("""COMPUTED_VALUE"""),0)</f>
        <v>0</v>
      </c>
      <c r="M1571" s="23">
        <f ca="1">IFERROR(__xludf.DUMMYFUNCTION("""COMPUTED_VALUE"""),0)</f>
        <v>0</v>
      </c>
      <c r="N1571" s="23">
        <f ca="1">IFERROR(__xludf.DUMMYFUNCTION("""COMPUTED_VALUE"""),0)</f>
        <v>0</v>
      </c>
      <c r="O1571" s="23">
        <f ca="1">IFERROR(__xludf.DUMMYFUNCTION("""COMPUTED_VALUE"""),0)</f>
        <v>0</v>
      </c>
      <c r="P1571" s="23">
        <f ca="1">IFERROR(__xludf.DUMMYFUNCTION("""COMPUTED_VALUE"""),0)</f>
        <v>0</v>
      </c>
      <c r="Q1571" s="24">
        <f ca="1">IFERROR(__xludf.DUMMYFUNCTION("""COMPUTED_VALUE"""),0)</f>
        <v>0</v>
      </c>
      <c r="R1571" s="20"/>
    </row>
    <row r="1572" spans="1:18" ht="13.2" hidden="1" outlineLevel="1" x14ac:dyDescent="0.25">
      <c r="A1572" s="1"/>
      <c r="B1572" s="39" t="str">
        <f ca="1">IFERROR(__xludf.DUMMYFUNCTION("""COMPUTED_VALUE"""),"Gas licuado de petróleo")</f>
        <v>Gas licuado de petróleo</v>
      </c>
      <c r="C1572" s="22">
        <f ca="1">IFERROR(__xludf.DUMMYFUNCTION("""COMPUTED_VALUE"""),0)</f>
        <v>0</v>
      </c>
      <c r="D1572" s="23">
        <f ca="1">IFERROR(__xludf.DUMMYFUNCTION("""COMPUTED_VALUE"""),0)</f>
        <v>0</v>
      </c>
      <c r="E1572" s="23">
        <f ca="1">IFERROR(__xludf.DUMMYFUNCTION("""COMPUTED_VALUE"""),0)</f>
        <v>0</v>
      </c>
      <c r="F1572" s="23">
        <f ca="1">IFERROR(__xludf.DUMMYFUNCTION("""COMPUTED_VALUE"""),0)</f>
        <v>0</v>
      </c>
      <c r="G1572" s="23">
        <f ca="1">IFERROR(__xludf.DUMMYFUNCTION("""COMPUTED_VALUE"""),0)</f>
        <v>0</v>
      </c>
      <c r="H1572" s="23">
        <f ca="1">IFERROR(__xludf.DUMMYFUNCTION("""COMPUTED_VALUE"""),0)</f>
        <v>0</v>
      </c>
      <c r="I1572" s="23">
        <f ca="1">IFERROR(__xludf.DUMMYFUNCTION("""COMPUTED_VALUE"""),0)</f>
        <v>0</v>
      </c>
      <c r="J1572" s="23">
        <f ca="1">IFERROR(__xludf.DUMMYFUNCTION("""COMPUTED_VALUE"""),0)</f>
        <v>0</v>
      </c>
      <c r="K1572" s="23">
        <f ca="1">IFERROR(__xludf.DUMMYFUNCTION("""COMPUTED_VALUE"""),0)</f>
        <v>0</v>
      </c>
      <c r="L1572" s="23">
        <f ca="1">IFERROR(__xludf.DUMMYFUNCTION("""COMPUTED_VALUE"""),0)</f>
        <v>0</v>
      </c>
      <c r="M1572" s="23">
        <f ca="1">IFERROR(__xludf.DUMMYFUNCTION("""COMPUTED_VALUE"""),0)</f>
        <v>0</v>
      </c>
      <c r="N1572" s="23">
        <f ca="1">IFERROR(__xludf.DUMMYFUNCTION("""COMPUTED_VALUE"""),0)</f>
        <v>0</v>
      </c>
      <c r="O1572" s="23">
        <f ca="1">IFERROR(__xludf.DUMMYFUNCTION("""COMPUTED_VALUE"""),0)</f>
        <v>0</v>
      </c>
      <c r="P1572" s="23">
        <f ca="1">IFERROR(__xludf.DUMMYFUNCTION("""COMPUTED_VALUE"""),0)</f>
        <v>0</v>
      </c>
      <c r="Q1572" s="24">
        <f ca="1">IFERROR(__xludf.DUMMYFUNCTION("""COMPUTED_VALUE"""),0)</f>
        <v>0</v>
      </c>
      <c r="R1572" s="20"/>
    </row>
    <row r="1573" spans="1:18" ht="13.2" hidden="1" outlineLevel="1" x14ac:dyDescent="0.25">
      <c r="A1573" s="1"/>
      <c r="B1573" s="39" t="str">
        <f ca="1">IFERROR(__xludf.DUMMYFUNCTION("""COMPUTED_VALUE"""),"Gasolinas y naftas")</f>
        <v>Gasolinas y naftas</v>
      </c>
      <c r="C1573" s="22">
        <f ca="1">IFERROR(__xludf.DUMMYFUNCTION("""COMPUTED_VALUE"""),0)</f>
        <v>0</v>
      </c>
      <c r="D1573" s="23">
        <f ca="1">IFERROR(__xludf.DUMMYFUNCTION("""COMPUTED_VALUE"""),0)</f>
        <v>0</v>
      </c>
      <c r="E1573" s="23">
        <f ca="1">IFERROR(__xludf.DUMMYFUNCTION("""COMPUTED_VALUE"""),0)</f>
        <v>0</v>
      </c>
      <c r="F1573" s="23">
        <f ca="1">IFERROR(__xludf.DUMMYFUNCTION("""COMPUTED_VALUE"""),0)</f>
        <v>0</v>
      </c>
      <c r="G1573" s="23">
        <f ca="1">IFERROR(__xludf.DUMMYFUNCTION("""COMPUTED_VALUE"""),0)</f>
        <v>0</v>
      </c>
      <c r="H1573" s="23">
        <f ca="1">IFERROR(__xludf.DUMMYFUNCTION("""COMPUTED_VALUE"""),0)</f>
        <v>0</v>
      </c>
      <c r="I1573" s="23">
        <f ca="1">IFERROR(__xludf.DUMMYFUNCTION("""COMPUTED_VALUE"""),0)</f>
        <v>0</v>
      </c>
      <c r="J1573" s="23">
        <f ca="1">IFERROR(__xludf.DUMMYFUNCTION("""COMPUTED_VALUE"""),0)</f>
        <v>0</v>
      </c>
      <c r="K1573" s="23">
        <f ca="1">IFERROR(__xludf.DUMMYFUNCTION("""COMPUTED_VALUE"""),0)</f>
        <v>0</v>
      </c>
      <c r="L1573" s="23">
        <f ca="1">IFERROR(__xludf.DUMMYFUNCTION("""COMPUTED_VALUE"""),0)</f>
        <v>0</v>
      </c>
      <c r="M1573" s="23">
        <f ca="1">IFERROR(__xludf.DUMMYFUNCTION("""COMPUTED_VALUE"""),0)</f>
        <v>0</v>
      </c>
      <c r="N1573" s="23">
        <f ca="1">IFERROR(__xludf.DUMMYFUNCTION("""COMPUTED_VALUE"""),0)</f>
        <v>0</v>
      </c>
      <c r="O1573" s="23">
        <f ca="1">IFERROR(__xludf.DUMMYFUNCTION("""COMPUTED_VALUE"""),0)</f>
        <v>0</v>
      </c>
      <c r="P1573" s="23">
        <f ca="1">IFERROR(__xludf.DUMMYFUNCTION("""COMPUTED_VALUE"""),0)</f>
        <v>0</v>
      </c>
      <c r="Q1573" s="24">
        <f ca="1">IFERROR(__xludf.DUMMYFUNCTION("""COMPUTED_VALUE"""),0)</f>
        <v>0</v>
      </c>
      <c r="R1573" s="20"/>
    </row>
    <row r="1574" spans="1:18" ht="13.2" hidden="1" outlineLevel="1" x14ac:dyDescent="0.25">
      <c r="A1574" s="1"/>
      <c r="B1574" s="39" t="str">
        <f ca="1">IFERROR(__xludf.DUMMYFUNCTION("""COMPUTED_VALUE"""),"Querosenos")</f>
        <v>Querosenos</v>
      </c>
      <c r="C1574" s="22">
        <f ca="1">IFERROR(__xludf.DUMMYFUNCTION("""COMPUTED_VALUE"""),0)</f>
        <v>0</v>
      </c>
      <c r="D1574" s="23">
        <f ca="1">IFERROR(__xludf.DUMMYFUNCTION("""COMPUTED_VALUE"""),0)</f>
        <v>0</v>
      </c>
      <c r="E1574" s="23">
        <f ca="1">IFERROR(__xludf.DUMMYFUNCTION("""COMPUTED_VALUE"""),0)</f>
        <v>0</v>
      </c>
      <c r="F1574" s="23">
        <f ca="1">IFERROR(__xludf.DUMMYFUNCTION("""COMPUTED_VALUE"""),0)</f>
        <v>0</v>
      </c>
      <c r="G1574" s="23">
        <f ca="1">IFERROR(__xludf.DUMMYFUNCTION("""COMPUTED_VALUE"""),0)</f>
        <v>0</v>
      </c>
      <c r="H1574" s="23">
        <f ca="1">IFERROR(__xludf.DUMMYFUNCTION("""COMPUTED_VALUE"""),0)</f>
        <v>0</v>
      </c>
      <c r="I1574" s="23">
        <f ca="1">IFERROR(__xludf.DUMMYFUNCTION("""COMPUTED_VALUE"""),0)</f>
        <v>0</v>
      </c>
      <c r="J1574" s="23">
        <f ca="1">IFERROR(__xludf.DUMMYFUNCTION("""COMPUTED_VALUE"""),0)</f>
        <v>0</v>
      </c>
      <c r="K1574" s="23">
        <f ca="1">IFERROR(__xludf.DUMMYFUNCTION("""COMPUTED_VALUE"""),0)</f>
        <v>0</v>
      </c>
      <c r="L1574" s="23">
        <f ca="1">IFERROR(__xludf.DUMMYFUNCTION("""COMPUTED_VALUE"""),0)</f>
        <v>0</v>
      </c>
      <c r="M1574" s="23">
        <f ca="1">IFERROR(__xludf.DUMMYFUNCTION("""COMPUTED_VALUE"""),0)</f>
        <v>0</v>
      </c>
      <c r="N1574" s="23">
        <f ca="1">IFERROR(__xludf.DUMMYFUNCTION("""COMPUTED_VALUE"""),0)</f>
        <v>0</v>
      </c>
      <c r="O1574" s="23">
        <f ca="1">IFERROR(__xludf.DUMMYFUNCTION("""COMPUTED_VALUE"""),0)</f>
        <v>0</v>
      </c>
      <c r="P1574" s="23">
        <f ca="1">IFERROR(__xludf.DUMMYFUNCTION("""COMPUTED_VALUE"""),0)</f>
        <v>0</v>
      </c>
      <c r="Q1574" s="24">
        <f ca="1">IFERROR(__xludf.DUMMYFUNCTION("""COMPUTED_VALUE"""),0)</f>
        <v>0</v>
      </c>
      <c r="R1574" s="20"/>
    </row>
    <row r="1575" spans="1:18" ht="13.2" hidden="1" outlineLevel="1" x14ac:dyDescent="0.25">
      <c r="A1575" s="1"/>
      <c r="B1575" s="39" t="str">
        <f ca="1">IFERROR(__xludf.DUMMYFUNCTION("""COMPUTED_VALUE"""),"Diesel")</f>
        <v>Diesel</v>
      </c>
      <c r="C1575" s="22">
        <f ca="1">IFERROR(__xludf.DUMMYFUNCTION("""COMPUTED_VALUE"""),0)</f>
        <v>0</v>
      </c>
      <c r="D1575" s="23">
        <f ca="1">IFERROR(__xludf.DUMMYFUNCTION("""COMPUTED_VALUE"""),0)</f>
        <v>0</v>
      </c>
      <c r="E1575" s="23">
        <f ca="1">IFERROR(__xludf.DUMMYFUNCTION("""COMPUTED_VALUE"""),0)</f>
        <v>0</v>
      </c>
      <c r="F1575" s="23">
        <f ca="1">IFERROR(__xludf.DUMMYFUNCTION("""COMPUTED_VALUE"""),0)</f>
        <v>0</v>
      </c>
      <c r="G1575" s="23">
        <f ca="1">IFERROR(__xludf.DUMMYFUNCTION("""COMPUTED_VALUE"""),0)</f>
        <v>0</v>
      </c>
      <c r="H1575" s="23">
        <f ca="1">IFERROR(__xludf.DUMMYFUNCTION("""COMPUTED_VALUE"""),0)</f>
        <v>0</v>
      </c>
      <c r="I1575" s="23">
        <f ca="1">IFERROR(__xludf.DUMMYFUNCTION("""COMPUTED_VALUE"""),0)</f>
        <v>0</v>
      </c>
      <c r="J1575" s="23">
        <f ca="1">IFERROR(__xludf.DUMMYFUNCTION("""COMPUTED_VALUE"""),0)</f>
        <v>0</v>
      </c>
      <c r="K1575" s="23">
        <f ca="1">IFERROR(__xludf.DUMMYFUNCTION("""COMPUTED_VALUE"""),0)</f>
        <v>0</v>
      </c>
      <c r="L1575" s="23">
        <f ca="1">IFERROR(__xludf.DUMMYFUNCTION("""COMPUTED_VALUE"""),0)</f>
        <v>0</v>
      </c>
      <c r="M1575" s="23">
        <f ca="1">IFERROR(__xludf.DUMMYFUNCTION("""COMPUTED_VALUE"""),0)</f>
        <v>0</v>
      </c>
      <c r="N1575" s="23">
        <f ca="1">IFERROR(__xludf.DUMMYFUNCTION("""COMPUTED_VALUE"""),0)</f>
        <v>0</v>
      </c>
      <c r="O1575" s="23">
        <f ca="1">IFERROR(__xludf.DUMMYFUNCTION("""COMPUTED_VALUE"""),0)</f>
        <v>0</v>
      </c>
      <c r="P1575" s="23">
        <f ca="1">IFERROR(__xludf.DUMMYFUNCTION("""COMPUTED_VALUE"""),0)</f>
        <v>0</v>
      </c>
      <c r="Q1575" s="24">
        <f ca="1">IFERROR(__xludf.DUMMYFUNCTION("""COMPUTED_VALUE"""),0)</f>
        <v>0</v>
      </c>
      <c r="R1575" s="20"/>
    </row>
    <row r="1576" spans="1:18" ht="13.2" hidden="1" outlineLevel="1" x14ac:dyDescent="0.25">
      <c r="A1576" s="1"/>
      <c r="B1576" s="39" t="str">
        <f ca="1">IFERROR(__xludf.DUMMYFUNCTION("""COMPUTED_VALUE"""),"Combustóleo")</f>
        <v>Combustóleo</v>
      </c>
      <c r="C1576" s="22">
        <f ca="1">IFERROR(__xludf.DUMMYFUNCTION("""COMPUTED_VALUE"""),0.068955258874679)</f>
        <v>6.8955258874679001E-2</v>
      </c>
      <c r="D1576" s="23">
        <f ca="1">IFERROR(__xludf.DUMMYFUNCTION("""COMPUTED_VALUE"""),0.0220674443999553)</f>
        <v>2.20674443999553E-2</v>
      </c>
      <c r="E1576" s="23">
        <f ca="1">IFERROR(__xludf.DUMMYFUNCTION("""COMPUTED_VALUE"""),0.0386904154184707)</f>
        <v>3.8690415418470701E-2</v>
      </c>
      <c r="F1576" s="23">
        <f ca="1">IFERROR(__xludf.DUMMYFUNCTION("""COMPUTED_VALUE"""),0.0102886681304654)</f>
        <v>1.02886681304654E-2</v>
      </c>
      <c r="G1576" s="23">
        <f ca="1">IFERROR(__xludf.DUMMYFUNCTION("""COMPUTED_VALUE"""),0.00981446034322963)</f>
        <v>9.8144603432296293E-3</v>
      </c>
      <c r="H1576" s="23">
        <f ca="1">IFERROR(__xludf.DUMMYFUNCTION("""COMPUTED_VALUE"""),0.00924465219135828)</f>
        <v>9.2446521913582807E-3</v>
      </c>
      <c r="I1576" s="23">
        <f ca="1">IFERROR(__xludf.DUMMYFUNCTION("""COMPUTED_VALUE"""),0.00799215408650545)</f>
        <v>7.99215408650545E-3</v>
      </c>
      <c r="J1576" s="23">
        <f ca="1">IFERROR(__xludf.DUMMYFUNCTION("""COMPUTED_VALUE"""),0.00861955415225055)</f>
        <v>8.6195541522505505E-3</v>
      </c>
      <c r="K1576" s="23">
        <f ca="1">IFERROR(__xludf.DUMMYFUNCTION("""COMPUTED_VALUE"""),0.00891724297780188)</f>
        <v>8.91724297780188E-3</v>
      </c>
      <c r="L1576" s="23">
        <f ca="1">IFERROR(__xludf.DUMMYFUNCTION("""COMPUTED_VALUE"""),0.00843366127954601)</f>
        <v>8.4336612795460099E-3</v>
      </c>
      <c r="M1576" s="23">
        <f ca="1">IFERROR(__xludf.DUMMYFUNCTION("""COMPUTED_VALUE"""),0.00866605853302422)</f>
        <v>8.6660585330242193E-3</v>
      </c>
      <c r="N1576" s="23">
        <f ca="1">IFERROR(__xludf.DUMMYFUNCTION("""COMPUTED_VALUE"""),0.00882423125908655)</f>
        <v>8.8242312590865492E-3</v>
      </c>
      <c r="O1576" s="23">
        <f ca="1">IFERROR(__xludf.DUMMYFUNCTION("""COMPUTED_VALUE"""),0.0189286107573189)</f>
        <v>1.8928610757318901E-2</v>
      </c>
      <c r="P1576" s="23">
        <f ca="1">IFERROR(__xludf.DUMMYFUNCTION("""COMPUTED_VALUE"""),0.0180919486761092)</f>
        <v>1.80919486761092E-2</v>
      </c>
      <c r="Q1576" s="24">
        <f ca="1">IFERROR(__xludf.DUMMYFUNCTION("""COMPUTED_VALUE"""),0.00424791341635576)</f>
        <v>4.2479134163557596E-3</v>
      </c>
      <c r="R1576" s="20"/>
    </row>
    <row r="1577" spans="1:18" ht="13.2" hidden="1" outlineLevel="1" x14ac:dyDescent="0.25">
      <c r="A1577" s="1"/>
      <c r="B1577" s="39" t="str">
        <f ca="1">IFERROR(__xludf.DUMMYFUNCTION("""COMPUTED_VALUE"""),"Otros energéticos")</f>
        <v>Otros energéticos</v>
      </c>
      <c r="C1577" s="22">
        <f ca="1">IFERROR(__xludf.DUMMYFUNCTION("""COMPUTED_VALUE"""),0)</f>
        <v>0</v>
      </c>
      <c r="D1577" s="23">
        <f ca="1">IFERROR(__xludf.DUMMYFUNCTION("""COMPUTED_VALUE"""),0)</f>
        <v>0</v>
      </c>
      <c r="E1577" s="23">
        <f ca="1">IFERROR(__xludf.DUMMYFUNCTION("""COMPUTED_VALUE"""),0)</f>
        <v>0</v>
      </c>
      <c r="F1577" s="23">
        <f ca="1">IFERROR(__xludf.DUMMYFUNCTION("""COMPUTED_VALUE"""),0)</f>
        <v>0</v>
      </c>
      <c r="G1577" s="23">
        <f ca="1">IFERROR(__xludf.DUMMYFUNCTION("""COMPUTED_VALUE"""),0)</f>
        <v>0</v>
      </c>
      <c r="H1577" s="23">
        <f ca="1">IFERROR(__xludf.DUMMYFUNCTION("""COMPUTED_VALUE"""),0)</f>
        <v>0</v>
      </c>
      <c r="I1577" s="23">
        <f ca="1">IFERROR(__xludf.DUMMYFUNCTION("""COMPUTED_VALUE"""),0)</f>
        <v>0</v>
      </c>
      <c r="J1577" s="23">
        <f ca="1">IFERROR(__xludf.DUMMYFUNCTION("""COMPUTED_VALUE"""),0)</f>
        <v>0</v>
      </c>
      <c r="K1577" s="23">
        <f ca="1">IFERROR(__xludf.DUMMYFUNCTION("""COMPUTED_VALUE"""),0)</f>
        <v>0</v>
      </c>
      <c r="L1577" s="23">
        <f ca="1">IFERROR(__xludf.DUMMYFUNCTION("""COMPUTED_VALUE"""),0)</f>
        <v>0</v>
      </c>
      <c r="M1577" s="23">
        <f ca="1">IFERROR(__xludf.DUMMYFUNCTION("""COMPUTED_VALUE"""),0)</f>
        <v>0</v>
      </c>
      <c r="N1577" s="23">
        <f ca="1">IFERROR(__xludf.DUMMYFUNCTION("""COMPUTED_VALUE"""),0)</f>
        <v>0</v>
      </c>
      <c r="O1577" s="23">
        <f ca="1">IFERROR(__xludf.DUMMYFUNCTION("""COMPUTED_VALUE"""),0)</f>
        <v>0</v>
      </c>
      <c r="P1577" s="23">
        <f ca="1">IFERROR(__xludf.DUMMYFUNCTION("""COMPUTED_VALUE"""),0)</f>
        <v>0</v>
      </c>
      <c r="Q1577" s="24">
        <f ca="1">IFERROR(__xludf.DUMMYFUNCTION("""COMPUTED_VALUE"""),0)</f>
        <v>0</v>
      </c>
      <c r="R1577" s="20"/>
    </row>
    <row r="1578" spans="1:18" ht="13.2" hidden="1" outlineLevel="1" x14ac:dyDescent="0.25">
      <c r="A1578" s="1"/>
      <c r="B1578" s="39" t="str">
        <f ca="1">IFERROR(__xludf.DUMMYFUNCTION("""COMPUTED_VALUE"""),"Gas natural seco")</f>
        <v>Gas natural seco</v>
      </c>
      <c r="C1578" s="22">
        <f ca="1">IFERROR(__xludf.DUMMYFUNCTION("""COMPUTED_VALUE"""),0.0186500082995048)</f>
        <v>1.8650008299504799E-2</v>
      </c>
      <c r="D1578" s="23">
        <f ca="1">IFERROR(__xludf.DUMMYFUNCTION("""COMPUTED_VALUE"""),0.0141713750740974)</f>
        <v>1.41713750740974E-2</v>
      </c>
      <c r="E1578" s="23">
        <f ca="1">IFERROR(__xludf.DUMMYFUNCTION("""COMPUTED_VALUE"""),0.013728662576574)</f>
        <v>1.3728662576573999E-2</v>
      </c>
      <c r="F1578" s="23">
        <f ca="1">IFERROR(__xludf.DUMMYFUNCTION("""COMPUTED_VALUE"""),0.0172660988084721)</f>
        <v>1.7266098808472099E-2</v>
      </c>
      <c r="G1578" s="23">
        <f ca="1">IFERROR(__xludf.DUMMYFUNCTION("""COMPUTED_VALUE"""),0.0299860761172258)</f>
        <v>2.9986076117225799E-2</v>
      </c>
      <c r="H1578" s="23">
        <f ca="1">IFERROR(__xludf.DUMMYFUNCTION("""COMPUTED_VALUE"""),0.0300187308994117)</f>
        <v>3.0018730899411698E-2</v>
      </c>
      <c r="I1578" s="23">
        <f ca="1">IFERROR(__xludf.DUMMYFUNCTION("""COMPUTED_VALUE"""),0.0300004629701075)</f>
        <v>3.00004629701075E-2</v>
      </c>
      <c r="J1578" s="23">
        <f ca="1">IFERROR(__xludf.DUMMYFUNCTION("""COMPUTED_VALUE"""),0.0285262459531742)</f>
        <v>2.8526245953174201E-2</v>
      </c>
      <c r="K1578" s="23">
        <f ca="1">IFERROR(__xludf.DUMMYFUNCTION("""COMPUTED_VALUE"""),0.0336940080971659)</f>
        <v>3.3694008097165898E-2</v>
      </c>
      <c r="L1578" s="23">
        <f ca="1">IFERROR(__xludf.DUMMYFUNCTION("""COMPUTED_VALUE"""),0.0356489298679225)</f>
        <v>3.5648929867922501E-2</v>
      </c>
      <c r="M1578" s="23">
        <f ca="1">IFERROR(__xludf.DUMMYFUNCTION("""COMPUTED_VALUE"""),0.0328831250061973)</f>
        <v>3.2883125006197299E-2</v>
      </c>
      <c r="N1578" s="23">
        <f ca="1">IFERROR(__xludf.DUMMYFUNCTION("""COMPUTED_VALUE"""),0.0404948798038726)</f>
        <v>4.0494879803872598E-2</v>
      </c>
      <c r="O1578" s="23">
        <f ca="1">IFERROR(__xludf.DUMMYFUNCTION("""COMPUTED_VALUE"""),0.0467052493351344)</f>
        <v>4.6705249335134397E-2</v>
      </c>
      <c r="P1578" s="23">
        <f ca="1">IFERROR(__xludf.DUMMYFUNCTION("""COMPUTED_VALUE"""),0.0488638625688082)</f>
        <v>4.8863862568808203E-2</v>
      </c>
      <c r="Q1578" s="24">
        <f ca="1">IFERROR(__xludf.DUMMYFUNCTION("""COMPUTED_VALUE"""),0.0265635142518575)</f>
        <v>2.65635142518575E-2</v>
      </c>
      <c r="R1578" s="20"/>
    </row>
    <row r="1579" spans="1:18" ht="13.2" hidden="1" outlineLevel="1" x14ac:dyDescent="0.25">
      <c r="A1579" s="1"/>
      <c r="B1579" s="40" t="str">
        <f ca="1">IFERROR(__xludf.DUMMYFUNCTION("""COMPUTED_VALUE"""),"Energía eléctrica")</f>
        <v>Energía eléctrica</v>
      </c>
      <c r="C1579" s="26">
        <f ca="1">IFERROR(__xludf.DUMMYFUNCTION("""COMPUTED_VALUE"""),1.00827947183351)</f>
        <v>1.00827947183351</v>
      </c>
      <c r="D1579" s="27">
        <f ca="1">IFERROR(__xludf.DUMMYFUNCTION("""COMPUTED_VALUE"""),1.00243993734881)</f>
        <v>1.00243993734881</v>
      </c>
      <c r="E1579" s="27">
        <f ca="1">IFERROR(__xludf.DUMMYFUNCTION("""COMPUTED_VALUE"""),1.15091488752973)</f>
        <v>1.1509148875297299</v>
      </c>
      <c r="F1579" s="27">
        <f ca="1">IFERROR(__xludf.DUMMYFUNCTION("""COMPUTED_VALUE"""),0.771442153647342)</f>
        <v>0.77144215364734203</v>
      </c>
      <c r="G1579" s="27">
        <f ca="1">IFERROR(__xludf.DUMMYFUNCTION("""COMPUTED_VALUE"""),0.910271196316521)</f>
        <v>0.91027119631652098</v>
      </c>
      <c r="H1579" s="27">
        <f ca="1">IFERROR(__xludf.DUMMYFUNCTION("""COMPUTED_VALUE"""),0.963922652837065)</f>
        <v>0.96392265283706502</v>
      </c>
      <c r="I1579" s="27">
        <f ca="1">IFERROR(__xludf.DUMMYFUNCTION("""COMPUTED_VALUE"""),0.950926469393435)</f>
        <v>0.95092646939343495</v>
      </c>
      <c r="J1579" s="27">
        <f ca="1">IFERROR(__xludf.DUMMYFUNCTION("""COMPUTED_VALUE"""),1.02212184980392)</f>
        <v>1.02212184980392</v>
      </c>
      <c r="K1579" s="27">
        <f ca="1">IFERROR(__xludf.DUMMYFUNCTION("""COMPUTED_VALUE"""),1.00123557413101)</f>
        <v>1.0012355741310099</v>
      </c>
      <c r="L1579" s="27">
        <f ca="1">IFERROR(__xludf.DUMMYFUNCTION("""COMPUTED_VALUE"""),1.06920892150594)</f>
        <v>1.0692089215059399</v>
      </c>
      <c r="M1579" s="27">
        <f ca="1">IFERROR(__xludf.DUMMYFUNCTION("""COMPUTED_VALUE"""),0.94671892951942)</f>
        <v>0.94671892951942005</v>
      </c>
      <c r="N1579" s="27">
        <f ca="1">IFERROR(__xludf.DUMMYFUNCTION("""COMPUTED_VALUE"""),1.74970060627439)</f>
        <v>1.7497006062743901</v>
      </c>
      <c r="O1579" s="27">
        <f ca="1">IFERROR(__xludf.DUMMYFUNCTION("""COMPUTED_VALUE"""),1.41999091233311)</f>
        <v>1.41999091233311</v>
      </c>
      <c r="P1579" s="27">
        <f ca="1">IFERROR(__xludf.DUMMYFUNCTION("""COMPUTED_VALUE"""),1.52702448419627)</f>
        <v>1.5270244841962699</v>
      </c>
      <c r="Q1579" s="28">
        <f ca="1">IFERROR(__xludf.DUMMYFUNCTION("""COMPUTED_VALUE"""),1.31798639376318)</f>
        <v>1.3179863937631799</v>
      </c>
      <c r="R1579" s="20"/>
    </row>
    <row r="1580" spans="1:18" ht="13.2" collapsed="1" x14ac:dyDescent="0.25">
      <c r="A1580" s="1"/>
      <c r="B1580" s="31" t="str">
        <f ca="1">IFERROR(__xludf.DUMMYFUNCTION("""COMPUTED_VALUE"""),"335	Fabricación de accesorios, aparatos eléctricos y equipo de generación de energía eléctrica")</f>
        <v>335	Fabricación de accesorios, aparatos eléctricos y equipo de generación de energía eléctrica</v>
      </c>
      <c r="C1580" s="41"/>
      <c r="D1580" s="42"/>
      <c r="E1580" s="41"/>
      <c r="F1580" s="41"/>
      <c r="G1580" s="43"/>
      <c r="H1580" s="44"/>
      <c r="I1580" s="45"/>
      <c r="J1580" s="45"/>
      <c r="K1580" s="45"/>
      <c r="L1580" s="45"/>
      <c r="M1580" s="45"/>
      <c r="N1580" s="45"/>
      <c r="O1580" s="45"/>
      <c r="P1580" s="45"/>
      <c r="Q1580" s="45"/>
      <c r="R1580" s="10"/>
    </row>
    <row r="1581" spans="1:18" ht="13.2" hidden="1" outlineLevel="1" x14ac:dyDescent="0.25">
      <c r="A1581" s="1"/>
      <c r="B1581" s="46"/>
      <c r="C1581" s="35">
        <f ca="1">IFERROR(__xludf.DUMMYFUNCTION("""COMPUTED_VALUE"""),2010)</f>
        <v>2010</v>
      </c>
      <c r="D1581" s="36">
        <f ca="1">IFERROR(__xludf.DUMMYFUNCTION("""COMPUTED_VALUE"""),2011)</f>
        <v>2011</v>
      </c>
      <c r="E1581" s="36">
        <f ca="1">IFERROR(__xludf.DUMMYFUNCTION("""COMPUTED_VALUE"""),2012)</f>
        <v>2012</v>
      </c>
      <c r="F1581" s="36">
        <f ca="1">IFERROR(__xludf.DUMMYFUNCTION("""COMPUTED_VALUE"""),2013)</f>
        <v>2013</v>
      </c>
      <c r="G1581" s="36">
        <f ca="1">IFERROR(__xludf.DUMMYFUNCTION("""COMPUTED_VALUE"""),2014)</f>
        <v>2014</v>
      </c>
      <c r="H1581" s="36">
        <f ca="1">IFERROR(__xludf.DUMMYFUNCTION("""COMPUTED_VALUE"""),2015)</f>
        <v>2015</v>
      </c>
      <c r="I1581" s="36">
        <f ca="1">IFERROR(__xludf.DUMMYFUNCTION("""COMPUTED_VALUE"""),2016)</f>
        <v>2016</v>
      </c>
      <c r="J1581" s="36">
        <f ca="1">IFERROR(__xludf.DUMMYFUNCTION("""COMPUTED_VALUE"""),2017)</f>
        <v>2017</v>
      </c>
      <c r="K1581" s="36">
        <f ca="1">IFERROR(__xludf.DUMMYFUNCTION("""COMPUTED_VALUE"""),2018)</f>
        <v>2018</v>
      </c>
      <c r="L1581" s="36">
        <f ca="1">IFERROR(__xludf.DUMMYFUNCTION("""COMPUTED_VALUE"""),2019)</f>
        <v>2019</v>
      </c>
      <c r="M1581" s="36">
        <f ca="1">IFERROR(__xludf.DUMMYFUNCTION("""COMPUTED_VALUE"""),2020)</f>
        <v>2020</v>
      </c>
      <c r="N1581" s="36">
        <f ca="1">IFERROR(__xludf.DUMMYFUNCTION("""COMPUTED_VALUE"""),2021)</f>
        <v>2021</v>
      </c>
      <c r="O1581" s="36">
        <f ca="1">IFERROR(__xludf.DUMMYFUNCTION("""COMPUTED_VALUE"""),2022)</f>
        <v>2022</v>
      </c>
      <c r="P1581" s="36">
        <f ca="1">IFERROR(__xludf.DUMMYFUNCTION("""COMPUTED_VALUE"""),2023)</f>
        <v>2023</v>
      </c>
      <c r="Q1581" s="37">
        <f ca="1">IFERROR(__xludf.DUMMYFUNCTION("""COMPUTED_VALUE"""),2024)</f>
        <v>2024</v>
      </c>
      <c r="R1581" s="15"/>
    </row>
    <row r="1582" spans="1:18" ht="13.2" hidden="1" outlineLevel="1" x14ac:dyDescent="0.25">
      <c r="A1582" s="1"/>
      <c r="B1582" s="38" t="str">
        <f ca="1">IFERROR(__xludf.DUMMYFUNCTION("""COMPUTED_VALUE"""),"Carbón mineral")</f>
        <v>Carbón mineral</v>
      </c>
      <c r="C1582" s="17">
        <f ca="1">IFERROR(__xludf.DUMMYFUNCTION("""COMPUTED_VALUE"""),0)</f>
        <v>0</v>
      </c>
      <c r="D1582" s="18">
        <f ca="1">IFERROR(__xludf.DUMMYFUNCTION("""COMPUTED_VALUE"""),0)</f>
        <v>0</v>
      </c>
      <c r="E1582" s="18">
        <f ca="1">IFERROR(__xludf.DUMMYFUNCTION("""COMPUTED_VALUE"""),0)</f>
        <v>0</v>
      </c>
      <c r="F1582" s="18">
        <f ca="1">IFERROR(__xludf.DUMMYFUNCTION("""COMPUTED_VALUE"""),0)</f>
        <v>0</v>
      </c>
      <c r="G1582" s="18">
        <f ca="1">IFERROR(__xludf.DUMMYFUNCTION("""COMPUTED_VALUE"""),0)</f>
        <v>0</v>
      </c>
      <c r="H1582" s="18">
        <f ca="1">IFERROR(__xludf.DUMMYFUNCTION("""COMPUTED_VALUE"""),0)</f>
        <v>0</v>
      </c>
      <c r="I1582" s="18">
        <f ca="1">IFERROR(__xludf.DUMMYFUNCTION("""COMPUTED_VALUE"""),0)</f>
        <v>0</v>
      </c>
      <c r="J1582" s="18">
        <f ca="1">IFERROR(__xludf.DUMMYFUNCTION("""COMPUTED_VALUE"""),0)</f>
        <v>0</v>
      </c>
      <c r="K1582" s="18">
        <f ca="1">IFERROR(__xludf.DUMMYFUNCTION("""COMPUTED_VALUE"""),0)</f>
        <v>0</v>
      </c>
      <c r="L1582" s="18">
        <f ca="1">IFERROR(__xludf.DUMMYFUNCTION("""COMPUTED_VALUE"""),0)</f>
        <v>0</v>
      </c>
      <c r="M1582" s="18">
        <f ca="1">IFERROR(__xludf.DUMMYFUNCTION("""COMPUTED_VALUE"""),0)</f>
        <v>0</v>
      </c>
      <c r="N1582" s="18">
        <f ca="1">IFERROR(__xludf.DUMMYFUNCTION("""COMPUTED_VALUE"""),0)</f>
        <v>0</v>
      </c>
      <c r="O1582" s="18">
        <f ca="1">IFERROR(__xludf.DUMMYFUNCTION("""COMPUTED_VALUE"""),0)</f>
        <v>0</v>
      </c>
      <c r="P1582" s="18">
        <f ca="1">IFERROR(__xludf.DUMMYFUNCTION("""COMPUTED_VALUE"""),0)</f>
        <v>0</v>
      </c>
      <c r="Q1582" s="19">
        <f ca="1">IFERROR(__xludf.DUMMYFUNCTION("""COMPUTED_VALUE"""),0)</f>
        <v>0</v>
      </c>
      <c r="R1582" s="20"/>
    </row>
    <row r="1583" spans="1:18" ht="13.2" hidden="1" outlineLevel="1" x14ac:dyDescent="0.25">
      <c r="A1583" s="1"/>
      <c r="B1583" s="39" t="str">
        <f ca="1">IFERROR(__xludf.DUMMYFUNCTION("""COMPUTED_VALUE"""),"Petróleo crudo")</f>
        <v>Petróleo crudo</v>
      </c>
      <c r="C1583" s="22">
        <f ca="1">IFERROR(__xludf.DUMMYFUNCTION("""COMPUTED_VALUE"""),0)</f>
        <v>0</v>
      </c>
      <c r="D1583" s="23">
        <f ca="1">IFERROR(__xludf.DUMMYFUNCTION("""COMPUTED_VALUE"""),0)</f>
        <v>0</v>
      </c>
      <c r="E1583" s="23">
        <f ca="1">IFERROR(__xludf.DUMMYFUNCTION("""COMPUTED_VALUE"""),0)</f>
        <v>0</v>
      </c>
      <c r="F1583" s="23">
        <f ca="1">IFERROR(__xludf.DUMMYFUNCTION("""COMPUTED_VALUE"""),0)</f>
        <v>0</v>
      </c>
      <c r="G1583" s="23">
        <f ca="1">IFERROR(__xludf.DUMMYFUNCTION("""COMPUTED_VALUE"""),0)</f>
        <v>0</v>
      </c>
      <c r="H1583" s="23">
        <f ca="1">IFERROR(__xludf.DUMMYFUNCTION("""COMPUTED_VALUE"""),0)</f>
        <v>0</v>
      </c>
      <c r="I1583" s="23">
        <f ca="1">IFERROR(__xludf.DUMMYFUNCTION("""COMPUTED_VALUE"""),0)</f>
        <v>0</v>
      </c>
      <c r="J1583" s="23">
        <f ca="1">IFERROR(__xludf.DUMMYFUNCTION("""COMPUTED_VALUE"""),0)</f>
        <v>0</v>
      </c>
      <c r="K1583" s="23">
        <f ca="1">IFERROR(__xludf.DUMMYFUNCTION("""COMPUTED_VALUE"""),0)</f>
        <v>0</v>
      </c>
      <c r="L1583" s="23">
        <f ca="1">IFERROR(__xludf.DUMMYFUNCTION("""COMPUTED_VALUE"""),0)</f>
        <v>0</v>
      </c>
      <c r="M1583" s="23">
        <f ca="1">IFERROR(__xludf.DUMMYFUNCTION("""COMPUTED_VALUE"""),0)</f>
        <v>0</v>
      </c>
      <c r="N1583" s="23">
        <f ca="1">IFERROR(__xludf.DUMMYFUNCTION("""COMPUTED_VALUE"""),0)</f>
        <v>0</v>
      </c>
      <c r="O1583" s="23">
        <f ca="1">IFERROR(__xludf.DUMMYFUNCTION("""COMPUTED_VALUE"""),0)</f>
        <v>0</v>
      </c>
      <c r="P1583" s="23">
        <f ca="1">IFERROR(__xludf.DUMMYFUNCTION("""COMPUTED_VALUE"""),0)</f>
        <v>0</v>
      </c>
      <c r="Q1583" s="24">
        <f ca="1">IFERROR(__xludf.DUMMYFUNCTION("""COMPUTED_VALUE"""),0)</f>
        <v>0</v>
      </c>
      <c r="R1583" s="20"/>
    </row>
    <row r="1584" spans="1:18" ht="13.2" hidden="1" outlineLevel="1" x14ac:dyDescent="0.25">
      <c r="A1584" s="1"/>
      <c r="B1584" s="39" t="str">
        <f ca="1">IFERROR(__xludf.DUMMYFUNCTION("""COMPUTED_VALUE"""),"Condensados")</f>
        <v>Condensados</v>
      </c>
      <c r="C1584" s="22">
        <f ca="1">IFERROR(__xludf.DUMMYFUNCTION("""COMPUTED_VALUE"""),0)</f>
        <v>0</v>
      </c>
      <c r="D1584" s="23">
        <f ca="1">IFERROR(__xludf.DUMMYFUNCTION("""COMPUTED_VALUE"""),0)</f>
        <v>0</v>
      </c>
      <c r="E1584" s="23">
        <f ca="1">IFERROR(__xludf.DUMMYFUNCTION("""COMPUTED_VALUE"""),0)</f>
        <v>0</v>
      </c>
      <c r="F1584" s="23">
        <f ca="1">IFERROR(__xludf.DUMMYFUNCTION("""COMPUTED_VALUE"""),0)</f>
        <v>0</v>
      </c>
      <c r="G1584" s="23">
        <f ca="1">IFERROR(__xludf.DUMMYFUNCTION("""COMPUTED_VALUE"""),0)</f>
        <v>0</v>
      </c>
      <c r="H1584" s="23">
        <f ca="1">IFERROR(__xludf.DUMMYFUNCTION("""COMPUTED_VALUE"""),0)</f>
        <v>0</v>
      </c>
      <c r="I1584" s="23">
        <f ca="1">IFERROR(__xludf.DUMMYFUNCTION("""COMPUTED_VALUE"""),0)</f>
        <v>0</v>
      </c>
      <c r="J1584" s="23">
        <f ca="1">IFERROR(__xludf.DUMMYFUNCTION("""COMPUTED_VALUE"""),0)</f>
        <v>0</v>
      </c>
      <c r="K1584" s="23">
        <f ca="1">IFERROR(__xludf.DUMMYFUNCTION("""COMPUTED_VALUE"""),0)</f>
        <v>0</v>
      </c>
      <c r="L1584" s="23">
        <f ca="1">IFERROR(__xludf.DUMMYFUNCTION("""COMPUTED_VALUE"""),0)</f>
        <v>0</v>
      </c>
      <c r="M1584" s="23">
        <f ca="1">IFERROR(__xludf.DUMMYFUNCTION("""COMPUTED_VALUE"""),0)</f>
        <v>0</v>
      </c>
      <c r="N1584" s="23">
        <f ca="1">IFERROR(__xludf.DUMMYFUNCTION("""COMPUTED_VALUE"""),0)</f>
        <v>0</v>
      </c>
      <c r="O1584" s="23">
        <f ca="1">IFERROR(__xludf.DUMMYFUNCTION("""COMPUTED_VALUE"""),0)</f>
        <v>0</v>
      </c>
      <c r="P1584" s="23">
        <f ca="1">IFERROR(__xludf.DUMMYFUNCTION("""COMPUTED_VALUE"""),0)</f>
        <v>0</v>
      </c>
      <c r="Q1584" s="24">
        <f ca="1">IFERROR(__xludf.DUMMYFUNCTION("""COMPUTED_VALUE"""),0)</f>
        <v>0</v>
      </c>
      <c r="R1584" s="20"/>
    </row>
    <row r="1585" spans="1:18" ht="13.2" hidden="1" outlineLevel="1" x14ac:dyDescent="0.25">
      <c r="A1585" s="1"/>
      <c r="B1585" s="39" t="str">
        <f ca="1">IFERROR(__xludf.DUMMYFUNCTION("""COMPUTED_VALUE"""),"Gas natural")</f>
        <v>Gas natural</v>
      </c>
      <c r="C1585" s="22">
        <f ca="1">IFERROR(__xludf.DUMMYFUNCTION("""COMPUTED_VALUE"""),0)</f>
        <v>0</v>
      </c>
      <c r="D1585" s="23">
        <f ca="1">IFERROR(__xludf.DUMMYFUNCTION("""COMPUTED_VALUE"""),0)</f>
        <v>0</v>
      </c>
      <c r="E1585" s="23">
        <f ca="1">IFERROR(__xludf.DUMMYFUNCTION("""COMPUTED_VALUE"""),0)</f>
        <v>0</v>
      </c>
      <c r="F1585" s="23">
        <f ca="1">IFERROR(__xludf.DUMMYFUNCTION("""COMPUTED_VALUE"""),0)</f>
        <v>0</v>
      </c>
      <c r="G1585" s="23">
        <f ca="1">IFERROR(__xludf.DUMMYFUNCTION("""COMPUTED_VALUE"""),0)</f>
        <v>0</v>
      </c>
      <c r="H1585" s="23">
        <f ca="1">IFERROR(__xludf.DUMMYFUNCTION("""COMPUTED_VALUE"""),0)</f>
        <v>0</v>
      </c>
      <c r="I1585" s="23">
        <f ca="1">IFERROR(__xludf.DUMMYFUNCTION("""COMPUTED_VALUE"""),0)</f>
        <v>0</v>
      </c>
      <c r="J1585" s="23">
        <f ca="1">IFERROR(__xludf.DUMMYFUNCTION("""COMPUTED_VALUE"""),0)</f>
        <v>0</v>
      </c>
      <c r="K1585" s="23">
        <f ca="1">IFERROR(__xludf.DUMMYFUNCTION("""COMPUTED_VALUE"""),0)</f>
        <v>0</v>
      </c>
      <c r="L1585" s="23">
        <f ca="1">IFERROR(__xludf.DUMMYFUNCTION("""COMPUTED_VALUE"""),0)</f>
        <v>0</v>
      </c>
      <c r="M1585" s="23">
        <f ca="1">IFERROR(__xludf.DUMMYFUNCTION("""COMPUTED_VALUE"""),0)</f>
        <v>0</v>
      </c>
      <c r="N1585" s="23">
        <f ca="1">IFERROR(__xludf.DUMMYFUNCTION("""COMPUTED_VALUE"""),0)</f>
        <v>0</v>
      </c>
      <c r="O1585" s="23">
        <f ca="1">IFERROR(__xludf.DUMMYFUNCTION("""COMPUTED_VALUE"""),0)</f>
        <v>0</v>
      </c>
      <c r="P1585" s="23">
        <f ca="1">IFERROR(__xludf.DUMMYFUNCTION("""COMPUTED_VALUE"""),0)</f>
        <v>0</v>
      </c>
      <c r="Q1585" s="24">
        <f ca="1">IFERROR(__xludf.DUMMYFUNCTION("""COMPUTED_VALUE"""),0)</f>
        <v>0</v>
      </c>
      <c r="R1585" s="20"/>
    </row>
    <row r="1586" spans="1:18" ht="13.2" hidden="1" outlineLevel="1" x14ac:dyDescent="0.25">
      <c r="A1586" s="1"/>
      <c r="B1586" s="39" t="str">
        <f ca="1">IFERROR(__xludf.DUMMYFUNCTION("""COMPUTED_VALUE"""),"Energía Nuclear")</f>
        <v>Energía Nuclear</v>
      </c>
      <c r="C1586" s="22">
        <f ca="1">IFERROR(__xludf.DUMMYFUNCTION("""COMPUTED_VALUE"""),0)</f>
        <v>0</v>
      </c>
      <c r="D1586" s="23">
        <f ca="1">IFERROR(__xludf.DUMMYFUNCTION("""COMPUTED_VALUE"""),0)</f>
        <v>0</v>
      </c>
      <c r="E1586" s="23">
        <f ca="1">IFERROR(__xludf.DUMMYFUNCTION("""COMPUTED_VALUE"""),0)</f>
        <v>0</v>
      </c>
      <c r="F1586" s="23">
        <f ca="1">IFERROR(__xludf.DUMMYFUNCTION("""COMPUTED_VALUE"""),0)</f>
        <v>0</v>
      </c>
      <c r="G1586" s="23">
        <f ca="1">IFERROR(__xludf.DUMMYFUNCTION("""COMPUTED_VALUE"""),0)</f>
        <v>0</v>
      </c>
      <c r="H1586" s="23">
        <f ca="1">IFERROR(__xludf.DUMMYFUNCTION("""COMPUTED_VALUE"""),0)</f>
        <v>0</v>
      </c>
      <c r="I1586" s="23">
        <f ca="1">IFERROR(__xludf.DUMMYFUNCTION("""COMPUTED_VALUE"""),0)</f>
        <v>0</v>
      </c>
      <c r="J1586" s="23">
        <f ca="1">IFERROR(__xludf.DUMMYFUNCTION("""COMPUTED_VALUE"""),0)</f>
        <v>0</v>
      </c>
      <c r="K1586" s="23">
        <f ca="1">IFERROR(__xludf.DUMMYFUNCTION("""COMPUTED_VALUE"""),0)</f>
        <v>0</v>
      </c>
      <c r="L1586" s="23">
        <f ca="1">IFERROR(__xludf.DUMMYFUNCTION("""COMPUTED_VALUE"""),0)</f>
        <v>0</v>
      </c>
      <c r="M1586" s="23">
        <f ca="1">IFERROR(__xludf.DUMMYFUNCTION("""COMPUTED_VALUE"""),0)</f>
        <v>0</v>
      </c>
      <c r="N1586" s="23">
        <f ca="1">IFERROR(__xludf.DUMMYFUNCTION("""COMPUTED_VALUE"""),0)</f>
        <v>0</v>
      </c>
      <c r="O1586" s="23">
        <f ca="1">IFERROR(__xludf.DUMMYFUNCTION("""COMPUTED_VALUE"""),0)</f>
        <v>0</v>
      </c>
      <c r="P1586" s="23">
        <f ca="1">IFERROR(__xludf.DUMMYFUNCTION("""COMPUTED_VALUE"""),0)</f>
        <v>0</v>
      </c>
      <c r="Q1586" s="24">
        <f ca="1">IFERROR(__xludf.DUMMYFUNCTION("""COMPUTED_VALUE"""),0)</f>
        <v>0</v>
      </c>
      <c r="R1586" s="20"/>
    </row>
    <row r="1587" spans="1:18" ht="13.2" hidden="1" outlineLevel="1" x14ac:dyDescent="0.25">
      <c r="A1587" s="1"/>
      <c r="B1587" s="39" t="str">
        <f ca="1">IFERROR(__xludf.DUMMYFUNCTION("""COMPUTED_VALUE"""),"Energia Hidraúlica")</f>
        <v>Energia Hidraúlica</v>
      </c>
      <c r="C1587" s="22">
        <f ca="1">IFERROR(__xludf.DUMMYFUNCTION("""COMPUTED_VALUE"""),0)</f>
        <v>0</v>
      </c>
      <c r="D1587" s="23">
        <f ca="1">IFERROR(__xludf.DUMMYFUNCTION("""COMPUTED_VALUE"""),0)</f>
        <v>0</v>
      </c>
      <c r="E1587" s="23">
        <f ca="1">IFERROR(__xludf.DUMMYFUNCTION("""COMPUTED_VALUE"""),0)</f>
        <v>0</v>
      </c>
      <c r="F1587" s="23">
        <f ca="1">IFERROR(__xludf.DUMMYFUNCTION("""COMPUTED_VALUE"""),0)</f>
        <v>0</v>
      </c>
      <c r="G1587" s="23">
        <f ca="1">IFERROR(__xludf.DUMMYFUNCTION("""COMPUTED_VALUE"""),0)</f>
        <v>0</v>
      </c>
      <c r="H1587" s="23">
        <f ca="1">IFERROR(__xludf.DUMMYFUNCTION("""COMPUTED_VALUE"""),0)</f>
        <v>0</v>
      </c>
      <c r="I1587" s="23">
        <f ca="1">IFERROR(__xludf.DUMMYFUNCTION("""COMPUTED_VALUE"""),0)</f>
        <v>0</v>
      </c>
      <c r="J1587" s="23">
        <f ca="1">IFERROR(__xludf.DUMMYFUNCTION("""COMPUTED_VALUE"""),0)</f>
        <v>0</v>
      </c>
      <c r="K1587" s="23">
        <f ca="1">IFERROR(__xludf.DUMMYFUNCTION("""COMPUTED_VALUE"""),0)</f>
        <v>0</v>
      </c>
      <c r="L1587" s="23">
        <f ca="1">IFERROR(__xludf.DUMMYFUNCTION("""COMPUTED_VALUE"""),0)</f>
        <v>0</v>
      </c>
      <c r="M1587" s="23">
        <f ca="1">IFERROR(__xludf.DUMMYFUNCTION("""COMPUTED_VALUE"""),0)</f>
        <v>0</v>
      </c>
      <c r="N1587" s="23">
        <f ca="1">IFERROR(__xludf.DUMMYFUNCTION("""COMPUTED_VALUE"""),0)</f>
        <v>0</v>
      </c>
      <c r="O1587" s="23">
        <f ca="1">IFERROR(__xludf.DUMMYFUNCTION("""COMPUTED_VALUE"""),0)</f>
        <v>0</v>
      </c>
      <c r="P1587" s="23">
        <f ca="1">IFERROR(__xludf.DUMMYFUNCTION("""COMPUTED_VALUE"""),0)</f>
        <v>0</v>
      </c>
      <c r="Q1587" s="24">
        <f ca="1">IFERROR(__xludf.DUMMYFUNCTION("""COMPUTED_VALUE"""),0)</f>
        <v>0</v>
      </c>
      <c r="R1587" s="20"/>
    </row>
    <row r="1588" spans="1:18" ht="13.2" hidden="1" outlineLevel="1" x14ac:dyDescent="0.25">
      <c r="A1588" s="1"/>
      <c r="B1588" s="39" t="str">
        <f ca="1">IFERROR(__xludf.DUMMYFUNCTION("""COMPUTED_VALUE"""),"Geoenergía")</f>
        <v>Geoenergía</v>
      </c>
      <c r="C1588" s="22">
        <f ca="1">IFERROR(__xludf.DUMMYFUNCTION("""COMPUTED_VALUE"""),0)</f>
        <v>0</v>
      </c>
      <c r="D1588" s="23">
        <f ca="1">IFERROR(__xludf.DUMMYFUNCTION("""COMPUTED_VALUE"""),0)</f>
        <v>0</v>
      </c>
      <c r="E1588" s="23">
        <f ca="1">IFERROR(__xludf.DUMMYFUNCTION("""COMPUTED_VALUE"""),0)</f>
        <v>0</v>
      </c>
      <c r="F1588" s="23">
        <f ca="1">IFERROR(__xludf.DUMMYFUNCTION("""COMPUTED_VALUE"""),0)</f>
        <v>0</v>
      </c>
      <c r="G1588" s="23">
        <f ca="1">IFERROR(__xludf.DUMMYFUNCTION("""COMPUTED_VALUE"""),0)</f>
        <v>0</v>
      </c>
      <c r="H1588" s="23">
        <f ca="1">IFERROR(__xludf.DUMMYFUNCTION("""COMPUTED_VALUE"""),0)</f>
        <v>0</v>
      </c>
      <c r="I1588" s="23">
        <f ca="1">IFERROR(__xludf.DUMMYFUNCTION("""COMPUTED_VALUE"""),0)</f>
        <v>0</v>
      </c>
      <c r="J1588" s="23">
        <f ca="1">IFERROR(__xludf.DUMMYFUNCTION("""COMPUTED_VALUE"""),0)</f>
        <v>0</v>
      </c>
      <c r="K1588" s="23">
        <f ca="1">IFERROR(__xludf.DUMMYFUNCTION("""COMPUTED_VALUE"""),0)</f>
        <v>0</v>
      </c>
      <c r="L1588" s="23">
        <f ca="1">IFERROR(__xludf.DUMMYFUNCTION("""COMPUTED_VALUE"""),0)</f>
        <v>0</v>
      </c>
      <c r="M1588" s="23">
        <f ca="1">IFERROR(__xludf.DUMMYFUNCTION("""COMPUTED_VALUE"""),0)</f>
        <v>0</v>
      </c>
      <c r="N1588" s="23">
        <f ca="1">IFERROR(__xludf.DUMMYFUNCTION("""COMPUTED_VALUE"""),0)</f>
        <v>0</v>
      </c>
      <c r="O1588" s="23">
        <f ca="1">IFERROR(__xludf.DUMMYFUNCTION("""COMPUTED_VALUE"""),0)</f>
        <v>0</v>
      </c>
      <c r="P1588" s="23">
        <f ca="1">IFERROR(__xludf.DUMMYFUNCTION("""COMPUTED_VALUE"""),0)</f>
        <v>0</v>
      </c>
      <c r="Q1588" s="24">
        <f ca="1">IFERROR(__xludf.DUMMYFUNCTION("""COMPUTED_VALUE"""),0)</f>
        <v>0</v>
      </c>
      <c r="R1588" s="20"/>
    </row>
    <row r="1589" spans="1:18" ht="13.2" hidden="1" outlineLevel="1" x14ac:dyDescent="0.25">
      <c r="A1589" s="1"/>
      <c r="B1589" s="39" t="str">
        <f ca="1">IFERROR(__xludf.DUMMYFUNCTION("""COMPUTED_VALUE"""),"Energía solar")</f>
        <v>Energía solar</v>
      </c>
      <c r="C1589" s="22">
        <f ca="1">IFERROR(__xludf.DUMMYFUNCTION("""COMPUTED_VALUE"""),0)</f>
        <v>0</v>
      </c>
      <c r="D1589" s="23">
        <f ca="1">IFERROR(__xludf.DUMMYFUNCTION("""COMPUTED_VALUE"""),0)</f>
        <v>0</v>
      </c>
      <c r="E1589" s="23">
        <f ca="1">IFERROR(__xludf.DUMMYFUNCTION("""COMPUTED_VALUE"""),0)</f>
        <v>0</v>
      </c>
      <c r="F1589" s="23">
        <f ca="1">IFERROR(__xludf.DUMMYFUNCTION("""COMPUTED_VALUE"""),0)</f>
        <v>0</v>
      </c>
      <c r="G1589" s="23">
        <f ca="1">IFERROR(__xludf.DUMMYFUNCTION("""COMPUTED_VALUE"""),0)</f>
        <v>0</v>
      </c>
      <c r="H1589" s="23">
        <f ca="1">IFERROR(__xludf.DUMMYFUNCTION("""COMPUTED_VALUE"""),0)</f>
        <v>0</v>
      </c>
      <c r="I1589" s="23">
        <f ca="1">IFERROR(__xludf.DUMMYFUNCTION("""COMPUTED_VALUE"""),0)</f>
        <v>0</v>
      </c>
      <c r="J1589" s="23">
        <f ca="1">IFERROR(__xludf.DUMMYFUNCTION("""COMPUTED_VALUE"""),0)</f>
        <v>0</v>
      </c>
      <c r="K1589" s="23">
        <f ca="1">IFERROR(__xludf.DUMMYFUNCTION("""COMPUTED_VALUE"""),0)</f>
        <v>0</v>
      </c>
      <c r="L1589" s="23">
        <f ca="1">IFERROR(__xludf.DUMMYFUNCTION("""COMPUTED_VALUE"""),0)</f>
        <v>0</v>
      </c>
      <c r="M1589" s="23">
        <f ca="1">IFERROR(__xludf.DUMMYFUNCTION("""COMPUTED_VALUE"""),0)</f>
        <v>0</v>
      </c>
      <c r="N1589" s="23">
        <f ca="1">IFERROR(__xludf.DUMMYFUNCTION("""COMPUTED_VALUE"""),0)</f>
        <v>0</v>
      </c>
      <c r="O1589" s="23">
        <f ca="1">IFERROR(__xludf.DUMMYFUNCTION("""COMPUTED_VALUE"""),0)</f>
        <v>0</v>
      </c>
      <c r="P1589" s="23">
        <f ca="1">IFERROR(__xludf.DUMMYFUNCTION("""COMPUTED_VALUE"""),0)</f>
        <v>0</v>
      </c>
      <c r="Q1589" s="24">
        <f ca="1">IFERROR(__xludf.DUMMYFUNCTION("""COMPUTED_VALUE"""),0)</f>
        <v>0</v>
      </c>
      <c r="R1589" s="20"/>
    </row>
    <row r="1590" spans="1:18" ht="13.2" hidden="1" outlineLevel="1" x14ac:dyDescent="0.25">
      <c r="A1590" s="1"/>
      <c r="B1590" s="39" t="str">
        <f ca="1">IFERROR(__xludf.DUMMYFUNCTION("""COMPUTED_VALUE"""),"Energía eólica")</f>
        <v>Energía eólica</v>
      </c>
      <c r="C1590" s="22">
        <f ca="1">IFERROR(__xludf.DUMMYFUNCTION("""COMPUTED_VALUE"""),0)</f>
        <v>0</v>
      </c>
      <c r="D1590" s="23">
        <f ca="1">IFERROR(__xludf.DUMMYFUNCTION("""COMPUTED_VALUE"""),0)</f>
        <v>0</v>
      </c>
      <c r="E1590" s="23">
        <f ca="1">IFERROR(__xludf.DUMMYFUNCTION("""COMPUTED_VALUE"""),0)</f>
        <v>0</v>
      </c>
      <c r="F1590" s="23">
        <f ca="1">IFERROR(__xludf.DUMMYFUNCTION("""COMPUTED_VALUE"""),0)</f>
        <v>0</v>
      </c>
      <c r="G1590" s="23">
        <f ca="1">IFERROR(__xludf.DUMMYFUNCTION("""COMPUTED_VALUE"""),0)</f>
        <v>0</v>
      </c>
      <c r="H1590" s="23">
        <f ca="1">IFERROR(__xludf.DUMMYFUNCTION("""COMPUTED_VALUE"""),0)</f>
        <v>0</v>
      </c>
      <c r="I1590" s="23">
        <f ca="1">IFERROR(__xludf.DUMMYFUNCTION("""COMPUTED_VALUE"""),0)</f>
        <v>0</v>
      </c>
      <c r="J1590" s="23">
        <f ca="1">IFERROR(__xludf.DUMMYFUNCTION("""COMPUTED_VALUE"""),0)</f>
        <v>0</v>
      </c>
      <c r="K1590" s="23">
        <f ca="1">IFERROR(__xludf.DUMMYFUNCTION("""COMPUTED_VALUE"""),0)</f>
        <v>0</v>
      </c>
      <c r="L1590" s="23">
        <f ca="1">IFERROR(__xludf.DUMMYFUNCTION("""COMPUTED_VALUE"""),0)</f>
        <v>0</v>
      </c>
      <c r="M1590" s="23">
        <f ca="1">IFERROR(__xludf.DUMMYFUNCTION("""COMPUTED_VALUE"""),0)</f>
        <v>0</v>
      </c>
      <c r="N1590" s="23">
        <f ca="1">IFERROR(__xludf.DUMMYFUNCTION("""COMPUTED_VALUE"""),0)</f>
        <v>0</v>
      </c>
      <c r="O1590" s="23">
        <f ca="1">IFERROR(__xludf.DUMMYFUNCTION("""COMPUTED_VALUE"""),0)</f>
        <v>0</v>
      </c>
      <c r="P1590" s="23">
        <f ca="1">IFERROR(__xludf.DUMMYFUNCTION("""COMPUTED_VALUE"""),0)</f>
        <v>0</v>
      </c>
      <c r="Q1590" s="24">
        <f ca="1">IFERROR(__xludf.DUMMYFUNCTION("""COMPUTED_VALUE"""),0)</f>
        <v>0</v>
      </c>
      <c r="R1590" s="20"/>
    </row>
    <row r="1591" spans="1:18" ht="13.2" hidden="1" outlineLevel="1" x14ac:dyDescent="0.25">
      <c r="A1591" s="1"/>
      <c r="B1591" s="39" t="str">
        <f ca="1">IFERROR(__xludf.DUMMYFUNCTION("""COMPUTED_VALUE"""),"Bagazo de caña")</f>
        <v>Bagazo de caña</v>
      </c>
      <c r="C1591" s="22">
        <f ca="1">IFERROR(__xludf.DUMMYFUNCTION("""COMPUTED_VALUE"""),0)</f>
        <v>0</v>
      </c>
      <c r="D1591" s="23">
        <f ca="1">IFERROR(__xludf.DUMMYFUNCTION("""COMPUTED_VALUE"""),0)</f>
        <v>0</v>
      </c>
      <c r="E1591" s="23">
        <f ca="1">IFERROR(__xludf.DUMMYFUNCTION("""COMPUTED_VALUE"""),0)</f>
        <v>0</v>
      </c>
      <c r="F1591" s="23">
        <f ca="1">IFERROR(__xludf.DUMMYFUNCTION("""COMPUTED_VALUE"""),0)</f>
        <v>0</v>
      </c>
      <c r="G1591" s="23">
        <f ca="1">IFERROR(__xludf.DUMMYFUNCTION("""COMPUTED_VALUE"""),0)</f>
        <v>0</v>
      </c>
      <c r="H1591" s="23">
        <f ca="1">IFERROR(__xludf.DUMMYFUNCTION("""COMPUTED_VALUE"""),0)</f>
        <v>0</v>
      </c>
      <c r="I1591" s="23">
        <f ca="1">IFERROR(__xludf.DUMMYFUNCTION("""COMPUTED_VALUE"""),0)</f>
        <v>0</v>
      </c>
      <c r="J1591" s="23">
        <f ca="1">IFERROR(__xludf.DUMMYFUNCTION("""COMPUTED_VALUE"""),0)</f>
        <v>0</v>
      </c>
      <c r="K1591" s="23">
        <f ca="1">IFERROR(__xludf.DUMMYFUNCTION("""COMPUTED_VALUE"""),0)</f>
        <v>0</v>
      </c>
      <c r="L1591" s="23">
        <f ca="1">IFERROR(__xludf.DUMMYFUNCTION("""COMPUTED_VALUE"""),0)</f>
        <v>0</v>
      </c>
      <c r="M1591" s="23">
        <f ca="1">IFERROR(__xludf.DUMMYFUNCTION("""COMPUTED_VALUE"""),0)</f>
        <v>0</v>
      </c>
      <c r="N1591" s="23">
        <f ca="1">IFERROR(__xludf.DUMMYFUNCTION("""COMPUTED_VALUE"""),0)</f>
        <v>0</v>
      </c>
      <c r="O1591" s="23">
        <f ca="1">IFERROR(__xludf.DUMMYFUNCTION("""COMPUTED_VALUE"""),0)</f>
        <v>0</v>
      </c>
      <c r="P1591" s="23">
        <f ca="1">IFERROR(__xludf.DUMMYFUNCTION("""COMPUTED_VALUE"""),0)</f>
        <v>0</v>
      </c>
      <c r="Q1591" s="24">
        <f ca="1">IFERROR(__xludf.DUMMYFUNCTION("""COMPUTED_VALUE"""),0)</f>
        <v>0</v>
      </c>
      <c r="R1591" s="20"/>
    </row>
    <row r="1592" spans="1:18" ht="13.2" hidden="1" outlineLevel="1" x14ac:dyDescent="0.25">
      <c r="A1592" s="1"/>
      <c r="B1592" s="39" t="str">
        <f ca="1">IFERROR(__xludf.DUMMYFUNCTION("""COMPUTED_VALUE"""),"Leña")</f>
        <v>Leña</v>
      </c>
      <c r="C1592" s="22">
        <f ca="1">IFERROR(__xludf.DUMMYFUNCTION("""COMPUTED_VALUE"""),0)</f>
        <v>0</v>
      </c>
      <c r="D1592" s="23">
        <f ca="1">IFERROR(__xludf.DUMMYFUNCTION("""COMPUTED_VALUE"""),0)</f>
        <v>0</v>
      </c>
      <c r="E1592" s="23">
        <f ca="1">IFERROR(__xludf.DUMMYFUNCTION("""COMPUTED_VALUE"""),0)</f>
        <v>0</v>
      </c>
      <c r="F1592" s="23">
        <f ca="1">IFERROR(__xludf.DUMMYFUNCTION("""COMPUTED_VALUE"""),0)</f>
        <v>0</v>
      </c>
      <c r="G1592" s="23">
        <f ca="1">IFERROR(__xludf.DUMMYFUNCTION("""COMPUTED_VALUE"""),0)</f>
        <v>0</v>
      </c>
      <c r="H1592" s="23">
        <f ca="1">IFERROR(__xludf.DUMMYFUNCTION("""COMPUTED_VALUE"""),0)</f>
        <v>0</v>
      </c>
      <c r="I1592" s="23">
        <f ca="1">IFERROR(__xludf.DUMMYFUNCTION("""COMPUTED_VALUE"""),0)</f>
        <v>0</v>
      </c>
      <c r="J1592" s="23">
        <f ca="1">IFERROR(__xludf.DUMMYFUNCTION("""COMPUTED_VALUE"""),0)</f>
        <v>0</v>
      </c>
      <c r="K1592" s="23">
        <f ca="1">IFERROR(__xludf.DUMMYFUNCTION("""COMPUTED_VALUE"""),0)</f>
        <v>0</v>
      </c>
      <c r="L1592" s="23">
        <f ca="1">IFERROR(__xludf.DUMMYFUNCTION("""COMPUTED_VALUE"""),0)</f>
        <v>0</v>
      </c>
      <c r="M1592" s="23">
        <f ca="1">IFERROR(__xludf.DUMMYFUNCTION("""COMPUTED_VALUE"""),0)</f>
        <v>0</v>
      </c>
      <c r="N1592" s="23">
        <f ca="1">IFERROR(__xludf.DUMMYFUNCTION("""COMPUTED_VALUE"""),0)</f>
        <v>0</v>
      </c>
      <c r="O1592" s="23">
        <f ca="1">IFERROR(__xludf.DUMMYFUNCTION("""COMPUTED_VALUE"""),0)</f>
        <v>0</v>
      </c>
      <c r="P1592" s="23">
        <f ca="1">IFERROR(__xludf.DUMMYFUNCTION("""COMPUTED_VALUE"""),0)</f>
        <v>0</v>
      </c>
      <c r="Q1592" s="24">
        <f ca="1">IFERROR(__xludf.DUMMYFUNCTION("""COMPUTED_VALUE"""),0)</f>
        <v>0</v>
      </c>
      <c r="R1592" s="20"/>
    </row>
    <row r="1593" spans="1:18" ht="13.2" hidden="1" outlineLevel="1" x14ac:dyDescent="0.25">
      <c r="A1593" s="1"/>
      <c r="B1593" s="39" t="str">
        <f ca="1">IFERROR(__xludf.DUMMYFUNCTION("""COMPUTED_VALUE"""),"Biogás")</f>
        <v>Biogás</v>
      </c>
      <c r="C1593" s="22">
        <f ca="1">IFERROR(__xludf.DUMMYFUNCTION("""COMPUTED_VALUE"""),0)</f>
        <v>0</v>
      </c>
      <c r="D1593" s="23">
        <f ca="1">IFERROR(__xludf.DUMMYFUNCTION("""COMPUTED_VALUE"""),0)</f>
        <v>0</v>
      </c>
      <c r="E1593" s="23">
        <f ca="1">IFERROR(__xludf.DUMMYFUNCTION("""COMPUTED_VALUE"""),0)</f>
        <v>0</v>
      </c>
      <c r="F1593" s="23">
        <f ca="1">IFERROR(__xludf.DUMMYFUNCTION("""COMPUTED_VALUE"""),0)</f>
        <v>0</v>
      </c>
      <c r="G1593" s="23">
        <f ca="1">IFERROR(__xludf.DUMMYFUNCTION("""COMPUTED_VALUE"""),0)</f>
        <v>0</v>
      </c>
      <c r="H1593" s="23">
        <f ca="1">IFERROR(__xludf.DUMMYFUNCTION("""COMPUTED_VALUE"""),0)</f>
        <v>0</v>
      </c>
      <c r="I1593" s="23">
        <f ca="1">IFERROR(__xludf.DUMMYFUNCTION("""COMPUTED_VALUE"""),0)</f>
        <v>0</v>
      </c>
      <c r="J1593" s="23">
        <f ca="1">IFERROR(__xludf.DUMMYFUNCTION("""COMPUTED_VALUE"""),0)</f>
        <v>0</v>
      </c>
      <c r="K1593" s="23">
        <f ca="1">IFERROR(__xludf.DUMMYFUNCTION("""COMPUTED_VALUE"""),0)</f>
        <v>0</v>
      </c>
      <c r="L1593" s="23">
        <f ca="1">IFERROR(__xludf.DUMMYFUNCTION("""COMPUTED_VALUE"""),0)</f>
        <v>0</v>
      </c>
      <c r="M1593" s="23">
        <f ca="1">IFERROR(__xludf.DUMMYFUNCTION("""COMPUTED_VALUE"""),0)</f>
        <v>0</v>
      </c>
      <c r="N1593" s="23">
        <f ca="1">IFERROR(__xludf.DUMMYFUNCTION("""COMPUTED_VALUE"""),0)</f>
        <v>0</v>
      </c>
      <c r="O1593" s="23">
        <f ca="1">IFERROR(__xludf.DUMMYFUNCTION("""COMPUTED_VALUE"""),0)</f>
        <v>0</v>
      </c>
      <c r="P1593" s="23">
        <f ca="1">IFERROR(__xludf.DUMMYFUNCTION("""COMPUTED_VALUE"""),0)</f>
        <v>0</v>
      </c>
      <c r="Q1593" s="24">
        <f ca="1">IFERROR(__xludf.DUMMYFUNCTION("""COMPUTED_VALUE"""),0)</f>
        <v>0</v>
      </c>
      <c r="R1593" s="20"/>
    </row>
    <row r="1594" spans="1:18" ht="13.2" hidden="1" outlineLevel="1" x14ac:dyDescent="0.25">
      <c r="A1594" s="1"/>
      <c r="B1594" s="39" t="str">
        <f ca="1">IFERROR(__xludf.DUMMYFUNCTION("""COMPUTED_VALUE"""),"Coque de carbón")</f>
        <v>Coque de carbón</v>
      </c>
      <c r="C1594" s="22">
        <f ca="1">IFERROR(__xludf.DUMMYFUNCTION("""COMPUTED_VALUE"""),0)</f>
        <v>0</v>
      </c>
      <c r="D1594" s="23">
        <f ca="1">IFERROR(__xludf.DUMMYFUNCTION("""COMPUTED_VALUE"""),0)</f>
        <v>0</v>
      </c>
      <c r="E1594" s="23">
        <f ca="1">IFERROR(__xludf.DUMMYFUNCTION("""COMPUTED_VALUE"""),0)</f>
        <v>0</v>
      </c>
      <c r="F1594" s="23">
        <f ca="1">IFERROR(__xludf.DUMMYFUNCTION("""COMPUTED_VALUE"""),0)</f>
        <v>0</v>
      </c>
      <c r="G1594" s="23">
        <f ca="1">IFERROR(__xludf.DUMMYFUNCTION("""COMPUTED_VALUE"""),0)</f>
        <v>0</v>
      </c>
      <c r="H1594" s="23">
        <f ca="1">IFERROR(__xludf.DUMMYFUNCTION("""COMPUTED_VALUE"""),0)</f>
        <v>0</v>
      </c>
      <c r="I1594" s="23">
        <f ca="1">IFERROR(__xludf.DUMMYFUNCTION("""COMPUTED_VALUE"""),0)</f>
        <v>0</v>
      </c>
      <c r="J1594" s="23">
        <f ca="1">IFERROR(__xludf.DUMMYFUNCTION("""COMPUTED_VALUE"""),0)</f>
        <v>0</v>
      </c>
      <c r="K1594" s="23">
        <f ca="1">IFERROR(__xludf.DUMMYFUNCTION("""COMPUTED_VALUE"""),0)</f>
        <v>0</v>
      </c>
      <c r="L1594" s="23">
        <f ca="1">IFERROR(__xludf.DUMMYFUNCTION("""COMPUTED_VALUE"""),0)</f>
        <v>0</v>
      </c>
      <c r="M1594" s="23">
        <f ca="1">IFERROR(__xludf.DUMMYFUNCTION("""COMPUTED_VALUE"""),0)</f>
        <v>0</v>
      </c>
      <c r="N1594" s="23">
        <f ca="1">IFERROR(__xludf.DUMMYFUNCTION("""COMPUTED_VALUE"""),0)</f>
        <v>0</v>
      </c>
      <c r="O1594" s="23">
        <f ca="1">IFERROR(__xludf.DUMMYFUNCTION("""COMPUTED_VALUE"""),0)</f>
        <v>0</v>
      </c>
      <c r="P1594" s="23">
        <f ca="1">IFERROR(__xludf.DUMMYFUNCTION("""COMPUTED_VALUE"""),0)</f>
        <v>0</v>
      </c>
      <c r="Q1594" s="24">
        <f ca="1">IFERROR(__xludf.DUMMYFUNCTION("""COMPUTED_VALUE"""),0)</f>
        <v>0</v>
      </c>
      <c r="R1594" s="20"/>
    </row>
    <row r="1595" spans="1:18" ht="13.2" hidden="1" outlineLevel="1" x14ac:dyDescent="0.25">
      <c r="A1595" s="1"/>
      <c r="B1595" s="39" t="str">
        <f ca="1">IFERROR(__xludf.DUMMYFUNCTION("""COMPUTED_VALUE"""),"Coque de petróleo")</f>
        <v>Coque de petróleo</v>
      </c>
      <c r="C1595" s="22">
        <f ca="1">IFERROR(__xludf.DUMMYFUNCTION("""COMPUTED_VALUE"""),0)</f>
        <v>0</v>
      </c>
      <c r="D1595" s="23">
        <f ca="1">IFERROR(__xludf.DUMMYFUNCTION("""COMPUTED_VALUE"""),0)</f>
        <v>0</v>
      </c>
      <c r="E1595" s="23">
        <f ca="1">IFERROR(__xludf.DUMMYFUNCTION("""COMPUTED_VALUE"""),0)</f>
        <v>0</v>
      </c>
      <c r="F1595" s="23">
        <f ca="1">IFERROR(__xludf.DUMMYFUNCTION("""COMPUTED_VALUE"""),0)</f>
        <v>0</v>
      </c>
      <c r="G1595" s="23">
        <f ca="1">IFERROR(__xludf.DUMMYFUNCTION("""COMPUTED_VALUE"""),0)</f>
        <v>0</v>
      </c>
      <c r="H1595" s="23">
        <f ca="1">IFERROR(__xludf.DUMMYFUNCTION("""COMPUTED_VALUE"""),0)</f>
        <v>0</v>
      </c>
      <c r="I1595" s="23">
        <f ca="1">IFERROR(__xludf.DUMMYFUNCTION("""COMPUTED_VALUE"""),0)</f>
        <v>0</v>
      </c>
      <c r="J1595" s="23">
        <f ca="1">IFERROR(__xludf.DUMMYFUNCTION("""COMPUTED_VALUE"""),0)</f>
        <v>0</v>
      </c>
      <c r="K1595" s="23">
        <f ca="1">IFERROR(__xludf.DUMMYFUNCTION("""COMPUTED_VALUE"""),0)</f>
        <v>0</v>
      </c>
      <c r="L1595" s="23">
        <f ca="1">IFERROR(__xludf.DUMMYFUNCTION("""COMPUTED_VALUE"""),0)</f>
        <v>0</v>
      </c>
      <c r="M1595" s="23">
        <f ca="1">IFERROR(__xludf.DUMMYFUNCTION("""COMPUTED_VALUE"""),0)</f>
        <v>0</v>
      </c>
      <c r="N1595" s="23">
        <f ca="1">IFERROR(__xludf.DUMMYFUNCTION("""COMPUTED_VALUE"""),0)</f>
        <v>0</v>
      </c>
      <c r="O1595" s="23">
        <f ca="1">IFERROR(__xludf.DUMMYFUNCTION("""COMPUTED_VALUE"""),0)</f>
        <v>0</v>
      </c>
      <c r="P1595" s="23">
        <f ca="1">IFERROR(__xludf.DUMMYFUNCTION("""COMPUTED_VALUE"""),0)</f>
        <v>0</v>
      </c>
      <c r="Q1595" s="24">
        <f ca="1">IFERROR(__xludf.DUMMYFUNCTION("""COMPUTED_VALUE"""),0)</f>
        <v>0</v>
      </c>
      <c r="R1595" s="20"/>
    </row>
    <row r="1596" spans="1:18" ht="13.2" hidden="1" outlineLevel="1" x14ac:dyDescent="0.25">
      <c r="A1596" s="1"/>
      <c r="B1596" s="39" t="str">
        <f ca="1">IFERROR(__xludf.DUMMYFUNCTION("""COMPUTED_VALUE"""),"Gas licuado de petróleo")</f>
        <v>Gas licuado de petróleo</v>
      </c>
      <c r="C1596" s="22">
        <f ca="1">IFERROR(__xludf.DUMMYFUNCTION("""COMPUTED_VALUE"""),0.0434503746287409)</f>
        <v>4.34503746287409E-2</v>
      </c>
      <c r="D1596" s="23">
        <f ca="1">IFERROR(__xludf.DUMMYFUNCTION("""COMPUTED_VALUE"""),0.0388406609742527)</f>
        <v>3.8840660974252698E-2</v>
      </c>
      <c r="E1596" s="23">
        <f ca="1">IFERROR(__xludf.DUMMYFUNCTION("""COMPUTED_VALUE"""),0.0530718933805304)</f>
        <v>5.3071893380530401E-2</v>
      </c>
      <c r="F1596" s="23">
        <f ca="1">IFERROR(__xludf.DUMMYFUNCTION("""COMPUTED_VALUE"""),0.0399012696848083)</f>
        <v>3.9901269684808303E-2</v>
      </c>
      <c r="G1596" s="23">
        <f ca="1">IFERROR(__xludf.DUMMYFUNCTION("""COMPUTED_VALUE"""),0.0408209752336991)</f>
        <v>4.0820975233699097E-2</v>
      </c>
      <c r="H1596" s="23">
        <f ca="1">IFERROR(__xludf.DUMMYFUNCTION("""COMPUTED_VALUE"""),0.0444083336171209)</f>
        <v>4.4408333617120897E-2</v>
      </c>
      <c r="I1596" s="23">
        <f ca="1">IFERROR(__xludf.DUMMYFUNCTION("""COMPUTED_VALUE"""),0.0553788509576213)</f>
        <v>5.5378850957621302E-2</v>
      </c>
      <c r="J1596" s="23">
        <f ca="1">IFERROR(__xludf.DUMMYFUNCTION("""COMPUTED_VALUE"""),0.0534673704341162)</f>
        <v>5.3467370434116201E-2</v>
      </c>
      <c r="K1596" s="23">
        <f ca="1">IFERROR(__xludf.DUMMYFUNCTION("""COMPUTED_VALUE"""),0.0551447326008529)</f>
        <v>5.5144732600852897E-2</v>
      </c>
      <c r="L1596" s="23">
        <f ca="1">IFERROR(__xludf.DUMMYFUNCTION("""COMPUTED_VALUE"""),0.0751028340550686)</f>
        <v>7.5102834055068596E-2</v>
      </c>
      <c r="M1596" s="23">
        <f ca="1">IFERROR(__xludf.DUMMYFUNCTION("""COMPUTED_VALUE"""),0.0489526548629297)</f>
        <v>4.8952654862929698E-2</v>
      </c>
      <c r="N1596" s="23">
        <f ca="1">IFERROR(__xludf.DUMMYFUNCTION("""COMPUTED_VALUE"""),0.0536934779329593)</f>
        <v>5.3693477932959303E-2</v>
      </c>
      <c r="O1596" s="23">
        <f ca="1">IFERROR(__xludf.DUMMYFUNCTION("""COMPUTED_VALUE"""),0.0517376627761378)</f>
        <v>5.1737662776137797E-2</v>
      </c>
      <c r="P1596" s="23">
        <f ca="1">IFERROR(__xludf.DUMMYFUNCTION("""COMPUTED_VALUE"""),0.0578083694633125)</f>
        <v>5.7808369463312498E-2</v>
      </c>
      <c r="Q1596" s="24">
        <f ca="1">IFERROR(__xludf.DUMMYFUNCTION("""COMPUTED_VALUE"""),0.0552106066781246)</f>
        <v>5.52106066781246E-2</v>
      </c>
      <c r="R1596" s="20"/>
    </row>
    <row r="1597" spans="1:18" ht="13.2" hidden="1" outlineLevel="1" x14ac:dyDescent="0.25">
      <c r="A1597" s="1"/>
      <c r="B1597" s="39" t="str">
        <f ca="1">IFERROR(__xludf.DUMMYFUNCTION("""COMPUTED_VALUE"""),"Gasolinas y naftas")</f>
        <v>Gasolinas y naftas</v>
      </c>
      <c r="C1597" s="22">
        <f ca="1">IFERROR(__xludf.DUMMYFUNCTION("""COMPUTED_VALUE"""),0)</f>
        <v>0</v>
      </c>
      <c r="D1597" s="23">
        <f ca="1">IFERROR(__xludf.DUMMYFUNCTION("""COMPUTED_VALUE"""),0)</f>
        <v>0</v>
      </c>
      <c r="E1597" s="23">
        <f ca="1">IFERROR(__xludf.DUMMYFUNCTION("""COMPUTED_VALUE"""),0)</f>
        <v>0</v>
      </c>
      <c r="F1597" s="23">
        <f ca="1">IFERROR(__xludf.DUMMYFUNCTION("""COMPUTED_VALUE"""),0)</f>
        <v>0</v>
      </c>
      <c r="G1597" s="23">
        <f ca="1">IFERROR(__xludf.DUMMYFUNCTION("""COMPUTED_VALUE"""),0)</f>
        <v>0</v>
      </c>
      <c r="H1597" s="23">
        <f ca="1">IFERROR(__xludf.DUMMYFUNCTION("""COMPUTED_VALUE"""),0)</f>
        <v>0</v>
      </c>
      <c r="I1597" s="23">
        <f ca="1">IFERROR(__xludf.DUMMYFUNCTION("""COMPUTED_VALUE"""),0)</f>
        <v>0</v>
      </c>
      <c r="J1597" s="23">
        <f ca="1">IFERROR(__xludf.DUMMYFUNCTION("""COMPUTED_VALUE"""),0)</f>
        <v>0</v>
      </c>
      <c r="K1597" s="23">
        <f ca="1">IFERROR(__xludf.DUMMYFUNCTION("""COMPUTED_VALUE"""),0)</f>
        <v>0</v>
      </c>
      <c r="L1597" s="23">
        <f ca="1">IFERROR(__xludf.DUMMYFUNCTION("""COMPUTED_VALUE"""),0)</f>
        <v>0</v>
      </c>
      <c r="M1597" s="23">
        <f ca="1">IFERROR(__xludf.DUMMYFUNCTION("""COMPUTED_VALUE"""),0)</f>
        <v>0</v>
      </c>
      <c r="N1597" s="23">
        <f ca="1">IFERROR(__xludf.DUMMYFUNCTION("""COMPUTED_VALUE"""),0)</f>
        <v>0</v>
      </c>
      <c r="O1597" s="23">
        <f ca="1">IFERROR(__xludf.DUMMYFUNCTION("""COMPUTED_VALUE"""),0)</f>
        <v>0</v>
      </c>
      <c r="P1597" s="23">
        <f ca="1">IFERROR(__xludf.DUMMYFUNCTION("""COMPUTED_VALUE"""),0)</f>
        <v>0</v>
      </c>
      <c r="Q1597" s="24">
        <f ca="1">IFERROR(__xludf.DUMMYFUNCTION("""COMPUTED_VALUE"""),0)</f>
        <v>0</v>
      </c>
      <c r="R1597" s="20"/>
    </row>
    <row r="1598" spans="1:18" ht="13.2" hidden="1" outlineLevel="1" x14ac:dyDescent="0.25">
      <c r="A1598" s="1"/>
      <c r="B1598" s="39" t="str">
        <f ca="1">IFERROR(__xludf.DUMMYFUNCTION("""COMPUTED_VALUE"""),"Querosenos")</f>
        <v>Querosenos</v>
      </c>
      <c r="C1598" s="22">
        <f ca="1">IFERROR(__xludf.DUMMYFUNCTION("""COMPUTED_VALUE"""),0)</f>
        <v>0</v>
      </c>
      <c r="D1598" s="23">
        <f ca="1">IFERROR(__xludf.DUMMYFUNCTION("""COMPUTED_VALUE"""),0)</f>
        <v>0</v>
      </c>
      <c r="E1598" s="23">
        <f ca="1">IFERROR(__xludf.DUMMYFUNCTION("""COMPUTED_VALUE"""),0)</f>
        <v>0</v>
      </c>
      <c r="F1598" s="23">
        <f ca="1">IFERROR(__xludf.DUMMYFUNCTION("""COMPUTED_VALUE"""),0)</f>
        <v>0</v>
      </c>
      <c r="G1598" s="23">
        <f ca="1">IFERROR(__xludf.DUMMYFUNCTION("""COMPUTED_VALUE"""),0)</f>
        <v>0</v>
      </c>
      <c r="H1598" s="23">
        <f ca="1">IFERROR(__xludf.DUMMYFUNCTION("""COMPUTED_VALUE"""),0)</f>
        <v>0</v>
      </c>
      <c r="I1598" s="23">
        <f ca="1">IFERROR(__xludf.DUMMYFUNCTION("""COMPUTED_VALUE"""),0)</f>
        <v>0</v>
      </c>
      <c r="J1598" s="23">
        <f ca="1">IFERROR(__xludf.DUMMYFUNCTION("""COMPUTED_VALUE"""),0)</f>
        <v>0</v>
      </c>
      <c r="K1598" s="23">
        <f ca="1">IFERROR(__xludf.DUMMYFUNCTION("""COMPUTED_VALUE"""),0)</f>
        <v>0</v>
      </c>
      <c r="L1598" s="23">
        <f ca="1">IFERROR(__xludf.DUMMYFUNCTION("""COMPUTED_VALUE"""),0)</f>
        <v>0</v>
      </c>
      <c r="M1598" s="23">
        <f ca="1">IFERROR(__xludf.DUMMYFUNCTION("""COMPUTED_VALUE"""),0)</f>
        <v>0</v>
      </c>
      <c r="N1598" s="23">
        <f ca="1">IFERROR(__xludf.DUMMYFUNCTION("""COMPUTED_VALUE"""),0)</f>
        <v>0</v>
      </c>
      <c r="O1598" s="23">
        <f ca="1">IFERROR(__xludf.DUMMYFUNCTION("""COMPUTED_VALUE"""),0)</f>
        <v>0</v>
      </c>
      <c r="P1598" s="23">
        <f ca="1">IFERROR(__xludf.DUMMYFUNCTION("""COMPUTED_VALUE"""),0)</f>
        <v>0</v>
      </c>
      <c r="Q1598" s="24">
        <f ca="1">IFERROR(__xludf.DUMMYFUNCTION("""COMPUTED_VALUE"""),0)</f>
        <v>0</v>
      </c>
      <c r="R1598" s="20"/>
    </row>
    <row r="1599" spans="1:18" ht="13.2" hidden="1" outlineLevel="1" x14ac:dyDescent="0.25">
      <c r="A1599" s="1"/>
      <c r="B1599" s="39" t="str">
        <f ca="1">IFERROR(__xludf.DUMMYFUNCTION("""COMPUTED_VALUE"""),"Diesel")</f>
        <v>Diesel</v>
      </c>
      <c r="C1599" s="22">
        <f ca="1">IFERROR(__xludf.DUMMYFUNCTION("""COMPUTED_VALUE"""),0)</f>
        <v>0</v>
      </c>
      <c r="D1599" s="23">
        <f ca="1">IFERROR(__xludf.DUMMYFUNCTION("""COMPUTED_VALUE"""),0)</f>
        <v>0</v>
      </c>
      <c r="E1599" s="23">
        <f ca="1">IFERROR(__xludf.DUMMYFUNCTION("""COMPUTED_VALUE"""),0)</f>
        <v>0</v>
      </c>
      <c r="F1599" s="23">
        <f ca="1">IFERROR(__xludf.DUMMYFUNCTION("""COMPUTED_VALUE"""),0)</f>
        <v>0</v>
      </c>
      <c r="G1599" s="23">
        <f ca="1">IFERROR(__xludf.DUMMYFUNCTION("""COMPUTED_VALUE"""),0)</f>
        <v>0</v>
      </c>
      <c r="H1599" s="23">
        <f ca="1">IFERROR(__xludf.DUMMYFUNCTION("""COMPUTED_VALUE"""),0)</f>
        <v>0</v>
      </c>
      <c r="I1599" s="23">
        <f ca="1">IFERROR(__xludf.DUMMYFUNCTION("""COMPUTED_VALUE"""),0)</f>
        <v>0</v>
      </c>
      <c r="J1599" s="23">
        <f ca="1">IFERROR(__xludf.DUMMYFUNCTION("""COMPUTED_VALUE"""),0)</f>
        <v>0</v>
      </c>
      <c r="K1599" s="23">
        <f ca="1">IFERROR(__xludf.DUMMYFUNCTION("""COMPUTED_VALUE"""),0)</f>
        <v>0</v>
      </c>
      <c r="L1599" s="23">
        <f ca="1">IFERROR(__xludf.DUMMYFUNCTION("""COMPUTED_VALUE"""),0)</f>
        <v>0</v>
      </c>
      <c r="M1599" s="23">
        <f ca="1">IFERROR(__xludf.DUMMYFUNCTION("""COMPUTED_VALUE"""),0)</f>
        <v>0</v>
      </c>
      <c r="N1599" s="23">
        <f ca="1">IFERROR(__xludf.DUMMYFUNCTION("""COMPUTED_VALUE"""),0)</f>
        <v>0</v>
      </c>
      <c r="O1599" s="23">
        <f ca="1">IFERROR(__xludf.DUMMYFUNCTION("""COMPUTED_VALUE"""),0)</f>
        <v>0</v>
      </c>
      <c r="P1599" s="23">
        <f ca="1">IFERROR(__xludf.DUMMYFUNCTION("""COMPUTED_VALUE"""),0)</f>
        <v>0</v>
      </c>
      <c r="Q1599" s="24">
        <f ca="1">IFERROR(__xludf.DUMMYFUNCTION("""COMPUTED_VALUE"""),0)</f>
        <v>0</v>
      </c>
      <c r="R1599" s="20"/>
    </row>
    <row r="1600" spans="1:18" ht="13.2" hidden="1" outlineLevel="1" x14ac:dyDescent="0.25">
      <c r="A1600" s="1"/>
      <c r="B1600" s="39" t="str">
        <f ca="1">IFERROR(__xludf.DUMMYFUNCTION("""COMPUTED_VALUE"""),"Combustóleo")</f>
        <v>Combustóleo</v>
      </c>
      <c r="C1600" s="22">
        <f ca="1">IFERROR(__xludf.DUMMYFUNCTION("""COMPUTED_VALUE"""),2.76979947412576)</f>
        <v>2.7697994741257599</v>
      </c>
      <c r="D1600" s="23">
        <f ca="1">IFERROR(__xludf.DUMMYFUNCTION("""COMPUTED_VALUE"""),1.92398193209102)</f>
        <v>1.9239819320910201</v>
      </c>
      <c r="E1600" s="23">
        <f ca="1">IFERROR(__xludf.DUMMYFUNCTION("""COMPUTED_VALUE"""),1.37069248409708)</f>
        <v>1.37069248409708</v>
      </c>
      <c r="F1600" s="23">
        <f ca="1">IFERROR(__xludf.DUMMYFUNCTION("""COMPUTED_VALUE"""),0.411546725218617)</f>
        <v>0.41154672521861702</v>
      </c>
      <c r="G1600" s="23">
        <f ca="1">IFERROR(__xludf.DUMMYFUNCTION("""COMPUTED_VALUE"""),0.412207334415644)</f>
        <v>0.412207334415644</v>
      </c>
      <c r="H1600" s="23">
        <f ca="1">IFERROR(__xludf.DUMMYFUNCTION("""COMPUTED_VALUE"""),0.406764696419764)</f>
        <v>0.40676469641976398</v>
      </c>
      <c r="I1600" s="23">
        <f ca="1">IFERROR(__xludf.DUMMYFUNCTION("""COMPUTED_VALUE"""),0.367639087979251)</f>
        <v>0.36763908797925099</v>
      </c>
      <c r="J1600" s="23">
        <f ca="1">IFERROR(__xludf.DUMMYFUNCTION("""COMPUTED_VALUE"""),0.405119045155775)</f>
        <v>0.40511904515577501</v>
      </c>
      <c r="K1600" s="23">
        <f ca="1">IFERROR(__xludf.DUMMYFUNCTION("""COMPUTED_VALUE"""),0.419110419956688)</f>
        <v>0.41911041995668802</v>
      </c>
      <c r="L1600" s="23">
        <f ca="1">IFERROR(__xludf.DUMMYFUNCTION("""COMPUTED_VALUE"""),0.396382080138662)</f>
        <v>0.396382080138662</v>
      </c>
      <c r="M1600" s="23">
        <f ca="1">IFERROR(__xludf.DUMMYFUNCTION("""COMPUTED_VALUE"""),0.398638692519114)</f>
        <v>0.39863869251911399</v>
      </c>
      <c r="N1600" s="23">
        <f ca="1">IFERROR(__xludf.DUMMYFUNCTION("""COMPUTED_VALUE"""),0.476508487990674)</f>
        <v>0.47650848799067402</v>
      </c>
      <c r="O1600" s="23">
        <f ca="1">IFERROR(__xludf.DUMMYFUNCTION("""COMPUTED_VALUE"""),0.530001101204931)</f>
        <v>0.53000110120493105</v>
      </c>
      <c r="P1600" s="23">
        <f ca="1">IFERROR(__xludf.DUMMYFUNCTION("""COMPUTED_VALUE"""),0.515620537269112)</f>
        <v>0.51562053726911194</v>
      </c>
      <c r="Q1600" s="24">
        <f ca="1">IFERROR(__xludf.DUMMYFUNCTION("""COMPUTED_VALUE"""),0.294007098271411)</f>
        <v>0.29400709827141103</v>
      </c>
      <c r="R1600" s="20"/>
    </row>
    <row r="1601" spans="1:18" ht="13.2" hidden="1" outlineLevel="1" x14ac:dyDescent="0.25">
      <c r="A1601" s="1"/>
      <c r="B1601" s="39" t="str">
        <f ca="1">IFERROR(__xludf.DUMMYFUNCTION("""COMPUTED_VALUE"""),"Otros energéticos")</f>
        <v>Otros energéticos</v>
      </c>
      <c r="C1601" s="22">
        <f ca="1">IFERROR(__xludf.DUMMYFUNCTION("""COMPUTED_VALUE"""),0)</f>
        <v>0</v>
      </c>
      <c r="D1601" s="23">
        <f ca="1">IFERROR(__xludf.DUMMYFUNCTION("""COMPUTED_VALUE"""),0)</f>
        <v>0</v>
      </c>
      <c r="E1601" s="23">
        <f ca="1">IFERROR(__xludf.DUMMYFUNCTION("""COMPUTED_VALUE"""),0)</f>
        <v>0</v>
      </c>
      <c r="F1601" s="23">
        <f ca="1">IFERROR(__xludf.DUMMYFUNCTION("""COMPUTED_VALUE"""),0)</f>
        <v>0</v>
      </c>
      <c r="G1601" s="23">
        <f ca="1">IFERROR(__xludf.DUMMYFUNCTION("""COMPUTED_VALUE"""),0)</f>
        <v>0</v>
      </c>
      <c r="H1601" s="23">
        <f ca="1">IFERROR(__xludf.DUMMYFUNCTION("""COMPUTED_VALUE"""),0)</f>
        <v>0</v>
      </c>
      <c r="I1601" s="23">
        <f ca="1">IFERROR(__xludf.DUMMYFUNCTION("""COMPUTED_VALUE"""),0)</f>
        <v>0</v>
      </c>
      <c r="J1601" s="23">
        <f ca="1">IFERROR(__xludf.DUMMYFUNCTION("""COMPUTED_VALUE"""),0)</f>
        <v>0</v>
      </c>
      <c r="K1601" s="23">
        <f ca="1">IFERROR(__xludf.DUMMYFUNCTION("""COMPUTED_VALUE"""),0)</f>
        <v>0</v>
      </c>
      <c r="L1601" s="23">
        <f ca="1">IFERROR(__xludf.DUMMYFUNCTION("""COMPUTED_VALUE"""),0)</f>
        <v>0</v>
      </c>
      <c r="M1601" s="23">
        <f ca="1">IFERROR(__xludf.DUMMYFUNCTION("""COMPUTED_VALUE"""),0)</f>
        <v>0</v>
      </c>
      <c r="N1601" s="23">
        <f ca="1">IFERROR(__xludf.DUMMYFUNCTION("""COMPUTED_VALUE"""),0)</f>
        <v>0</v>
      </c>
      <c r="O1601" s="23">
        <f ca="1">IFERROR(__xludf.DUMMYFUNCTION("""COMPUTED_VALUE"""),0)</f>
        <v>0</v>
      </c>
      <c r="P1601" s="23">
        <f ca="1">IFERROR(__xludf.DUMMYFUNCTION("""COMPUTED_VALUE"""),0)</f>
        <v>0</v>
      </c>
      <c r="Q1601" s="24">
        <f ca="1">IFERROR(__xludf.DUMMYFUNCTION("""COMPUTED_VALUE"""),0)</f>
        <v>0</v>
      </c>
      <c r="R1601" s="20"/>
    </row>
    <row r="1602" spans="1:18" ht="13.2" hidden="1" outlineLevel="1" x14ac:dyDescent="0.25">
      <c r="A1602" s="1"/>
      <c r="B1602" s="39" t="str">
        <f ca="1">IFERROR(__xludf.DUMMYFUNCTION("""COMPUTED_VALUE"""),"Gas natural seco")</f>
        <v>Gas natural seco</v>
      </c>
      <c r="C1602" s="22">
        <f ca="1">IFERROR(__xludf.DUMMYFUNCTION("""COMPUTED_VALUE"""),0.0373000165990096)</f>
        <v>3.7300016599009597E-2</v>
      </c>
      <c r="D1602" s="23">
        <f ca="1">IFERROR(__xludf.DUMMYFUNCTION("""COMPUTED_VALUE"""),0.0283427501481949)</f>
        <v>2.8342750148194901E-2</v>
      </c>
      <c r="E1602" s="23">
        <f ca="1">IFERROR(__xludf.DUMMYFUNCTION("""COMPUTED_VALUE"""),0.0274573251531481)</f>
        <v>2.74573251531481E-2</v>
      </c>
      <c r="F1602" s="23">
        <f ca="1">IFERROR(__xludf.DUMMYFUNCTION("""COMPUTED_VALUE"""),0.0345321976169443)</f>
        <v>3.4532197616944302E-2</v>
      </c>
      <c r="G1602" s="23">
        <f ca="1">IFERROR(__xludf.DUMMYFUNCTION("""COMPUTED_VALUE"""),0.0399814348229677)</f>
        <v>3.9981434822967697E-2</v>
      </c>
      <c r="H1602" s="23">
        <f ca="1">IFERROR(__xludf.DUMMYFUNCTION("""COMPUTED_VALUE"""),0.040024974532549)</f>
        <v>4.0024974532549003E-2</v>
      </c>
      <c r="I1602" s="23">
        <f ca="1">IFERROR(__xludf.DUMMYFUNCTION("""COMPUTED_VALUE"""),0.0400006172934767)</f>
        <v>4.0000617293476697E-2</v>
      </c>
      <c r="J1602" s="23">
        <f ca="1">IFERROR(__xludf.DUMMYFUNCTION("""COMPUTED_VALUE"""),0.0380349946042323)</f>
        <v>3.8034994604232299E-2</v>
      </c>
      <c r="K1602" s="23">
        <f ca="1">IFERROR(__xludf.DUMMYFUNCTION("""COMPUTED_VALUE"""),0.0449253441295546)</f>
        <v>4.4925344129554602E-2</v>
      </c>
      <c r="L1602" s="23">
        <f ca="1">IFERROR(__xludf.DUMMYFUNCTION("""COMPUTED_VALUE"""),0.0475319064905634)</f>
        <v>4.7531906490563401E-2</v>
      </c>
      <c r="M1602" s="23">
        <f ca="1">IFERROR(__xludf.DUMMYFUNCTION("""COMPUTED_VALUE"""),0.0438441666749298)</f>
        <v>4.3844166674929803E-2</v>
      </c>
      <c r="N1602" s="23">
        <f ca="1">IFERROR(__xludf.DUMMYFUNCTION("""COMPUTED_VALUE"""),0.0674914663397877)</f>
        <v>6.7491466339787698E-2</v>
      </c>
      <c r="O1602" s="23">
        <f ca="1">IFERROR(__xludf.DUMMYFUNCTION("""COMPUTED_VALUE"""),0.0778420822252241)</f>
        <v>7.7842082225224096E-2</v>
      </c>
      <c r="P1602" s="23">
        <f ca="1">IFERROR(__xludf.DUMMYFUNCTION("""COMPUTED_VALUE"""),0.0814397709480138)</f>
        <v>8.1439770948013801E-2</v>
      </c>
      <c r="Q1602" s="24">
        <f ca="1">IFERROR(__xludf.DUMMYFUNCTION("""COMPUTED_VALUE"""),0.0531270285037151)</f>
        <v>5.3127028503715097E-2</v>
      </c>
      <c r="R1602" s="20"/>
    </row>
    <row r="1603" spans="1:18" ht="13.2" hidden="1" outlineLevel="1" x14ac:dyDescent="0.25">
      <c r="A1603" s="1"/>
      <c r="B1603" s="40" t="str">
        <f ca="1">IFERROR(__xludf.DUMMYFUNCTION("""COMPUTED_VALUE"""),"Energía eléctrica")</f>
        <v>Energía eléctrica</v>
      </c>
      <c r="C1603" s="26">
        <f ca="1">IFERROR(__xludf.DUMMYFUNCTION("""COMPUTED_VALUE"""),0.504139735916756)</f>
        <v>0.50413973591675598</v>
      </c>
      <c r="D1603" s="27">
        <f ca="1">IFERROR(__xludf.DUMMYFUNCTION("""COMPUTED_VALUE"""),0.501219968674409)</f>
        <v>0.50121996867440899</v>
      </c>
      <c r="E1603" s="27">
        <f ca="1">IFERROR(__xludf.DUMMYFUNCTION("""COMPUTED_VALUE"""),0.575457443764866)</f>
        <v>0.57545744376486596</v>
      </c>
      <c r="F1603" s="27">
        <f ca="1">IFERROR(__xludf.DUMMYFUNCTION("""COMPUTED_VALUE"""),0.243057116902587)</f>
        <v>0.24305711690258699</v>
      </c>
      <c r="G1603" s="27">
        <f ca="1">IFERROR(__xludf.DUMMYFUNCTION("""COMPUTED_VALUE"""),0.260077484661863)</f>
        <v>0.26007748466186298</v>
      </c>
      <c r="H1603" s="27">
        <f ca="1">IFERROR(__xludf.DUMMYFUNCTION("""COMPUTED_VALUE"""),0.264813915614578)</f>
        <v>0.26481391561457801</v>
      </c>
      <c r="I1603" s="27">
        <f ca="1">IFERROR(__xludf.DUMMYFUNCTION("""COMPUTED_VALUE"""),0.265850410798164)</f>
        <v>0.26585041079816402</v>
      </c>
      <c r="J1603" s="27">
        <f ca="1">IFERROR(__xludf.DUMMYFUNCTION("""COMPUTED_VALUE"""),0.284508143759855)</f>
        <v>0.284508143759855</v>
      </c>
      <c r="K1603" s="27">
        <f ca="1">IFERROR(__xludf.DUMMYFUNCTION("""COMPUTED_VALUE"""),0.281597505224349)</f>
        <v>0.28159750522434901</v>
      </c>
      <c r="L1603" s="27">
        <f ca="1">IFERROR(__xludf.DUMMYFUNCTION("""COMPUTED_VALUE"""),0.285828127531293)</f>
        <v>0.285828127531293</v>
      </c>
      <c r="M1603" s="27">
        <f ca="1">IFERROR(__xludf.DUMMYFUNCTION("""COMPUTED_VALUE"""),0.264674109328009)</f>
        <v>0.264674109328009</v>
      </c>
      <c r="N1603" s="27">
        <f ca="1">IFERROR(__xludf.DUMMYFUNCTION("""COMPUTED_VALUE"""),0.531771752887316)</f>
        <v>0.53177175288731604</v>
      </c>
      <c r="O1603" s="27">
        <f ca="1">IFERROR(__xludf.DUMMYFUNCTION("""COMPUTED_VALUE"""),0.114013868873461)</f>
        <v>0.114013868873461</v>
      </c>
      <c r="P1603" s="27">
        <f ca="1">IFERROR(__xludf.DUMMYFUNCTION("""COMPUTED_VALUE"""),0.509008161398758)</f>
        <v>0.50900816139875804</v>
      </c>
      <c r="Q1603" s="28">
        <f ca="1">IFERROR(__xludf.DUMMYFUNCTION("""COMPUTED_VALUE"""),0.658993196881591)</f>
        <v>0.65899319688159097</v>
      </c>
      <c r="R1603" s="20"/>
    </row>
    <row r="1604" spans="1:18" ht="13.2" collapsed="1" x14ac:dyDescent="0.25">
      <c r="A1604" s="1"/>
      <c r="B1604" s="31" t="str">
        <f ca="1">IFERROR(__xludf.DUMMYFUNCTION("""COMPUTED_VALUE"""),"336	Fabricación de equipo de transporte")</f>
        <v>336	Fabricación de equipo de transporte</v>
      </c>
      <c r="C1604" s="41"/>
      <c r="D1604" s="42"/>
      <c r="E1604" s="41"/>
      <c r="F1604" s="41"/>
      <c r="G1604" s="43"/>
      <c r="H1604" s="44"/>
      <c r="I1604" s="45"/>
      <c r="J1604" s="45"/>
      <c r="K1604" s="45"/>
      <c r="L1604" s="45"/>
      <c r="M1604" s="45"/>
      <c r="N1604" s="45"/>
      <c r="O1604" s="45"/>
      <c r="P1604" s="45"/>
      <c r="Q1604" s="45"/>
      <c r="R1604" s="10"/>
    </row>
    <row r="1605" spans="1:18" ht="13.2" hidden="1" outlineLevel="1" x14ac:dyDescent="0.25">
      <c r="A1605" s="1"/>
      <c r="B1605" s="46"/>
      <c r="C1605" s="35">
        <f ca="1">IFERROR(__xludf.DUMMYFUNCTION("""COMPUTED_VALUE"""),2010)</f>
        <v>2010</v>
      </c>
      <c r="D1605" s="36">
        <f ca="1">IFERROR(__xludf.DUMMYFUNCTION("""COMPUTED_VALUE"""),2011)</f>
        <v>2011</v>
      </c>
      <c r="E1605" s="36">
        <f ca="1">IFERROR(__xludf.DUMMYFUNCTION("""COMPUTED_VALUE"""),2012)</f>
        <v>2012</v>
      </c>
      <c r="F1605" s="36">
        <f ca="1">IFERROR(__xludf.DUMMYFUNCTION("""COMPUTED_VALUE"""),2013)</f>
        <v>2013</v>
      </c>
      <c r="G1605" s="36">
        <f ca="1">IFERROR(__xludf.DUMMYFUNCTION("""COMPUTED_VALUE"""),2014)</f>
        <v>2014</v>
      </c>
      <c r="H1605" s="36">
        <f ca="1">IFERROR(__xludf.DUMMYFUNCTION("""COMPUTED_VALUE"""),2015)</f>
        <v>2015</v>
      </c>
      <c r="I1605" s="36">
        <f ca="1">IFERROR(__xludf.DUMMYFUNCTION("""COMPUTED_VALUE"""),2016)</f>
        <v>2016</v>
      </c>
      <c r="J1605" s="36">
        <f ca="1">IFERROR(__xludf.DUMMYFUNCTION("""COMPUTED_VALUE"""),2017)</f>
        <v>2017</v>
      </c>
      <c r="K1605" s="36">
        <f ca="1">IFERROR(__xludf.DUMMYFUNCTION("""COMPUTED_VALUE"""),2018)</f>
        <v>2018</v>
      </c>
      <c r="L1605" s="36">
        <f ca="1">IFERROR(__xludf.DUMMYFUNCTION("""COMPUTED_VALUE"""),2019)</f>
        <v>2019</v>
      </c>
      <c r="M1605" s="36">
        <f ca="1">IFERROR(__xludf.DUMMYFUNCTION("""COMPUTED_VALUE"""),2020)</f>
        <v>2020</v>
      </c>
      <c r="N1605" s="36">
        <f ca="1">IFERROR(__xludf.DUMMYFUNCTION("""COMPUTED_VALUE"""),2021)</f>
        <v>2021</v>
      </c>
      <c r="O1605" s="36">
        <f ca="1">IFERROR(__xludf.DUMMYFUNCTION("""COMPUTED_VALUE"""),2022)</f>
        <v>2022</v>
      </c>
      <c r="P1605" s="36">
        <f ca="1">IFERROR(__xludf.DUMMYFUNCTION("""COMPUTED_VALUE"""),2023)</f>
        <v>2023</v>
      </c>
      <c r="Q1605" s="37">
        <f ca="1">IFERROR(__xludf.DUMMYFUNCTION("""COMPUTED_VALUE"""),2024)</f>
        <v>2024</v>
      </c>
      <c r="R1605" s="15"/>
    </row>
    <row r="1606" spans="1:18" ht="13.2" hidden="1" outlineLevel="1" x14ac:dyDescent="0.25">
      <c r="A1606" s="1"/>
      <c r="B1606" s="38" t="str">
        <f ca="1">IFERROR(__xludf.DUMMYFUNCTION("""COMPUTED_VALUE"""),"Carbón mineral")</f>
        <v>Carbón mineral</v>
      </c>
      <c r="C1606" s="17">
        <f ca="1">IFERROR(__xludf.DUMMYFUNCTION("""COMPUTED_VALUE"""),0)</f>
        <v>0</v>
      </c>
      <c r="D1606" s="18">
        <f ca="1">IFERROR(__xludf.DUMMYFUNCTION("""COMPUTED_VALUE"""),0)</f>
        <v>0</v>
      </c>
      <c r="E1606" s="18">
        <f ca="1">IFERROR(__xludf.DUMMYFUNCTION("""COMPUTED_VALUE"""),0)</f>
        <v>0</v>
      </c>
      <c r="F1606" s="18">
        <f ca="1">IFERROR(__xludf.DUMMYFUNCTION("""COMPUTED_VALUE"""),0)</f>
        <v>0</v>
      </c>
      <c r="G1606" s="18">
        <f ca="1">IFERROR(__xludf.DUMMYFUNCTION("""COMPUTED_VALUE"""),0)</f>
        <v>0</v>
      </c>
      <c r="H1606" s="18">
        <f ca="1">IFERROR(__xludf.DUMMYFUNCTION("""COMPUTED_VALUE"""),0)</f>
        <v>0</v>
      </c>
      <c r="I1606" s="18">
        <f ca="1">IFERROR(__xludf.DUMMYFUNCTION("""COMPUTED_VALUE"""),0)</f>
        <v>0</v>
      </c>
      <c r="J1606" s="18">
        <f ca="1">IFERROR(__xludf.DUMMYFUNCTION("""COMPUTED_VALUE"""),0)</f>
        <v>0</v>
      </c>
      <c r="K1606" s="18">
        <f ca="1">IFERROR(__xludf.DUMMYFUNCTION("""COMPUTED_VALUE"""),0)</f>
        <v>0</v>
      </c>
      <c r="L1606" s="18">
        <f ca="1">IFERROR(__xludf.DUMMYFUNCTION("""COMPUTED_VALUE"""),0)</f>
        <v>0</v>
      </c>
      <c r="M1606" s="18">
        <f ca="1">IFERROR(__xludf.DUMMYFUNCTION("""COMPUTED_VALUE"""),0)</f>
        <v>0</v>
      </c>
      <c r="N1606" s="18">
        <f ca="1">IFERROR(__xludf.DUMMYFUNCTION("""COMPUTED_VALUE"""),0)</f>
        <v>0</v>
      </c>
      <c r="O1606" s="18">
        <f ca="1">IFERROR(__xludf.DUMMYFUNCTION("""COMPUTED_VALUE"""),0)</f>
        <v>0</v>
      </c>
      <c r="P1606" s="18">
        <f ca="1">IFERROR(__xludf.DUMMYFUNCTION("""COMPUTED_VALUE"""),0)</f>
        <v>0</v>
      </c>
      <c r="Q1606" s="19">
        <f ca="1">IFERROR(__xludf.DUMMYFUNCTION("""COMPUTED_VALUE"""),0)</f>
        <v>0</v>
      </c>
      <c r="R1606" s="20"/>
    </row>
    <row r="1607" spans="1:18" ht="13.2" hidden="1" outlineLevel="1" x14ac:dyDescent="0.25">
      <c r="A1607" s="1"/>
      <c r="B1607" s="39" t="str">
        <f ca="1">IFERROR(__xludf.DUMMYFUNCTION("""COMPUTED_VALUE"""),"Petróleo crudo")</f>
        <v>Petróleo crudo</v>
      </c>
      <c r="C1607" s="22">
        <f ca="1">IFERROR(__xludf.DUMMYFUNCTION("""COMPUTED_VALUE"""),0)</f>
        <v>0</v>
      </c>
      <c r="D1607" s="23">
        <f ca="1">IFERROR(__xludf.DUMMYFUNCTION("""COMPUTED_VALUE"""),0)</f>
        <v>0</v>
      </c>
      <c r="E1607" s="23">
        <f ca="1">IFERROR(__xludf.DUMMYFUNCTION("""COMPUTED_VALUE"""),0)</f>
        <v>0</v>
      </c>
      <c r="F1607" s="23">
        <f ca="1">IFERROR(__xludf.DUMMYFUNCTION("""COMPUTED_VALUE"""),0)</f>
        <v>0</v>
      </c>
      <c r="G1607" s="23">
        <f ca="1">IFERROR(__xludf.DUMMYFUNCTION("""COMPUTED_VALUE"""),0)</f>
        <v>0</v>
      </c>
      <c r="H1607" s="23">
        <f ca="1">IFERROR(__xludf.DUMMYFUNCTION("""COMPUTED_VALUE"""),0)</f>
        <v>0</v>
      </c>
      <c r="I1607" s="23">
        <f ca="1">IFERROR(__xludf.DUMMYFUNCTION("""COMPUTED_VALUE"""),0)</f>
        <v>0</v>
      </c>
      <c r="J1607" s="23">
        <f ca="1">IFERROR(__xludf.DUMMYFUNCTION("""COMPUTED_VALUE"""),0)</f>
        <v>0</v>
      </c>
      <c r="K1607" s="23">
        <f ca="1">IFERROR(__xludf.DUMMYFUNCTION("""COMPUTED_VALUE"""),0)</f>
        <v>0</v>
      </c>
      <c r="L1607" s="23">
        <f ca="1">IFERROR(__xludf.DUMMYFUNCTION("""COMPUTED_VALUE"""),0)</f>
        <v>0</v>
      </c>
      <c r="M1607" s="23">
        <f ca="1">IFERROR(__xludf.DUMMYFUNCTION("""COMPUTED_VALUE"""),0)</f>
        <v>0</v>
      </c>
      <c r="N1607" s="23">
        <f ca="1">IFERROR(__xludf.DUMMYFUNCTION("""COMPUTED_VALUE"""),0)</f>
        <v>0</v>
      </c>
      <c r="O1607" s="23">
        <f ca="1">IFERROR(__xludf.DUMMYFUNCTION("""COMPUTED_VALUE"""),0)</f>
        <v>0</v>
      </c>
      <c r="P1607" s="23">
        <f ca="1">IFERROR(__xludf.DUMMYFUNCTION("""COMPUTED_VALUE"""),0)</f>
        <v>0</v>
      </c>
      <c r="Q1607" s="24">
        <f ca="1">IFERROR(__xludf.DUMMYFUNCTION("""COMPUTED_VALUE"""),0)</f>
        <v>0</v>
      </c>
      <c r="R1607" s="20"/>
    </row>
    <row r="1608" spans="1:18" ht="13.2" hidden="1" outlineLevel="1" x14ac:dyDescent="0.25">
      <c r="A1608" s="1"/>
      <c r="B1608" s="39" t="str">
        <f ca="1">IFERROR(__xludf.DUMMYFUNCTION("""COMPUTED_VALUE"""),"Condensados")</f>
        <v>Condensados</v>
      </c>
      <c r="C1608" s="22">
        <f ca="1">IFERROR(__xludf.DUMMYFUNCTION("""COMPUTED_VALUE"""),0)</f>
        <v>0</v>
      </c>
      <c r="D1608" s="23">
        <f ca="1">IFERROR(__xludf.DUMMYFUNCTION("""COMPUTED_VALUE"""),0)</f>
        <v>0</v>
      </c>
      <c r="E1608" s="23">
        <f ca="1">IFERROR(__xludf.DUMMYFUNCTION("""COMPUTED_VALUE"""),0)</f>
        <v>0</v>
      </c>
      <c r="F1608" s="23">
        <f ca="1">IFERROR(__xludf.DUMMYFUNCTION("""COMPUTED_VALUE"""),0)</f>
        <v>0</v>
      </c>
      <c r="G1608" s="23">
        <f ca="1">IFERROR(__xludf.DUMMYFUNCTION("""COMPUTED_VALUE"""),0)</f>
        <v>0</v>
      </c>
      <c r="H1608" s="23">
        <f ca="1">IFERROR(__xludf.DUMMYFUNCTION("""COMPUTED_VALUE"""),0)</f>
        <v>0</v>
      </c>
      <c r="I1608" s="23">
        <f ca="1">IFERROR(__xludf.DUMMYFUNCTION("""COMPUTED_VALUE"""),0)</f>
        <v>0</v>
      </c>
      <c r="J1608" s="23">
        <f ca="1">IFERROR(__xludf.DUMMYFUNCTION("""COMPUTED_VALUE"""),0)</f>
        <v>0</v>
      </c>
      <c r="K1608" s="23">
        <f ca="1">IFERROR(__xludf.DUMMYFUNCTION("""COMPUTED_VALUE"""),0)</f>
        <v>0</v>
      </c>
      <c r="L1608" s="23">
        <f ca="1">IFERROR(__xludf.DUMMYFUNCTION("""COMPUTED_VALUE"""),0)</f>
        <v>0</v>
      </c>
      <c r="M1608" s="23">
        <f ca="1">IFERROR(__xludf.DUMMYFUNCTION("""COMPUTED_VALUE"""),0)</f>
        <v>0</v>
      </c>
      <c r="N1608" s="23">
        <f ca="1">IFERROR(__xludf.DUMMYFUNCTION("""COMPUTED_VALUE"""),0)</f>
        <v>0</v>
      </c>
      <c r="O1608" s="23">
        <f ca="1">IFERROR(__xludf.DUMMYFUNCTION("""COMPUTED_VALUE"""),0)</f>
        <v>0</v>
      </c>
      <c r="P1608" s="23">
        <f ca="1">IFERROR(__xludf.DUMMYFUNCTION("""COMPUTED_VALUE"""),0)</f>
        <v>0</v>
      </c>
      <c r="Q1608" s="24">
        <f ca="1">IFERROR(__xludf.DUMMYFUNCTION("""COMPUTED_VALUE"""),0)</f>
        <v>0</v>
      </c>
      <c r="R1608" s="20"/>
    </row>
    <row r="1609" spans="1:18" ht="13.2" hidden="1" outlineLevel="1" x14ac:dyDescent="0.25">
      <c r="A1609" s="1"/>
      <c r="B1609" s="39" t="str">
        <f ca="1">IFERROR(__xludf.DUMMYFUNCTION("""COMPUTED_VALUE"""),"Gas natural")</f>
        <v>Gas natural</v>
      </c>
      <c r="C1609" s="22">
        <f ca="1">IFERROR(__xludf.DUMMYFUNCTION("""COMPUTED_VALUE"""),0)</f>
        <v>0</v>
      </c>
      <c r="D1609" s="23">
        <f ca="1">IFERROR(__xludf.DUMMYFUNCTION("""COMPUTED_VALUE"""),0)</f>
        <v>0</v>
      </c>
      <c r="E1609" s="23">
        <f ca="1">IFERROR(__xludf.DUMMYFUNCTION("""COMPUTED_VALUE"""),0)</f>
        <v>0</v>
      </c>
      <c r="F1609" s="23">
        <f ca="1">IFERROR(__xludf.DUMMYFUNCTION("""COMPUTED_VALUE"""),0)</f>
        <v>0</v>
      </c>
      <c r="G1609" s="23">
        <f ca="1">IFERROR(__xludf.DUMMYFUNCTION("""COMPUTED_VALUE"""),0)</f>
        <v>0</v>
      </c>
      <c r="H1609" s="23">
        <f ca="1">IFERROR(__xludf.DUMMYFUNCTION("""COMPUTED_VALUE"""),0)</f>
        <v>0</v>
      </c>
      <c r="I1609" s="23">
        <f ca="1">IFERROR(__xludf.DUMMYFUNCTION("""COMPUTED_VALUE"""),0)</f>
        <v>0</v>
      </c>
      <c r="J1609" s="23">
        <f ca="1">IFERROR(__xludf.DUMMYFUNCTION("""COMPUTED_VALUE"""),0)</f>
        <v>0</v>
      </c>
      <c r="K1609" s="23">
        <f ca="1">IFERROR(__xludf.DUMMYFUNCTION("""COMPUTED_VALUE"""),0)</f>
        <v>0</v>
      </c>
      <c r="L1609" s="23">
        <f ca="1">IFERROR(__xludf.DUMMYFUNCTION("""COMPUTED_VALUE"""),0)</f>
        <v>0</v>
      </c>
      <c r="M1609" s="23">
        <f ca="1">IFERROR(__xludf.DUMMYFUNCTION("""COMPUTED_VALUE"""),0)</f>
        <v>0</v>
      </c>
      <c r="N1609" s="23">
        <f ca="1">IFERROR(__xludf.DUMMYFUNCTION("""COMPUTED_VALUE"""),0)</f>
        <v>0</v>
      </c>
      <c r="O1609" s="23">
        <f ca="1">IFERROR(__xludf.DUMMYFUNCTION("""COMPUTED_VALUE"""),0)</f>
        <v>0</v>
      </c>
      <c r="P1609" s="23">
        <f ca="1">IFERROR(__xludf.DUMMYFUNCTION("""COMPUTED_VALUE"""),0)</f>
        <v>0</v>
      </c>
      <c r="Q1609" s="24">
        <f ca="1">IFERROR(__xludf.DUMMYFUNCTION("""COMPUTED_VALUE"""),0)</f>
        <v>0</v>
      </c>
      <c r="R1609" s="20"/>
    </row>
    <row r="1610" spans="1:18" ht="13.2" hidden="1" outlineLevel="1" x14ac:dyDescent="0.25">
      <c r="A1610" s="1"/>
      <c r="B1610" s="39" t="str">
        <f ca="1">IFERROR(__xludf.DUMMYFUNCTION("""COMPUTED_VALUE"""),"Energía Nuclear")</f>
        <v>Energía Nuclear</v>
      </c>
      <c r="C1610" s="22">
        <f ca="1">IFERROR(__xludf.DUMMYFUNCTION("""COMPUTED_VALUE"""),0)</f>
        <v>0</v>
      </c>
      <c r="D1610" s="23">
        <f ca="1">IFERROR(__xludf.DUMMYFUNCTION("""COMPUTED_VALUE"""),0)</f>
        <v>0</v>
      </c>
      <c r="E1610" s="23">
        <f ca="1">IFERROR(__xludf.DUMMYFUNCTION("""COMPUTED_VALUE"""),0)</f>
        <v>0</v>
      </c>
      <c r="F1610" s="23">
        <f ca="1">IFERROR(__xludf.DUMMYFUNCTION("""COMPUTED_VALUE"""),0)</f>
        <v>0</v>
      </c>
      <c r="G1610" s="23">
        <f ca="1">IFERROR(__xludf.DUMMYFUNCTION("""COMPUTED_VALUE"""),0)</f>
        <v>0</v>
      </c>
      <c r="H1610" s="23">
        <f ca="1">IFERROR(__xludf.DUMMYFUNCTION("""COMPUTED_VALUE"""),0)</f>
        <v>0</v>
      </c>
      <c r="I1610" s="23">
        <f ca="1">IFERROR(__xludf.DUMMYFUNCTION("""COMPUTED_VALUE"""),0)</f>
        <v>0</v>
      </c>
      <c r="J1610" s="23">
        <f ca="1">IFERROR(__xludf.DUMMYFUNCTION("""COMPUTED_VALUE"""),0)</f>
        <v>0</v>
      </c>
      <c r="K1610" s="23">
        <f ca="1">IFERROR(__xludf.DUMMYFUNCTION("""COMPUTED_VALUE"""),0)</f>
        <v>0</v>
      </c>
      <c r="L1610" s="23">
        <f ca="1">IFERROR(__xludf.DUMMYFUNCTION("""COMPUTED_VALUE"""),0)</f>
        <v>0</v>
      </c>
      <c r="M1610" s="23">
        <f ca="1">IFERROR(__xludf.DUMMYFUNCTION("""COMPUTED_VALUE"""),0)</f>
        <v>0</v>
      </c>
      <c r="N1610" s="23">
        <f ca="1">IFERROR(__xludf.DUMMYFUNCTION("""COMPUTED_VALUE"""),0)</f>
        <v>0</v>
      </c>
      <c r="O1610" s="23">
        <f ca="1">IFERROR(__xludf.DUMMYFUNCTION("""COMPUTED_VALUE"""),0)</f>
        <v>0</v>
      </c>
      <c r="P1610" s="23">
        <f ca="1">IFERROR(__xludf.DUMMYFUNCTION("""COMPUTED_VALUE"""),0)</f>
        <v>0</v>
      </c>
      <c r="Q1610" s="24">
        <f ca="1">IFERROR(__xludf.DUMMYFUNCTION("""COMPUTED_VALUE"""),0)</f>
        <v>0</v>
      </c>
      <c r="R1610" s="20"/>
    </row>
    <row r="1611" spans="1:18" ht="13.2" hidden="1" outlineLevel="1" x14ac:dyDescent="0.25">
      <c r="A1611" s="1"/>
      <c r="B1611" s="39" t="str">
        <f ca="1">IFERROR(__xludf.DUMMYFUNCTION("""COMPUTED_VALUE"""),"Energia Hidraúlica")</f>
        <v>Energia Hidraúlica</v>
      </c>
      <c r="C1611" s="22">
        <f ca="1">IFERROR(__xludf.DUMMYFUNCTION("""COMPUTED_VALUE"""),0)</f>
        <v>0</v>
      </c>
      <c r="D1611" s="23">
        <f ca="1">IFERROR(__xludf.DUMMYFUNCTION("""COMPUTED_VALUE"""),0)</f>
        <v>0</v>
      </c>
      <c r="E1611" s="23">
        <f ca="1">IFERROR(__xludf.DUMMYFUNCTION("""COMPUTED_VALUE"""),0)</f>
        <v>0</v>
      </c>
      <c r="F1611" s="23">
        <f ca="1">IFERROR(__xludf.DUMMYFUNCTION("""COMPUTED_VALUE"""),0)</f>
        <v>0</v>
      </c>
      <c r="G1611" s="23">
        <f ca="1">IFERROR(__xludf.DUMMYFUNCTION("""COMPUTED_VALUE"""),0)</f>
        <v>0</v>
      </c>
      <c r="H1611" s="23">
        <f ca="1">IFERROR(__xludf.DUMMYFUNCTION("""COMPUTED_VALUE"""),0)</f>
        <v>0</v>
      </c>
      <c r="I1611" s="23">
        <f ca="1">IFERROR(__xludf.DUMMYFUNCTION("""COMPUTED_VALUE"""),0)</f>
        <v>0</v>
      </c>
      <c r="J1611" s="23">
        <f ca="1">IFERROR(__xludf.DUMMYFUNCTION("""COMPUTED_VALUE"""),0)</f>
        <v>0</v>
      </c>
      <c r="K1611" s="23">
        <f ca="1">IFERROR(__xludf.DUMMYFUNCTION("""COMPUTED_VALUE"""),0)</f>
        <v>0</v>
      </c>
      <c r="L1611" s="23">
        <f ca="1">IFERROR(__xludf.DUMMYFUNCTION("""COMPUTED_VALUE"""),0)</f>
        <v>0</v>
      </c>
      <c r="M1611" s="23">
        <f ca="1">IFERROR(__xludf.DUMMYFUNCTION("""COMPUTED_VALUE"""),0)</f>
        <v>0</v>
      </c>
      <c r="N1611" s="23">
        <f ca="1">IFERROR(__xludf.DUMMYFUNCTION("""COMPUTED_VALUE"""),0)</f>
        <v>0</v>
      </c>
      <c r="O1611" s="23">
        <f ca="1">IFERROR(__xludf.DUMMYFUNCTION("""COMPUTED_VALUE"""),0)</f>
        <v>0</v>
      </c>
      <c r="P1611" s="23">
        <f ca="1">IFERROR(__xludf.DUMMYFUNCTION("""COMPUTED_VALUE"""),0)</f>
        <v>0</v>
      </c>
      <c r="Q1611" s="24">
        <f ca="1">IFERROR(__xludf.DUMMYFUNCTION("""COMPUTED_VALUE"""),0)</f>
        <v>0</v>
      </c>
      <c r="R1611" s="20"/>
    </row>
    <row r="1612" spans="1:18" ht="13.2" hidden="1" outlineLevel="1" x14ac:dyDescent="0.25">
      <c r="A1612" s="1"/>
      <c r="B1612" s="39" t="str">
        <f ca="1">IFERROR(__xludf.DUMMYFUNCTION("""COMPUTED_VALUE"""),"Geoenergía")</f>
        <v>Geoenergía</v>
      </c>
      <c r="C1612" s="22">
        <f ca="1">IFERROR(__xludf.DUMMYFUNCTION("""COMPUTED_VALUE"""),0)</f>
        <v>0</v>
      </c>
      <c r="D1612" s="23">
        <f ca="1">IFERROR(__xludf.DUMMYFUNCTION("""COMPUTED_VALUE"""),0)</f>
        <v>0</v>
      </c>
      <c r="E1612" s="23">
        <f ca="1">IFERROR(__xludf.DUMMYFUNCTION("""COMPUTED_VALUE"""),0)</f>
        <v>0</v>
      </c>
      <c r="F1612" s="23">
        <f ca="1">IFERROR(__xludf.DUMMYFUNCTION("""COMPUTED_VALUE"""),0)</f>
        <v>0</v>
      </c>
      <c r="G1612" s="23">
        <f ca="1">IFERROR(__xludf.DUMMYFUNCTION("""COMPUTED_VALUE"""),0)</f>
        <v>0</v>
      </c>
      <c r="H1612" s="23">
        <f ca="1">IFERROR(__xludf.DUMMYFUNCTION("""COMPUTED_VALUE"""),0)</f>
        <v>0</v>
      </c>
      <c r="I1612" s="23">
        <f ca="1">IFERROR(__xludf.DUMMYFUNCTION("""COMPUTED_VALUE"""),0)</f>
        <v>0</v>
      </c>
      <c r="J1612" s="23">
        <f ca="1">IFERROR(__xludf.DUMMYFUNCTION("""COMPUTED_VALUE"""),0)</f>
        <v>0</v>
      </c>
      <c r="K1612" s="23">
        <f ca="1">IFERROR(__xludf.DUMMYFUNCTION("""COMPUTED_VALUE"""),0)</f>
        <v>0</v>
      </c>
      <c r="L1612" s="23">
        <f ca="1">IFERROR(__xludf.DUMMYFUNCTION("""COMPUTED_VALUE"""),0)</f>
        <v>0</v>
      </c>
      <c r="M1612" s="23">
        <f ca="1">IFERROR(__xludf.DUMMYFUNCTION("""COMPUTED_VALUE"""),0)</f>
        <v>0</v>
      </c>
      <c r="N1612" s="23">
        <f ca="1">IFERROR(__xludf.DUMMYFUNCTION("""COMPUTED_VALUE"""),0)</f>
        <v>0</v>
      </c>
      <c r="O1612" s="23">
        <f ca="1">IFERROR(__xludf.DUMMYFUNCTION("""COMPUTED_VALUE"""),0)</f>
        <v>0</v>
      </c>
      <c r="P1612" s="23">
        <f ca="1">IFERROR(__xludf.DUMMYFUNCTION("""COMPUTED_VALUE"""),0)</f>
        <v>0</v>
      </c>
      <c r="Q1612" s="24">
        <f ca="1">IFERROR(__xludf.DUMMYFUNCTION("""COMPUTED_VALUE"""),0)</f>
        <v>0</v>
      </c>
      <c r="R1612" s="20"/>
    </row>
    <row r="1613" spans="1:18" ht="13.2" hidden="1" outlineLevel="1" x14ac:dyDescent="0.25">
      <c r="A1613" s="1"/>
      <c r="B1613" s="39" t="str">
        <f ca="1">IFERROR(__xludf.DUMMYFUNCTION("""COMPUTED_VALUE"""),"Energía solar")</f>
        <v>Energía solar</v>
      </c>
      <c r="C1613" s="22">
        <f ca="1">IFERROR(__xludf.DUMMYFUNCTION("""COMPUTED_VALUE"""),0)</f>
        <v>0</v>
      </c>
      <c r="D1613" s="23">
        <f ca="1">IFERROR(__xludf.DUMMYFUNCTION("""COMPUTED_VALUE"""),0)</f>
        <v>0</v>
      </c>
      <c r="E1613" s="23">
        <f ca="1">IFERROR(__xludf.DUMMYFUNCTION("""COMPUTED_VALUE"""),0)</f>
        <v>0</v>
      </c>
      <c r="F1613" s="23">
        <f ca="1">IFERROR(__xludf.DUMMYFUNCTION("""COMPUTED_VALUE"""),0)</f>
        <v>0</v>
      </c>
      <c r="G1613" s="23">
        <f ca="1">IFERROR(__xludf.DUMMYFUNCTION("""COMPUTED_VALUE"""),0)</f>
        <v>0</v>
      </c>
      <c r="H1613" s="23">
        <f ca="1">IFERROR(__xludf.DUMMYFUNCTION("""COMPUTED_VALUE"""),0)</f>
        <v>0</v>
      </c>
      <c r="I1613" s="23">
        <f ca="1">IFERROR(__xludf.DUMMYFUNCTION("""COMPUTED_VALUE"""),0)</f>
        <v>0</v>
      </c>
      <c r="J1613" s="23">
        <f ca="1">IFERROR(__xludf.DUMMYFUNCTION("""COMPUTED_VALUE"""),0)</f>
        <v>0</v>
      </c>
      <c r="K1613" s="23">
        <f ca="1">IFERROR(__xludf.DUMMYFUNCTION("""COMPUTED_VALUE"""),0)</f>
        <v>0</v>
      </c>
      <c r="L1613" s="23">
        <f ca="1">IFERROR(__xludf.DUMMYFUNCTION("""COMPUTED_VALUE"""),0)</f>
        <v>0</v>
      </c>
      <c r="M1613" s="23">
        <f ca="1">IFERROR(__xludf.DUMMYFUNCTION("""COMPUTED_VALUE"""),0)</f>
        <v>0</v>
      </c>
      <c r="N1613" s="23">
        <f ca="1">IFERROR(__xludf.DUMMYFUNCTION("""COMPUTED_VALUE"""),0)</f>
        <v>0</v>
      </c>
      <c r="O1613" s="23">
        <f ca="1">IFERROR(__xludf.DUMMYFUNCTION("""COMPUTED_VALUE"""),0)</f>
        <v>0</v>
      </c>
      <c r="P1613" s="23">
        <f ca="1">IFERROR(__xludf.DUMMYFUNCTION("""COMPUTED_VALUE"""),0)</f>
        <v>0</v>
      </c>
      <c r="Q1613" s="24">
        <f ca="1">IFERROR(__xludf.DUMMYFUNCTION("""COMPUTED_VALUE"""),0)</f>
        <v>0</v>
      </c>
      <c r="R1613" s="20"/>
    </row>
    <row r="1614" spans="1:18" ht="13.2" hidden="1" outlineLevel="1" x14ac:dyDescent="0.25">
      <c r="A1614" s="1"/>
      <c r="B1614" s="39" t="str">
        <f ca="1">IFERROR(__xludf.DUMMYFUNCTION("""COMPUTED_VALUE"""),"Energía eólica")</f>
        <v>Energía eólica</v>
      </c>
      <c r="C1614" s="22">
        <f ca="1">IFERROR(__xludf.DUMMYFUNCTION("""COMPUTED_VALUE"""),0)</f>
        <v>0</v>
      </c>
      <c r="D1614" s="23">
        <f ca="1">IFERROR(__xludf.DUMMYFUNCTION("""COMPUTED_VALUE"""),0)</f>
        <v>0</v>
      </c>
      <c r="E1614" s="23">
        <f ca="1">IFERROR(__xludf.DUMMYFUNCTION("""COMPUTED_VALUE"""),0)</f>
        <v>0</v>
      </c>
      <c r="F1614" s="23">
        <f ca="1">IFERROR(__xludf.DUMMYFUNCTION("""COMPUTED_VALUE"""),0)</f>
        <v>0</v>
      </c>
      <c r="G1614" s="23">
        <f ca="1">IFERROR(__xludf.DUMMYFUNCTION("""COMPUTED_VALUE"""),0)</f>
        <v>0</v>
      </c>
      <c r="H1614" s="23">
        <f ca="1">IFERROR(__xludf.DUMMYFUNCTION("""COMPUTED_VALUE"""),0)</f>
        <v>0</v>
      </c>
      <c r="I1614" s="23">
        <f ca="1">IFERROR(__xludf.DUMMYFUNCTION("""COMPUTED_VALUE"""),0)</f>
        <v>0</v>
      </c>
      <c r="J1614" s="23">
        <f ca="1">IFERROR(__xludf.DUMMYFUNCTION("""COMPUTED_VALUE"""),0)</f>
        <v>0</v>
      </c>
      <c r="K1614" s="23">
        <f ca="1">IFERROR(__xludf.DUMMYFUNCTION("""COMPUTED_VALUE"""),0)</f>
        <v>0</v>
      </c>
      <c r="L1614" s="23">
        <f ca="1">IFERROR(__xludf.DUMMYFUNCTION("""COMPUTED_VALUE"""),0)</f>
        <v>0</v>
      </c>
      <c r="M1614" s="23">
        <f ca="1">IFERROR(__xludf.DUMMYFUNCTION("""COMPUTED_VALUE"""),0)</f>
        <v>0</v>
      </c>
      <c r="N1614" s="23">
        <f ca="1">IFERROR(__xludf.DUMMYFUNCTION("""COMPUTED_VALUE"""),0)</f>
        <v>0</v>
      </c>
      <c r="O1614" s="23">
        <f ca="1">IFERROR(__xludf.DUMMYFUNCTION("""COMPUTED_VALUE"""),0)</f>
        <v>0</v>
      </c>
      <c r="P1614" s="23">
        <f ca="1">IFERROR(__xludf.DUMMYFUNCTION("""COMPUTED_VALUE"""),0)</f>
        <v>0</v>
      </c>
      <c r="Q1614" s="24">
        <f ca="1">IFERROR(__xludf.DUMMYFUNCTION("""COMPUTED_VALUE"""),0)</f>
        <v>0</v>
      </c>
      <c r="R1614" s="20"/>
    </row>
    <row r="1615" spans="1:18" ht="13.2" hidden="1" outlineLevel="1" x14ac:dyDescent="0.25">
      <c r="A1615" s="1"/>
      <c r="B1615" s="39" t="str">
        <f ca="1">IFERROR(__xludf.DUMMYFUNCTION("""COMPUTED_VALUE"""),"Bagazo de caña")</f>
        <v>Bagazo de caña</v>
      </c>
      <c r="C1615" s="22">
        <f ca="1">IFERROR(__xludf.DUMMYFUNCTION("""COMPUTED_VALUE"""),0)</f>
        <v>0</v>
      </c>
      <c r="D1615" s="23">
        <f ca="1">IFERROR(__xludf.DUMMYFUNCTION("""COMPUTED_VALUE"""),0)</f>
        <v>0</v>
      </c>
      <c r="E1615" s="23">
        <f ca="1">IFERROR(__xludf.DUMMYFUNCTION("""COMPUTED_VALUE"""),0)</f>
        <v>0</v>
      </c>
      <c r="F1615" s="23">
        <f ca="1">IFERROR(__xludf.DUMMYFUNCTION("""COMPUTED_VALUE"""),0)</f>
        <v>0</v>
      </c>
      <c r="G1615" s="23">
        <f ca="1">IFERROR(__xludf.DUMMYFUNCTION("""COMPUTED_VALUE"""),0)</f>
        <v>0</v>
      </c>
      <c r="H1615" s="23">
        <f ca="1">IFERROR(__xludf.DUMMYFUNCTION("""COMPUTED_VALUE"""),0)</f>
        <v>0</v>
      </c>
      <c r="I1615" s="23">
        <f ca="1">IFERROR(__xludf.DUMMYFUNCTION("""COMPUTED_VALUE"""),0)</f>
        <v>0</v>
      </c>
      <c r="J1615" s="23">
        <f ca="1">IFERROR(__xludf.DUMMYFUNCTION("""COMPUTED_VALUE"""),0)</f>
        <v>0</v>
      </c>
      <c r="K1615" s="23">
        <f ca="1">IFERROR(__xludf.DUMMYFUNCTION("""COMPUTED_VALUE"""),0)</f>
        <v>0</v>
      </c>
      <c r="L1615" s="23">
        <f ca="1">IFERROR(__xludf.DUMMYFUNCTION("""COMPUTED_VALUE"""),0)</f>
        <v>0</v>
      </c>
      <c r="M1615" s="23">
        <f ca="1">IFERROR(__xludf.DUMMYFUNCTION("""COMPUTED_VALUE"""),0)</f>
        <v>0</v>
      </c>
      <c r="N1615" s="23">
        <f ca="1">IFERROR(__xludf.DUMMYFUNCTION("""COMPUTED_VALUE"""),0)</f>
        <v>0</v>
      </c>
      <c r="O1615" s="23">
        <f ca="1">IFERROR(__xludf.DUMMYFUNCTION("""COMPUTED_VALUE"""),0)</f>
        <v>0</v>
      </c>
      <c r="P1615" s="23">
        <f ca="1">IFERROR(__xludf.DUMMYFUNCTION("""COMPUTED_VALUE"""),0)</f>
        <v>0</v>
      </c>
      <c r="Q1615" s="24">
        <f ca="1">IFERROR(__xludf.DUMMYFUNCTION("""COMPUTED_VALUE"""),0)</f>
        <v>0</v>
      </c>
      <c r="R1615" s="20"/>
    </row>
    <row r="1616" spans="1:18" ht="13.2" hidden="1" outlineLevel="1" x14ac:dyDescent="0.25">
      <c r="A1616" s="1"/>
      <c r="B1616" s="39" t="str">
        <f ca="1">IFERROR(__xludf.DUMMYFUNCTION("""COMPUTED_VALUE"""),"Leña")</f>
        <v>Leña</v>
      </c>
      <c r="C1616" s="22">
        <f ca="1">IFERROR(__xludf.DUMMYFUNCTION("""COMPUTED_VALUE"""),0)</f>
        <v>0</v>
      </c>
      <c r="D1616" s="23">
        <f ca="1">IFERROR(__xludf.DUMMYFUNCTION("""COMPUTED_VALUE"""),0)</f>
        <v>0</v>
      </c>
      <c r="E1616" s="23">
        <f ca="1">IFERROR(__xludf.DUMMYFUNCTION("""COMPUTED_VALUE"""),0)</f>
        <v>0</v>
      </c>
      <c r="F1616" s="23">
        <f ca="1">IFERROR(__xludf.DUMMYFUNCTION("""COMPUTED_VALUE"""),0)</f>
        <v>0</v>
      </c>
      <c r="G1616" s="23">
        <f ca="1">IFERROR(__xludf.DUMMYFUNCTION("""COMPUTED_VALUE"""),0)</f>
        <v>0</v>
      </c>
      <c r="H1616" s="23">
        <f ca="1">IFERROR(__xludf.DUMMYFUNCTION("""COMPUTED_VALUE"""),0)</f>
        <v>0</v>
      </c>
      <c r="I1616" s="23">
        <f ca="1">IFERROR(__xludf.DUMMYFUNCTION("""COMPUTED_VALUE"""),0)</f>
        <v>0</v>
      </c>
      <c r="J1616" s="23">
        <f ca="1">IFERROR(__xludf.DUMMYFUNCTION("""COMPUTED_VALUE"""),0)</f>
        <v>0</v>
      </c>
      <c r="K1616" s="23">
        <f ca="1">IFERROR(__xludf.DUMMYFUNCTION("""COMPUTED_VALUE"""),0)</f>
        <v>0</v>
      </c>
      <c r="L1616" s="23">
        <f ca="1">IFERROR(__xludf.DUMMYFUNCTION("""COMPUTED_VALUE"""),0)</f>
        <v>0</v>
      </c>
      <c r="M1616" s="23">
        <f ca="1">IFERROR(__xludf.DUMMYFUNCTION("""COMPUTED_VALUE"""),0)</f>
        <v>0</v>
      </c>
      <c r="N1616" s="23">
        <f ca="1">IFERROR(__xludf.DUMMYFUNCTION("""COMPUTED_VALUE"""),0)</f>
        <v>0</v>
      </c>
      <c r="O1616" s="23">
        <f ca="1">IFERROR(__xludf.DUMMYFUNCTION("""COMPUTED_VALUE"""),0)</f>
        <v>0</v>
      </c>
      <c r="P1616" s="23">
        <f ca="1">IFERROR(__xludf.DUMMYFUNCTION("""COMPUTED_VALUE"""),0)</f>
        <v>0</v>
      </c>
      <c r="Q1616" s="24">
        <f ca="1">IFERROR(__xludf.DUMMYFUNCTION("""COMPUTED_VALUE"""),0)</f>
        <v>0</v>
      </c>
      <c r="R1616" s="20"/>
    </row>
    <row r="1617" spans="1:18" ht="13.2" hidden="1" outlineLevel="1" x14ac:dyDescent="0.25">
      <c r="A1617" s="1"/>
      <c r="B1617" s="39" t="str">
        <f ca="1">IFERROR(__xludf.DUMMYFUNCTION("""COMPUTED_VALUE"""),"Biogás")</f>
        <v>Biogás</v>
      </c>
      <c r="C1617" s="22">
        <f ca="1">IFERROR(__xludf.DUMMYFUNCTION("""COMPUTED_VALUE"""),0)</f>
        <v>0</v>
      </c>
      <c r="D1617" s="23">
        <f ca="1">IFERROR(__xludf.DUMMYFUNCTION("""COMPUTED_VALUE"""),0)</f>
        <v>0</v>
      </c>
      <c r="E1617" s="23">
        <f ca="1">IFERROR(__xludf.DUMMYFUNCTION("""COMPUTED_VALUE"""),0)</f>
        <v>0</v>
      </c>
      <c r="F1617" s="23">
        <f ca="1">IFERROR(__xludf.DUMMYFUNCTION("""COMPUTED_VALUE"""),0)</f>
        <v>0</v>
      </c>
      <c r="G1617" s="23">
        <f ca="1">IFERROR(__xludf.DUMMYFUNCTION("""COMPUTED_VALUE"""),0)</f>
        <v>0</v>
      </c>
      <c r="H1617" s="23">
        <f ca="1">IFERROR(__xludf.DUMMYFUNCTION("""COMPUTED_VALUE"""),0)</f>
        <v>0</v>
      </c>
      <c r="I1617" s="23">
        <f ca="1">IFERROR(__xludf.DUMMYFUNCTION("""COMPUTED_VALUE"""),0)</f>
        <v>0</v>
      </c>
      <c r="J1617" s="23">
        <f ca="1">IFERROR(__xludf.DUMMYFUNCTION("""COMPUTED_VALUE"""),0)</f>
        <v>0</v>
      </c>
      <c r="K1617" s="23">
        <f ca="1">IFERROR(__xludf.DUMMYFUNCTION("""COMPUTED_VALUE"""),0)</f>
        <v>0</v>
      </c>
      <c r="L1617" s="23">
        <f ca="1">IFERROR(__xludf.DUMMYFUNCTION("""COMPUTED_VALUE"""),0)</f>
        <v>0</v>
      </c>
      <c r="M1617" s="23">
        <f ca="1">IFERROR(__xludf.DUMMYFUNCTION("""COMPUTED_VALUE"""),0)</f>
        <v>0</v>
      </c>
      <c r="N1617" s="23">
        <f ca="1">IFERROR(__xludf.DUMMYFUNCTION("""COMPUTED_VALUE"""),0)</f>
        <v>0</v>
      </c>
      <c r="O1617" s="23">
        <f ca="1">IFERROR(__xludf.DUMMYFUNCTION("""COMPUTED_VALUE"""),0)</f>
        <v>0</v>
      </c>
      <c r="P1617" s="23">
        <f ca="1">IFERROR(__xludf.DUMMYFUNCTION("""COMPUTED_VALUE"""),0)</f>
        <v>0</v>
      </c>
      <c r="Q1617" s="24">
        <f ca="1">IFERROR(__xludf.DUMMYFUNCTION("""COMPUTED_VALUE"""),0)</f>
        <v>0</v>
      </c>
      <c r="R1617" s="20"/>
    </row>
    <row r="1618" spans="1:18" ht="13.2" hidden="1" outlineLevel="1" x14ac:dyDescent="0.25">
      <c r="A1618" s="1"/>
      <c r="B1618" s="39" t="str">
        <f ca="1">IFERROR(__xludf.DUMMYFUNCTION("""COMPUTED_VALUE"""),"Coque de carbón")</f>
        <v>Coque de carbón</v>
      </c>
      <c r="C1618" s="22">
        <f ca="1">IFERROR(__xludf.DUMMYFUNCTION("""COMPUTED_VALUE"""),0)</f>
        <v>0</v>
      </c>
      <c r="D1618" s="23">
        <f ca="1">IFERROR(__xludf.DUMMYFUNCTION("""COMPUTED_VALUE"""),0)</f>
        <v>0</v>
      </c>
      <c r="E1618" s="23">
        <f ca="1">IFERROR(__xludf.DUMMYFUNCTION("""COMPUTED_VALUE"""),0)</f>
        <v>0</v>
      </c>
      <c r="F1618" s="23">
        <f ca="1">IFERROR(__xludf.DUMMYFUNCTION("""COMPUTED_VALUE"""),0)</f>
        <v>0</v>
      </c>
      <c r="G1618" s="23">
        <f ca="1">IFERROR(__xludf.DUMMYFUNCTION("""COMPUTED_VALUE"""),0)</f>
        <v>0</v>
      </c>
      <c r="H1618" s="23">
        <f ca="1">IFERROR(__xludf.DUMMYFUNCTION("""COMPUTED_VALUE"""),0)</f>
        <v>0</v>
      </c>
      <c r="I1618" s="23">
        <f ca="1">IFERROR(__xludf.DUMMYFUNCTION("""COMPUTED_VALUE"""),0)</f>
        <v>0</v>
      </c>
      <c r="J1618" s="23">
        <f ca="1">IFERROR(__xludf.DUMMYFUNCTION("""COMPUTED_VALUE"""),0)</f>
        <v>0</v>
      </c>
      <c r="K1618" s="23">
        <f ca="1">IFERROR(__xludf.DUMMYFUNCTION("""COMPUTED_VALUE"""),0)</f>
        <v>0</v>
      </c>
      <c r="L1618" s="23">
        <f ca="1">IFERROR(__xludf.DUMMYFUNCTION("""COMPUTED_VALUE"""),0)</f>
        <v>0</v>
      </c>
      <c r="M1618" s="23">
        <f ca="1">IFERROR(__xludf.DUMMYFUNCTION("""COMPUTED_VALUE"""),0)</f>
        <v>0</v>
      </c>
      <c r="N1618" s="23">
        <f ca="1">IFERROR(__xludf.DUMMYFUNCTION("""COMPUTED_VALUE"""),0)</f>
        <v>0</v>
      </c>
      <c r="O1618" s="23">
        <f ca="1">IFERROR(__xludf.DUMMYFUNCTION("""COMPUTED_VALUE"""),0)</f>
        <v>0</v>
      </c>
      <c r="P1618" s="23">
        <f ca="1">IFERROR(__xludf.DUMMYFUNCTION("""COMPUTED_VALUE"""),0)</f>
        <v>0</v>
      </c>
      <c r="Q1618" s="24">
        <f ca="1">IFERROR(__xludf.DUMMYFUNCTION("""COMPUTED_VALUE"""),0)</f>
        <v>0</v>
      </c>
      <c r="R1618" s="20"/>
    </row>
    <row r="1619" spans="1:18" ht="13.2" hidden="1" outlineLevel="1" x14ac:dyDescent="0.25">
      <c r="A1619" s="1"/>
      <c r="B1619" s="39" t="str">
        <f ca="1">IFERROR(__xludf.DUMMYFUNCTION("""COMPUTED_VALUE"""),"Coque de petróleo")</f>
        <v>Coque de petróleo</v>
      </c>
      <c r="C1619" s="22">
        <f ca="1">IFERROR(__xludf.DUMMYFUNCTION("""COMPUTED_VALUE"""),0)</f>
        <v>0</v>
      </c>
      <c r="D1619" s="23">
        <f ca="1">IFERROR(__xludf.DUMMYFUNCTION("""COMPUTED_VALUE"""),0)</f>
        <v>0</v>
      </c>
      <c r="E1619" s="23">
        <f ca="1">IFERROR(__xludf.DUMMYFUNCTION("""COMPUTED_VALUE"""),0)</f>
        <v>0</v>
      </c>
      <c r="F1619" s="23">
        <f ca="1">IFERROR(__xludf.DUMMYFUNCTION("""COMPUTED_VALUE"""),0)</f>
        <v>0</v>
      </c>
      <c r="G1619" s="23">
        <f ca="1">IFERROR(__xludf.DUMMYFUNCTION("""COMPUTED_VALUE"""),0)</f>
        <v>0</v>
      </c>
      <c r="H1619" s="23">
        <f ca="1">IFERROR(__xludf.DUMMYFUNCTION("""COMPUTED_VALUE"""),0)</f>
        <v>0</v>
      </c>
      <c r="I1619" s="23">
        <f ca="1">IFERROR(__xludf.DUMMYFUNCTION("""COMPUTED_VALUE"""),0)</f>
        <v>0</v>
      </c>
      <c r="J1619" s="23">
        <f ca="1">IFERROR(__xludf.DUMMYFUNCTION("""COMPUTED_VALUE"""),0)</f>
        <v>0</v>
      </c>
      <c r="K1619" s="23">
        <f ca="1">IFERROR(__xludf.DUMMYFUNCTION("""COMPUTED_VALUE"""),0)</f>
        <v>0</v>
      </c>
      <c r="L1619" s="23">
        <f ca="1">IFERROR(__xludf.DUMMYFUNCTION("""COMPUTED_VALUE"""),0)</f>
        <v>0</v>
      </c>
      <c r="M1619" s="23">
        <f ca="1">IFERROR(__xludf.DUMMYFUNCTION("""COMPUTED_VALUE"""),0)</f>
        <v>0</v>
      </c>
      <c r="N1619" s="23">
        <f ca="1">IFERROR(__xludf.DUMMYFUNCTION("""COMPUTED_VALUE"""),0)</f>
        <v>0</v>
      </c>
      <c r="O1619" s="23">
        <f ca="1">IFERROR(__xludf.DUMMYFUNCTION("""COMPUTED_VALUE"""),0)</f>
        <v>0</v>
      </c>
      <c r="P1619" s="23">
        <f ca="1">IFERROR(__xludf.DUMMYFUNCTION("""COMPUTED_VALUE"""),0)</f>
        <v>0</v>
      </c>
      <c r="Q1619" s="24">
        <f ca="1">IFERROR(__xludf.DUMMYFUNCTION("""COMPUTED_VALUE"""),0)</f>
        <v>0</v>
      </c>
      <c r="R1619" s="20"/>
    </row>
    <row r="1620" spans="1:18" ht="13.2" hidden="1" outlineLevel="1" x14ac:dyDescent="0.25">
      <c r="A1620" s="1"/>
      <c r="B1620" s="39" t="str">
        <f ca="1">IFERROR(__xludf.DUMMYFUNCTION("""COMPUTED_VALUE"""),"Gas licuado de petróleo")</f>
        <v>Gas licuado de petróleo</v>
      </c>
      <c r="C1620" s="22">
        <f ca="1">IFERROR(__xludf.DUMMYFUNCTION("""COMPUTED_VALUE"""),1.60959498902469)</f>
        <v>1.6095949890246899</v>
      </c>
      <c r="D1620" s="23">
        <f ca="1">IFERROR(__xludf.DUMMYFUNCTION("""COMPUTED_VALUE"""),1.02758059373629)</f>
        <v>1.0275805937362901</v>
      </c>
      <c r="E1620" s="23">
        <f ca="1">IFERROR(__xludf.DUMMYFUNCTION("""COMPUTED_VALUE"""),3.62598969329868)</f>
        <v>3.6259896932986799</v>
      </c>
      <c r="F1620" s="23">
        <f ca="1">IFERROR(__xludf.DUMMYFUNCTION("""COMPUTED_VALUE"""),0.548642458166115)</f>
        <v>0.54864245816611501</v>
      </c>
      <c r="G1620" s="23">
        <f ca="1">IFERROR(__xludf.DUMMYFUNCTION("""COMPUTED_VALUE"""),0.622519872313911)</f>
        <v>0.62251987231391104</v>
      </c>
      <c r="H1620" s="23">
        <f ca="1">IFERROR(__xludf.DUMMYFUNCTION("""COMPUTED_VALUE"""),0.732737504682495)</f>
        <v>0.73273750468249499</v>
      </c>
      <c r="I1620" s="23">
        <f ca="1">IFERROR(__xludf.DUMMYFUNCTION("""COMPUTED_VALUE"""),0.742076602832125)</f>
        <v>0.74207660283212495</v>
      </c>
      <c r="J1620" s="23">
        <f ca="1">IFERROR(__xludf.DUMMYFUNCTION("""COMPUTED_VALUE"""),0.705769289730334)</f>
        <v>0.70576928973033404</v>
      </c>
      <c r="K1620" s="23">
        <f ca="1">IFERROR(__xludf.DUMMYFUNCTION("""COMPUTED_VALUE"""),0.76099730989177)</f>
        <v>0.76099730989176995</v>
      </c>
      <c r="L1620" s="23">
        <f ca="1">IFERROR(__xludf.DUMMYFUNCTION("""COMPUTED_VALUE"""),1.08148081039298)</f>
        <v>1.0814808103929801</v>
      </c>
      <c r="M1620" s="23">
        <f ca="1">IFERROR(__xludf.DUMMYFUNCTION("""COMPUTED_VALUE"""),0.548269734464813)</f>
        <v>0.54826973446481297</v>
      </c>
      <c r="N1620" s="23">
        <f ca="1">IFERROR(__xludf.DUMMYFUNCTION("""COMPUTED_VALUE"""),3.22160867597756)</f>
        <v>3.22160867597756</v>
      </c>
      <c r="O1620" s="23">
        <f ca="1">IFERROR(__xludf.DUMMYFUNCTION("""COMPUTED_VALUE"""),3.38364314555941)</f>
        <v>3.38364314555941</v>
      </c>
      <c r="P1620" s="23">
        <f ca="1">IFERROR(__xludf.DUMMYFUNCTION("""COMPUTED_VALUE"""),4.10439423189519)</f>
        <v>4.1043942318951903</v>
      </c>
      <c r="Q1620" s="24">
        <f ca="1">IFERROR(__xludf.DUMMYFUNCTION("""COMPUTED_VALUE"""),2.69026228904316)</f>
        <v>2.6902622890431598</v>
      </c>
      <c r="R1620" s="20"/>
    </row>
    <row r="1621" spans="1:18" ht="13.2" hidden="1" outlineLevel="1" x14ac:dyDescent="0.25">
      <c r="A1621" s="1"/>
      <c r="B1621" s="39" t="str">
        <f ca="1">IFERROR(__xludf.DUMMYFUNCTION("""COMPUTED_VALUE"""),"Gasolinas y naftas")</f>
        <v>Gasolinas y naftas</v>
      </c>
      <c r="C1621" s="22">
        <f ca="1">IFERROR(__xludf.DUMMYFUNCTION("""COMPUTED_VALUE"""),0)</f>
        <v>0</v>
      </c>
      <c r="D1621" s="23">
        <f ca="1">IFERROR(__xludf.DUMMYFUNCTION("""COMPUTED_VALUE"""),0)</f>
        <v>0</v>
      </c>
      <c r="E1621" s="23">
        <f ca="1">IFERROR(__xludf.DUMMYFUNCTION("""COMPUTED_VALUE"""),0)</f>
        <v>0</v>
      </c>
      <c r="F1621" s="23">
        <f ca="1">IFERROR(__xludf.DUMMYFUNCTION("""COMPUTED_VALUE"""),0)</f>
        <v>0</v>
      </c>
      <c r="G1621" s="23">
        <f ca="1">IFERROR(__xludf.DUMMYFUNCTION("""COMPUTED_VALUE"""),0)</f>
        <v>0</v>
      </c>
      <c r="H1621" s="23">
        <f ca="1">IFERROR(__xludf.DUMMYFUNCTION("""COMPUTED_VALUE"""),0)</f>
        <v>0</v>
      </c>
      <c r="I1621" s="23">
        <f ca="1">IFERROR(__xludf.DUMMYFUNCTION("""COMPUTED_VALUE"""),0)</f>
        <v>0</v>
      </c>
      <c r="J1621" s="23">
        <f ca="1">IFERROR(__xludf.DUMMYFUNCTION("""COMPUTED_VALUE"""),0)</f>
        <v>0</v>
      </c>
      <c r="K1621" s="23">
        <f ca="1">IFERROR(__xludf.DUMMYFUNCTION("""COMPUTED_VALUE"""),0)</f>
        <v>0</v>
      </c>
      <c r="L1621" s="23">
        <f ca="1">IFERROR(__xludf.DUMMYFUNCTION("""COMPUTED_VALUE"""),0)</f>
        <v>0</v>
      </c>
      <c r="M1621" s="23">
        <f ca="1">IFERROR(__xludf.DUMMYFUNCTION("""COMPUTED_VALUE"""),0)</f>
        <v>0</v>
      </c>
      <c r="N1621" s="23">
        <f ca="1">IFERROR(__xludf.DUMMYFUNCTION("""COMPUTED_VALUE"""),0)</f>
        <v>0</v>
      </c>
      <c r="O1621" s="23">
        <f ca="1">IFERROR(__xludf.DUMMYFUNCTION("""COMPUTED_VALUE"""),0)</f>
        <v>0</v>
      </c>
      <c r="P1621" s="23">
        <f ca="1">IFERROR(__xludf.DUMMYFUNCTION("""COMPUTED_VALUE"""),0)</f>
        <v>0</v>
      </c>
      <c r="Q1621" s="24">
        <f ca="1">IFERROR(__xludf.DUMMYFUNCTION("""COMPUTED_VALUE"""),0)</f>
        <v>0</v>
      </c>
      <c r="R1621" s="20"/>
    </row>
    <row r="1622" spans="1:18" ht="13.2" hidden="1" outlineLevel="1" x14ac:dyDescent="0.25">
      <c r="A1622" s="1"/>
      <c r="B1622" s="39" t="str">
        <f ca="1">IFERROR(__xludf.DUMMYFUNCTION("""COMPUTED_VALUE"""),"Querosenos")</f>
        <v>Querosenos</v>
      </c>
      <c r="C1622" s="22">
        <f ca="1">IFERROR(__xludf.DUMMYFUNCTION("""COMPUTED_VALUE"""),0)</f>
        <v>0</v>
      </c>
      <c r="D1622" s="23">
        <f ca="1">IFERROR(__xludf.DUMMYFUNCTION("""COMPUTED_VALUE"""),0)</f>
        <v>0</v>
      </c>
      <c r="E1622" s="23">
        <f ca="1">IFERROR(__xludf.DUMMYFUNCTION("""COMPUTED_VALUE"""),0)</f>
        <v>0</v>
      </c>
      <c r="F1622" s="23">
        <f ca="1">IFERROR(__xludf.DUMMYFUNCTION("""COMPUTED_VALUE"""),0)</f>
        <v>0</v>
      </c>
      <c r="G1622" s="23">
        <f ca="1">IFERROR(__xludf.DUMMYFUNCTION("""COMPUTED_VALUE"""),0)</f>
        <v>0</v>
      </c>
      <c r="H1622" s="23">
        <f ca="1">IFERROR(__xludf.DUMMYFUNCTION("""COMPUTED_VALUE"""),0)</f>
        <v>0</v>
      </c>
      <c r="I1622" s="23">
        <f ca="1">IFERROR(__xludf.DUMMYFUNCTION("""COMPUTED_VALUE"""),0)</f>
        <v>0</v>
      </c>
      <c r="J1622" s="23">
        <f ca="1">IFERROR(__xludf.DUMMYFUNCTION("""COMPUTED_VALUE"""),0)</f>
        <v>0</v>
      </c>
      <c r="K1622" s="23">
        <f ca="1">IFERROR(__xludf.DUMMYFUNCTION("""COMPUTED_VALUE"""),0)</f>
        <v>0</v>
      </c>
      <c r="L1622" s="23">
        <f ca="1">IFERROR(__xludf.DUMMYFUNCTION("""COMPUTED_VALUE"""),0)</f>
        <v>0</v>
      </c>
      <c r="M1622" s="23">
        <f ca="1">IFERROR(__xludf.DUMMYFUNCTION("""COMPUTED_VALUE"""),0)</f>
        <v>0</v>
      </c>
      <c r="N1622" s="23">
        <f ca="1">IFERROR(__xludf.DUMMYFUNCTION("""COMPUTED_VALUE"""),0)</f>
        <v>0</v>
      </c>
      <c r="O1622" s="23">
        <f ca="1">IFERROR(__xludf.DUMMYFUNCTION("""COMPUTED_VALUE"""),0)</f>
        <v>0</v>
      </c>
      <c r="P1622" s="23">
        <f ca="1">IFERROR(__xludf.DUMMYFUNCTION("""COMPUTED_VALUE"""),0)</f>
        <v>0</v>
      </c>
      <c r="Q1622" s="24">
        <f ca="1">IFERROR(__xludf.DUMMYFUNCTION("""COMPUTED_VALUE"""),0)</f>
        <v>0</v>
      </c>
      <c r="R1622" s="20"/>
    </row>
    <row r="1623" spans="1:18" ht="13.2" hidden="1" outlineLevel="1" x14ac:dyDescent="0.25">
      <c r="A1623" s="1"/>
      <c r="B1623" s="39" t="str">
        <f ca="1">IFERROR(__xludf.DUMMYFUNCTION("""COMPUTED_VALUE"""),"Diesel")</f>
        <v>Diesel</v>
      </c>
      <c r="C1623" s="22">
        <f ca="1">IFERROR(__xludf.DUMMYFUNCTION("""COMPUTED_VALUE"""),0.851342796144695)</f>
        <v>0.85134279614469499</v>
      </c>
      <c r="D1623" s="23">
        <f ca="1">IFERROR(__xludf.DUMMYFUNCTION("""COMPUTED_VALUE"""),0.807190164287675)</f>
        <v>0.80719016428767498</v>
      </c>
      <c r="E1623" s="23">
        <f ca="1">IFERROR(__xludf.DUMMYFUNCTION("""COMPUTED_VALUE"""),1.11030901827505)</f>
        <v>1.1103090182750499</v>
      </c>
      <c r="F1623" s="23">
        <f ca="1">IFERROR(__xludf.DUMMYFUNCTION("""COMPUTED_VALUE"""),0.831193373279907)</f>
        <v>0.83119337327990706</v>
      </c>
      <c r="G1623" s="23">
        <f ca="1">IFERROR(__xludf.DUMMYFUNCTION("""COMPUTED_VALUE"""),0.931520200752823)</f>
        <v>0.93152020075282305</v>
      </c>
      <c r="H1623" s="23">
        <f ca="1">IFERROR(__xludf.DUMMYFUNCTION("""COMPUTED_VALUE"""),0.99162479344417)</f>
        <v>0.99162479344416998</v>
      </c>
      <c r="I1623" s="23">
        <f ca="1">IFERROR(__xludf.DUMMYFUNCTION("""COMPUTED_VALUE"""),0.955256259604085)</f>
        <v>0.955256259604085</v>
      </c>
      <c r="J1623" s="23">
        <f ca="1">IFERROR(__xludf.DUMMYFUNCTION("""COMPUTED_VALUE"""),1.05771189371623)</f>
        <v>1.05771189371623</v>
      </c>
      <c r="K1623" s="23">
        <f ca="1">IFERROR(__xludf.DUMMYFUNCTION("""COMPUTED_VALUE"""),1.29776740992689)</f>
        <v>1.2977674099268901</v>
      </c>
      <c r="L1623" s="23">
        <f ca="1">IFERROR(__xludf.DUMMYFUNCTION("""COMPUTED_VALUE"""),1.36351528268871)</f>
        <v>1.36351528268871</v>
      </c>
      <c r="M1623" s="23">
        <f ca="1">IFERROR(__xludf.DUMMYFUNCTION("""COMPUTED_VALUE"""),0.745534769817458)</f>
        <v>0.74553476981745803</v>
      </c>
      <c r="N1623" s="23">
        <f ca="1">IFERROR(__xludf.DUMMYFUNCTION("""COMPUTED_VALUE"""),0.761201939186192)</f>
        <v>0.76120193918619194</v>
      </c>
      <c r="O1623" s="23">
        <f ca="1">IFERROR(__xludf.DUMMYFUNCTION("""COMPUTED_VALUE"""),0.776435244473369)</f>
        <v>0.77643524447336898</v>
      </c>
      <c r="P1623" s="23">
        <f ca="1">IFERROR(__xludf.DUMMYFUNCTION("""COMPUTED_VALUE"""),0.878499342548774)</f>
        <v>0.87849934254877404</v>
      </c>
      <c r="Q1623" s="24">
        <f ca="1">IFERROR(__xludf.DUMMYFUNCTION("""COMPUTED_VALUE"""),1.1210835673103)</f>
        <v>1.1210835673102999</v>
      </c>
      <c r="R1623" s="20"/>
    </row>
    <row r="1624" spans="1:18" ht="13.2" hidden="1" outlineLevel="1" x14ac:dyDescent="0.25">
      <c r="A1624" s="1"/>
      <c r="B1624" s="39" t="str">
        <f ca="1">IFERROR(__xludf.DUMMYFUNCTION("""COMPUTED_VALUE"""),"Combustóleo")</f>
        <v>Combustóleo</v>
      </c>
      <c r="C1624" s="22">
        <f ca="1">IFERROR(__xludf.DUMMYFUNCTION("""COMPUTED_VALUE"""),0)</f>
        <v>0</v>
      </c>
      <c r="D1624" s="23">
        <f ca="1">IFERROR(__xludf.DUMMYFUNCTION("""COMPUTED_VALUE"""),0)</f>
        <v>0</v>
      </c>
      <c r="E1624" s="23">
        <f ca="1">IFERROR(__xludf.DUMMYFUNCTION("""COMPUTED_VALUE"""),0)</f>
        <v>0</v>
      </c>
      <c r="F1624" s="23">
        <f ca="1">IFERROR(__xludf.DUMMYFUNCTION("""COMPUTED_VALUE"""),0)</f>
        <v>0</v>
      </c>
      <c r="G1624" s="23">
        <f ca="1">IFERROR(__xludf.DUMMYFUNCTION("""COMPUTED_VALUE"""),0)</f>
        <v>0</v>
      </c>
      <c r="H1624" s="23">
        <f ca="1">IFERROR(__xludf.DUMMYFUNCTION("""COMPUTED_VALUE"""),0)</f>
        <v>0</v>
      </c>
      <c r="I1624" s="23">
        <f ca="1">IFERROR(__xludf.DUMMYFUNCTION("""COMPUTED_VALUE"""),0)</f>
        <v>0</v>
      </c>
      <c r="J1624" s="23">
        <f ca="1">IFERROR(__xludf.DUMMYFUNCTION("""COMPUTED_VALUE"""),0)</f>
        <v>0</v>
      </c>
      <c r="K1624" s="23">
        <f ca="1">IFERROR(__xludf.DUMMYFUNCTION("""COMPUTED_VALUE"""),0)</f>
        <v>0</v>
      </c>
      <c r="L1624" s="23">
        <f ca="1">IFERROR(__xludf.DUMMYFUNCTION("""COMPUTED_VALUE"""),0)</f>
        <v>0</v>
      </c>
      <c r="M1624" s="23">
        <f ca="1">IFERROR(__xludf.DUMMYFUNCTION("""COMPUTED_VALUE"""),0)</f>
        <v>0</v>
      </c>
      <c r="N1624" s="23">
        <f ca="1">IFERROR(__xludf.DUMMYFUNCTION("""COMPUTED_VALUE"""),0)</f>
        <v>0</v>
      </c>
      <c r="O1624" s="23">
        <f ca="1">IFERROR(__xludf.DUMMYFUNCTION("""COMPUTED_VALUE"""),0)</f>
        <v>0</v>
      </c>
      <c r="P1624" s="23">
        <f ca="1">IFERROR(__xludf.DUMMYFUNCTION("""COMPUTED_VALUE"""),0)</f>
        <v>0</v>
      </c>
      <c r="Q1624" s="24">
        <f ca="1">IFERROR(__xludf.DUMMYFUNCTION("""COMPUTED_VALUE"""),0)</f>
        <v>0</v>
      </c>
      <c r="R1624" s="20"/>
    </row>
    <row r="1625" spans="1:18" ht="13.2" hidden="1" outlineLevel="1" x14ac:dyDescent="0.25">
      <c r="A1625" s="1"/>
      <c r="B1625" s="39" t="str">
        <f ca="1">IFERROR(__xludf.DUMMYFUNCTION("""COMPUTED_VALUE"""),"Otros energéticos")</f>
        <v>Otros energéticos</v>
      </c>
      <c r="C1625" s="22">
        <f ca="1">IFERROR(__xludf.DUMMYFUNCTION("""COMPUTED_VALUE"""),0)</f>
        <v>0</v>
      </c>
      <c r="D1625" s="23">
        <f ca="1">IFERROR(__xludf.DUMMYFUNCTION("""COMPUTED_VALUE"""),0)</f>
        <v>0</v>
      </c>
      <c r="E1625" s="23">
        <f ca="1">IFERROR(__xludf.DUMMYFUNCTION("""COMPUTED_VALUE"""),0)</f>
        <v>0</v>
      </c>
      <c r="F1625" s="23">
        <f ca="1">IFERROR(__xludf.DUMMYFUNCTION("""COMPUTED_VALUE"""),0)</f>
        <v>0</v>
      </c>
      <c r="G1625" s="23">
        <f ca="1">IFERROR(__xludf.DUMMYFUNCTION("""COMPUTED_VALUE"""),0)</f>
        <v>0</v>
      </c>
      <c r="H1625" s="23">
        <f ca="1">IFERROR(__xludf.DUMMYFUNCTION("""COMPUTED_VALUE"""),0)</f>
        <v>0</v>
      </c>
      <c r="I1625" s="23">
        <f ca="1">IFERROR(__xludf.DUMMYFUNCTION("""COMPUTED_VALUE"""),0)</f>
        <v>0</v>
      </c>
      <c r="J1625" s="23">
        <f ca="1">IFERROR(__xludf.DUMMYFUNCTION("""COMPUTED_VALUE"""),0)</f>
        <v>0</v>
      </c>
      <c r="K1625" s="23">
        <f ca="1">IFERROR(__xludf.DUMMYFUNCTION("""COMPUTED_VALUE"""),0)</f>
        <v>0</v>
      </c>
      <c r="L1625" s="23">
        <f ca="1">IFERROR(__xludf.DUMMYFUNCTION("""COMPUTED_VALUE"""),0)</f>
        <v>0</v>
      </c>
      <c r="M1625" s="23">
        <f ca="1">IFERROR(__xludf.DUMMYFUNCTION("""COMPUTED_VALUE"""),0)</f>
        <v>0</v>
      </c>
      <c r="N1625" s="23">
        <f ca="1">IFERROR(__xludf.DUMMYFUNCTION("""COMPUTED_VALUE"""),0)</f>
        <v>0</v>
      </c>
      <c r="O1625" s="23">
        <f ca="1">IFERROR(__xludf.DUMMYFUNCTION("""COMPUTED_VALUE"""),0)</f>
        <v>0</v>
      </c>
      <c r="P1625" s="23">
        <f ca="1">IFERROR(__xludf.DUMMYFUNCTION("""COMPUTED_VALUE"""),0)</f>
        <v>0</v>
      </c>
      <c r="Q1625" s="24">
        <f ca="1">IFERROR(__xludf.DUMMYFUNCTION("""COMPUTED_VALUE"""),0)</f>
        <v>0</v>
      </c>
      <c r="R1625" s="20"/>
    </row>
    <row r="1626" spans="1:18" ht="13.2" hidden="1" outlineLevel="1" x14ac:dyDescent="0.25">
      <c r="A1626" s="1"/>
      <c r="B1626" s="39" t="str">
        <f ca="1">IFERROR(__xludf.DUMMYFUNCTION("""COMPUTED_VALUE"""),"Gas natural seco")</f>
        <v>Gas natural seco</v>
      </c>
      <c r="C1626" s="22">
        <f ca="1">IFERROR(__xludf.DUMMYFUNCTION("""COMPUTED_VALUE"""),3.45646791234726)</f>
        <v>3.4564679123472599</v>
      </c>
      <c r="D1626" s="23">
        <f ca="1">IFERROR(__xludf.DUMMYFUNCTION("""COMPUTED_VALUE"""),3.16077556055665)</f>
        <v>3.1607755605566501</v>
      </c>
      <c r="E1626" s="23">
        <f ca="1">IFERROR(__xludf.DUMMYFUNCTION("""COMPUTED_VALUE"""),4.88622321227878)</f>
        <v>4.8862232122787796</v>
      </c>
      <c r="F1626" s="23">
        <f ca="1">IFERROR(__xludf.DUMMYFUNCTION("""COMPUTED_VALUE"""),4.0920654176079)</f>
        <v>4.0920654176079001</v>
      </c>
      <c r="G1626" s="23">
        <f ca="1">IFERROR(__xludf.DUMMYFUNCTION("""COMPUTED_VALUE"""),5.60739623392123)</f>
        <v>5.6073962339212304</v>
      </c>
      <c r="H1626" s="23">
        <f ca="1">IFERROR(__xludf.DUMMYFUNCTION("""COMPUTED_VALUE"""),5.71356511452137)</f>
        <v>5.7135651145213702</v>
      </c>
      <c r="I1626" s="23">
        <f ca="1">IFERROR(__xludf.DUMMYFUNCTION("""COMPUTED_VALUE"""),6.11009429157857)</f>
        <v>6.1100942915785703</v>
      </c>
      <c r="J1626" s="23">
        <f ca="1">IFERROR(__xludf.DUMMYFUNCTION("""COMPUTED_VALUE"""),5.67672294468168)</f>
        <v>5.6767229446816803</v>
      </c>
      <c r="K1626" s="23">
        <f ca="1">IFERROR(__xludf.DUMMYFUNCTION("""COMPUTED_VALUE"""),7.35652510121457)</f>
        <v>7.3565251012145696</v>
      </c>
      <c r="L1626" s="23">
        <f ca="1">IFERROR(__xludf.DUMMYFUNCTION("""COMPUTED_VALUE"""),8.59139209816934)</f>
        <v>8.5913920981693401</v>
      </c>
      <c r="M1626" s="23">
        <f ca="1">IFERROR(__xludf.DUMMYFUNCTION("""COMPUTED_VALUE"""),6.87257312629524)</f>
        <v>6.8725731262952401</v>
      </c>
      <c r="N1626" s="23">
        <f ca="1">IFERROR(__xludf.DUMMYFUNCTION("""COMPUTED_VALUE"""),7.19459031182136)</f>
        <v>7.1945903118213597</v>
      </c>
      <c r="O1626" s="23">
        <f ca="1">IFERROR(__xludf.DUMMYFUNCTION("""COMPUTED_VALUE"""),7.62852405807196)</f>
        <v>7.6285240580719602</v>
      </c>
      <c r="P1626" s="23">
        <f ca="1">IFERROR(__xludf.DUMMYFUNCTION("""COMPUTED_VALUE"""),8.51860004116224)</f>
        <v>8.5186000411622391</v>
      </c>
      <c r="Q1626" s="24">
        <f ca="1">IFERROR(__xludf.DUMMYFUNCTION("""COMPUTED_VALUE"""),9.45432661143563)</f>
        <v>9.4543266114356292</v>
      </c>
      <c r="R1626" s="20"/>
    </row>
    <row r="1627" spans="1:18" ht="13.2" hidden="1" outlineLevel="1" x14ac:dyDescent="0.25">
      <c r="A1627" s="1"/>
      <c r="B1627" s="40" t="str">
        <f ca="1">IFERROR(__xludf.DUMMYFUNCTION("""COMPUTED_VALUE"""),"Energía eléctrica")</f>
        <v>Energía eléctrica</v>
      </c>
      <c r="C1627" s="26">
        <f ca="1">IFERROR(__xludf.DUMMYFUNCTION("""COMPUTED_VALUE"""),9.57865498241837)</f>
        <v>9.5786549824183709</v>
      </c>
      <c r="D1627" s="27">
        <f ca="1">IFERROR(__xludf.DUMMYFUNCTION("""COMPUTED_VALUE"""),7.51829953011613)</f>
        <v>7.5182995301161304</v>
      </c>
      <c r="E1627" s="27">
        <f ca="1">IFERROR(__xludf.DUMMYFUNCTION("""COMPUTED_VALUE"""),14.9618935378865)</f>
        <v>14.9618935378865</v>
      </c>
      <c r="F1627" s="27">
        <f ca="1">IFERROR(__xludf.DUMMYFUNCTION("""COMPUTED_VALUE"""),8.32734817909734)</f>
        <v>8.3273481790973403</v>
      </c>
      <c r="G1627" s="27">
        <f ca="1">IFERROR(__xludf.DUMMYFUNCTION("""COMPUTED_VALUE"""),9.24358726735705)</f>
        <v>9.2435872673570501</v>
      </c>
      <c r="H1627" s="27">
        <f ca="1">IFERROR(__xludf.DUMMYFUNCTION("""COMPUTED_VALUE"""),9.75574465124106)</f>
        <v>9.7557446512410593</v>
      </c>
      <c r="I1627" s="27">
        <f ca="1">IFERROR(__xludf.DUMMYFUNCTION("""COMPUTED_VALUE"""),9.83646519953209)</f>
        <v>9.8364651995320909</v>
      </c>
      <c r="J1627" s="27">
        <f ca="1">IFERROR(__xludf.DUMMYFUNCTION("""COMPUTED_VALUE"""),10.1053077728037)</f>
        <v>10.1053077728037</v>
      </c>
      <c r="K1627" s="27">
        <f ca="1">IFERROR(__xludf.DUMMYFUNCTION("""COMPUTED_VALUE"""),10.3252418582261)</f>
        <v>10.3252418582261</v>
      </c>
      <c r="L1627" s="27">
        <f ca="1">IFERROR(__xludf.DUMMYFUNCTION("""COMPUTED_VALUE"""),10.8085377114611)</f>
        <v>10.808537711461099</v>
      </c>
      <c r="M1627" s="27">
        <f ca="1">IFERROR(__xludf.DUMMYFUNCTION("""COMPUTED_VALUE"""),10.8007396152699)</f>
        <v>10.800739615269899</v>
      </c>
      <c r="N1627" s="27">
        <f ca="1">IFERROR(__xludf.DUMMYFUNCTION("""COMPUTED_VALUE"""),15.5071504712946)</f>
        <v>15.507150471294599</v>
      </c>
      <c r="O1627" s="27">
        <f ca="1">IFERROR(__xludf.DUMMYFUNCTION("""COMPUTED_VALUE"""),16.0137661281361)</f>
        <v>16.013766128136101</v>
      </c>
      <c r="P1627" s="27">
        <f ca="1">IFERROR(__xludf.DUMMYFUNCTION("""COMPUTED_VALUE"""),25.2298378666651)</f>
        <v>25.2298378666651</v>
      </c>
      <c r="Q1627" s="28">
        <f ca="1">IFERROR(__xludf.DUMMYFUNCTION("""COMPUTED_VALUE"""),12.5208707407502)</f>
        <v>12.520870740750199</v>
      </c>
      <c r="R1627" s="20"/>
    </row>
    <row r="1628" spans="1:18" ht="13.2" collapsed="1" x14ac:dyDescent="0.25">
      <c r="A1628" s="1"/>
      <c r="B1628" s="31" t="str">
        <f ca="1">IFERROR(__xludf.DUMMYFUNCTION("""COMPUTED_VALUE"""),"337	Fabricación de muebles, colchones y persianas")</f>
        <v>337	Fabricación de muebles, colchones y persianas</v>
      </c>
      <c r="C1628" s="41"/>
      <c r="D1628" s="42"/>
      <c r="E1628" s="41"/>
      <c r="F1628" s="41"/>
      <c r="G1628" s="43"/>
      <c r="H1628" s="44"/>
      <c r="I1628" s="45"/>
      <c r="J1628" s="45"/>
      <c r="K1628" s="45"/>
      <c r="L1628" s="45"/>
      <c r="M1628" s="45"/>
      <c r="N1628" s="45"/>
      <c r="O1628" s="45"/>
      <c r="P1628" s="45"/>
      <c r="Q1628" s="45"/>
      <c r="R1628" s="10"/>
    </row>
    <row r="1629" spans="1:18" ht="13.2" hidden="1" outlineLevel="1" x14ac:dyDescent="0.25">
      <c r="A1629" s="1"/>
      <c r="B1629" s="46"/>
      <c r="C1629" s="35">
        <f ca="1">IFERROR(__xludf.DUMMYFUNCTION("""COMPUTED_VALUE"""),2010)</f>
        <v>2010</v>
      </c>
      <c r="D1629" s="36">
        <f ca="1">IFERROR(__xludf.DUMMYFUNCTION("""COMPUTED_VALUE"""),2011)</f>
        <v>2011</v>
      </c>
      <c r="E1629" s="36">
        <f ca="1">IFERROR(__xludf.DUMMYFUNCTION("""COMPUTED_VALUE"""),2012)</f>
        <v>2012</v>
      </c>
      <c r="F1629" s="36">
        <f ca="1">IFERROR(__xludf.DUMMYFUNCTION("""COMPUTED_VALUE"""),2013)</f>
        <v>2013</v>
      </c>
      <c r="G1629" s="36">
        <f ca="1">IFERROR(__xludf.DUMMYFUNCTION("""COMPUTED_VALUE"""),2014)</f>
        <v>2014</v>
      </c>
      <c r="H1629" s="36">
        <f ca="1">IFERROR(__xludf.DUMMYFUNCTION("""COMPUTED_VALUE"""),2015)</f>
        <v>2015</v>
      </c>
      <c r="I1629" s="36">
        <f ca="1">IFERROR(__xludf.DUMMYFUNCTION("""COMPUTED_VALUE"""),2016)</f>
        <v>2016</v>
      </c>
      <c r="J1629" s="36">
        <f ca="1">IFERROR(__xludf.DUMMYFUNCTION("""COMPUTED_VALUE"""),2017)</f>
        <v>2017</v>
      </c>
      <c r="K1629" s="36">
        <f ca="1">IFERROR(__xludf.DUMMYFUNCTION("""COMPUTED_VALUE"""),2018)</f>
        <v>2018</v>
      </c>
      <c r="L1629" s="36">
        <f ca="1">IFERROR(__xludf.DUMMYFUNCTION("""COMPUTED_VALUE"""),2019)</f>
        <v>2019</v>
      </c>
      <c r="M1629" s="36">
        <f ca="1">IFERROR(__xludf.DUMMYFUNCTION("""COMPUTED_VALUE"""),2020)</f>
        <v>2020</v>
      </c>
      <c r="N1629" s="36">
        <f ca="1">IFERROR(__xludf.DUMMYFUNCTION("""COMPUTED_VALUE"""),2021)</f>
        <v>2021</v>
      </c>
      <c r="O1629" s="36">
        <f ca="1">IFERROR(__xludf.DUMMYFUNCTION("""COMPUTED_VALUE"""),2022)</f>
        <v>2022</v>
      </c>
      <c r="P1629" s="36">
        <f ca="1">IFERROR(__xludf.DUMMYFUNCTION("""COMPUTED_VALUE"""),2023)</f>
        <v>2023</v>
      </c>
      <c r="Q1629" s="37">
        <f ca="1">IFERROR(__xludf.DUMMYFUNCTION("""COMPUTED_VALUE"""),2024)</f>
        <v>2024</v>
      </c>
      <c r="R1629" s="15"/>
    </row>
    <row r="1630" spans="1:18" ht="13.2" hidden="1" outlineLevel="1" x14ac:dyDescent="0.25">
      <c r="A1630" s="1"/>
      <c r="B1630" s="38" t="str">
        <f ca="1">IFERROR(__xludf.DUMMYFUNCTION("""COMPUTED_VALUE"""),"Carbón mineral")</f>
        <v>Carbón mineral</v>
      </c>
      <c r="C1630" s="17">
        <f ca="1">IFERROR(__xludf.DUMMYFUNCTION("""COMPUTED_VALUE"""),0)</f>
        <v>0</v>
      </c>
      <c r="D1630" s="18">
        <f ca="1">IFERROR(__xludf.DUMMYFUNCTION("""COMPUTED_VALUE"""),0)</f>
        <v>0</v>
      </c>
      <c r="E1630" s="18">
        <f ca="1">IFERROR(__xludf.DUMMYFUNCTION("""COMPUTED_VALUE"""),0)</f>
        <v>0</v>
      </c>
      <c r="F1630" s="18">
        <f ca="1">IFERROR(__xludf.DUMMYFUNCTION("""COMPUTED_VALUE"""),0)</f>
        <v>0</v>
      </c>
      <c r="G1630" s="18">
        <f ca="1">IFERROR(__xludf.DUMMYFUNCTION("""COMPUTED_VALUE"""),0)</f>
        <v>0</v>
      </c>
      <c r="H1630" s="18">
        <f ca="1">IFERROR(__xludf.DUMMYFUNCTION("""COMPUTED_VALUE"""),0)</f>
        <v>0</v>
      </c>
      <c r="I1630" s="18">
        <f ca="1">IFERROR(__xludf.DUMMYFUNCTION("""COMPUTED_VALUE"""),0)</f>
        <v>0</v>
      </c>
      <c r="J1630" s="18">
        <f ca="1">IFERROR(__xludf.DUMMYFUNCTION("""COMPUTED_VALUE"""),0)</f>
        <v>0</v>
      </c>
      <c r="K1630" s="18">
        <f ca="1">IFERROR(__xludf.DUMMYFUNCTION("""COMPUTED_VALUE"""),0)</f>
        <v>0</v>
      </c>
      <c r="L1630" s="18">
        <f ca="1">IFERROR(__xludf.DUMMYFUNCTION("""COMPUTED_VALUE"""),0)</f>
        <v>0</v>
      </c>
      <c r="M1630" s="18">
        <f ca="1">IFERROR(__xludf.DUMMYFUNCTION("""COMPUTED_VALUE"""),0)</f>
        <v>0</v>
      </c>
      <c r="N1630" s="18">
        <f ca="1">IFERROR(__xludf.DUMMYFUNCTION("""COMPUTED_VALUE"""),0)</f>
        <v>0</v>
      </c>
      <c r="O1630" s="18">
        <f ca="1">IFERROR(__xludf.DUMMYFUNCTION("""COMPUTED_VALUE"""),0)</f>
        <v>0</v>
      </c>
      <c r="P1630" s="18">
        <f ca="1">IFERROR(__xludf.DUMMYFUNCTION("""COMPUTED_VALUE"""),0)</f>
        <v>0</v>
      </c>
      <c r="Q1630" s="19">
        <f ca="1">IFERROR(__xludf.DUMMYFUNCTION("""COMPUTED_VALUE"""),0)</f>
        <v>0</v>
      </c>
      <c r="R1630" s="20"/>
    </row>
    <row r="1631" spans="1:18" ht="13.2" hidden="1" outlineLevel="1" x14ac:dyDescent="0.25">
      <c r="A1631" s="1"/>
      <c r="B1631" s="39" t="str">
        <f ca="1">IFERROR(__xludf.DUMMYFUNCTION("""COMPUTED_VALUE"""),"Petróleo crudo")</f>
        <v>Petróleo crudo</v>
      </c>
      <c r="C1631" s="22">
        <f ca="1">IFERROR(__xludf.DUMMYFUNCTION("""COMPUTED_VALUE"""),0)</f>
        <v>0</v>
      </c>
      <c r="D1631" s="23">
        <f ca="1">IFERROR(__xludf.DUMMYFUNCTION("""COMPUTED_VALUE"""),0)</f>
        <v>0</v>
      </c>
      <c r="E1631" s="23">
        <f ca="1">IFERROR(__xludf.DUMMYFUNCTION("""COMPUTED_VALUE"""),0)</f>
        <v>0</v>
      </c>
      <c r="F1631" s="23">
        <f ca="1">IFERROR(__xludf.DUMMYFUNCTION("""COMPUTED_VALUE"""),0)</f>
        <v>0</v>
      </c>
      <c r="G1631" s="23">
        <f ca="1">IFERROR(__xludf.DUMMYFUNCTION("""COMPUTED_VALUE"""),0)</f>
        <v>0</v>
      </c>
      <c r="H1631" s="23">
        <f ca="1">IFERROR(__xludf.DUMMYFUNCTION("""COMPUTED_VALUE"""),0)</f>
        <v>0</v>
      </c>
      <c r="I1631" s="23">
        <f ca="1">IFERROR(__xludf.DUMMYFUNCTION("""COMPUTED_VALUE"""),0)</f>
        <v>0</v>
      </c>
      <c r="J1631" s="23">
        <f ca="1">IFERROR(__xludf.DUMMYFUNCTION("""COMPUTED_VALUE"""),0)</f>
        <v>0</v>
      </c>
      <c r="K1631" s="23">
        <f ca="1">IFERROR(__xludf.DUMMYFUNCTION("""COMPUTED_VALUE"""),0)</f>
        <v>0</v>
      </c>
      <c r="L1631" s="23">
        <f ca="1">IFERROR(__xludf.DUMMYFUNCTION("""COMPUTED_VALUE"""),0)</f>
        <v>0</v>
      </c>
      <c r="M1631" s="23">
        <f ca="1">IFERROR(__xludf.DUMMYFUNCTION("""COMPUTED_VALUE"""),0)</f>
        <v>0</v>
      </c>
      <c r="N1631" s="23">
        <f ca="1">IFERROR(__xludf.DUMMYFUNCTION("""COMPUTED_VALUE"""),0)</f>
        <v>0</v>
      </c>
      <c r="O1631" s="23">
        <f ca="1">IFERROR(__xludf.DUMMYFUNCTION("""COMPUTED_VALUE"""),0)</f>
        <v>0</v>
      </c>
      <c r="P1631" s="23">
        <f ca="1">IFERROR(__xludf.DUMMYFUNCTION("""COMPUTED_VALUE"""),0)</f>
        <v>0</v>
      </c>
      <c r="Q1631" s="24">
        <f ca="1">IFERROR(__xludf.DUMMYFUNCTION("""COMPUTED_VALUE"""),0)</f>
        <v>0</v>
      </c>
      <c r="R1631" s="20"/>
    </row>
    <row r="1632" spans="1:18" ht="13.2" hidden="1" outlineLevel="1" x14ac:dyDescent="0.25">
      <c r="A1632" s="1"/>
      <c r="B1632" s="39" t="str">
        <f ca="1">IFERROR(__xludf.DUMMYFUNCTION("""COMPUTED_VALUE"""),"Condensados")</f>
        <v>Condensados</v>
      </c>
      <c r="C1632" s="22">
        <f ca="1">IFERROR(__xludf.DUMMYFUNCTION("""COMPUTED_VALUE"""),0)</f>
        <v>0</v>
      </c>
      <c r="D1632" s="23">
        <f ca="1">IFERROR(__xludf.DUMMYFUNCTION("""COMPUTED_VALUE"""),0)</f>
        <v>0</v>
      </c>
      <c r="E1632" s="23">
        <f ca="1">IFERROR(__xludf.DUMMYFUNCTION("""COMPUTED_VALUE"""),0)</f>
        <v>0</v>
      </c>
      <c r="F1632" s="23">
        <f ca="1">IFERROR(__xludf.DUMMYFUNCTION("""COMPUTED_VALUE"""),0)</f>
        <v>0</v>
      </c>
      <c r="G1632" s="23">
        <f ca="1">IFERROR(__xludf.DUMMYFUNCTION("""COMPUTED_VALUE"""),0)</f>
        <v>0</v>
      </c>
      <c r="H1632" s="23">
        <f ca="1">IFERROR(__xludf.DUMMYFUNCTION("""COMPUTED_VALUE"""),0)</f>
        <v>0</v>
      </c>
      <c r="I1632" s="23">
        <f ca="1">IFERROR(__xludf.DUMMYFUNCTION("""COMPUTED_VALUE"""),0)</f>
        <v>0</v>
      </c>
      <c r="J1632" s="23">
        <f ca="1">IFERROR(__xludf.DUMMYFUNCTION("""COMPUTED_VALUE"""),0)</f>
        <v>0</v>
      </c>
      <c r="K1632" s="23">
        <f ca="1">IFERROR(__xludf.DUMMYFUNCTION("""COMPUTED_VALUE"""),0)</f>
        <v>0</v>
      </c>
      <c r="L1632" s="23">
        <f ca="1">IFERROR(__xludf.DUMMYFUNCTION("""COMPUTED_VALUE"""),0)</f>
        <v>0</v>
      </c>
      <c r="M1632" s="23">
        <f ca="1">IFERROR(__xludf.DUMMYFUNCTION("""COMPUTED_VALUE"""),0)</f>
        <v>0</v>
      </c>
      <c r="N1632" s="23">
        <f ca="1">IFERROR(__xludf.DUMMYFUNCTION("""COMPUTED_VALUE"""),0)</f>
        <v>0</v>
      </c>
      <c r="O1632" s="23">
        <f ca="1">IFERROR(__xludf.DUMMYFUNCTION("""COMPUTED_VALUE"""),0)</f>
        <v>0</v>
      </c>
      <c r="P1632" s="23">
        <f ca="1">IFERROR(__xludf.DUMMYFUNCTION("""COMPUTED_VALUE"""),0)</f>
        <v>0</v>
      </c>
      <c r="Q1632" s="24">
        <f ca="1">IFERROR(__xludf.DUMMYFUNCTION("""COMPUTED_VALUE"""),0)</f>
        <v>0</v>
      </c>
      <c r="R1632" s="20"/>
    </row>
    <row r="1633" spans="1:18" ht="13.2" hidden="1" outlineLevel="1" x14ac:dyDescent="0.25">
      <c r="A1633" s="1"/>
      <c r="B1633" s="39" t="str">
        <f ca="1">IFERROR(__xludf.DUMMYFUNCTION("""COMPUTED_VALUE"""),"Gas natural")</f>
        <v>Gas natural</v>
      </c>
      <c r="C1633" s="22">
        <f ca="1">IFERROR(__xludf.DUMMYFUNCTION("""COMPUTED_VALUE"""),0)</f>
        <v>0</v>
      </c>
      <c r="D1633" s="23">
        <f ca="1">IFERROR(__xludf.DUMMYFUNCTION("""COMPUTED_VALUE"""),0)</f>
        <v>0</v>
      </c>
      <c r="E1633" s="23">
        <f ca="1">IFERROR(__xludf.DUMMYFUNCTION("""COMPUTED_VALUE"""),0)</f>
        <v>0</v>
      </c>
      <c r="F1633" s="23">
        <f ca="1">IFERROR(__xludf.DUMMYFUNCTION("""COMPUTED_VALUE"""),0)</f>
        <v>0</v>
      </c>
      <c r="G1633" s="23">
        <f ca="1">IFERROR(__xludf.DUMMYFUNCTION("""COMPUTED_VALUE"""),0)</f>
        <v>0</v>
      </c>
      <c r="H1633" s="23">
        <f ca="1">IFERROR(__xludf.DUMMYFUNCTION("""COMPUTED_VALUE"""),0)</f>
        <v>0</v>
      </c>
      <c r="I1633" s="23">
        <f ca="1">IFERROR(__xludf.DUMMYFUNCTION("""COMPUTED_VALUE"""),0)</f>
        <v>0</v>
      </c>
      <c r="J1633" s="23">
        <f ca="1">IFERROR(__xludf.DUMMYFUNCTION("""COMPUTED_VALUE"""),0)</f>
        <v>0</v>
      </c>
      <c r="K1633" s="23">
        <f ca="1">IFERROR(__xludf.DUMMYFUNCTION("""COMPUTED_VALUE"""),0)</f>
        <v>0</v>
      </c>
      <c r="L1633" s="23">
        <f ca="1">IFERROR(__xludf.DUMMYFUNCTION("""COMPUTED_VALUE"""),0)</f>
        <v>0</v>
      </c>
      <c r="M1633" s="23">
        <f ca="1">IFERROR(__xludf.DUMMYFUNCTION("""COMPUTED_VALUE"""),0)</f>
        <v>0</v>
      </c>
      <c r="N1633" s="23">
        <f ca="1">IFERROR(__xludf.DUMMYFUNCTION("""COMPUTED_VALUE"""),0)</f>
        <v>0</v>
      </c>
      <c r="O1633" s="23">
        <f ca="1">IFERROR(__xludf.DUMMYFUNCTION("""COMPUTED_VALUE"""),0)</f>
        <v>0</v>
      </c>
      <c r="P1633" s="23">
        <f ca="1">IFERROR(__xludf.DUMMYFUNCTION("""COMPUTED_VALUE"""),0)</f>
        <v>0</v>
      </c>
      <c r="Q1633" s="24">
        <f ca="1">IFERROR(__xludf.DUMMYFUNCTION("""COMPUTED_VALUE"""),0)</f>
        <v>0</v>
      </c>
      <c r="R1633" s="20"/>
    </row>
    <row r="1634" spans="1:18" ht="13.2" hidden="1" outlineLevel="1" x14ac:dyDescent="0.25">
      <c r="A1634" s="1"/>
      <c r="B1634" s="39" t="str">
        <f ca="1">IFERROR(__xludf.DUMMYFUNCTION("""COMPUTED_VALUE"""),"Energía Nuclear")</f>
        <v>Energía Nuclear</v>
      </c>
      <c r="C1634" s="22">
        <f ca="1">IFERROR(__xludf.DUMMYFUNCTION("""COMPUTED_VALUE"""),0)</f>
        <v>0</v>
      </c>
      <c r="D1634" s="23">
        <f ca="1">IFERROR(__xludf.DUMMYFUNCTION("""COMPUTED_VALUE"""),0)</f>
        <v>0</v>
      </c>
      <c r="E1634" s="23">
        <f ca="1">IFERROR(__xludf.DUMMYFUNCTION("""COMPUTED_VALUE"""),0)</f>
        <v>0</v>
      </c>
      <c r="F1634" s="23">
        <f ca="1">IFERROR(__xludf.DUMMYFUNCTION("""COMPUTED_VALUE"""),0)</f>
        <v>0</v>
      </c>
      <c r="G1634" s="23">
        <f ca="1">IFERROR(__xludf.DUMMYFUNCTION("""COMPUTED_VALUE"""),0)</f>
        <v>0</v>
      </c>
      <c r="H1634" s="23">
        <f ca="1">IFERROR(__xludf.DUMMYFUNCTION("""COMPUTED_VALUE"""),0)</f>
        <v>0</v>
      </c>
      <c r="I1634" s="23">
        <f ca="1">IFERROR(__xludf.DUMMYFUNCTION("""COMPUTED_VALUE"""),0)</f>
        <v>0</v>
      </c>
      <c r="J1634" s="23">
        <f ca="1">IFERROR(__xludf.DUMMYFUNCTION("""COMPUTED_VALUE"""),0)</f>
        <v>0</v>
      </c>
      <c r="K1634" s="23">
        <f ca="1">IFERROR(__xludf.DUMMYFUNCTION("""COMPUTED_VALUE"""),0)</f>
        <v>0</v>
      </c>
      <c r="L1634" s="23">
        <f ca="1">IFERROR(__xludf.DUMMYFUNCTION("""COMPUTED_VALUE"""),0)</f>
        <v>0</v>
      </c>
      <c r="M1634" s="23">
        <f ca="1">IFERROR(__xludf.DUMMYFUNCTION("""COMPUTED_VALUE"""),0)</f>
        <v>0</v>
      </c>
      <c r="N1634" s="23">
        <f ca="1">IFERROR(__xludf.DUMMYFUNCTION("""COMPUTED_VALUE"""),0)</f>
        <v>0</v>
      </c>
      <c r="O1634" s="23">
        <f ca="1">IFERROR(__xludf.DUMMYFUNCTION("""COMPUTED_VALUE"""),0)</f>
        <v>0</v>
      </c>
      <c r="P1634" s="23">
        <f ca="1">IFERROR(__xludf.DUMMYFUNCTION("""COMPUTED_VALUE"""),0)</f>
        <v>0</v>
      </c>
      <c r="Q1634" s="24">
        <f ca="1">IFERROR(__xludf.DUMMYFUNCTION("""COMPUTED_VALUE"""),0)</f>
        <v>0</v>
      </c>
      <c r="R1634" s="20"/>
    </row>
    <row r="1635" spans="1:18" ht="13.2" hidden="1" outlineLevel="1" x14ac:dyDescent="0.25">
      <c r="A1635" s="1"/>
      <c r="B1635" s="39" t="str">
        <f ca="1">IFERROR(__xludf.DUMMYFUNCTION("""COMPUTED_VALUE"""),"Energia Hidraúlica")</f>
        <v>Energia Hidraúlica</v>
      </c>
      <c r="C1635" s="22">
        <f ca="1">IFERROR(__xludf.DUMMYFUNCTION("""COMPUTED_VALUE"""),0)</f>
        <v>0</v>
      </c>
      <c r="D1635" s="23">
        <f ca="1">IFERROR(__xludf.DUMMYFUNCTION("""COMPUTED_VALUE"""),0)</f>
        <v>0</v>
      </c>
      <c r="E1635" s="23">
        <f ca="1">IFERROR(__xludf.DUMMYFUNCTION("""COMPUTED_VALUE"""),0)</f>
        <v>0</v>
      </c>
      <c r="F1635" s="23">
        <f ca="1">IFERROR(__xludf.DUMMYFUNCTION("""COMPUTED_VALUE"""),0)</f>
        <v>0</v>
      </c>
      <c r="G1635" s="23">
        <f ca="1">IFERROR(__xludf.DUMMYFUNCTION("""COMPUTED_VALUE"""),0)</f>
        <v>0</v>
      </c>
      <c r="H1635" s="23">
        <f ca="1">IFERROR(__xludf.DUMMYFUNCTION("""COMPUTED_VALUE"""),0)</f>
        <v>0</v>
      </c>
      <c r="I1635" s="23">
        <f ca="1">IFERROR(__xludf.DUMMYFUNCTION("""COMPUTED_VALUE"""),0)</f>
        <v>0</v>
      </c>
      <c r="J1635" s="23">
        <f ca="1">IFERROR(__xludf.DUMMYFUNCTION("""COMPUTED_VALUE"""),0)</f>
        <v>0</v>
      </c>
      <c r="K1635" s="23">
        <f ca="1">IFERROR(__xludf.DUMMYFUNCTION("""COMPUTED_VALUE"""),0)</f>
        <v>0</v>
      </c>
      <c r="L1635" s="23">
        <f ca="1">IFERROR(__xludf.DUMMYFUNCTION("""COMPUTED_VALUE"""),0)</f>
        <v>0</v>
      </c>
      <c r="M1635" s="23">
        <f ca="1">IFERROR(__xludf.DUMMYFUNCTION("""COMPUTED_VALUE"""),0)</f>
        <v>0</v>
      </c>
      <c r="N1635" s="23">
        <f ca="1">IFERROR(__xludf.DUMMYFUNCTION("""COMPUTED_VALUE"""),0)</f>
        <v>0</v>
      </c>
      <c r="O1635" s="23">
        <f ca="1">IFERROR(__xludf.DUMMYFUNCTION("""COMPUTED_VALUE"""),0)</f>
        <v>0</v>
      </c>
      <c r="P1635" s="23">
        <f ca="1">IFERROR(__xludf.DUMMYFUNCTION("""COMPUTED_VALUE"""),0)</f>
        <v>0</v>
      </c>
      <c r="Q1635" s="24">
        <f ca="1">IFERROR(__xludf.DUMMYFUNCTION("""COMPUTED_VALUE"""),0)</f>
        <v>0</v>
      </c>
      <c r="R1635" s="20"/>
    </row>
    <row r="1636" spans="1:18" ht="13.2" hidden="1" outlineLevel="1" x14ac:dyDescent="0.25">
      <c r="A1636" s="1"/>
      <c r="B1636" s="39" t="str">
        <f ca="1">IFERROR(__xludf.DUMMYFUNCTION("""COMPUTED_VALUE"""),"Geoenergía")</f>
        <v>Geoenergía</v>
      </c>
      <c r="C1636" s="22">
        <f ca="1">IFERROR(__xludf.DUMMYFUNCTION("""COMPUTED_VALUE"""),0)</f>
        <v>0</v>
      </c>
      <c r="D1636" s="23">
        <f ca="1">IFERROR(__xludf.DUMMYFUNCTION("""COMPUTED_VALUE"""),0)</f>
        <v>0</v>
      </c>
      <c r="E1636" s="23">
        <f ca="1">IFERROR(__xludf.DUMMYFUNCTION("""COMPUTED_VALUE"""),0)</f>
        <v>0</v>
      </c>
      <c r="F1636" s="23">
        <f ca="1">IFERROR(__xludf.DUMMYFUNCTION("""COMPUTED_VALUE"""),0)</f>
        <v>0</v>
      </c>
      <c r="G1636" s="23">
        <f ca="1">IFERROR(__xludf.DUMMYFUNCTION("""COMPUTED_VALUE"""),0)</f>
        <v>0</v>
      </c>
      <c r="H1636" s="23">
        <f ca="1">IFERROR(__xludf.DUMMYFUNCTION("""COMPUTED_VALUE"""),0)</f>
        <v>0</v>
      </c>
      <c r="I1636" s="23">
        <f ca="1">IFERROR(__xludf.DUMMYFUNCTION("""COMPUTED_VALUE"""),0)</f>
        <v>0</v>
      </c>
      <c r="J1636" s="23">
        <f ca="1">IFERROR(__xludf.DUMMYFUNCTION("""COMPUTED_VALUE"""),0)</f>
        <v>0</v>
      </c>
      <c r="K1636" s="23">
        <f ca="1">IFERROR(__xludf.DUMMYFUNCTION("""COMPUTED_VALUE"""),0)</f>
        <v>0</v>
      </c>
      <c r="L1636" s="23">
        <f ca="1">IFERROR(__xludf.DUMMYFUNCTION("""COMPUTED_VALUE"""),0)</f>
        <v>0</v>
      </c>
      <c r="M1636" s="23">
        <f ca="1">IFERROR(__xludf.DUMMYFUNCTION("""COMPUTED_VALUE"""),0)</f>
        <v>0</v>
      </c>
      <c r="N1636" s="23">
        <f ca="1">IFERROR(__xludf.DUMMYFUNCTION("""COMPUTED_VALUE"""),0)</f>
        <v>0</v>
      </c>
      <c r="O1636" s="23">
        <f ca="1">IFERROR(__xludf.DUMMYFUNCTION("""COMPUTED_VALUE"""),0)</f>
        <v>0</v>
      </c>
      <c r="P1636" s="23">
        <f ca="1">IFERROR(__xludf.DUMMYFUNCTION("""COMPUTED_VALUE"""),0)</f>
        <v>0</v>
      </c>
      <c r="Q1636" s="24">
        <f ca="1">IFERROR(__xludf.DUMMYFUNCTION("""COMPUTED_VALUE"""),0)</f>
        <v>0</v>
      </c>
      <c r="R1636" s="20"/>
    </row>
    <row r="1637" spans="1:18" ht="13.2" hidden="1" outlineLevel="1" x14ac:dyDescent="0.25">
      <c r="A1637" s="1"/>
      <c r="B1637" s="39" t="str">
        <f ca="1">IFERROR(__xludf.DUMMYFUNCTION("""COMPUTED_VALUE"""),"Energía solar")</f>
        <v>Energía solar</v>
      </c>
      <c r="C1637" s="22">
        <f ca="1">IFERROR(__xludf.DUMMYFUNCTION("""COMPUTED_VALUE"""),0)</f>
        <v>0</v>
      </c>
      <c r="D1637" s="23">
        <f ca="1">IFERROR(__xludf.DUMMYFUNCTION("""COMPUTED_VALUE"""),0)</f>
        <v>0</v>
      </c>
      <c r="E1637" s="23">
        <f ca="1">IFERROR(__xludf.DUMMYFUNCTION("""COMPUTED_VALUE"""),0)</f>
        <v>0</v>
      </c>
      <c r="F1637" s="23">
        <f ca="1">IFERROR(__xludf.DUMMYFUNCTION("""COMPUTED_VALUE"""),0)</f>
        <v>0</v>
      </c>
      <c r="G1637" s="23">
        <f ca="1">IFERROR(__xludf.DUMMYFUNCTION("""COMPUTED_VALUE"""),0)</f>
        <v>0</v>
      </c>
      <c r="H1637" s="23">
        <f ca="1">IFERROR(__xludf.DUMMYFUNCTION("""COMPUTED_VALUE"""),0)</f>
        <v>0</v>
      </c>
      <c r="I1637" s="23">
        <f ca="1">IFERROR(__xludf.DUMMYFUNCTION("""COMPUTED_VALUE"""),0)</f>
        <v>0</v>
      </c>
      <c r="J1637" s="23">
        <f ca="1">IFERROR(__xludf.DUMMYFUNCTION("""COMPUTED_VALUE"""),0)</f>
        <v>0</v>
      </c>
      <c r="K1637" s="23">
        <f ca="1">IFERROR(__xludf.DUMMYFUNCTION("""COMPUTED_VALUE"""),0)</f>
        <v>0</v>
      </c>
      <c r="L1637" s="23">
        <f ca="1">IFERROR(__xludf.DUMMYFUNCTION("""COMPUTED_VALUE"""),0)</f>
        <v>0</v>
      </c>
      <c r="M1637" s="23">
        <f ca="1">IFERROR(__xludf.DUMMYFUNCTION("""COMPUTED_VALUE"""),0)</f>
        <v>0</v>
      </c>
      <c r="N1637" s="23">
        <f ca="1">IFERROR(__xludf.DUMMYFUNCTION("""COMPUTED_VALUE"""),0)</f>
        <v>0</v>
      </c>
      <c r="O1637" s="23">
        <f ca="1">IFERROR(__xludf.DUMMYFUNCTION("""COMPUTED_VALUE"""),0)</f>
        <v>0</v>
      </c>
      <c r="P1637" s="23">
        <f ca="1">IFERROR(__xludf.DUMMYFUNCTION("""COMPUTED_VALUE"""),0)</f>
        <v>0</v>
      </c>
      <c r="Q1637" s="24">
        <f ca="1">IFERROR(__xludf.DUMMYFUNCTION("""COMPUTED_VALUE"""),0)</f>
        <v>0</v>
      </c>
      <c r="R1637" s="20"/>
    </row>
    <row r="1638" spans="1:18" ht="13.2" hidden="1" outlineLevel="1" x14ac:dyDescent="0.25">
      <c r="A1638" s="1"/>
      <c r="B1638" s="39" t="str">
        <f ca="1">IFERROR(__xludf.DUMMYFUNCTION("""COMPUTED_VALUE"""),"Energía eólica")</f>
        <v>Energía eólica</v>
      </c>
      <c r="C1638" s="22">
        <f ca="1">IFERROR(__xludf.DUMMYFUNCTION("""COMPUTED_VALUE"""),0)</f>
        <v>0</v>
      </c>
      <c r="D1638" s="23">
        <f ca="1">IFERROR(__xludf.DUMMYFUNCTION("""COMPUTED_VALUE"""),0)</f>
        <v>0</v>
      </c>
      <c r="E1638" s="23">
        <f ca="1">IFERROR(__xludf.DUMMYFUNCTION("""COMPUTED_VALUE"""),0)</f>
        <v>0</v>
      </c>
      <c r="F1638" s="23">
        <f ca="1">IFERROR(__xludf.DUMMYFUNCTION("""COMPUTED_VALUE"""),0)</f>
        <v>0</v>
      </c>
      <c r="G1638" s="23">
        <f ca="1">IFERROR(__xludf.DUMMYFUNCTION("""COMPUTED_VALUE"""),0)</f>
        <v>0</v>
      </c>
      <c r="H1638" s="23">
        <f ca="1">IFERROR(__xludf.DUMMYFUNCTION("""COMPUTED_VALUE"""),0)</f>
        <v>0</v>
      </c>
      <c r="I1638" s="23">
        <f ca="1">IFERROR(__xludf.DUMMYFUNCTION("""COMPUTED_VALUE"""),0)</f>
        <v>0</v>
      </c>
      <c r="J1638" s="23">
        <f ca="1">IFERROR(__xludf.DUMMYFUNCTION("""COMPUTED_VALUE"""),0)</f>
        <v>0</v>
      </c>
      <c r="K1638" s="23">
        <f ca="1">IFERROR(__xludf.DUMMYFUNCTION("""COMPUTED_VALUE"""),0)</f>
        <v>0</v>
      </c>
      <c r="L1638" s="23">
        <f ca="1">IFERROR(__xludf.DUMMYFUNCTION("""COMPUTED_VALUE"""),0)</f>
        <v>0</v>
      </c>
      <c r="M1638" s="23">
        <f ca="1">IFERROR(__xludf.DUMMYFUNCTION("""COMPUTED_VALUE"""),0)</f>
        <v>0</v>
      </c>
      <c r="N1638" s="23">
        <f ca="1">IFERROR(__xludf.DUMMYFUNCTION("""COMPUTED_VALUE"""),0)</f>
        <v>0</v>
      </c>
      <c r="O1638" s="23">
        <f ca="1">IFERROR(__xludf.DUMMYFUNCTION("""COMPUTED_VALUE"""),0)</f>
        <v>0</v>
      </c>
      <c r="P1638" s="23">
        <f ca="1">IFERROR(__xludf.DUMMYFUNCTION("""COMPUTED_VALUE"""),0)</f>
        <v>0</v>
      </c>
      <c r="Q1638" s="24">
        <f ca="1">IFERROR(__xludf.DUMMYFUNCTION("""COMPUTED_VALUE"""),0)</f>
        <v>0</v>
      </c>
      <c r="R1638" s="20"/>
    </row>
    <row r="1639" spans="1:18" ht="13.2" hidden="1" outlineLevel="1" x14ac:dyDescent="0.25">
      <c r="A1639" s="1"/>
      <c r="B1639" s="39" t="str">
        <f ca="1">IFERROR(__xludf.DUMMYFUNCTION("""COMPUTED_VALUE"""),"Bagazo de caña")</f>
        <v>Bagazo de caña</v>
      </c>
      <c r="C1639" s="22">
        <f ca="1">IFERROR(__xludf.DUMMYFUNCTION("""COMPUTED_VALUE"""),0)</f>
        <v>0</v>
      </c>
      <c r="D1639" s="23">
        <f ca="1">IFERROR(__xludf.DUMMYFUNCTION("""COMPUTED_VALUE"""),0)</f>
        <v>0</v>
      </c>
      <c r="E1639" s="23">
        <f ca="1">IFERROR(__xludf.DUMMYFUNCTION("""COMPUTED_VALUE"""),0)</f>
        <v>0</v>
      </c>
      <c r="F1639" s="23">
        <f ca="1">IFERROR(__xludf.DUMMYFUNCTION("""COMPUTED_VALUE"""),0)</f>
        <v>0</v>
      </c>
      <c r="G1639" s="23">
        <f ca="1">IFERROR(__xludf.DUMMYFUNCTION("""COMPUTED_VALUE"""),0)</f>
        <v>0</v>
      </c>
      <c r="H1639" s="23">
        <f ca="1">IFERROR(__xludf.DUMMYFUNCTION("""COMPUTED_VALUE"""),0)</f>
        <v>0</v>
      </c>
      <c r="I1639" s="23">
        <f ca="1">IFERROR(__xludf.DUMMYFUNCTION("""COMPUTED_VALUE"""),0)</f>
        <v>0</v>
      </c>
      <c r="J1639" s="23">
        <f ca="1">IFERROR(__xludf.DUMMYFUNCTION("""COMPUTED_VALUE"""),0)</f>
        <v>0</v>
      </c>
      <c r="K1639" s="23">
        <f ca="1">IFERROR(__xludf.DUMMYFUNCTION("""COMPUTED_VALUE"""),0)</f>
        <v>0</v>
      </c>
      <c r="L1639" s="23">
        <f ca="1">IFERROR(__xludf.DUMMYFUNCTION("""COMPUTED_VALUE"""),0)</f>
        <v>0</v>
      </c>
      <c r="M1639" s="23">
        <f ca="1">IFERROR(__xludf.DUMMYFUNCTION("""COMPUTED_VALUE"""),0)</f>
        <v>0</v>
      </c>
      <c r="N1639" s="23">
        <f ca="1">IFERROR(__xludf.DUMMYFUNCTION("""COMPUTED_VALUE"""),0)</f>
        <v>0</v>
      </c>
      <c r="O1639" s="23">
        <f ca="1">IFERROR(__xludf.DUMMYFUNCTION("""COMPUTED_VALUE"""),0)</f>
        <v>0</v>
      </c>
      <c r="P1639" s="23">
        <f ca="1">IFERROR(__xludf.DUMMYFUNCTION("""COMPUTED_VALUE"""),0)</f>
        <v>0</v>
      </c>
      <c r="Q1639" s="24">
        <f ca="1">IFERROR(__xludf.DUMMYFUNCTION("""COMPUTED_VALUE"""),0)</f>
        <v>0</v>
      </c>
      <c r="R1639" s="20"/>
    </row>
    <row r="1640" spans="1:18" ht="13.2" hidden="1" outlineLevel="1" x14ac:dyDescent="0.25">
      <c r="A1640" s="1"/>
      <c r="B1640" s="39" t="str">
        <f ca="1">IFERROR(__xludf.DUMMYFUNCTION("""COMPUTED_VALUE"""),"Leña")</f>
        <v>Leña</v>
      </c>
      <c r="C1640" s="22">
        <f ca="1">IFERROR(__xludf.DUMMYFUNCTION("""COMPUTED_VALUE"""),0)</f>
        <v>0</v>
      </c>
      <c r="D1640" s="23">
        <f ca="1">IFERROR(__xludf.DUMMYFUNCTION("""COMPUTED_VALUE"""),0)</f>
        <v>0</v>
      </c>
      <c r="E1640" s="23">
        <f ca="1">IFERROR(__xludf.DUMMYFUNCTION("""COMPUTED_VALUE"""),0)</f>
        <v>0</v>
      </c>
      <c r="F1640" s="23">
        <f ca="1">IFERROR(__xludf.DUMMYFUNCTION("""COMPUTED_VALUE"""),0)</f>
        <v>0</v>
      </c>
      <c r="G1640" s="23">
        <f ca="1">IFERROR(__xludf.DUMMYFUNCTION("""COMPUTED_VALUE"""),0)</f>
        <v>0</v>
      </c>
      <c r="H1640" s="23">
        <f ca="1">IFERROR(__xludf.DUMMYFUNCTION("""COMPUTED_VALUE"""),0)</f>
        <v>0</v>
      </c>
      <c r="I1640" s="23">
        <f ca="1">IFERROR(__xludf.DUMMYFUNCTION("""COMPUTED_VALUE"""),0)</f>
        <v>0</v>
      </c>
      <c r="J1640" s="23">
        <f ca="1">IFERROR(__xludf.DUMMYFUNCTION("""COMPUTED_VALUE"""),0)</f>
        <v>0</v>
      </c>
      <c r="K1640" s="23">
        <f ca="1">IFERROR(__xludf.DUMMYFUNCTION("""COMPUTED_VALUE"""),0)</f>
        <v>0</v>
      </c>
      <c r="L1640" s="23">
        <f ca="1">IFERROR(__xludf.DUMMYFUNCTION("""COMPUTED_VALUE"""),0)</f>
        <v>0</v>
      </c>
      <c r="M1640" s="23">
        <f ca="1">IFERROR(__xludf.DUMMYFUNCTION("""COMPUTED_VALUE"""),0)</f>
        <v>0</v>
      </c>
      <c r="N1640" s="23">
        <f ca="1">IFERROR(__xludf.DUMMYFUNCTION("""COMPUTED_VALUE"""),0)</f>
        <v>0</v>
      </c>
      <c r="O1640" s="23">
        <f ca="1">IFERROR(__xludf.DUMMYFUNCTION("""COMPUTED_VALUE"""),0)</f>
        <v>0</v>
      </c>
      <c r="P1640" s="23">
        <f ca="1">IFERROR(__xludf.DUMMYFUNCTION("""COMPUTED_VALUE"""),0)</f>
        <v>0</v>
      </c>
      <c r="Q1640" s="24">
        <f ca="1">IFERROR(__xludf.DUMMYFUNCTION("""COMPUTED_VALUE"""),0)</f>
        <v>0</v>
      </c>
      <c r="R1640" s="20"/>
    </row>
    <row r="1641" spans="1:18" ht="13.2" hidden="1" outlineLevel="1" x14ac:dyDescent="0.25">
      <c r="A1641" s="1"/>
      <c r="B1641" s="39" t="str">
        <f ca="1">IFERROR(__xludf.DUMMYFUNCTION("""COMPUTED_VALUE"""),"Biogás")</f>
        <v>Biogás</v>
      </c>
      <c r="C1641" s="22">
        <f ca="1">IFERROR(__xludf.DUMMYFUNCTION("""COMPUTED_VALUE"""),0)</f>
        <v>0</v>
      </c>
      <c r="D1641" s="23">
        <f ca="1">IFERROR(__xludf.DUMMYFUNCTION("""COMPUTED_VALUE"""),0)</f>
        <v>0</v>
      </c>
      <c r="E1641" s="23">
        <f ca="1">IFERROR(__xludf.DUMMYFUNCTION("""COMPUTED_VALUE"""),0)</f>
        <v>0</v>
      </c>
      <c r="F1641" s="23">
        <f ca="1">IFERROR(__xludf.DUMMYFUNCTION("""COMPUTED_VALUE"""),0)</f>
        <v>0</v>
      </c>
      <c r="G1641" s="23">
        <f ca="1">IFERROR(__xludf.DUMMYFUNCTION("""COMPUTED_VALUE"""),0)</f>
        <v>0</v>
      </c>
      <c r="H1641" s="23">
        <f ca="1">IFERROR(__xludf.DUMMYFUNCTION("""COMPUTED_VALUE"""),0)</f>
        <v>0</v>
      </c>
      <c r="I1641" s="23">
        <f ca="1">IFERROR(__xludf.DUMMYFUNCTION("""COMPUTED_VALUE"""),0)</f>
        <v>0</v>
      </c>
      <c r="J1641" s="23">
        <f ca="1">IFERROR(__xludf.DUMMYFUNCTION("""COMPUTED_VALUE"""),0)</f>
        <v>0</v>
      </c>
      <c r="K1641" s="23">
        <f ca="1">IFERROR(__xludf.DUMMYFUNCTION("""COMPUTED_VALUE"""),0)</f>
        <v>0</v>
      </c>
      <c r="L1641" s="23">
        <f ca="1">IFERROR(__xludf.DUMMYFUNCTION("""COMPUTED_VALUE"""),0)</f>
        <v>0</v>
      </c>
      <c r="M1641" s="23">
        <f ca="1">IFERROR(__xludf.DUMMYFUNCTION("""COMPUTED_VALUE"""),0)</f>
        <v>0</v>
      </c>
      <c r="N1641" s="23">
        <f ca="1">IFERROR(__xludf.DUMMYFUNCTION("""COMPUTED_VALUE"""),0)</f>
        <v>0</v>
      </c>
      <c r="O1641" s="23">
        <f ca="1">IFERROR(__xludf.DUMMYFUNCTION("""COMPUTED_VALUE"""),0)</f>
        <v>0</v>
      </c>
      <c r="P1641" s="23">
        <f ca="1">IFERROR(__xludf.DUMMYFUNCTION("""COMPUTED_VALUE"""),0)</f>
        <v>0</v>
      </c>
      <c r="Q1641" s="24">
        <f ca="1">IFERROR(__xludf.DUMMYFUNCTION("""COMPUTED_VALUE"""),0)</f>
        <v>0</v>
      </c>
      <c r="R1641" s="20"/>
    </row>
    <row r="1642" spans="1:18" ht="13.2" hidden="1" outlineLevel="1" x14ac:dyDescent="0.25">
      <c r="A1642" s="1"/>
      <c r="B1642" s="39" t="str">
        <f ca="1">IFERROR(__xludf.DUMMYFUNCTION("""COMPUTED_VALUE"""),"Coque de carbón")</f>
        <v>Coque de carbón</v>
      </c>
      <c r="C1642" s="22">
        <f ca="1">IFERROR(__xludf.DUMMYFUNCTION("""COMPUTED_VALUE"""),0)</f>
        <v>0</v>
      </c>
      <c r="D1642" s="23">
        <f ca="1">IFERROR(__xludf.DUMMYFUNCTION("""COMPUTED_VALUE"""),0)</f>
        <v>0</v>
      </c>
      <c r="E1642" s="23">
        <f ca="1">IFERROR(__xludf.DUMMYFUNCTION("""COMPUTED_VALUE"""),0)</f>
        <v>0</v>
      </c>
      <c r="F1642" s="23">
        <f ca="1">IFERROR(__xludf.DUMMYFUNCTION("""COMPUTED_VALUE"""),0)</f>
        <v>0</v>
      </c>
      <c r="G1642" s="23">
        <f ca="1">IFERROR(__xludf.DUMMYFUNCTION("""COMPUTED_VALUE"""),0)</f>
        <v>0</v>
      </c>
      <c r="H1642" s="23">
        <f ca="1">IFERROR(__xludf.DUMMYFUNCTION("""COMPUTED_VALUE"""),0)</f>
        <v>0</v>
      </c>
      <c r="I1642" s="23">
        <f ca="1">IFERROR(__xludf.DUMMYFUNCTION("""COMPUTED_VALUE"""),0)</f>
        <v>0</v>
      </c>
      <c r="J1642" s="23">
        <f ca="1">IFERROR(__xludf.DUMMYFUNCTION("""COMPUTED_VALUE"""),0)</f>
        <v>0</v>
      </c>
      <c r="K1642" s="23">
        <f ca="1">IFERROR(__xludf.DUMMYFUNCTION("""COMPUTED_VALUE"""),0)</f>
        <v>0</v>
      </c>
      <c r="L1642" s="23">
        <f ca="1">IFERROR(__xludf.DUMMYFUNCTION("""COMPUTED_VALUE"""),0)</f>
        <v>0</v>
      </c>
      <c r="M1642" s="23">
        <f ca="1">IFERROR(__xludf.DUMMYFUNCTION("""COMPUTED_VALUE"""),0)</f>
        <v>0</v>
      </c>
      <c r="N1642" s="23">
        <f ca="1">IFERROR(__xludf.DUMMYFUNCTION("""COMPUTED_VALUE"""),0)</f>
        <v>0</v>
      </c>
      <c r="O1642" s="23">
        <f ca="1">IFERROR(__xludf.DUMMYFUNCTION("""COMPUTED_VALUE"""),0)</f>
        <v>0</v>
      </c>
      <c r="P1642" s="23">
        <f ca="1">IFERROR(__xludf.DUMMYFUNCTION("""COMPUTED_VALUE"""),0)</f>
        <v>0</v>
      </c>
      <c r="Q1642" s="24">
        <f ca="1">IFERROR(__xludf.DUMMYFUNCTION("""COMPUTED_VALUE"""),0)</f>
        <v>0</v>
      </c>
      <c r="R1642" s="20"/>
    </row>
    <row r="1643" spans="1:18" ht="13.2" hidden="1" outlineLevel="1" x14ac:dyDescent="0.25">
      <c r="A1643" s="1"/>
      <c r="B1643" s="39" t="str">
        <f ca="1">IFERROR(__xludf.DUMMYFUNCTION("""COMPUTED_VALUE"""),"Coque de petróleo")</f>
        <v>Coque de petróleo</v>
      </c>
      <c r="C1643" s="22">
        <f ca="1">IFERROR(__xludf.DUMMYFUNCTION("""COMPUTED_VALUE"""),0)</f>
        <v>0</v>
      </c>
      <c r="D1643" s="23">
        <f ca="1">IFERROR(__xludf.DUMMYFUNCTION("""COMPUTED_VALUE"""),0)</f>
        <v>0</v>
      </c>
      <c r="E1643" s="23">
        <f ca="1">IFERROR(__xludf.DUMMYFUNCTION("""COMPUTED_VALUE"""),0)</f>
        <v>0</v>
      </c>
      <c r="F1643" s="23">
        <f ca="1">IFERROR(__xludf.DUMMYFUNCTION("""COMPUTED_VALUE"""),0)</f>
        <v>0</v>
      </c>
      <c r="G1643" s="23">
        <f ca="1">IFERROR(__xludf.DUMMYFUNCTION("""COMPUTED_VALUE"""),0)</f>
        <v>0</v>
      </c>
      <c r="H1643" s="23">
        <f ca="1">IFERROR(__xludf.DUMMYFUNCTION("""COMPUTED_VALUE"""),0)</f>
        <v>0</v>
      </c>
      <c r="I1643" s="23">
        <f ca="1">IFERROR(__xludf.DUMMYFUNCTION("""COMPUTED_VALUE"""),0)</f>
        <v>0</v>
      </c>
      <c r="J1643" s="23">
        <f ca="1">IFERROR(__xludf.DUMMYFUNCTION("""COMPUTED_VALUE"""),0)</f>
        <v>0</v>
      </c>
      <c r="K1643" s="23">
        <f ca="1">IFERROR(__xludf.DUMMYFUNCTION("""COMPUTED_VALUE"""),0)</f>
        <v>0</v>
      </c>
      <c r="L1643" s="23">
        <f ca="1">IFERROR(__xludf.DUMMYFUNCTION("""COMPUTED_VALUE"""),0)</f>
        <v>0</v>
      </c>
      <c r="M1643" s="23">
        <f ca="1">IFERROR(__xludf.DUMMYFUNCTION("""COMPUTED_VALUE"""),0)</f>
        <v>0</v>
      </c>
      <c r="N1643" s="23">
        <f ca="1">IFERROR(__xludf.DUMMYFUNCTION("""COMPUTED_VALUE"""),0)</f>
        <v>0</v>
      </c>
      <c r="O1643" s="23">
        <f ca="1">IFERROR(__xludf.DUMMYFUNCTION("""COMPUTED_VALUE"""),0)</f>
        <v>0</v>
      </c>
      <c r="P1643" s="23">
        <f ca="1">IFERROR(__xludf.DUMMYFUNCTION("""COMPUTED_VALUE"""),0)</f>
        <v>0</v>
      </c>
      <c r="Q1643" s="24">
        <f ca="1">IFERROR(__xludf.DUMMYFUNCTION("""COMPUTED_VALUE"""),0)</f>
        <v>0</v>
      </c>
      <c r="R1643" s="20"/>
    </row>
    <row r="1644" spans="1:18" ht="13.2" hidden="1" outlineLevel="1" x14ac:dyDescent="0.25">
      <c r="A1644" s="1"/>
      <c r="B1644" s="39" t="str">
        <f ca="1">IFERROR(__xludf.DUMMYFUNCTION("""COMPUTED_VALUE"""),"Gas licuado de petróleo")</f>
        <v>Gas licuado de petróleo</v>
      </c>
      <c r="C1644" s="22">
        <f ca="1">IFERROR(__xludf.DUMMYFUNCTION("""COMPUTED_VALUE"""),0)</f>
        <v>0</v>
      </c>
      <c r="D1644" s="23">
        <f ca="1">IFERROR(__xludf.DUMMYFUNCTION("""COMPUTED_VALUE"""),0)</f>
        <v>0</v>
      </c>
      <c r="E1644" s="23">
        <f ca="1">IFERROR(__xludf.DUMMYFUNCTION("""COMPUTED_VALUE"""),0)</f>
        <v>0</v>
      </c>
      <c r="F1644" s="23">
        <f ca="1">IFERROR(__xludf.DUMMYFUNCTION("""COMPUTED_VALUE"""),0)</f>
        <v>0</v>
      </c>
      <c r="G1644" s="23">
        <f ca="1">IFERROR(__xludf.DUMMYFUNCTION("""COMPUTED_VALUE"""),0)</f>
        <v>0</v>
      </c>
      <c r="H1644" s="23">
        <f ca="1">IFERROR(__xludf.DUMMYFUNCTION("""COMPUTED_VALUE"""),0)</f>
        <v>0</v>
      </c>
      <c r="I1644" s="23">
        <f ca="1">IFERROR(__xludf.DUMMYFUNCTION("""COMPUTED_VALUE"""),0)</f>
        <v>0</v>
      </c>
      <c r="J1644" s="23">
        <f ca="1">IFERROR(__xludf.DUMMYFUNCTION("""COMPUTED_VALUE"""),0)</f>
        <v>0</v>
      </c>
      <c r="K1644" s="23">
        <f ca="1">IFERROR(__xludf.DUMMYFUNCTION("""COMPUTED_VALUE"""),0)</f>
        <v>0</v>
      </c>
      <c r="L1644" s="23">
        <f ca="1">IFERROR(__xludf.DUMMYFUNCTION("""COMPUTED_VALUE"""),0)</f>
        <v>0</v>
      </c>
      <c r="M1644" s="23">
        <f ca="1">IFERROR(__xludf.DUMMYFUNCTION("""COMPUTED_VALUE"""),0)</f>
        <v>0</v>
      </c>
      <c r="N1644" s="23">
        <f ca="1">IFERROR(__xludf.DUMMYFUNCTION("""COMPUTED_VALUE"""),0)</f>
        <v>0</v>
      </c>
      <c r="O1644" s="23">
        <f ca="1">IFERROR(__xludf.DUMMYFUNCTION("""COMPUTED_VALUE"""),0)</f>
        <v>0</v>
      </c>
      <c r="P1644" s="23">
        <f ca="1">IFERROR(__xludf.DUMMYFUNCTION("""COMPUTED_VALUE"""),0)</f>
        <v>0</v>
      </c>
      <c r="Q1644" s="24">
        <f ca="1">IFERROR(__xludf.DUMMYFUNCTION("""COMPUTED_VALUE"""),0)</f>
        <v>0</v>
      </c>
      <c r="R1644" s="20"/>
    </row>
    <row r="1645" spans="1:18" ht="13.2" hidden="1" outlineLevel="1" x14ac:dyDescent="0.25">
      <c r="A1645" s="1"/>
      <c r="B1645" s="39" t="str">
        <f ca="1">IFERROR(__xludf.DUMMYFUNCTION("""COMPUTED_VALUE"""),"Gasolinas y naftas")</f>
        <v>Gasolinas y naftas</v>
      </c>
      <c r="C1645" s="22">
        <f ca="1">IFERROR(__xludf.DUMMYFUNCTION("""COMPUTED_VALUE"""),0)</f>
        <v>0</v>
      </c>
      <c r="D1645" s="23">
        <f ca="1">IFERROR(__xludf.DUMMYFUNCTION("""COMPUTED_VALUE"""),0)</f>
        <v>0</v>
      </c>
      <c r="E1645" s="23">
        <f ca="1">IFERROR(__xludf.DUMMYFUNCTION("""COMPUTED_VALUE"""),0)</f>
        <v>0</v>
      </c>
      <c r="F1645" s="23">
        <f ca="1">IFERROR(__xludf.DUMMYFUNCTION("""COMPUTED_VALUE"""),0)</f>
        <v>0</v>
      </c>
      <c r="G1645" s="23">
        <f ca="1">IFERROR(__xludf.DUMMYFUNCTION("""COMPUTED_VALUE"""),0)</f>
        <v>0</v>
      </c>
      <c r="H1645" s="23">
        <f ca="1">IFERROR(__xludf.DUMMYFUNCTION("""COMPUTED_VALUE"""),0)</f>
        <v>0</v>
      </c>
      <c r="I1645" s="23">
        <f ca="1">IFERROR(__xludf.DUMMYFUNCTION("""COMPUTED_VALUE"""),0)</f>
        <v>0</v>
      </c>
      <c r="J1645" s="23">
        <f ca="1">IFERROR(__xludf.DUMMYFUNCTION("""COMPUTED_VALUE"""),0)</f>
        <v>0</v>
      </c>
      <c r="K1645" s="23">
        <f ca="1">IFERROR(__xludf.DUMMYFUNCTION("""COMPUTED_VALUE"""),0)</f>
        <v>0</v>
      </c>
      <c r="L1645" s="23">
        <f ca="1">IFERROR(__xludf.DUMMYFUNCTION("""COMPUTED_VALUE"""),0)</f>
        <v>0</v>
      </c>
      <c r="M1645" s="23">
        <f ca="1">IFERROR(__xludf.DUMMYFUNCTION("""COMPUTED_VALUE"""),0)</f>
        <v>0</v>
      </c>
      <c r="N1645" s="23">
        <f ca="1">IFERROR(__xludf.DUMMYFUNCTION("""COMPUTED_VALUE"""),0)</f>
        <v>0</v>
      </c>
      <c r="O1645" s="23">
        <f ca="1">IFERROR(__xludf.DUMMYFUNCTION("""COMPUTED_VALUE"""),0)</f>
        <v>0</v>
      </c>
      <c r="P1645" s="23">
        <f ca="1">IFERROR(__xludf.DUMMYFUNCTION("""COMPUTED_VALUE"""),0)</f>
        <v>0</v>
      </c>
      <c r="Q1645" s="24">
        <f ca="1">IFERROR(__xludf.DUMMYFUNCTION("""COMPUTED_VALUE"""),0)</f>
        <v>0</v>
      </c>
      <c r="R1645" s="20"/>
    </row>
    <row r="1646" spans="1:18" ht="13.2" hidden="1" outlineLevel="1" x14ac:dyDescent="0.25">
      <c r="A1646" s="1"/>
      <c r="B1646" s="39" t="str">
        <f ca="1">IFERROR(__xludf.DUMMYFUNCTION("""COMPUTED_VALUE"""),"Querosenos")</f>
        <v>Querosenos</v>
      </c>
      <c r="C1646" s="22">
        <f ca="1">IFERROR(__xludf.DUMMYFUNCTION("""COMPUTED_VALUE"""),0)</f>
        <v>0</v>
      </c>
      <c r="D1646" s="23">
        <f ca="1">IFERROR(__xludf.DUMMYFUNCTION("""COMPUTED_VALUE"""),0)</f>
        <v>0</v>
      </c>
      <c r="E1646" s="23">
        <f ca="1">IFERROR(__xludf.DUMMYFUNCTION("""COMPUTED_VALUE"""),0)</f>
        <v>0</v>
      </c>
      <c r="F1646" s="23">
        <f ca="1">IFERROR(__xludf.DUMMYFUNCTION("""COMPUTED_VALUE"""),0)</f>
        <v>0</v>
      </c>
      <c r="G1646" s="23">
        <f ca="1">IFERROR(__xludf.DUMMYFUNCTION("""COMPUTED_VALUE"""),0)</f>
        <v>0</v>
      </c>
      <c r="H1646" s="23">
        <f ca="1">IFERROR(__xludf.DUMMYFUNCTION("""COMPUTED_VALUE"""),0)</f>
        <v>0</v>
      </c>
      <c r="I1646" s="23">
        <f ca="1">IFERROR(__xludf.DUMMYFUNCTION("""COMPUTED_VALUE"""),0)</f>
        <v>0</v>
      </c>
      <c r="J1646" s="23">
        <f ca="1">IFERROR(__xludf.DUMMYFUNCTION("""COMPUTED_VALUE"""),0)</f>
        <v>0</v>
      </c>
      <c r="K1646" s="23">
        <f ca="1">IFERROR(__xludf.DUMMYFUNCTION("""COMPUTED_VALUE"""),0)</f>
        <v>0</v>
      </c>
      <c r="L1646" s="23">
        <f ca="1">IFERROR(__xludf.DUMMYFUNCTION("""COMPUTED_VALUE"""),0)</f>
        <v>0</v>
      </c>
      <c r="M1646" s="23">
        <f ca="1">IFERROR(__xludf.DUMMYFUNCTION("""COMPUTED_VALUE"""),0)</f>
        <v>0</v>
      </c>
      <c r="N1646" s="23">
        <f ca="1">IFERROR(__xludf.DUMMYFUNCTION("""COMPUTED_VALUE"""),0)</f>
        <v>0</v>
      </c>
      <c r="O1646" s="23">
        <f ca="1">IFERROR(__xludf.DUMMYFUNCTION("""COMPUTED_VALUE"""),0)</f>
        <v>0</v>
      </c>
      <c r="P1646" s="23">
        <f ca="1">IFERROR(__xludf.DUMMYFUNCTION("""COMPUTED_VALUE"""),0)</f>
        <v>0</v>
      </c>
      <c r="Q1646" s="24">
        <f ca="1">IFERROR(__xludf.DUMMYFUNCTION("""COMPUTED_VALUE"""),0)</f>
        <v>0</v>
      </c>
      <c r="R1646" s="20"/>
    </row>
    <row r="1647" spans="1:18" ht="13.2" hidden="1" outlineLevel="1" x14ac:dyDescent="0.25">
      <c r="A1647" s="1"/>
      <c r="B1647" s="39" t="str">
        <f ca="1">IFERROR(__xludf.DUMMYFUNCTION("""COMPUTED_VALUE"""),"Diesel")</f>
        <v>Diesel</v>
      </c>
      <c r="C1647" s="22">
        <f ca="1">IFERROR(__xludf.DUMMYFUNCTION("""COMPUTED_VALUE"""),0)</f>
        <v>0</v>
      </c>
      <c r="D1647" s="23">
        <f ca="1">IFERROR(__xludf.DUMMYFUNCTION("""COMPUTED_VALUE"""),0)</f>
        <v>0</v>
      </c>
      <c r="E1647" s="23">
        <f ca="1">IFERROR(__xludf.DUMMYFUNCTION("""COMPUTED_VALUE"""),0)</f>
        <v>0</v>
      </c>
      <c r="F1647" s="23">
        <f ca="1">IFERROR(__xludf.DUMMYFUNCTION("""COMPUTED_VALUE"""),0)</f>
        <v>0</v>
      </c>
      <c r="G1647" s="23">
        <f ca="1">IFERROR(__xludf.DUMMYFUNCTION("""COMPUTED_VALUE"""),0)</f>
        <v>0</v>
      </c>
      <c r="H1647" s="23">
        <f ca="1">IFERROR(__xludf.DUMMYFUNCTION("""COMPUTED_VALUE"""),0)</f>
        <v>0</v>
      </c>
      <c r="I1647" s="23">
        <f ca="1">IFERROR(__xludf.DUMMYFUNCTION("""COMPUTED_VALUE"""),0)</f>
        <v>0</v>
      </c>
      <c r="J1647" s="23">
        <f ca="1">IFERROR(__xludf.DUMMYFUNCTION("""COMPUTED_VALUE"""),0)</f>
        <v>0</v>
      </c>
      <c r="K1647" s="23">
        <f ca="1">IFERROR(__xludf.DUMMYFUNCTION("""COMPUTED_VALUE"""),0)</f>
        <v>0</v>
      </c>
      <c r="L1647" s="23">
        <f ca="1">IFERROR(__xludf.DUMMYFUNCTION("""COMPUTED_VALUE"""),0)</f>
        <v>0</v>
      </c>
      <c r="M1647" s="23">
        <f ca="1">IFERROR(__xludf.DUMMYFUNCTION("""COMPUTED_VALUE"""),0)</f>
        <v>0</v>
      </c>
      <c r="N1647" s="23">
        <f ca="1">IFERROR(__xludf.DUMMYFUNCTION("""COMPUTED_VALUE"""),0)</f>
        <v>0</v>
      </c>
      <c r="O1647" s="23">
        <f ca="1">IFERROR(__xludf.DUMMYFUNCTION("""COMPUTED_VALUE"""),0)</f>
        <v>0</v>
      </c>
      <c r="P1647" s="23">
        <f ca="1">IFERROR(__xludf.DUMMYFUNCTION("""COMPUTED_VALUE"""),0)</f>
        <v>0</v>
      </c>
      <c r="Q1647" s="24">
        <f ca="1">IFERROR(__xludf.DUMMYFUNCTION("""COMPUTED_VALUE"""),0)</f>
        <v>0</v>
      </c>
      <c r="R1647" s="20"/>
    </row>
    <row r="1648" spans="1:18" ht="13.2" hidden="1" outlineLevel="1" x14ac:dyDescent="0.25">
      <c r="A1648" s="1"/>
      <c r="B1648" s="39" t="str">
        <f ca="1">IFERROR(__xludf.DUMMYFUNCTION("""COMPUTED_VALUE"""),"Combustóleo")</f>
        <v>Combustóleo</v>
      </c>
      <c r="C1648" s="22">
        <f ca="1">IFERROR(__xludf.DUMMYFUNCTION("""COMPUTED_VALUE"""),0)</f>
        <v>0</v>
      </c>
      <c r="D1648" s="23">
        <f ca="1">IFERROR(__xludf.DUMMYFUNCTION("""COMPUTED_VALUE"""),0)</f>
        <v>0</v>
      </c>
      <c r="E1648" s="23">
        <f ca="1">IFERROR(__xludf.DUMMYFUNCTION("""COMPUTED_VALUE"""),0)</f>
        <v>0</v>
      </c>
      <c r="F1648" s="23">
        <f ca="1">IFERROR(__xludf.DUMMYFUNCTION("""COMPUTED_VALUE"""),0)</f>
        <v>0</v>
      </c>
      <c r="G1648" s="23">
        <f ca="1">IFERROR(__xludf.DUMMYFUNCTION("""COMPUTED_VALUE"""),0)</f>
        <v>0</v>
      </c>
      <c r="H1648" s="23">
        <f ca="1">IFERROR(__xludf.DUMMYFUNCTION("""COMPUTED_VALUE"""),0)</f>
        <v>0</v>
      </c>
      <c r="I1648" s="23">
        <f ca="1">IFERROR(__xludf.DUMMYFUNCTION("""COMPUTED_VALUE"""),0)</f>
        <v>0</v>
      </c>
      <c r="J1648" s="23">
        <f ca="1">IFERROR(__xludf.DUMMYFUNCTION("""COMPUTED_VALUE"""),0)</f>
        <v>0</v>
      </c>
      <c r="K1648" s="23">
        <f ca="1">IFERROR(__xludf.DUMMYFUNCTION("""COMPUTED_VALUE"""),0)</f>
        <v>0</v>
      </c>
      <c r="L1648" s="23">
        <f ca="1">IFERROR(__xludf.DUMMYFUNCTION("""COMPUTED_VALUE"""),0)</f>
        <v>0</v>
      </c>
      <c r="M1648" s="23">
        <f ca="1">IFERROR(__xludf.DUMMYFUNCTION("""COMPUTED_VALUE"""),0)</f>
        <v>0</v>
      </c>
      <c r="N1648" s="23">
        <f ca="1">IFERROR(__xludf.DUMMYFUNCTION("""COMPUTED_VALUE"""),0)</f>
        <v>0</v>
      </c>
      <c r="O1648" s="23">
        <f ca="1">IFERROR(__xludf.DUMMYFUNCTION("""COMPUTED_VALUE"""),0)</f>
        <v>0</v>
      </c>
      <c r="P1648" s="23">
        <f ca="1">IFERROR(__xludf.DUMMYFUNCTION("""COMPUTED_VALUE"""),0)</f>
        <v>0</v>
      </c>
      <c r="Q1648" s="24">
        <f ca="1">IFERROR(__xludf.DUMMYFUNCTION("""COMPUTED_VALUE"""),0)</f>
        <v>0</v>
      </c>
      <c r="R1648" s="20"/>
    </row>
    <row r="1649" spans="1:18" ht="13.2" hidden="1" outlineLevel="1" x14ac:dyDescent="0.25">
      <c r="A1649" s="1"/>
      <c r="B1649" s="39" t="str">
        <f ca="1">IFERROR(__xludf.DUMMYFUNCTION("""COMPUTED_VALUE"""),"Otros energéticos")</f>
        <v>Otros energéticos</v>
      </c>
      <c r="C1649" s="22">
        <f ca="1">IFERROR(__xludf.DUMMYFUNCTION("""COMPUTED_VALUE"""),0)</f>
        <v>0</v>
      </c>
      <c r="D1649" s="23">
        <f ca="1">IFERROR(__xludf.DUMMYFUNCTION("""COMPUTED_VALUE"""),0)</f>
        <v>0</v>
      </c>
      <c r="E1649" s="23">
        <f ca="1">IFERROR(__xludf.DUMMYFUNCTION("""COMPUTED_VALUE"""),0)</f>
        <v>0</v>
      </c>
      <c r="F1649" s="23">
        <f ca="1">IFERROR(__xludf.DUMMYFUNCTION("""COMPUTED_VALUE"""),0)</f>
        <v>0</v>
      </c>
      <c r="G1649" s="23">
        <f ca="1">IFERROR(__xludf.DUMMYFUNCTION("""COMPUTED_VALUE"""),0)</f>
        <v>0</v>
      </c>
      <c r="H1649" s="23">
        <f ca="1">IFERROR(__xludf.DUMMYFUNCTION("""COMPUTED_VALUE"""),0)</f>
        <v>0</v>
      </c>
      <c r="I1649" s="23">
        <f ca="1">IFERROR(__xludf.DUMMYFUNCTION("""COMPUTED_VALUE"""),0)</f>
        <v>0</v>
      </c>
      <c r="J1649" s="23">
        <f ca="1">IFERROR(__xludf.DUMMYFUNCTION("""COMPUTED_VALUE"""),0)</f>
        <v>0</v>
      </c>
      <c r="K1649" s="23">
        <f ca="1">IFERROR(__xludf.DUMMYFUNCTION("""COMPUTED_VALUE"""),0)</f>
        <v>0</v>
      </c>
      <c r="L1649" s="23">
        <f ca="1">IFERROR(__xludf.DUMMYFUNCTION("""COMPUTED_VALUE"""),0)</f>
        <v>0</v>
      </c>
      <c r="M1649" s="23">
        <f ca="1">IFERROR(__xludf.DUMMYFUNCTION("""COMPUTED_VALUE"""),0)</f>
        <v>0</v>
      </c>
      <c r="N1649" s="23">
        <f ca="1">IFERROR(__xludf.DUMMYFUNCTION("""COMPUTED_VALUE"""),0)</f>
        <v>0</v>
      </c>
      <c r="O1649" s="23">
        <f ca="1">IFERROR(__xludf.DUMMYFUNCTION("""COMPUTED_VALUE"""),0)</f>
        <v>0</v>
      </c>
      <c r="P1649" s="23">
        <f ca="1">IFERROR(__xludf.DUMMYFUNCTION("""COMPUTED_VALUE"""),0)</f>
        <v>0</v>
      </c>
      <c r="Q1649" s="24">
        <f ca="1">IFERROR(__xludf.DUMMYFUNCTION("""COMPUTED_VALUE"""),0)</f>
        <v>0</v>
      </c>
      <c r="R1649" s="20"/>
    </row>
    <row r="1650" spans="1:18" ht="13.2" hidden="1" outlineLevel="1" x14ac:dyDescent="0.25">
      <c r="A1650" s="1"/>
      <c r="B1650" s="39" t="str">
        <f ca="1">IFERROR(__xludf.DUMMYFUNCTION("""COMPUTED_VALUE"""),"Gas natural seco")</f>
        <v>Gas natural seco</v>
      </c>
      <c r="C1650" s="22">
        <f ca="1">IFERROR(__xludf.DUMMYFUNCTION("""COMPUTED_VALUE"""),0)</f>
        <v>0</v>
      </c>
      <c r="D1650" s="23">
        <f ca="1">IFERROR(__xludf.DUMMYFUNCTION("""COMPUTED_VALUE"""),0)</f>
        <v>0</v>
      </c>
      <c r="E1650" s="23">
        <f ca="1">IFERROR(__xludf.DUMMYFUNCTION("""COMPUTED_VALUE"""),0)</f>
        <v>0</v>
      </c>
      <c r="F1650" s="23">
        <f ca="1">IFERROR(__xludf.DUMMYFUNCTION("""COMPUTED_VALUE"""),0)</f>
        <v>0</v>
      </c>
      <c r="G1650" s="23">
        <f ca="1">IFERROR(__xludf.DUMMYFUNCTION("""COMPUTED_VALUE"""),0)</f>
        <v>0</v>
      </c>
      <c r="H1650" s="23">
        <f ca="1">IFERROR(__xludf.DUMMYFUNCTION("""COMPUTED_VALUE"""),0)</f>
        <v>0</v>
      </c>
      <c r="I1650" s="23">
        <f ca="1">IFERROR(__xludf.DUMMYFUNCTION("""COMPUTED_VALUE"""),0)</f>
        <v>0</v>
      </c>
      <c r="J1650" s="23">
        <f ca="1">IFERROR(__xludf.DUMMYFUNCTION("""COMPUTED_VALUE"""),0)</f>
        <v>0</v>
      </c>
      <c r="K1650" s="23">
        <f ca="1">IFERROR(__xludf.DUMMYFUNCTION("""COMPUTED_VALUE"""),0)</f>
        <v>0</v>
      </c>
      <c r="L1650" s="23">
        <f ca="1">IFERROR(__xludf.DUMMYFUNCTION("""COMPUTED_VALUE"""),0)</f>
        <v>0</v>
      </c>
      <c r="M1650" s="23">
        <f ca="1">IFERROR(__xludf.DUMMYFUNCTION("""COMPUTED_VALUE"""),0)</f>
        <v>0</v>
      </c>
      <c r="N1650" s="23">
        <f ca="1">IFERROR(__xludf.DUMMYFUNCTION("""COMPUTED_VALUE"""),0)</f>
        <v>0</v>
      </c>
      <c r="O1650" s="23">
        <f ca="1">IFERROR(__xludf.DUMMYFUNCTION("""COMPUTED_VALUE"""),0)</f>
        <v>0</v>
      </c>
      <c r="P1650" s="23">
        <f ca="1">IFERROR(__xludf.DUMMYFUNCTION("""COMPUTED_VALUE"""),0)</f>
        <v>0</v>
      </c>
      <c r="Q1650" s="24">
        <f ca="1">IFERROR(__xludf.DUMMYFUNCTION("""COMPUTED_VALUE"""),0)</f>
        <v>0</v>
      </c>
      <c r="R1650" s="20"/>
    </row>
    <row r="1651" spans="1:18" ht="13.2" hidden="1" outlineLevel="1" x14ac:dyDescent="0.25">
      <c r="A1651" s="1"/>
      <c r="B1651" s="40" t="str">
        <f ca="1">IFERROR(__xludf.DUMMYFUNCTION("""COMPUTED_VALUE"""),"Energía eléctrica")</f>
        <v>Energía eléctrica</v>
      </c>
      <c r="C1651" s="26">
        <f ca="1">IFERROR(__xludf.DUMMYFUNCTION("""COMPUTED_VALUE"""),0)</f>
        <v>0</v>
      </c>
      <c r="D1651" s="27">
        <f ca="1">IFERROR(__xludf.DUMMYFUNCTION("""COMPUTED_VALUE"""),0)</f>
        <v>0</v>
      </c>
      <c r="E1651" s="27">
        <f ca="1">IFERROR(__xludf.DUMMYFUNCTION("""COMPUTED_VALUE"""),0)</f>
        <v>0</v>
      </c>
      <c r="F1651" s="27">
        <f ca="1">IFERROR(__xludf.DUMMYFUNCTION("""COMPUTED_VALUE"""),0)</f>
        <v>0</v>
      </c>
      <c r="G1651" s="27">
        <f ca="1">IFERROR(__xludf.DUMMYFUNCTION("""COMPUTED_VALUE"""),0)</f>
        <v>0</v>
      </c>
      <c r="H1651" s="27">
        <f ca="1">IFERROR(__xludf.DUMMYFUNCTION("""COMPUTED_VALUE"""),0)</f>
        <v>0</v>
      </c>
      <c r="I1651" s="27">
        <f ca="1">IFERROR(__xludf.DUMMYFUNCTION("""COMPUTED_VALUE"""),0)</f>
        <v>0</v>
      </c>
      <c r="J1651" s="27">
        <f ca="1">IFERROR(__xludf.DUMMYFUNCTION("""COMPUTED_VALUE"""),0)</f>
        <v>0</v>
      </c>
      <c r="K1651" s="27">
        <f ca="1">IFERROR(__xludf.DUMMYFUNCTION("""COMPUTED_VALUE"""),0)</f>
        <v>0</v>
      </c>
      <c r="L1651" s="27">
        <f ca="1">IFERROR(__xludf.DUMMYFUNCTION("""COMPUTED_VALUE"""),0)</f>
        <v>0</v>
      </c>
      <c r="M1651" s="27">
        <f ca="1">IFERROR(__xludf.DUMMYFUNCTION("""COMPUTED_VALUE"""),0)</f>
        <v>0</v>
      </c>
      <c r="N1651" s="27">
        <f ca="1">IFERROR(__xludf.DUMMYFUNCTION("""COMPUTED_VALUE"""),0)</f>
        <v>0</v>
      </c>
      <c r="O1651" s="27">
        <f ca="1">IFERROR(__xludf.DUMMYFUNCTION("""COMPUTED_VALUE"""),0)</f>
        <v>0</v>
      </c>
      <c r="P1651" s="27">
        <f ca="1">IFERROR(__xludf.DUMMYFUNCTION("""COMPUTED_VALUE"""),0)</f>
        <v>0</v>
      </c>
      <c r="Q1651" s="28">
        <f ca="1">IFERROR(__xludf.DUMMYFUNCTION("""COMPUTED_VALUE"""),0)</f>
        <v>0</v>
      </c>
      <c r="R1651" s="20"/>
    </row>
    <row r="1652" spans="1:18" ht="13.2" collapsed="1" x14ac:dyDescent="0.25">
      <c r="A1652" s="1"/>
      <c r="B1652" s="31" t="str">
        <f ca="1">IFERROR(__xludf.DUMMYFUNCTION("""COMPUTED_VALUE"""),"Otras actividades")</f>
        <v>Otras actividades</v>
      </c>
      <c r="C1652" s="41"/>
      <c r="D1652" s="42"/>
      <c r="E1652" s="41"/>
      <c r="F1652" s="41"/>
      <c r="G1652" s="43"/>
      <c r="H1652" s="44"/>
      <c r="I1652" s="45"/>
      <c r="J1652" s="45"/>
      <c r="K1652" s="45"/>
      <c r="L1652" s="45"/>
      <c r="M1652" s="45"/>
      <c r="N1652" s="45"/>
      <c r="O1652" s="45"/>
      <c r="P1652" s="45"/>
      <c r="Q1652" s="45"/>
      <c r="R1652" s="10"/>
    </row>
    <row r="1653" spans="1:18" ht="13.2" hidden="1" outlineLevel="1" x14ac:dyDescent="0.25">
      <c r="A1653" s="1"/>
      <c r="B1653" s="46"/>
      <c r="C1653" s="35">
        <f ca="1">IFERROR(__xludf.DUMMYFUNCTION("""COMPUTED_VALUE"""),2010)</f>
        <v>2010</v>
      </c>
      <c r="D1653" s="36">
        <f ca="1">IFERROR(__xludf.DUMMYFUNCTION("""COMPUTED_VALUE"""),2011)</f>
        <v>2011</v>
      </c>
      <c r="E1653" s="36">
        <f ca="1">IFERROR(__xludf.DUMMYFUNCTION("""COMPUTED_VALUE"""),2012)</f>
        <v>2012</v>
      </c>
      <c r="F1653" s="36">
        <f ca="1">IFERROR(__xludf.DUMMYFUNCTION("""COMPUTED_VALUE"""),2013)</f>
        <v>2013</v>
      </c>
      <c r="G1653" s="36">
        <f ca="1">IFERROR(__xludf.DUMMYFUNCTION("""COMPUTED_VALUE"""),2014)</f>
        <v>2014</v>
      </c>
      <c r="H1653" s="36">
        <f ca="1">IFERROR(__xludf.DUMMYFUNCTION("""COMPUTED_VALUE"""),2015)</f>
        <v>2015</v>
      </c>
      <c r="I1653" s="36">
        <f ca="1">IFERROR(__xludf.DUMMYFUNCTION("""COMPUTED_VALUE"""),2016)</f>
        <v>2016</v>
      </c>
      <c r="J1653" s="36">
        <f ca="1">IFERROR(__xludf.DUMMYFUNCTION("""COMPUTED_VALUE"""),2017)</f>
        <v>2017</v>
      </c>
      <c r="K1653" s="36">
        <f ca="1">IFERROR(__xludf.DUMMYFUNCTION("""COMPUTED_VALUE"""),2018)</f>
        <v>2018</v>
      </c>
      <c r="L1653" s="36">
        <f ca="1">IFERROR(__xludf.DUMMYFUNCTION("""COMPUTED_VALUE"""),2019)</f>
        <v>2019</v>
      </c>
      <c r="M1653" s="36">
        <f ca="1">IFERROR(__xludf.DUMMYFUNCTION("""COMPUTED_VALUE"""),2020)</f>
        <v>2020</v>
      </c>
      <c r="N1653" s="36">
        <f ca="1">IFERROR(__xludf.DUMMYFUNCTION("""COMPUTED_VALUE"""),2021)</f>
        <v>2021</v>
      </c>
      <c r="O1653" s="36">
        <f ca="1">IFERROR(__xludf.DUMMYFUNCTION("""COMPUTED_VALUE"""),2022)</f>
        <v>2022</v>
      </c>
      <c r="P1653" s="36">
        <f ca="1">IFERROR(__xludf.DUMMYFUNCTION("""COMPUTED_VALUE"""),2023)</f>
        <v>2023</v>
      </c>
      <c r="Q1653" s="37">
        <f ca="1">IFERROR(__xludf.DUMMYFUNCTION("""COMPUTED_VALUE"""),2024)</f>
        <v>2024</v>
      </c>
      <c r="R1653" s="15"/>
    </row>
    <row r="1654" spans="1:18" ht="13.2" hidden="1" outlineLevel="1" x14ac:dyDescent="0.25">
      <c r="A1654" s="1"/>
      <c r="B1654" s="38" t="str">
        <f ca="1">IFERROR(__xludf.DUMMYFUNCTION("""COMPUTED_VALUE"""),"Carbón mineral")</f>
        <v>Carbón mineral</v>
      </c>
      <c r="C1654" s="17">
        <f ca="1">IFERROR(__xludf.DUMMYFUNCTION("""COMPUTED_VALUE"""),145.469090728601)</f>
        <v>145.469090728601</v>
      </c>
      <c r="D1654" s="18">
        <f ca="1">IFERROR(__xludf.DUMMYFUNCTION("""COMPUTED_VALUE"""),242.627048148262)</f>
        <v>242.62704814826199</v>
      </c>
      <c r="E1654" s="18">
        <f ca="1">IFERROR(__xludf.DUMMYFUNCTION("""COMPUTED_VALUE"""),112.981319792996)</f>
        <v>112.981319792996</v>
      </c>
      <c r="F1654" s="18">
        <f ca="1">IFERROR(__xludf.DUMMYFUNCTION("""COMPUTED_VALUE"""),122.224928766391)</f>
        <v>122.224928766391</v>
      </c>
      <c r="G1654" s="18">
        <f ca="1">IFERROR(__xludf.DUMMYFUNCTION("""COMPUTED_VALUE"""),102.299092830915)</f>
        <v>102.299092830915</v>
      </c>
      <c r="H1654" s="18">
        <f ca="1">IFERROR(__xludf.DUMMYFUNCTION("""COMPUTED_VALUE"""),150.843658283361)</f>
        <v>150.84365828336101</v>
      </c>
      <c r="I1654" s="18">
        <f ca="1">IFERROR(__xludf.DUMMYFUNCTION("""COMPUTED_VALUE"""),90.3738384577809)</f>
        <v>90.373838457780906</v>
      </c>
      <c r="J1654" s="18">
        <f ca="1">IFERROR(__xludf.DUMMYFUNCTION("""COMPUTED_VALUE"""),181.593632818691)</f>
        <v>181.59363281869099</v>
      </c>
      <c r="K1654" s="18">
        <f ca="1">IFERROR(__xludf.DUMMYFUNCTION("""COMPUTED_VALUE"""),134.071035538205)</f>
        <v>134.071035538205</v>
      </c>
      <c r="L1654" s="18">
        <f ca="1">IFERROR(__xludf.DUMMYFUNCTION("""COMPUTED_VALUE"""),138.696953484478)</f>
        <v>138.696953484478</v>
      </c>
      <c r="M1654" s="18">
        <f ca="1">IFERROR(__xludf.DUMMYFUNCTION("""COMPUTED_VALUE"""),101.683131185072)</f>
        <v>101.683131185072</v>
      </c>
      <c r="N1654" s="18">
        <f ca="1">IFERROR(__xludf.DUMMYFUNCTION("""COMPUTED_VALUE"""),203.731924644039)</f>
        <v>203.731924644039</v>
      </c>
      <c r="O1654" s="18">
        <f ca="1">IFERROR(__xludf.DUMMYFUNCTION("""COMPUTED_VALUE"""),143.168176947482)</f>
        <v>143.16817694748201</v>
      </c>
      <c r="P1654" s="18">
        <f ca="1">IFERROR(__xludf.DUMMYFUNCTION("""COMPUTED_VALUE"""),66.1622977201918)</f>
        <v>66.162297720191802</v>
      </c>
      <c r="Q1654" s="19">
        <f ca="1">IFERROR(__xludf.DUMMYFUNCTION("""COMPUTED_VALUE"""),73.6896545850736)</f>
        <v>73.689654585073598</v>
      </c>
      <c r="R1654" s="20"/>
    </row>
    <row r="1655" spans="1:18" ht="13.2" hidden="1" outlineLevel="1" x14ac:dyDescent="0.25">
      <c r="A1655" s="1"/>
      <c r="B1655" s="39" t="str">
        <f ca="1">IFERROR(__xludf.DUMMYFUNCTION("""COMPUTED_VALUE"""),"Petróleo crudo")</f>
        <v>Petróleo crudo</v>
      </c>
      <c r="C1655" s="22">
        <f ca="1">IFERROR(__xludf.DUMMYFUNCTION("""COMPUTED_VALUE"""),0)</f>
        <v>0</v>
      </c>
      <c r="D1655" s="23">
        <f ca="1">IFERROR(__xludf.DUMMYFUNCTION("""COMPUTED_VALUE"""),0)</f>
        <v>0</v>
      </c>
      <c r="E1655" s="23">
        <f ca="1">IFERROR(__xludf.DUMMYFUNCTION("""COMPUTED_VALUE"""),0)</f>
        <v>0</v>
      </c>
      <c r="F1655" s="23">
        <f ca="1">IFERROR(__xludf.DUMMYFUNCTION("""COMPUTED_VALUE"""),0)</f>
        <v>0</v>
      </c>
      <c r="G1655" s="23">
        <f ca="1">IFERROR(__xludf.DUMMYFUNCTION("""COMPUTED_VALUE"""),0)</f>
        <v>0</v>
      </c>
      <c r="H1655" s="23">
        <f ca="1">IFERROR(__xludf.DUMMYFUNCTION("""COMPUTED_VALUE"""),0)</f>
        <v>0</v>
      </c>
      <c r="I1655" s="23">
        <f ca="1">IFERROR(__xludf.DUMMYFUNCTION("""COMPUTED_VALUE"""),0)</f>
        <v>0</v>
      </c>
      <c r="J1655" s="23">
        <f ca="1">IFERROR(__xludf.DUMMYFUNCTION("""COMPUTED_VALUE"""),0)</f>
        <v>0</v>
      </c>
      <c r="K1655" s="23">
        <f ca="1">IFERROR(__xludf.DUMMYFUNCTION("""COMPUTED_VALUE"""),0)</f>
        <v>0</v>
      </c>
      <c r="L1655" s="23">
        <f ca="1">IFERROR(__xludf.DUMMYFUNCTION("""COMPUTED_VALUE"""),0)</f>
        <v>0</v>
      </c>
      <c r="M1655" s="23">
        <f ca="1">IFERROR(__xludf.DUMMYFUNCTION("""COMPUTED_VALUE"""),0)</f>
        <v>0</v>
      </c>
      <c r="N1655" s="23">
        <f ca="1">IFERROR(__xludf.DUMMYFUNCTION("""COMPUTED_VALUE"""),0)</f>
        <v>0</v>
      </c>
      <c r="O1655" s="23">
        <f ca="1">IFERROR(__xludf.DUMMYFUNCTION("""COMPUTED_VALUE"""),0)</f>
        <v>0</v>
      </c>
      <c r="P1655" s="23">
        <f ca="1">IFERROR(__xludf.DUMMYFUNCTION("""COMPUTED_VALUE"""),0)</f>
        <v>0</v>
      </c>
      <c r="Q1655" s="24">
        <f ca="1">IFERROR(__xludf.DUMMYFUNCTION("""COMPUTED_VALUE"""),0)</f>
        <v>0</v>
      </c>
      <c r="R1655" s="20"/>
    </row>
    <row r="1656" spans="1:18" ht="13.2" hidden="1" outlineLevel="1" x14ac:dyDescent="0.25">
      <c r="A1656" s="1"/>
      <c r="B1656" s="39" t="str">
        <f ca="1">IFERROR(__xludf.DUMMYFUNCTION("""COMPUTED_VALUE"""),"Condensados")</f>
        <v>Condensados</v>
      </c>
      <c r="C1656" s="22">
        <f ca="1">IFERROR(__xludf.DUMMYFUNCTION("""COMPUTED_VALUE"""),0)</f>
        <v>0</v>
      </c>
      <c r="D1656" s="23">
        <f ca="1">IFERROR(__xludf.DUMMYFUNCTION("""COMPUTED_VALUE"""),0)</f>
        <v>0</v>
      </c>
      <c r="E1656" s="23">
        <f ca="1">IFERROR(__xludf.DUMMYFUNCTION("""COMPUTED_VALUE"""),0)</f>
        <v>0</v>
      </c>
      <c r="F1656" s="23">
        <f ca="1">IFERROR(__xludf.DUMMYFUNCTION("""COMPUTED_VALUE"""),0)</f>
        <v>0</v>
      </c>
      <c r="G1656" s="23">
        <f ca="1">IFERROR(__xludf.DUMMYFUNCTION("""COMPUTED_VALUE"""),0)</f>
        <v>0</v>
      </c>
      <c r="H1656" s="23">
        <f ca="1">IFERROR(__xludf.DUMMYFUNCTION("""COMPUTED_VALUE"""),0)</f>
        <v>0</v>
      </c>
      <c r="I1656" s="23">
        <f ca="1">IFERROR(__xludf.DUMMYFUNCTION("""COMPUTED_VALUE"""),0)</f>
        <v>0</v>
      </c>
      <c r="J1656" s="23">
        <f ca="1">IFERROR(__xludf.DUMMYFUNCTION("""COMPUTED_VALUE"""),0)</f>
        <v>0</v>
      </c>
      <c r="K1656" s="23">
        <f ca="1">IFERROR(__xludf.DUMMYFUNCTION("""COMPUTED_VALUE"""),0)</f>
        <v>0</v>
      </c>
      <c r="L1656" s="23">
        <f ca="1">IFERROR(__xludf.DUMMYFUNCTION("""COMPUTED_VALUE"""),0)</f>
        <v>0</v>
      </c>
      <c r="M1656" s="23">
        <f ca="1">IFERROR(__xludf.DUMMYFUNCTION("""COMPUTED_VALUE"""),0)</f>
        <v>0</v>
      </c>
      <c r="N1656" s="23">
        <f ca="1">IFERROR(__xludf.DUMMYFUNCTION("""COMPUTED_VALUE"""),0)</f>
        <v>0</v>
      </c>
      <c r="O1656" s="23">
        <f ca="1">IFERROR(__xludf.DUMMYFUNCTION("""COMPUTED_VALUE"""),0)</f>
        <v>0</v>
      </c>
      <c r="P1656" s="23">
        <f ca="1">IFERROR(__xludf.DUMMYFUNCTION("""COMPUTED_VALUE"""),0)</f>
        <v>0</v>
      </c>
      <c r="Q1656" s="24">
        <f ca="1">IFERROR(__xludf.DUMMYFUNCTION("""COMPUTED_VALUE"""),0)</f>
        <v>0</v>
      </c>
      <c r="R1656" s="20"/>
    </row>
    <row r="1657" spans="1:18" ht="13.2" hidden="1" outlineLevel="1" x14ac:dyDescent="0.25">
      <c r="A1657" s="1"/>
      <c r="B1657" s="39" t="str">
        <f ca="1">IFERROR(__xludf.DUMMYFUNCTION("""COMPUTED_VALUE"""),"Gas natural")</f>
        <v>Gas natural</v>
      </c>
      <c r="C1657" s="22">
        <f ca="1">IFERROR(__xludf.DUMMYFUNCTION("""COMPUTED_VALUE"""),0)</f>
        <v>0</v>
      </c>
      <c r="D1657" s="23">
        <f ca="1">IFERROR(__xludf.DUMMYFUNCTION("""COMPUTED_VALUE"""),0)</f>
        <v>0</v>
      </c>
      <c r="E1657" s="23">
        <f ca="1">IFERROR(__xludf.DUMMYFUNCTION("""COMPUTED_VALUE"""),0)</f>
        <v>0</v>
      </c>
      <c r="F1657" s="23">
        <f ca="1">IFERROR(__xludf.DUMMYFUNCTION("""COMPUTED_VALUE"""),0)</f>
        <v>0</v>
      </c>
      <c r="G1657" s="23">
        <f ca="1">IFERROR(__xludf.DUMMYFUNCTION("""COMPUTED_VALUE"""),0)</f>
        <v>0</v>
      </c>
      <c r="H1657" s="23">
        <f ca="1">IFERROR(__xludf.DUMMYFUNCTION("""COMPUTED_VALUE"""),0)</f>
        <v>0</v>
      </c>
      <c r="I1657" s="23">
        <f ca="1">IFERROR(__xludf.DUMMYFUNCTION("""COMPUTED_VALUE"""),0)</f>
        <v>0</v>
      </c>
      <c r="J1657" s="23">
        <f ca="1">IFERROR(__xludf.DUMMYFUNCTION("""COMPUTED_VALUE"""),0)</f>
        <v>0</v>
      </c>
      <c r="K1657" s="23">
        <f ca="1">IFERROR(__xludf.DUMMYFUNCTION("""COMPUTED_VALUE"""),0)</f>
        <v>0</v>
      </c>
      <c r="L1657" s="23">
        <f ca="1">IFERROR(__xludf.DUMMYFUNCTION("""COMPUTED_VALUE"""),0)</f>
        <v>0</v>
      </c>
      <c r="M1657" s="23">
        <f ca="1">IFERROR(__xludf.DUMMYFUNCTION("""COMPUTED_VALUE"""),0)</f>
        <v>0</v>
      </c>
      <c r="N1657" s="23">
        <f ca="1">IFERROR(__xludf.DUMMYFUNCTION("""COMPUTED_VALUE"""),0)</f>
        <v>0</v>
      </c>
      <c r="O1657" s="23">
        <f ca="1">IFERROR(__xludf.DUMMYFUNCTION("""COMPUTED_VALUE"""),0)</f>
        <v>0</v>
      </c>
      <c r="P1657" s="23">
        <f ca="1">IFERROR(__xludf.DUMMYFUNCTION("""COMPUTED_VALUE"""),0)</f>
        <v>0</v>
      </c>
      <c r="Q1657" s="24">
        <f ca="1">IFERROR(__xludf.DUMMYFUNCTION("""COMPUTED_VALUE"""),0)</f>
        <v>0</v>
      </c>
      <c r="R1657" s="20"/>
    </row>
    <row r="1658" spans="1:18" ht="13.2" hidden="1" outlineLevel="1" x14ac:dyDescent="0.25">
      <c r="A1658" s="1"/>
      <c r="B1658" s="39" t="str">
        <f ca="1">IFERROR(__xludf.DUMMYFUNCTION("""COMPUTED_VALUE"""),"Energía Nuclear")</f>
        <v>Energía Nuclear</v>
      </c>
      <c r="C1658" s="22">
        <f ca="1">IFERROR(__xludf.DUMMYFUNCTION("""COMPUTED_VALUE"""),0)</f>
        <v>0</v>
      </c>
      <c r="D1658" s="23">
        <f ca="1">IFERROR(__xludf.DUMMYFUNCTION("""COMPUTED_VALUE"""),0)</f>
        <v>0</v>
      </c>
      <c r="E1658" s="23">
        <f ca="1">IFERROR(__xludf.DUMMYFUNCTION("""COMPUTED_VALUE"""),0)</f>
        <v>0</v>
      </c>
      <c r="F1658" s="23">
        <f ca="1">IFERROR(__xludf.DUMMYFUNCTION("""COMPUTED_VALUE"""),0)</f>
        <v>0</v>
      </c>
      <c r="G1658" s="23">
        <f ca="1">IFERROR(__xludf.DUMMYFUNCTION("""COMPUTED_VALUE"""),0)</f>
        <v>0</v>
      </c>
      <c r="H1658" s="23">
        <f ca="1">IFERROR(__xludf.DUMMYFUNCTION("""COMPUTED_VALUE"""),0)</f>
        <v>0</v>
      </c>
      <c r="I1658" s="23">
        <f ca="1">IFERROR(__xludf.DUMMYFUNCTION("""COMPUTED_VALUE"""),0)</f>
        <v>0</v>
      </c>
      <c r="J1658" s="23">
        <f ca="1">IFERROR(__xludf.DUMMYFUNCTION("""COMPUTED_VALUE"""),0)</f>
        <v>0</v>
      </c>
      <c r="K1658" s="23">
        <f ca="1">IFERROR(__xludf.DUMMYFUNCTION("""COMPUTED_VALUE"""),0)</f>
        <v>0</v>
      </c>
      <c r="L1658" s="23">
        <f ca="1">IFERROR(__xludf.DUMMYFUNCTION("""COMPUTED_VALUE"""),0)</f>
        <v>0</v>
      </c>
      <c r="M1658" s="23">
        <f ca="1">IFERROR(__xludf.DUMMYFUNCTION("""COMPUTED_VALUE"""),0)</f>
        <v>0</v>
      </c>
      <c r="N1658" s="23">
        <f ca="1">IFERROR(__xludf.DUMMYFUNCTION("""COMPUTED_VALUE"""),0)</f>
        <v>0</v>
      </c>
      <c r="O1658" s="23">
        <f ca="1">IFERROR(__xludf.DUMMYFUNCTION("""COMPUTED_VALUE"""),0)</f>
        <v>0</v>
      </c>
      <c r="P1658" s="23">
        <f ca="1">IFERROR(__xludf.DUMMYFUNCTION("""COMPUTED_VALUE"""),0)</f>
        <v>0</v>
      </c>
      <c r="Q1658" s="24">
        <f ca="1">IFERROR(__xludf.DUMMYFUNCTION("""COMPUTED_VALUE"""),0)</f>
        <v>0</v>
      </c>
      <c r="R1658" s="20"/>
    </row>
    <row r="1659" spans="1:18" ht="13.2" hidden="1" outlineLevel="1" x14ac:dyDescent="0.25">
      <c r="A1659" s="1"/>
      <c r="B1659" s="39" t="str">
        <f ca="1">IFERROR(__xludf.DUMMYFUNCTION("""COMPUTED_VALUE"""),"Energia Hidraúlica")</f>
        <v>Energia Hidraúlica</v>
      </c>
      <c r="C1659" s="22">
        <f ca="1">IFERROR(__xludf.DUMMYFUNCTION("""COMPUTED_VALUE"""),0)</f>
        <v>0</v>
      </c>
      <c r="D1659" s="23">
        <f ca="1">IFERROR(__xludf.DUMMYFUNCTION("""COMPUTED_VALUE"""),0)</f>
        <v>0</v>
      </c>
      <c r="E1659" s="23">
        <f ca="1">IFERROR(__xludf.DUMMYFUNCTION("""COMPUTED_VALUE"""),0)</f>
        <v>0</v>
      </c>
      <c r="F1659" s="23">
        <f ca="1">IFERROR(__xludf.DUMMYFUNCTION("""COMPUTED_VALUE"""),0)</f>
        <v>0</v>
      </c>
      <c r="G1659" s="23">
        <f ca="1">IFERROR(__xludf.DUMMYFUNCTION("""COMPUTED_VALUE"""),0)</f>
        <v>0</v>
      </c>
      <c r="H1659" s="23">
        <f ca="1">IFERROR(__xludf.DUMMYFUNCTION("""COMPUTED_VALUE"""),0)</f>
        <v>0</v>
      </c>
      <c r="I1659" s="23">
        <f ca="1">IFERROR(__xludf.DUMMYFUNCTION("""COMPUTED_VALUE"""),0)</f>
        <v>0</v>
      </c>
      <c r="J1659" s="23">
        <f ca="1">IFERROR(__xludf.DUMMYFUNCTION("""COMPUTED_VALUE"""),0)</f>
        <v>0</v>
      </c>
      <c r="K1659" s="23">
        <f ca="1">IFERROR(__xludf.DUMMYFUNCTION("""COMPUTED_VALUE"""),0)</f>
        <v>0</v>
      </c>
      <c r="L1659" s="23">
        <f ca="1">IFERROR(__xludf.DUMMYFUNCTION("""COMPUTED_VALUE"""),0)</f>
        <v>0</v>
      </c>
      <c r="M1659" s="23">
        <f ca="1">IFERROR(__xludf.DUMMYFUNCTION("""COMPUTED_VALUE"""),0)</f>
        <v>0</v>
      </c>
      <c r="N1659" s="23">
        <f ca="1">IFERROR(__xludf.DUMMYFUNCTION("""COMPUTED_VALUE"""),0)</f>
        <v>0</v>
      </c>
      <c r="O1659" s="23">
        <f ca="1">IFERROR(__xludf.DUMMYFUNCTION("""COMPUTED_VALUE"""),0)</f>
        <v>0</v>
      </c>
      <c r="P1659" s="23">
        <f ca="1">IFERROR(__xludf.DUMMYFUNCTION("""COMPUTED_VALUE"""),0)</f>
        <v>0</v>
      </c>
      <c r="Q1659" s="24">
        <f ca="1">IFERROR(__xludf.DUMMYFUNCTION("""COMPUTED_VALUE"""),0)</f>
        <v>0</v>
      </c>
      <c r="R1659" s="20"/>
    </row>
    <row r="1660" spans="1:18" ht="13.2" hidden="1" outlineLevel="1" x14ac:dyDescent="0.25">
      <c r="A1660" s="1"/>
      <c r="B1660" s="39" t="str">
        <f ca="1">IFERROR(__xludf.DUMMYFUNCTION("""COMPUTED_VALUE"""),"Geoenergía")</f>
        <v>Geoenergía</v>
      </c>
      <c r="C1660" s="22">
        <f ca="1">IFERROR(__xludf.DUMMYFUNCTION("""COMPUTED_VALUE"""),0)</f>
        <v>0</v>
      </c>
      <c r="D1660" s="23">
        <f ca="1">IFERROR(__xludf.DUMMYFUNCTION("""COMPUTED_VALUE"""),0)</f>
        <v>0</v>
      </c>
      <c r="E1660" s="23">
        <f ca="1">IFERROR(__xludf.DUMMYFUNCTION("""COMPUTED_VALUE"""),0)</f>
        <v>0</v>
      </c>
      <c r="F1660" s="23">
        <f ca="1">IFERROR(__xludf.DUMMYFUNCTION("""COMPUTED_VALUE"""),0)</f>
        <v>0</v>
      </c>
      <c r="G1660" s="23">
        <f ca="1">IFERROR(__xludf.DUMMYFUNCTION("""COMPUTED_VALUE"""),0)</f>
        <v>0</v>
      </c>
      <c r="H1660" s="23">
        <f ca="1">IFERROR(__xludf.DUMMYFUNCTION("""COMPUTED_VALUE"""),0)</f>
        <v>0</v>
      </c>
      <c r="I1660" s="23">
        <f ca="1">IFERROR(__xludf.DUMMYFUNCTION("""COMPUTED_VALUE"""),0)</f>
        <v>0</v>
      </c>
      <c r="J1660" s="23">
        <f ca="1">IFERROR(__xludf.DUMMYFUNCTION("""COMPUTED_VALUE"""),0)</f>
        <v>0</v>
      </c>
      <c r="K1660" s="23">
        <f ca="1">IFERROR(__xludf.DUMMYFUNCTION("""COMPUTED_VALUE"""),0)</f>
        <v>0</v>
      </c>
      <c r="L1660" s="23">
        <f ca="1">IFERROR(__xludf.DUMMYFUNCTION("""COMPUTED_VALUE"""),0)</f>
        <v>0</v>
      </c>
      <c r="M1660" s="23">
        <f ca="1">IFERROR(__xludf.DUMMYFUNCTION("""COMPUTED_VALUE"""),0)</f>
        <v>0</v>
      </c>
      <c r="N1660" s="23">
        <f ca="1">IFERROR(__xludf.DUMMYFUNCTION("""COMPUTED_VALUE"""),0)</f>
        <v>0</v>
      </c>
      <c r="O1660" s="23">
        <f ca="1">IFERROR(__xludf.DUMMYFUNCTION("""COMPUTED_VALUE"""),0)</f>
        <v>0</v>
      </c>
      <c r="P1660" s="23">
        <f ca="1">IFERROR(__xludf.DUMMYFUNCTION("""COMPUTED_VALUE"""),0)</f>
        <v>0</v>
      </c>
      <c r="Q1660" s="24">
        <f ca="1">IFERROR(__xludf.DUMMYFUNCTION("""COMPUTED_VALUE"""),0)</f>
        <v>0</v>
      </c>
      <c r="R1660" s="20"/>
    </row>
    <row r="1661" spans="1:18" ht="13.2" hidden="1" outlineLevel="1" x14ac:dyDescent="0.25">
      <c r="A1661" s="1"/>
      <c r="B1661" s="39" t="str">
        <f ca="1">IFERROR(__xludf.DUMMYFUNCTION("""COMPUTED_VALUE"""),"Energía solar")</f>
        <v>Energía solar</v>
      </c>
      <c r="C1661" s="22">
        <f ca="1">IFERROR(__xludf.DUMMYFUNCTION("""COMPUTED_VALUE"""),7.72)</f>
        <v>7.72</v>
      </c>
      <c r="D1661" s="23">
        <f ca="1">IFERROR(__xludf.DUMMYFUNCTION("""COMPUTED_VALUE"""),8.98)</f>
        <v>8.98</v>
      </c>
      <c r="E1661" s="23">
        <f ca="1">IFERROR(__xludf.DUMMYFUNCTION("""COMPUTED_VALUE"""),10.24)</f>
        <v>10.24</v>
      </c>
      <c r="F1661" s="23">
        <f ca="1">IFERROR(__xludf.DUMMYFUNCTION("""COMPUTED_VALUE"""),11.49)</f>
        <v>11.49</v>
      </c>
      <c r="G1661" s="23">
        <f ca="1">IFERROR(__xludf.DUMMYFUNCTION("""COMPUTED_VALUE"""),13.05)</f>
        <v>13.05</v>
      </c>
      <c r="H1661" s="23">
        <f ca="1">IFERROR(__xludf.DUMMYFUNCTION("""COMPUTED_VALUE"""),14.67)</f>
        <v>14.67</v>
      </c>
      <c r="I1661" s="23">
        <f ca="1">IFERROR(__xludf.DUMMYFUNCTION("""COMPUTED_VALUE"""),16.37)</f>
        <v>16.37</v>
      </c>
      <c r="J1661" s="23">
        <f ca="1">IFERROR(__xludf.DUMMYFUNCTION("""COMPUTED_VALUE"""),18.27)</f>
        <v>18.27</v>
      </c>
      <c r="K1661" s="23">
        <f ca="1">IFERROR(__xludf.DUMMYFUNCTION("""COMPUTED_VALUE"""),20.2)</f>
        <v>20.2</v>
      </c>
      <c r="L1661" s="23">
        <f ca="1">IFERROR(__xludf.DUMMYFUNCTION("""COMPUTED_VALUE"""),22.06)</f>
        <v>22.06</v>
      </c>
      <c r="M1661" s="23">
        <f ca="1">IFERROR(__xludf.DUMMYFUNCTION("""COMPUTED_VALUE"""),23.68)</f>
        <v>23.68</v>
      </c>
      <c r="N1661" s="23">
        <f ca="1">IFERROR(__xludf.DUMMYFUNCTION("""COMPUTED_VALUE"""),25.52)</f>
        <v>25.52</v>
      </c>
      <c r="O1661" s="23">
        <f ca="1">IFERROR(__xludf.DUMMYFUNCTION("""COMPUTED_VALUE"""),27.32)</f>
        <v>27.32</v>
      </c>
      <c r="P1661" s="23">
        <f ca="1">IFERROR(__xludf.DUMMYFUNCTION("""COMPUTED_VALUE"""),29.25)</f>
        <v>29.25</v>
      </c>
      <c r="Q1661" s="24">
        <f ca="1">IFERROR(__xludf.DUMMYFUNCTION("""COMPUTED_VALUE"""),31.49)</f>
        <v>31.49</v>
      </c>
      <c r="R1661" s="20"/>
    </row>
    <row r="1662" spans="1:18" ht="13.2" hidden="1" outlineLevel="1" x14ac:dyDescent="0.25">
      <c r="A1662" s="1"/>
      <c r="B1662" s="39" t="str">
        <f ca="1">IFERROR(__xludf.DUMMYFUNCTION("""COMPUTED_VALUE"""),"Energía eólica")</f>
        <v>Energía eólica</v>
      </c>
      <c r="C1662" s="22">
        <f ca="1">IFERROR(__xludf.DUMMYFUNCTION("""COMPUTED_VALUE"""),0)</f>
        <v>0</v>
      </c>
      <c r="D1662" s="23">
        <f ca="1">IFERROR(__xludf.DUMMYFUNCTION("""COMPUTED_VALUE"""),0)</f>
        <v>0</v>
      </c>
      <c r="E1662" s="23">
        <f ca="1">IFERROR(__xludf.DUMMYFUNCTION("""COMPUTED_VALUE"""),0)</f>
        <v>0</v>
      </c>
      <c r="F1662" s="23">
        <f ca="1">IFERROR(__xludf.DUMMYFUNCTION("""COMPUTED_VALUE"""),0)</f>
        <v>0</v>
      </c>
      <c r="G1662" s="23">
        <f ca="1">IFERROR(__xludf.DUMMYFUNCTION("""COMPUTED_VALUE"""),0)</f>
        <v>0</v>
      </c>
      <c r="H1662" s="23">
        <f ca="1">IFERROR(__xludf.DUMMYFUNCTION("""COMPUTED_VALUE"""),0)</f>
        <v>0</v>
      </c>
      <c r="I1662" s="23">
        <f ca="1">IFERROR(__xludf.DUMMYFUNCTION("""COMPUTED_VALUE"""),0)</f>
        <v>0</v>
      </c>
      <c r="J1662" s="23">
        <f ca="1">IFERROR(__xludf.DUMMYFUNCTION("""COMPUTED_VALUE"""),0)</f>
        <v>0</v>
      </c>
      <c r="K1662" s="23">
        <f ca="1">IFERROR(__xludf.DUMMYFUNCTION("""COMPUTED_VALUE"""),0)</f>
        <v>0</v>
      </c>
      <c r="L1662" s="23">
        <f ca="1">IFERROR(__xludf.DUMMYFUNCTION("""COMPUTED_VALUE"""),0)</f>
        <v>0</v>
      </c>
      <c r="M1662" s="23">
        <f ca="1">IFERROR(__xludf.DUMMYFUNCTION("""COMPUTED_VALUE"""),0)</f>
        <v>0</v>
      </c>
      <c r="N1662" s="23">
        <f ca="1">IFERROR(__xludf.DUMMYFUNCTION("""COMPUTED_VALUE"""),0)</f>
        <v>0</v>
      </c>
      <c r="O1662" s="23">
        <f ca="1">IFERROR(__xludf.DUMMYFUNCTION("""COMPUTED_VALUE"""),0)</f>
        <v>0</v>
      </c>
      <c r="P1662" s="23">
        <f ca="1">IFERROR(__xludf.DUMMYFUNCTION("""COMPUTED_VALUE"""),0)</f>
        <v>0</v>
      </c>
      <c r="Q1662" s="24">
        <f ca="1">IFERROR(__xludf.DUMMYFUNCTION("""COMPUTED_VALUE"""),0)</f>
        <v>0</v>
      </c>
      <c r="R1662" s="20"/>
    </row>
    <row r="1663" spans="1:18" ht="13.2" hidden="1" outlineLevel="1" x14ac:dyDescent="0.25">
      <c r="A1663" s="1"/>
      <c r="B1663" s="39" t="str">
        <f ca="1">IFERROR(__xludf.DUMMYFUNCTION("""COMPUTED_VALUE"""),"Bagazo de caña")</f>
        <v>Bagazo de caña</v>
      </c>
      <c r="C1663" s="22">
        <f ca="1">IFERROR(__xludf.DUMMYFUNCTION("""COMPUTED_VALUE"""),8.40975114428244)</f>
        <v>8.4097511442824402</v>
      </c>
      <c r="D1663" s="23">
        <f ca="1">IFERROR(__xludf.DUMMYFUNCTION("""COMPUTED_VALUE"""),9.27328897959516)</f>
        <v>9.2732889795951596</v>
      </c>
      <c r="E1663" s="23">
        <f ca="1">IFERROR(__xludf.DUMMYFUNCTION("""COMPUTED_VALUE"""),5.89912488784319)</f>
        <v>5.8991248878431897</v>
      </c>
      <c r="F1663" s="23">
        <f ca="1">IFERROR(__xludf.DUMMYFUNCTION("""COMPUTED_VALUE"""),5.08070290138758)</f>
        <v>5.0807029013875802</v>
      </c>
      <c r="G1663" s="23">
        <f ca="1">IFERROR(__xludf.DUMMYFUNCTION("""COMPUTED_VALUE"""),6.82500369403492)</f>
        <v>6.8250036940349199</v>
      </c>
      <c r="H1663" s="23">
        <f ca="1">IFERROR(__xludf.DUMMYFUNCTION("""COMPUTED_VALUE"""),4.79605919479337)</f>
        <v>4.7960591947933704</v>
      </c>
      <c r="I1663" s="23">
        <f ca="1">IFERROR(__xludf.DUMMYFUNCTION("""COMPUTED_VALUE"""),5.76050734180551)</f>
        <v>5.7605073418055097</v>
      </c>
      <c r="J1663" s="23">
        <f ca="1">IFERROR(__xludf.DUMMYFUNCTION("""COMPUTED_VALUE"""),5.12995294545161)</f>
        <v>5.1299529454516097</v>
      </c>
      <c r="K1663" s="23">
        <f ca="1">IFERROR(__xludf.DUMMYFUNCTION("""COMPUTED_VALUE"""),8.33890555849148)</f>
        <v>8.3389055584914793</v>
      </c>
      <c r="L1663" s="23">
        <f ca="1">IFERROR(__xludf.DUMMYFUNCTION("""COMPUTED_VALUE"""),3.20416090189815)</f>
        <v>3.2041609018981498</v>
      </c>
      <c r="M1663" s="23">
        <f ca="1">IFERROR(__xludf.DUMMYFUNCTION("""COMPUTED_VALUE"""),8.3072908557101)</f>
        <v>8.3072908557101002</v>
      </c>
      <c r="N1663" s="23">
        <f ca="1">IFERROR(__xludf.DUMMYFUNCTION("""COMPUTED_VALUE"""),5.16505623988398)</f>
        <v>5.1650562398839801</v>
      </c>
      <c r="O1663" s="23">
        <f ca="1">IFERROR(__xludf.DUMMYFUNCTION("""COMPUTED_VALUE"""),3.96023538123089)</f>
        <v>3.9602353812308899</v>
      </c>
      <c r="P1663" s="23">
        <f ca="1">IFERROR(__xludf.DUMMYFUNCTION("""COMPUTED_VALUE"""),4.8432814424511)</f>
        <v>4.8432814424510999</v>
      </c>
      <c r="Q1663" s="24">
        <f ca="1">IFERROR(__xludf.DUMMYFUNCTION("""COMPUTED_VALUE"""),4.60290020327424)</f>
        <v>4.6029002032742401</v>
      </c>
      <c r="R1663" s="20"/>
    </row>
    <row r="1664" spans="1:18" ht="13.2" hidden="1" outlineLevel="1" x14ac:dyDescent="0.25">
      <c r="A1664" s="1"/>
      <c r="B1664" s="39" t="str">
        <f ca="1">IFERROR(__xludf.DUMMYFUNCTION("""COMPUTED_VALUE"""),"Leña")</f>
        <v>Leña</v>
      </c>
      <c r="C1664" s="22">
        <f ca="1">IFERROR(__xludf.DUMMYFUNCTION("""COMPUTED_VALUE"""),10.5089302861532)</f>
        <v>10.5089302861532</v>
      </c>
      <c r="D1664" s="23">
        <f ca="1">IFERROR(__xludf.DUMMYFUNCTION("""COMPUTED_VALUE"""),10.4575680839276)</f>
        <v>10.457568083927599</v>
      </c>
      <c r="E1664" s="23">
        <f ca="1">IFERROR(__xludf.DUMMYFUNCTION("""COMPUTED_VALUE"""),10.4067601305934)</f>
        <v>10.406760130593399</v>
      </c>
      <c r="F1664" s="23">
        <f ca="1">IFERROR(__xludf.DUMMYFUNCTION("""COMPUTED_VALUE"""),10.3556750528135)</f>
        <v>10.355675052813501</v>
      </c>
      <c r="G1664" s="23">
        <f ca="1">IFERROR(__xludf.DUMMYFUNCTION("""COMPUTED_VALUE"""),10.3045899750336)</f>
        <v>10.304589975033601</v>
      </c>
      <c r="H1664" s="23">
        <f ca="1">IFERROR(__xludf.DUMMYFUNCTION("""COMPUTED_VALUE"""),10.2535048972536)</f>
        <v>10.253504897253601</v>
      </c>
      <c r="I1664" s="23">
        <f ca="1">IFERROR(__xludf.DUMMYFUNCTION("""COMPUTED_VALUE"""),10.2024198194737)</f>
        <v>10.2024198194737</v>
      </c>
      <c r="J1664" s="23">
        <f ca="1">IFERROR(__xludf.DUMMYFUNCTION("""COMPUTED_VALUE"""),10.1513347416938)</f>
        <v>10.1513347416938</v>
      </c>
      <c r="K1664" s="23">
        <f ca="1">IFERROR(__xludf.DUMMYFUNCTION("""COMPUTED_VALUE"""),10.1005267778753)</f>
        <v>10.100526777875301</v>
      </c>
      <c r="L1664" s="23">
        <f ca="1">IFERROR(__xludf.DUMMYFUNCTION("""COMPUTED_VALUE"""),10.0488874824642)</f>
        <v>10.048887482464201</v>
      </c>
      <c r="M1664" s="23">
        <f ca="1">IFERROR(__xludf.DUMMYFUNCTION("""COMPUTED_VALUE"""),9.99807950835413)</f>
        <v>9.9980795083541292</v>
      </c>
      <c r="N1664" s="23">
        <f ca="1">IFERROR(__xludf.DUMMYFUNCTION("""COMPUTED_VALUE"""),9.95036640401986)</f>
        <v>9.9503664040198601</v>
      </c>
      <c r="O1664" s="23">
        <f ca="1">IFERROR(__xludf.DUMMYFUNCTION("""COMPUTED_VALUE"""),9.90799141975135)</f>
        <v>9.9079914197513492</v>
      </c>
      <c r="P1664" s="23">
        <f ca="1">IFERROR(__xludf.DUMMYFUNCTION("""COMPUTED_VALUE"""),9.86561643548283)</f>
        <v>9.8656164354828295</v>
      </c>
      <c r="Q1664" s="24">
        <f ca="1">IFERROR(__xludf.DUMMYFUNCTION("""COMPUTED_VALUE"""),9.82324145121431)</f>
        <v>9.8232414512143098</v>
      </c>
      <c r="R1664" s="20"/>
    </row>
    <row r="1665" spans="1:18" ht="13.2" hidden="1" outlineLevel="1" x14ac:dyDescent="0.25">
      <c r="A1665" s="1"/>
      <c r="B1665" s="39" t="str">
        <f ca="1">IFERROR(__xludf.DUMMYFUNCTION("""COMPUTED_VALUE"""),"Biogás")</f>
        <v>Biogás</v>
      </c>
      <c r="C1665" s="22">
        <f ca="1">IFERROR(__xludf.DUMMYFUNCTION("""COMPUTED_VALUE"""),0)</f>
        <v>0</v>
      </c>
      <c r="D1665" s="23">
        <f ca="1">IFERROR(__xludf.DUMMYFUNCTION("""COMPUTED_VALUE"""),0)</f>
        <v>0</v>
      </c>
      <c r="E1665" s="23">
        <f ca="1">IFERROR(__xludf.DUMMYFUNCTION("""COMPUTED_VALUE"""),0)</f>
        <v>0</v>
      </c>
      <c r="F1665" s="23">
        <f ca="1">IFERROR(__xludf.DUMMYFUNCTION("""COMPUTED_VALUE"""),0)</f>
        <v>0</v>
      </c>
      <c r="G1665" s="23">
        <f ca="1">IFERROR(__xludf.DUMMYFUNCTION("""COMPUTED_VALUE"""),0)</f>
        <v>0</v>
      </c>
      <c r="H1665" s="23">
        <f ca="1">IFERROR(__xludf.DUMMYFUNCTION("""COMPUTED_VALUE"""),0)</f>
        <v>0</v>
      </c>
      <c r="I1665" s="23">
        <f ca="1">IFERROR(__xludf.DUMMYFUNCTION("""COMPUTED_VALUE"""),0)</f>
        <v>0</v>
      </c>
      <c r="J1665" s="23">
        <f ca="1">IFERROR(__xludf.DUMMYFUNCTION("""COMPUTED_VALUE"""),0)</f>
        <v>0</v>
      </c>
      <c r="K1665" s="23">
        <f ca="1">IFERROR(__xludf.DUMMYFUNCTION("""COMPUTED_VALUE"""),0)</f>
        <v>0</v>
      </c>
      <c r="L1665" s="23">
        <f ca="1">IFERROR(__xludf.DUMMYFUNCTION("""COMPUTED_VALUE"""),0)</f>
        <v>0</v>
      </c>
      <c r="M1665" s="23">
        <f ca="1">IFERROR(__xludf.DUMMYFUNCTION("""COMPUTED_VALUE"""),0)</f>
        <v>0</v>
      </c>
      <c r="N1665" s="23">
        <f ca="1">IFERROR(__xludf.DUMMYFUNCTION("""COMPUTED_VALUE"""),0)</f>
        <v>0</v>
      </c>
      <c r="O1665" s="23">
        <f ca="1">IFERROR(__xludf.DUMMYFUNCTION("""COMPUTED_VALUE"""),0)</f>
        <v>0</v>
      </c>
      <c r="P1665" s="23">
        <f ca="1">IFERROR(__xludf.DUMMYFUNCTION("""COMPUTED_VALUE"""),0)</f>
        <v>0</v>
      </c>
      <c r="Q1665" s="24">
        <f ca="1">IFERROR(__xludf.DUMMYFUNCTION("""COMPUTED_VALUE"""),0)</f>
        <v>0</v>
      </c>
      <c r="R1665" s="20"/>
    </row>
    <row r="1666" spans="1:18" ht="13.2" hidden="1" outlineLevel="1" x14ac:dyDescent="0.25">
      <c r="A1666" s="1"/>
      <c r="B1666" s="39" t="str">
        <f ca="1">IFERROR(__xludf.DUMMYFUNCTION("""COMPUTED_VALUE"""),"Coque de carbón")</f>
        <v>Coque de carbón</v>
      </c>
      <c r="C1666" s="22">
        <f ca="1">IFERROR(__xludf.DUMMYFUNCTION("""COMPUTED_VALUE"""),0)</f>
        <v>0</v>
      </c>
      <c r="D1666" s="23">
        <f ca="1">IFERROR(__xludf.DUMMYFUNCTION("""COMPUTED_VALUE"""),0)</f>
        <v>0</v>
      </c>
      <c r="E1666" s="23">
        <f ca="1">IFERROR(__xludf.DUMMYFUNCTION("""COMPUTED_VALUE"""),0)</f>
        <v>0</v>
      </c>
      <c r="F1666" s="23">
        <f ca="1">IFERROR(__xludf.DUMMYFUNCTION("""COMPUTED_VALUE"""),0)</f>
        <v>0</v>
      </c>
      <c r="G1666" s="23">
        <f ca="1">IFERROR(__xludf.DUMMYFUNCTION("""COMPUTED_VALUE"""),0)</f>
        <v>0</v>
      </c>
      <c r="H1666" s="23">
        <f ca="1">IFERROR(__xludf.DUMMYFUNCTION("""COMPUTED_VALUE"""),0)</f>
        <v>0</v>
      </c>
      <c r="I1666" s="23">
        <f ca="1">IFERROR(__xludf.DUMMYFUNCTION("""COMPUTED_VALUE"""),0)</f>
        <v>0</v>
      </c>
      <c r="J1666" s="23">
        <f ca="1">IFERROR(__xludf.DUMMYFUNCTION("""COMPUTED_VALUE"""),0)</f>
        <v>0</v>
      </c>
      <c r="K1666" s="23">
        <f ca="1">IFERROR(__xludf.DUMMYFUNCTION("""COMPUTED_VALUE"""),0)</f>
        <v>0</v>
      </c>
      <c r="L1666" s="23">
        <f ca="1">IFERROR(__xludf.DUMMYFUNCTION("""COMPUTED_VALUE"""),0)</f>
        <v>0</v>
      </c>
      <c r="M1666" s="23">
        <f ca="1">IFERROR(__xludf.DUMMYFUNCTION("""COMPUTED_VALUE"""),0)</f>
        <v>0</v>
      </c>
      <c r="N1666" s="23">
        <f ca="1">IFERROR(__xludf.DUMMYFUNCTION("""COMPUTED_VALUE"""),0)</f>
        <v>0</v>
      </c>
      <c r="O1666" s="23">
        <f ca="1">IFERROR(__xludf.DUMMYFUNCTION("""COMPUTED_VALUE"""),0)</f>
        <v>0</v>
      </c>
      <c r="P1666" s="23">
        <f ca="1">IFERROR(__xludf.DUMMYFUNCTION("""COMPUTED_VALUE"""),0)</f>
        <v>0</v>
      </c>
      <c r="Q1666" s="24">
        <f ca="1">IFERROR(__xludf.DUMMYFUNCTION("""COMPUTED_VALUE"""),0)</f>
        <v>0</v>
      </c>
      <c r="R1666" s="20"/>
    </row>
    <row r="1667" spans="1:18" ht="13.2" hidden="1" outlineLevel="1" x14ac:dyDescent="0.25">
      <c r="A1667" s="1"/>
      <c r="B1667" s="39" t="str">
        <f ca="1">IFERROR(__xludf.DUMMYFUNCTION("""COMPUTED_VALUE"""),"Coque de petróleo")</f>
        <v>Coque de petróleo</v>
      </c>
      <c r="C1667" s="22">
        <f ca="1">IFERROR(__xludf.DUMMYFUNCTION("""COMPUTED_VALUE"""),9.63548654794042)</f>
        <v>9.6354865479404204</v>
      </c>
      <c r="D1667" s="23">
        <f ca="1">IFERROR(__xludf.DUMMYFUNCTION("""COMPUTED_VALUE"""),17.1917781816421)</f>
        <v>17.1917781816421</v>
      </c>
      <c r="E1667" s="23">
        <f ca="1">IFERROR(__xludf.DUMMYFUNCTION("""COMPUTED_VALUE"""),7.68269995402678)</f>
        <v>7.6826999540267797</v>
      </c>
      <c r="F1667" s="23">
        <f ca="1">IFERROR(__xludf.DUMMYFUNCTION("""COMPUTED_VALUE"""),4.8915769721495)</f>
        <v>4.8915769721495002</v>
      </c>
      <c r="G1667" s="23">
        <f ca="1">IFERROR(__xludf.DUMMYFUNCTION("""COMPUTED_VALUE"""),1.7801230938359)</f>
        <v>1.7801230938359001</v>
      </c>
      <c r="H1667" s="23">
        <f ca="1">IFERROR(__xludf.DUMMYFUNCTION("""COMPUTED_VALUE"""),2.52004977337744)</f>
        <v>2.5200497733774401</v>
      </c>
      <c r="I1667" s="23">
        <f ca="1">IFERROR(__xludf.DUMMYFUNCTION("""COMPUTED_VALUE"""),1.45252813107572)</f>
        <v>1.4525281310757201</v>
      </c>
      <c r="J1667" s="23">
        <f ca="1">IFERROR(__xludf.DUMMYFUNCTION("""COMPUTED_VALUE"""),6.03320506436973)</f>
        <v>6.0332050643697297</v>
      </c>
      <c r="K1667" s="23">
        <f ca="1">IFERROR(__xludf.DUMMYFUNCTION("""COMPUTED_VALUE"""),10.1962753750798)</f>
        <v>10.1962753750798</v>
      </c>
      <c r="L1667" s="23">
        <f ca="1">IFERROR(__xludf.DUMMYFUNCTION("""COMPUTED_VALUE"""),12.0772000855787)</f>
        <v>12.077200085578699</v>
      </c>
      <c r="M1667" s="23">
        <f ca="1">IFERROR(__xludf.DUMMYFUNCTION("""COMPUTED_VALUE"""),10.4527607422835)</f>
        <v>10.4527607422835</v>
      </c>
      <c r="N1667" s="23">
        <f ca="1">IFERROR(__xludf.DUMMYFUNCTION("""COMPUTED_VALUE"""),13.473232325122)</f>
        <v>13.473232325122</v>
      </c>
      <c r="O1667" s="23">
        <f ca="1">IFERROR(__xludf.DUMMYFUNCTION("""COMPUTED_VALUE"""),20.7342790444694)</f>
        <v>20.7342790444694</v>
      </c>
      <c r="P1667" s="23">
        <f ca="1">IFERROR(__xludf.DUMMYFUNCTION("""COMPUTED_VALUE"""),21.4353896712709)</f>
        <v>21.435389671270901</v>
      </c>
      <c r="Q1667" s="24">
        <f ca="1">IFERROR(__xludf.DUMMYFUNCTION("""COMPUTED_VALUE"""),13.428077078016)</f>
        <v>13.428077078016001</v>
      </c>
      <c r="R1667" s="20"/>
    </row>
    <row r="1668" spans="1:18" ht="13.2" hidden="1" outlineLevel="1" x14ac:dyDescent="0.25">
      <c r="A1668" s="1"/>
      <c r="B1668" s="39" t="str">
        <f ca="1">IFERROR(__xludf.DUMMYFUNCTION("""COMPUTED_VALUE"""),"Gas licuado de petróleo")</f>
        <v>Gas licuado de petróleo</v>
      </c>
      <c r="C1668" s="22">
        <f ca="1">IFERROR(__xludf.DUMMYFUNCTION("""COMPUTED_VALUE"""),24.6629154212136)</f>
        <v>24.662915421213601</v>
      </c>
      <c r="D1668" s="23">
        <f ca="1">IFERROR(__xludf.DUMMYFUNCTION("""COMPUTED_VALUE"""),24.9866120079122)</f>
        <v>24.9866120079122</v>
      </c>
      <c r="E1668" s="23">
        <f ca="1">IFERROR(__xludf.DUMMYFUNCTION("""COMPUTED_VALUE"""),24.8329286004544)</f>
        <v>24.832928600454402</v>
      </c>
      <c r="F1668" s="23">
        <f ca="1">IFERROR(__xludf.DUMMYFUNCTION("""COMPUTED_VALUE"""),31.3923239245229)</f>
        <v>31.392323924522898</v>
      </c>
      <c r="G1668" s="23">
        <f ca="1">IFERROR(__xludf.DUMMYFUNCTION("""COMPUTED_VALUE"""),31.6872820251589)</f>
        <v>31.6872820251589</v>
      </c>
      <c r="H1668" s="23">
        <f ca="1">IFERROR(__xludf.DUMMYFUNCTION("""COMPUTED_VALUE"""),35.2380127251854)</f>
        <v>35.238012725185399</v>
      </c>
      <c r="I1668" s="23">
        <f ca="1">IFERROR(__xludf.DUMMYFUNCTION("""COMPUTED_VALUE"""),38.9313322232078)</f>
        <v>38.931332223207797</v>
      </c>
      <c r="J1668" s="23">
        <f ca="1">IFERROR(__xludf.DUMMYFUNCTION("""COMPUTED_VALUE"""),35.0104341602593)</f>
        <v>35.010434160259301</v>
      </c>
      <c r="K1668" s="23">
        <f ca="1">IFERROR(__xludf.DUMMYFUNCTION("""COMPUTED_VALUE"""),37.2668102916564)</f>
        <v>37.266810291656398</v>
      </c>
      <c r="L1668" s="23">
        <f ca="1">IFERROR(__xludf.DUMMYFUNCTION("""COMPUTED_VALUE"""),27.2172670615568)</f>
        <v>27.2172670615568</v>
      </c>
      <c r="M1668" s="23">
        <f ca="1">IFERROR(__xludf.DUMMYFUNCTION("""COMPUTED_VALUE"""),28.940809554964)</f>
        <v>28.940809554964002</v>
      </c>
      <c r="N1668" s="23">
        <f ca="1">IFERROR(__xludf.DUMMYFUNCTION("""COMPUTED_VALUE"""),28.0924276545243)</f>
        <v>28.0924276545243</v>
      </c>
      <c r="O1668" s="23">
        <f ca="1">IFERROR(__xludf.DUMMYFUNCTION("""COMPUTED_VALUE"""),33.4949628812716)</f>
        <v>33.494962881271597</v>
      </c>
      <c r="P1668" s="23">
        <f ca="1">IFERROR(__xludf.DUMMYFUNCTION("""COMPUTED_VALUE"""),33.7254027448965)</f>
        <v>33.725402744896499</v>
      </c>
      <c r="Q1668" s="24">
        <f ca="1">IFERROR(__xludf.DUMMYFUNCTION("""COMPUTED_VALUE"""),33.4666621098544)</f>
        <v>33.466662109854397</v>
      </c>
      <c r="R1668" s="20"/>
    </row>
    <row r="1669" spans="1:18" ht="13.2" hidden="1" outlineLevel="1" x14ac:dyDescent="0.25">
      <c r="A1669" s="1"/>
      <c r="B1669" s="39" t="str">
        <f ca="1">IFERROR(__xludf.DUMMYFUNCTION("""COMPUTED_VALUE"""),"Gasolinas y naftas")</f>
        <v>Gasolinas y naftas</v>
      </c>
      <c r="C1669" s="22">
        <f ca="1">IFERROR(__xludf.DUMMYFUNCTION("""COMPUTED_VALUE"""),1.94)</f>
        <v>1.94</v>
      </c>
      <c r="D1669" s="23">
        <f ca="1">IFERROR(__xludf.DUMMYFUNCTION("""COMPUTED_VALUE"""),2.23)</f>
        <v>2.23</v>
      </c>
      <c r="E1669" s="23">
        <f ca="1">IFERROR(__xludf.DUMMYFUNCTION("""COMPUTED_VALUE"""),0.41)</f>
        <v>0.41</v>
      </c>
      <c r="F1669" s="23">
        <f ca="1">IFERROR(__xludf.DUMMYFUNCTION("""COMPUTED_VALUE"""),0.85)</f>
        <v>0.85</v>
      </c>
      <c r="G1669" s="23">
        <f ca="1">IFERROR(__xludf.DUMMYFUNCTION("""COMPUTED_VALUE"""),1.04733236419989)</f>
        <v>1.04733236419989</v>
      </c>
      <c r="H1669" s="23">
        <f ca="1">IFERROR(__xludf.DUMMYFUNCTION("""COMPUTED_VALUE"""),0.99055768089287)</f>
        <v>0.99055768089287</v>
      </c>
      <c r="I1669" s="23">
        <f ca="1">IFERROR(__xludf.DUMMYFUNCTION("""COMPUTED_VALUE"""),1.147)</f>
        <v>1.147</v>
      </c>
      <c r="J1669" s="23">
        <f ca="1">IFERROR(__xludf.DUMMYFUNCTION("""COMPUTED_VALUE"""),1.16789542592596)</f>
        <v>1.16789542592596</v>
      </c>
      <c r="K1669" s="23">
        <f ca="1">IFERROR(__xludf.DUMMYFUNCTION("""COMPUTED_VALUE"""),1.1779398279543)</f>
        <v>1.1779398279543001</v>
      </c>
      <c r="L1669" s="23">
        <f ca="1">IFERROR(__xludf.DUMMYFUNCTION("""COMPUTED_VALUE"""),1.29224003577736)</f>
        <v>1.29224003577736</v>
      </c>
      <c r="M1669" s="23">
        <f ca="1">IFERROR(__xludf.DUMMYFUNCTION("""COMPUTED_VALUE"""),1.47087311289568)</f>
        <v>1.47087311289568</v>
      </c>
      <c r="N1669" s="23">
        <f ca="1">IFERROR(__xludf.DUMMYFUNCTION("""COMPUTED_VALUE"""),1.46508509295047)</f>
        <v>1.46508509295047</v>
      </c>
      <c r="O1669" s="23">
        <f ca="1">IFERROR(__xludf.DUMMYFUNCTION("""COMPUTED_VALUE"""),1.38)</f>
        <v>1.38</v>
      </c>
      <c r="P1669" s="23">
        <f ca="1">IFERROR(__xludf.DUMMYFUNCTION("""COMPUTED_VALUE"""),1.25)</f>
        <v>1.25</v>
      </c>
      <c r="Q1669" s="24">
        <f ca="1">IFERROR(__xludf.DUMMYFUNCTION("""COMPUTED_VALUE"""),1.12)</f>
        <v>1.1200000000000001</v>
      </c>
      <c r="R1669" s="20"/>
    </row>
    <row r="1670" spans="1:18" ht="13.2" hidden="1" outlineLevel="1" x14ac:dyDescent="0.25">
      <c r="A1670" s="1"/>
      <c r="B1670" s="39" t="str">
        <f ca="1">IFERROR(__xludf.DUMMYFUNCTION("""COMPUTED_VALUE"""),"Querosenos")</f>
        <v>Querosenos</v>
      </c>
      <c r="C1670" s="22">
        <f ca="1">IFERROR(__xludf.DUMMYFUNCTION("""COMPUTED_VALUE"""),0)</f>
        <v>0</v>
      </c>
      <c r="D1670" s="23">
        <f ca="1">IFERROR(__xludf.DUMMYFUNCTION("""COMPUTED_VALUE"""),0)</f>
        <v>0</v>
      </c>
      <c r="E1670" s="23">
        <f ca="1">IFERROR(__xludf.DUMMYFUNCTION("""COMPUTED_VALUE"""),0)</f>
        <v>0</v>
      </c>
      <c r="F1670" s="23">
        <f ca="1">IFERROR(__xludf.DUMMYFUNCTION("""COMPUTED_VALUE"""),0)</f>
        <v>0</v>
      </c>
      <c r="G1670" s="23">
        <f ca="1">IFERROR(__xludf.DUMMYFUNCTION("""COMPUTED_VALUE"""),0)</f>
        <v>0</v>
      </c>
      <c r="H1670" s="23">
        <f ca="1">IFERROR(__xludf.DUMMYFUNCTION("""COMPUTED_VALUE"""),0)</f>
        <v>0</v>
      </c>
      <c r="I1670" s="23">
        <f ca="1">IFERROR(__xludf.DUMMYFUNCTION("""COMPUTED_VALUE"""),0)</f>
        <v>0</v>
      </c>
      <c r="J1670" s="23">
        <f ca="1">IFERROR(__xludf.DUMMYFUNCTION("""COMPUTED_VALUE"""),0)</f>
        <v>0</v>
      </c>
      <c r="K1670" s="23">
        <f ca="1">IFERROR(__xludf.DUMMYFUNCTION("""COMPUTED_VALUE"""),0)</f>
        <v>0</v>
      </c>
      <c r="L1670" s="23">
        <f ca="1">IFERROR(__xludf.DUMMYFUNCTION("""COMPUTED_VALUE"""),0)</f>
        <v>0</v>
      </c>
      <c r="M1670" s="23">
        <f ca="1">IFERROR(__xludf.DUMMYFUNCTION("""COMPUTED_VALUE"""),0)</f>
        <v>0</v>
      </c>
      <c r="N1670" s="23">
        <f ca="1">IFERROR(__xludf.DUMMYFUNCTION("""COMPUTED_VALUE"""),0)</f>
        <v>0</v>
      </c>
      <c r="O1670" s="23">
        <f ca="1">IFERROR(__xludf.DUMMYFUNCTION("""COMPUTED_VALUE"""),0)</f>
        <v>0</v>
      </c>
      <c r="P1670" s="23">
        <f ca="1">IFERROR(__xludf.DUMMYFUNCTION("""COMPUTED_VALUE"""),0)</f>
        <v>0</v>
      </c>
      <c r="Q1670" s="24">
        <f ca="1">IFERROR(__xludf.DUMMYFUNCTION("""COMPUTED_VALUE"""),0)</f>
        <v>0</v>
      </c>
      <c r="R1670" s="20"/>
    </row>
    <row r="1671" spans="1:18" ht="13.2" hidden="1" outlineLevel="1" x14ac:dyDescent="0.25">
      <c r="A1671" s="1"/>
      <c r="B1671" s="39" t="str">
        <f ca="1">IFERROR(__xludf.DUMMYFUNCTION("""COMPUTED_VALUE"""),"Diesel")</f>
        <v>Diesel</v>
      </c>
      <c r="C1671" s="22">
        <f ca="1">IFERROR(__xludf.DUMMYFUNCTION("""COMPUTED_VALUE"""),27.4113496599712)</f>
        <v>27.411349659971201</v>
      </c>
      <c r="D1671" s="23">
        <f ca="1">IFERROR(__xludf.DUMMYFUNCTION("""COMPUTED_VALUE"""),20.4232111699199)</f>
        <v>20.423211169919899</v>
      </c>
      <c r="E1671" s="23">
        <f ca="1">IFERROR(__xludf.DUMMYFUNCTION("""COMPUTED_VALUE"""),25.9217872470849)</f>
        <v>25.9217872470849</v>
      </c>
      <c r="F1671" s="23">
        <f ca="1">IFERROR(__xludf.DUMMYFUNCTION("""COMPUTED_VALUE"""),35.9744546557365)</f>
        <v>35.974454655736501</v>
      </c>
      <c r="G1671" s="23">
        <f ca="1">IFERROR(__xludf.DUMMYFUNCTION("""COMPUTED_VALUE"""),31.8843164366373)</f>
        <v>31.884316436637299</v>
      </c>
      <c r="H1671" s="23">
        <f ca="1">IFERROR(__xludf.DUMMYFUNCTION("""COMPUTED_VALUE"""),42.7300138265942)</f>
        <v>42.730013826594202</v>
      </c>
      <c r="I1671" s="23">
        <f ca="1">IFERROR(__xludf.DUMMYFUNCTION("""COMPUTED_VALUE"""),48.7371743650004)</f>
        <v>48.737174365000399</v>
      </c>
      <c r="J1671" s="23">
        <f ca="1">IFERROR(__xludf.DUMMYFUNCTION("""COMPUTED_VALUE"""),26.2931211315309)</f>
        <v>26.293121131530899</v>
      </c>
      <c r="K1671" s="23">
        <f ca="1">IFERROR(__xludf.DUMMYFUNCTION("""COMPUTED_VALUE"""),31.6446678259853)</f>
        <v>31.644667825985302</v>
      </c>
      <c r="L1671" s="23">
        <f ca="1">IFERROR(__xludf.DUMMYFUNCTION("""COMPUTED_VALUE"""),32.9807542735817)</f>
        <v>32.980754273581702</v>
      </c>
      <c r="M1671" s="23">
        <f ca="1">IFERROR(__xludf.DUMMYFUNCTION("""COMPUTED_VALUE"""),25.8807070093774)</f>
        <v>25.880707009377399</v>
      </c>
      <c r="N1671" s="23">
        <f ca="1">IFERROR(__xludf.DUMMYFUNCTION("""COMPUTED_VALUE"""),13.5533488133021)</f>
        <v>13.553348813302099</v>
      </c>
      <c r="O1671" s="23">
        <f ca="1">IFERROR(__xludf.DUMMYFUNCTION("""COMPUTED_VALUE"""),19.3276916213549)</f>
        <v>19.327691621354901</v>
      </c>
      <c r="P1671" s="23">
        <f ca="1">IFERROR(__xludf.DUMMYFUNCTION("""COMPUTED_VALUE"""),17.8957225622576)</f>
        <v>17.8957225622576</v>
      </c>
      <c r="Q1671" s="24">
        <f ca="1">IFERROR(__xludf.DUMMYFUNCTION("""COMPUTED_VALUE"""),36.1296176393313)</f>
        <v>36.1296176393313</v>
      </c>
      <c r="R1671" s="20"/>
    </row>
    <row r="1672" spans="1:18" ht="13.2" hidden="1" outlineLevel="1" x14ac:dyDescent="0.25">
      <c r="A1672" s="1"/>
      <c r="B1672" s="39" t="str">
        <f ca="1">IFERROR(__xludf.DUMMYFUNCTION("""COMPUTED_VALUE"""),"Combustóleo")</f>
        <v>Combustóleo</v>
      </c>
      <c r="C1672" s="22">
        <f ca="1">IFERROR(__xludf.DUMMYFUNCTION("""COMPUTED_VALUE"""),13.8037998059882)</f>
        <v>13.8037998059882</v>
      </c>
      <c r="D1672" s="23">
        <f ca="1">IFERROR(__xludf.DUMMYFUNCTION("""COMPUTED_VALUE"""),4.28108421359134)</f>
        <v>4.2810842135913401</v>
      </c>
      <c r="E1672" s="23">
        <f ca="1">IFERROR(__xludf.DUMMYFUNCTION("""COMPUTED_VALUE"""),7.4713821618775)</f>
        <v>7.4713821618775</v>
      </c>
      <c r="F1672" s="23">
        <f ca="1">IFERROR(__xludf.DUMMYFUNCTION("""COMPUTED_VALUE"""),5.21635474214598)</f>
        <v>5.2163547421459802</v>
      </c>
      <c r="G1672" s="23">
        <f ca="1">IFERROR(__xludf.DUMMYFUNCTION("""COMPUTED_VALUE"""),4.03374320106737)</f>
        <v>4.0337432010673702</v>
      </c>
      <c r="H1672" s="23">
        <f ca="1">IFERROR(__xludf.DUMMYFUNCTION("""COMPUTED_VALUE"""),6.0275132287656)</f>
        <v>6.0275132287656001</v>
      </c>
      <c r="I1672" s="23">
        <f ca="1">IFERROR(__xludf.DUMMYFUNCTION("""COMPUTED_VALUE"""),8.77538518698299)</f>
        <v>8.7753851869829909</v>
      </c>
      <c r="J1672" s="23">
        <f ca="1">IFERROR(__xludf.DUMMYFUNCTION("""COMPUTED_VALUE"""),7.92137026591825)</f>
        <v>7.9213702659182497</v>
      </c>
      <c r="K1672" s="23">
        <f ca="1">IFERROR(__xludf.DUMMYFUNCTION("""COMPUTED_VALUE"""),2.14013831467245)</f>
        <v>2.1401383146724502</v>
      </c>
      <c r="L1672" s="23">
        <f ca="1">IFERROR(__xludf.DUMMYFUNCTION("""COMPUTED_VALUE"""),2.58070035154108)</f>
        <v>2.58070035154108</v>
      </c>
      <c r="M1672" s="23">
        <f ca="1">IFERROR(__xludf.DUMMYFUNCTION("""COMPUTED_VALUE"""),1.01392884836383)</f>
        <v>1.01392884836383</v>
      </c>
      <c r="N1672" s="23">
        <f ca="1">IFERROR(__xludf.DUMMYFUNCTION("""COMPUTED_VALUE"""),3.27378979712111)</f>
        <v>3.2737897971211098</v>
      </c>
      <c r="O1672" s="23">
        <f ca="1">IFERROR(__xludf.DUMMYFUNCTION("""COMPUTED_VALUE"""),1.88339677035323)</f>
        <v>1.8833967703532299</v>
      </c>
      <c r="P1672" s="23">
        <f ca="1">IFERROR(__xludf.DUMMYFUNCTION("""COMPUTED_VALUE"""),2.57810268634556)</f>
        <v>2.5781026863455598</v>
      </c>
      <c r="Q1672" s="24">
        <f ca="1">IFERROR(__xludf.DUMMYFUNCTION("""COMPUTED_VALUE"""),2.36338455528157)</f>
        <v>2.36338455528157</v>
      </c>
      <c r="R1672" s="20"/>
    </row>
    <row r="1673" spans="1:18" ht="13.2" hidden="1" outlineLevel="1" x14ac:dyDescent="0.25">
      <c r="A1673" s="1"/>
      <c r="B1673" s="39" t="str">
        <f ca="1">IFERROR(__xludf.DUMMYFUNCTION("""COMPUTED_VALUE"""),"Otros energéticos")</f>
        <v>Otros energéticos</v>
      </c>
      <c r="C1673" s="22">
        <f ca="1">IFERROR(__xludf.DUMMYFUNCTION("""COMPUTED_VALUE"""),0)</f>
        <v>0</v>
      </c>
      <c r="D1673" s="23">
        <f ca="1">IFERROR(__xludf.DUMMYFUNCTION("""COMPUTED_VALUE"""),0)</f>
        <v>0</v>
      </c>
      <c r="E1673" s="23">
        <f ca="1">IFERROR(__xludf.DUMMYFUNCTION("""COMPUTED_VALUE"""),0)</f>
        <v>0</v>
      </c>
      <c r="F1673" s="23">
        <f ca="1">IFERROR(__xludf.DUMMYFUNCTION("""COMPUTED_VALUE"""),0)</f>
        <v>0</v>
      </c>
      <c r="G1673" s="23">
        <f ca="1">IFERROR(__xludf.DUMMYFUNCTION("""COMPUTED_VALUE"""),0)</f>
        <v>0</v>
      </c>
      <c r="H1673" s="23">
        <f ca="1">IFERROR(__xludf.DUMMYFUNCTION("""COMPUTED_VALUE"""),0)</f>
        <v>0</v>
      </c>
      <c r="I1673" s="23">
        <f ca="1">IFERROR(__xludf.DUMMYFUNCTION("""COMPUTED_VALUE"""),0)</f>
        <v>0</v>
      </c>
      <c r="J1673" s="23">
        <f ca="1">IFERROR(__xludf.DUMMYFUNCTION("""COMPUTED_VALUE"""),0)</f>
        <v>0</v>
      </c>
      <c r="K1673" s="23">
        <f ca="1">IFERROR(__xludf.DUMMYFUNCTION("""COMPUTED_VALUE"""),0)</f>
        <v>0</v>
      </c>
      <c r="L1673" s="23">
        <f ca="1">IFERROR(__xludf.DUMMYFUNCTION("""COMPUTED_VALUE"""),0)</f>
        <v>0</v>
      </c>
      <c r="M1673" s="23">
        <f ca="1">IFERROR(__xludf.DUMMYFUNCTION("""COMPUTED_VALUE"""),0)</f>
        <v>0</v>
      </c>
      <c r="N1673" s="23">
        <f ca="1">IFERROR(__xludf.DUMMYFUNCTION("""COMPUTED_VALUE"""),0)</f>
        <v>0</v>
      </c>
      <c r="O1673" s="23">
        <f ca="1">IFERROR(__xludf.DUMMYFUNCTION("""COMPUTED_VALUE"""),0)</f>
        <v>0</v>
      </c>
      <c r="P1673" s="23">
        <f ca="1">IFERROR(__xludf.DUMMYFUNCTION("""COMPUTED_VALUE"""),0)</f>
        <v>0</v>
      </c>
      <c r="Q1673" s="24">
        <f ca="1">IFERROR(__xludf.DUMMYFUNCTION("""COMPUTED_VALUE"""),0)</f>
        <v>0</v>
      </c>
      <c r="R1673" s="20"/>
    </row>
    <row r="1674" spans="1:18" ht="13.2" hidden="1" outlineLevel="1" x14ac:dyDescent="0.25">
      <c r="A1674" s="1"/>
      <c r="B1674" s="39" t="str">
        <f ca="1">IFERROR(__xludf.DUMMYFUNCTION("""COMPUTED_VALUE"""),"Gas natural seco")</f>
        <v>Gas natural seco</v>
      </c>
      <c r="C1674" s="22">
        <f ca="1">IFERROR(__xludf.DUMMYFUNCTION("""COMPUTED_VALUE"""),149.350478712974)</f>
        <v>149.350478712974</v>
      </c>
      <c r="D1674" s="23">
        <f ca="1">IFERROR(__xludf.DUMMYFUNCTION("""COMPUTED_VALUE"""),226.129953667484)</f>
        <v>226.12995366748399</v>
      </c>
      <c r="E1674" s="23">
        <f ca="1">IFERROR(__xludf.DUMMYFUNCTION("""COMPUTED_VALUE"""),235.760269992451)</f>
        <v>235.76026999245099</v>
      </c>
      <c r="F1674" s="23">
        <f ca="1">IFERROR(__xludf.DUMMYFUNCTION("""COMPUTED_VALUE"""),297.961067137804)</f>
        <v>297.96106713780398</v>
      </c>
      <c r="G1674" s="23">
        <f ca="1">IFERROR(__xludf.DUMMYFUNCTION("""COMPUTED_VALUE"""),340.521880387216)</f>
        <v>340.52188038721602</v>
      </c>
      <c r="H1674" s="23">
        <f ca="1">IFERROR(__xludf.DUMMYFUNCTION("""COMPUTED_VALUE"""),323.772025237422)</f>
        <v>323.77202523742199</v>
      </c>
      <c r="I1674" s="23">
        <f ca="1">IFERROR(__xludf.DUMMYFUNCTION("""COMPUTED_VALUE"""),340.915261037979)</f>
        <v>340.91526103797901</v>
      </c>
      <c r="J1674" s="23">
        <f ca="1">IFERROR(__xludf.DUMMYFUNCTION("""COMPUTED_VALUE"""),347.677885677288)</f>
        <v>347.67788567728797</v>
      </c>
      <c r="K1674" s="23">
        <f ca="1">IFERROR(__xludf.DUMMYFUNCTION("""COMPUTED_VALUE"""),232.028171093117)</f>
        <v>232.02817109311701</v>
      </c>
      <c r="L1674" s="23">
        <f ca="1">IFERROR(__xludf.DUMMYFUNCTION("""COMPUTED_VALUE"""),190.187040845367)</f>
        <v>190.18704084536699</v>
      </c>
      <c r="M1674" s="23">
        <f ca="1">IFERROR(__xludf.DUMMYFUNCTION("""COMPUTED_VALUE"""),152.424245445393)</f>
        <v>152.42424544539301</v>
      </c>
      <c r="N1674" s="23">
        <f ca="1">IFERROR(__xludf.DUMMYFUNCTION("""COMPUTED_VALUE"""),90.1146058568846)</f>
        <v>90.114605856884594</v>
      </c>
      <c r="O1674" s="23">
        <f ca="1">IFERROR(__xludf.DUMMYFUNCTION("""COMPUTED_VALUE"""),131.163908549502)</f>
        <v>131.163908549502</v>
      </c>
      <c r="P1674" s="23">
        <f ca="1">IFERROR(__xludf.DUMMYFUNCTION("""COMPUTED_VALUE"""),162.423479178718)</f>
        <v>162.423479178718</v>
      </c>
      <c r="Q1674" s="24">
        <f ca="1">IFERROR(__xludf.DUMMYFUNCTION("""COMPUTED_VALUE"""),159.935691843452)</f>
        <v>159.93569184345199</v>
      </c>
      <c r="R1674" s="20"/>
    </row>
    <row r="1675" spans="1:18" ht="13.2" hidden="1" outlineLevel="1" x14ac:dyDescent="0.25">
      <c r="A1675" s="1"/>
      <c r="B1675" s="40" t="str">
        <f ca="1">IFERROR(__xludf.DUMMYFUNCTION("""COMPUTED_VALUE"""),"Energía eléctrica")</f>
        <v>Energía eléctrica</v>
      </c>
      <c r="C1675" s="26">
        <f ca="1">IFERROR(__xludf.DUMMYFUNCTION("""COMPUTED_VALUE"""),340.798461479727)</f>
        <v>340.798461479727</v>
      </c>
      <c r="D1675" s="27">
        <f ca="1">IFERROR(__xludf.DUMMYFUNCTION("""COMPUTED_VALUE"""),357.871057633528)</f>
        <v>357.87105763352798</v>
      </c>
      <c r="E1675" s="27">
        <f ca="1">IFERROR(__xludf.DUMMYFUNCTION("""COMPUTED_VALUE"""),350.453583252803)</f>
        <v>350.45358325280301</v>
      </c>
      <c r="F1675" s="27">
        <f ca="1">IFERROR(__xludf.DUMMYFUNCTION("""COMPUTED_VALUE"""),407.532811140494)</f>
        <v>407.532811140494</v>
      </c>
      <c r="G1675" s="27">
        <f ca="1">IFERROR(__xludf.DUMMYFUNCTION("""COMPUTED_VALUE"""),425.183341174702)</f>
        <v>425.18334117470198</v>
      </c>
      <c r="H1675" s="27">
        <f ca="1">IFERROR(__xludf.DUMMYFUNCTION("""COMPUTED_VALUE"""),418.437764340907)</f>
        <v>418.43776434090699</v>
      </c>
      <c r="I1675" s="27">
        <f ca="1">IFERROR(__xludf.DUMMYFUNCTION("""COMPUTED_VALUE"""),416.802319052522)</f>
        <v>416.80231905252202</v>
      </c>
      <c r="J1675" s="27">
        <f ca="1">IFERROR(__xludf.DUMMYFUNCTION("""COMPUTED_VALUE"""),434.897041083584)</f>
        <v>434.89704108358399</v>
      </c>
      <c r="K1675" s="27">
        <f ca="1">IFERROR(__xludf.DUMMYFUNCTION("""COMPUTED_VALUE"""),468.088060443481)</f>
        <v>468.08806044348103</v>
      </c>
      <c r="L1675" s="27">
        <f ca="1">IFERROR(__xludf.DUMMYFUNCTION("""COMPUTED_VALUE"""),483.811743867968)</f>
        <v>483.811743867968</v>
      </c>
      <c r="M1675" s="27">
        <f ca="1">IFERROR(__xludf.DUMMYFUNCTION("""COMPUTED_VALUE"""),483.529058421967)</f>
        <v>483.52905842196702</v>
      </c>
      <c r="N1675" s="27">
        <f ca="1">IFERROR(__xludf.DUMMYFUNCTION("""COMPUTED_VALUE"""),395.123566322788)</f>
        <v>395.12356632278801</v>
      </c>
      <c r="O1675" s="27">
        <f ca="1">IFERROR(__xludf.DUMMYFUNCTION("""COMPUTED_VALUE"""),468.939042676546)</f>
        <v>468.93904267654602</v>
      </c>
      <c r="P1675" s="27">
        <f ca="1">IFERROR(__xludf.DUMMYFUNCTION("""COMPUTED_VALUE"""),434.455432692553)</f>
        <v>434.45543269255302</v>
      </c>
      <c r="Q1675" s="28">
        <f ca="1">IFERROR(__xludf.DUMMYFUNCTION("""COMPUTED_VALUE"""),475.134094951627)</f>
        <v>475.13409495162699</v>
      </c>
      <c r="R1675" s="20"/>
    </row>
    <row r="1676" spans="1:18" ht="15.6" collapsed="1" x14ac:dyDescent="0.3">
      <c r="A1676" s="47"/>
      <c r="B1676" s="48" t="str">
        <f ca="1">IFERROR(__xludf.DUMMYFUNCTION("""COMPUTED_VALUE"""),"Autotransporte")</f>
        <v>Autotransporte</v>
      </c>
      <c r="C1676" s="49"/>
      <c r="D1676" s="49"/>
      <c r="E1676" s="49"/>
      <c r="F1676" s="49"/>
      <c r="G1676" s="49"/>
      <c r="H1676" s="49"/>
      <c r="I1676" s="49"/>
      <c r="J1676" s="49"/>
      <c r="K1676" s="49"/>
      <c r="L1676" s="49"/>
      <c r="M1676" s="49"/>
      <c r="N1676" s="49"/>
      <c r="O1676" s="49"/>
      <c r="P1676" s="49"/>
      <c r="Q1676" s="50"/>
      <c r="R1676" s="51"/>
    </row>
    <row r="1677" spans="1:18" ht="13.2" hidden="1" outlineLevel="1" x14ac:dyDescent="0.25">
      <c r="A1677" s="52"/>
      <c r="B1677" s="53"/>
      <c r="C1677" s="54">
        <f ca="1">IFERROR(__xludf.DUMMYFUNCTION("""COMPUTED_VALUE"""),2010)</f>
        <v>2010</v>
      </c>
      <c r="D1677" s="55">
        <f ca="1">IFERROR(__xludf.DUMMYFUNCTION("""COMPUTED_VALUE"""),2011)</f>
        <v>2011</v>
      </c>
      <c r="E1677" s="55">
        <f ca="1">IFERROR(__xludf.DUMMYFUNCTION("""COMPUTED_VALUE"""),2012)</f>
        <v>2012</v>
      </c>
      <c r="F1677" s="55">
        <f ca="1">IFERROR(__xludf.DUMMYFUNCTION("""COMPUTED_VALUE"""),2013)</f>
        <v>2013</v>
      </c>
      <c r="G1677" s="55">
        <f ca="1">IFERROR(__xludf.DUMMYFUNCTION("""COMPUTED_VALUE"""),2014)</f>
        <v>2014</v>
      </c>
      <c r="H1677" s="55">
        <f ca="1">IFERROR(__xludf.DUMMYFUNCTION("""COMPUTED_VALUE"""),2015)</f>
        <v>2015</v>
      </c>
      <c r="I1677" s="55">
        <f ca="1">IFERROR(__xludf.DUMMYFUNCTION("""COMPUTED_VALUE"""),2016)</f>
        <v>2016</v>
      </c>
      <c r="J1677" s="55">
        <f ca="1">IFERROR(__xludf.DUMMYFUNCTION("""COMPUTED_VALUE"""),2017)</f>
        <v>2017</v>
      </c>
      <c r="K1677" s="55">
        <f ca="1">IFERROR(__xludf.DUMMYFUNCTION("""COMPUTED_VALUE"""),2018)</f>
        <v>2018</v>
      </c>
      <c r="L1677" s="55">
        <f ca="1">IFERROR(__xludf.DUMMYFUNCTION("""COMPUTED_VALUE"""),2019)</f>
        <v>2019</v>
      </c>
      <c r="M1677" s="55">
        <f ca="1">IFERROR(__xludf.DUMMYFUNCTION("""COMPUTED_VALUE"""),2020)</f>
        <v>2020</v>
      </c>
      <c r="N1677" s="55">
        <f ca="1">IFERROR(__xludf.DUMMYFUNCTION("""COMPUTED_VALUE"""),2021)</f>
        <v>2021</v>
      </c>
      <c r="O1677" s="55">
        <f ca="1">IFERROR(__xludf.DUMMYFUNCTION("""COMPUTED_VALUE"""),2022)</f>
        <v>2022</v>
      </c>
      <c r="P1677" s="55">
        <f ca="1">IFERROR(__xludf.DUMMYFUNCTION("""COMPUTED_VALUE"""),2023)</f>
        <v>2023</v>
      </c>
      <c r="Q1677" s="56">
        <f ca="1">IFERROR(__xludf.DUMMYFUNCTION("""COMPUTED_VALUE"""),2024)</f>
        <v>2024</v>
      </c>
      <c r="R1677" s="57"/>
    </row>
    <row r="1678" spans="1:18" ht="13.2" hidden="1" outlineLevel="1" x14ac:dyDescent="0.25">
      <c r="A1678" s="58"/>
      <c r="B1678" s="59" t="str">
        <f ca="1">IFERROR(__xludf.DUMMYFUNCTION("""COMPUTED_VALUE"""),"Carbón mineral")</f>
        <v>Carbón mineral</v>
      </c>
      <c r="C1678" s="60">
        <f ca="1">IFERROR(__xludf.DUMMYFUNCTION("""COMPUTED_VALUE"""),0)</f>
        <v>0</v>
      </c>
      <c r="D1678" s="61">
        <f ca="1">IFERROR(__xludf.DUMMYFUNCTION("""COMPUTED_VALUE"""),0)</f>
        <v>0</v>
      </c>
      <c r="E1678" s="61">
        <f ca="1">IFERROR(__xludf.DUMMYFUNCTION("""COMPUTED_VALUE"""),0)</f>
        <v>0</v>
      </c>
      <c r="F1678" s="61">
        <f ca="1">IFERROR(__xludf.DUMMYFUNCTION("""COMPUTED_VALUE"""),0)</f>
        <v>0</v>
      </c>
      <c r="G1678" s="61">
        <f ca="1">IFERROR(__xludf.DUMMYFUNCTION("""COMPUTED_VALUE"""),0)</f>
        <v>0</v>
      </c>
      <c r="H1678" s="61">
        <f ca="1">IFERROR(__xludf.DUMMYFUNCTION("""COMPUTED_VALUE"""),0)</f>
        <v>0</v>
      </c>
      <c r="I1678" s="61">
        <f ca="1">IFERROR(__xludf.DUMMYFUNCTION("""COMPUTED_VALUE"""),0)</f>
        <v>0</v>
      </c>
      <c r="J1678" s="61">
        <f ca="1">IFERROR(__xludf.DUMMYFUNCTION("""COMPUTED_VALUE"""),0)</f>
        <v>0</v>
      </c>
      <c r="K1678" s="61">
        <f ca="1">IFERROR(__xludf.DUMMYFUNCTION("""COMPUTED_VALUE"""),0)</f>
        <v>0</v>
      </c>
      <c r="L1678" s="61">
        <f ca="1">IFERROR(__xludf.DUMMYFUNCTION("""COMPUTED_VALUE"""),0)</f>
        <v>0</v>
      </c>
      <c r="M1678" s="61">
        <f ca="1">IFERROR(__xludf.DUMMYFUNCTION("""COMPUTED_VALUE"""),0)</f>
        <v>0</v>
      </c>
      <c r="N1678" s="61">
        <f ca="1">IFERROR(__xludf.DUMMYFUNCTION("""COMPUTED_VALUE"""),0)</f>
        <v>0</v>
      </c>
      <c r="O1678" s="61">
        <f ca="1">IFERROR(__xludf.DUMMYFUNCTION("""COMPUTED_VALUE"""),0)</f>
        <v>0</v>
      </c>
      <c r="P1678" s="61">
        <f ca="1">IFERROR(__xludf.DUMMYFUNCTION("""COMPUTED_VALUE"""),0)</f>
        <v>0</v>
      </c>
      <c r="Q1678" s="62">
        <f ca="1">IFERROR(__xludf.DUMMYFUNCTION("""COMPUTED_VALUE"""),0)</f>
        <v>0</v>
      </c>
      <c r="R1678" s="9"/>
    </row>
    <row r="1679" spans="1:18" ht="13.2" hidden="1" outlineLevel="1" x14ac:dyDescent="0.25">
      <c r="A1679" s="58"/>
      <c r="B1679" s="63" t="str">
        <f ca="1">IFERROR(__xludf.DUMMYFUNCTION("""COMPUTED_VALUE"""),"Petróleo crudo")</f>
        <v>Petróleo crudo</v>
      </c>
      <c r="C1679" s="64">
        <f ca="1">IFERROR(__xludf.DUMMYFUNCTION("""COMPUTED_VALUE"""),0)</f>
        <v>0</v>
      </c>
      <c r="D1679" s="45">
        <f ca="1">IFERROR(__xludf.DUMMYFUNCTION("""COMPUTED_VALUE"""),0)</f>
        <v>0</v>
      </c>
      <c r="E1679" s="45">
        <f ca="1">IFERROR(__xludf.DUMMYFUNCTION("""COMPUTED_VALUE"""),0)</f>
        <v>0</v>
      </c>
      <c r="F1679" s="45">
        <f ca="1">IFERROR(__xludf.DUMMYFUNCTION("""COMPUTED_VALUE"""),0)</f>
        <v>0</v>
      </c>
      <c r="G1679" s="45">
        <f ca="1">IFERROR(__xludf.DUMMYFUNCTION("""COMPUTED_VALUE"""),0)</f>
        <v>0</v>
      </c>
      <c r="H1679" s="45">
        <f ca="1">IFERROR(__xludf.DUMMYFUNCTION("""COMPUTED_VALUE"""),0)</f>
        <v>0</v>
      </c>
      <c r="I1679" s="45">
        <f ca="1">IFERROR(__xludf.DUMMYFUNCTION("""COMPUTED_VALUE"""),0)</f>
        <v>0</v>
      </c>
      <c r="J1679" s="45">
        <f ca="1">IFERROR(__xludf.DUMMYFUNCTION("""COMPUTED_VALUE"""),0)</f>
        <v>0</v>
      </c>
      <c r="K1679" s="45">
        <f ca="1">IFERROR(__xludf.DUMMYFUNCTION("""COMPUTED_VALUE"""),0)</f>
        <v>0</v>
      </c>
      <c r="L1679" s="45">
        <f ca="1">IFERROR(__xludf.DUMMYFUNCTION("""COMPUTED_VALUE"""),0)</f>
        <v>0</v>
      </c>
      <c r="M1679" s="45">
        <f ca="1">IFERROR(__xludf.DUMMYFUNCTION("""COMPUTED_VALUE"""),0)</f>
        <v>0</v>
      </c>
      <c r="N1679" s="45">
        <f ca="1">IFERROR(__xludf.DUMMYFUNCTION("""COMPUTED_VALUE"""),0)</f>
        <v>0</v>
      </c>
      <c r="O1679" s="45">
        <f ca="1">IFERROR(__xludf.DUMMYFUNCTION("""COMPUTED_VALUE"""),0)</f>
        <v>0</v>
      </c>
      <c r="P1679" s="45">
        <f ca="1">IFERROR(__xludf.DUMMYFUNCTION("""COMPUTED_VALUE"""),0)</f>
        <v>0</v>
      </c>
      <c r="Q1679" s="65">
        <f ca="1">IFERROR(__xludf.DUMMYFUNCTION("""COMPUTED_VALUE"""),0)</f>
        <v>0</v>
      </c>
      <c r="R1679" s="9"/>
    </row>
    <row r="1680" spans="1:18" ht="13.2" hidden="1" outlineLevel="1" x14ac:dyDescent="0.25">
      <c r="A1680" s="58"/>
      <c r="B1680" s="63" t="str">
        <f ca="1">IFERROR(__xludf.DUMMYFUNCTION("""COMPUTED_VALUE"""),"Condensados")</f>
        <v>Condensados</v>
      </c>
      <c r="C1680" s="64">
        <f ca="1">IFERROR(__xludf.DUMMYFUNCTION("""COMPUTED_VALUE"""),0)</f>
        <v>0</v>
      </c>
      <c r="D1680" s="45">
        <f ca="1">IFERROR(__xludf.DUMMYFUNCTION("""COMPUTED_VALUE"""),0)</f>
        <v>0</v>
      </c>
      <c r="E1680" s="45">
        <f ca="1">IFERROR(__xludf.DUMMYFUNCTION("""COMPUTED_VALUE"""),0)</f>
        <v>0</v>
      </c>
      <c r="F1680" s="45">
        <f ca="1">IFERROR(__xludf.DUMMYFUNCTION("""COMPUTED_VALUE"""),0)</f>
        <v>0</v>
      </c>
      <c r="G1680" s="45">
        <f ca="1">IFERROR(__xludf.DUMMYFUNCTION("""COMPUTED_VALUE"""),0)</f>
        <v>0</v>
      </c>
      <c r="H1680" s="45">
        <f ca="1">IFERROR(__xludf.DUMMYFUNCTION("""COMPUTED_VALUE"""),0)</f>
        <v>0</v>
      </c>
      <c r="I1680" s="45">
        <f ca="1">IFERROR(__xludf.DUMMYFUNCTION("""COMPUTED_VALUE"""),0)</f>
        <v>0</v>
      </c>
      <c r="J1680" s="45">
        <f ca="1">IFERROR(__xludf.DUMMYFUNCTION("""COMPUTED_VALUE"""),0)</f>
        <v>0</v>
      </c>
      <c r="K1680" s="45">
        <f ca="1">IFERROR(__xludf.DUMMYFUNCTION("""COMPUTED_VALUE"""),0)</f>
        <v>0</v>
      </c>
      <c r="L1680" s="45">
        <f ca="1">IFERROR(__xludf.DUMMYFUNCTION("""COMPUTED_VALUE"""),0)</f>
        <v>0</v>
      </c>
      <c r="M1680" s="45">
        <f ca="1">IFERROR(__xludf.DUMMYFUNCTION("""COMPUTED_VALUE"""),0)</f>
        <v>0</v>
      </c>
      <c r="N1680" s="45">
        <f ca="1">IFERROR(__xludf.DUMMYFUNCTION("""COMPUTED_VALUE"""),0)</f>
        <v>0</v>
      </c>
      <c r="O1680" s="45">
        <f ca="1">IFERROR(__xludf.DUMMYFUNCTION("""COMPUTED_VALUE"""),0)</f>
        <v>0</v>
      </c>
      <c r="P1680" s="45">
        <f ca="1">IFERROR(__xludf.DUMMYFUNCTION("""COMPUTED_VALUE"""),0)</f>
        <v>0</v>
      </c>
      <c r="Q1680" s="65">
        <f ca="1">IFERROR(__xludf.DUMMYFUNCTION("""COMPUTED_VALUE"""),0)</f>
        <v>0</v>
      </c>
      <c r="R1680" s="9"/>
    </row>
    <row r="1681" spans="1:18" ht="13.2" hidden="1" outlineLevel="1" x14ac:dyDescent="0.25">
      <c r="A1681" s="58"/>
      <c r="B1681" s="63" t="str">
        <f ca="1">IFERROR(__xludf.DUMMYFUNCTION("""COMPUTED_VALUE"""),"Gas natural")</f>
        <v>Gas natural</v>
      </c>
      <c r="C1681" s="64">
        <f ca="1">IFERROR(__xludf.DUMMYFUNCTION("""COMPUTED_VALUE"""),0)</f>
        <v>0</v>
      </c>
      <c r="D1681" s="45">
        <f ca="1">IFERROR(__xludf.DUMMYFUNCTION("""COMPUTED_VALUE"""),0)</f>
        <v>0</v>
      </c>
      <c r="E1681" s="45">
        <f ca="1">IFERROR(__xludf.DUMMYFUNCTION("""COMPUTED_VALUE"""),0)</f>
        <v>0</v>
      </c>
      <c r="F1681" s="45">
        <f ca="1">IFERROR(__xludf.DUMMYFUNCTION("""COMPUTED_VALUE"""),0)</f>
        <v>0</v>
      </c>
      <c r="G1681" s="45">
        <f ca="1">IFERROR(__xludf.DUMMYFUNCTION("""COMPUTED_VALUE"""),0)</f>
        <v>0</v>
      </c>
      <c r="H1681" s="45">
        <f ca="1">IFERROR(__xludf.DUMMYFUNCTION("""COMPUTED_VALUE"""),0)</f>
        <v>0</v>
      </c>
      <c r="I1681" s="45">
        <f ca="1">IFERROR(__xludf.DUMMYFUNCTION("""COMPUTED_VALUE"""),0)</f>
        <v>0</v>
      </c>
      <c r="J1681" s="45">
        <f ca="1">IFERROR(__xludf.DUMMYFUNCTION("""COMPUTED_VALUE"""),0)</f>
        <v>0</v>
      </c>
      <c r="K1681" s="45">
        <f ca="1">IFERROR(__xludf.DUMMYFUNCTION("""COMPUTED_VALUE"""),0)</f>
        <v>0</v>
      </c>
      <c r="L1681" s="45">
        <f ca="1">IFERROR(__xludf.DUMMYFUNCTION("""COMPUTED_VALUE"""),0)</f>
        <v>0</v>
      </c>
      <c r="M1681" s="45">
        <f ca="1">IFERROR(__xludf.DUMMYFUNCTION("""COMPUTED_VALUE"""),0)</f>
        <v>0</v>
      </c>
      <c r="N1681" s="45">
        <f ca="1">IFERROR(__xludf.DUMMYFUNCTION("""COMPUTED_VALUE"""),0)</f>
        <v>0</v>
      </c>
      <c r="O1681" s="45">
        <f ca="1">IFERROR(__xludf.DUMMYFUNCTION("""COMPUTED_VALUE"""),0)</f>
        <v>0</v>
      </c>
      <c r="P1681" s="45">
        <f ca="1">IFERROR(__xludf.DUMMYFUNCTION("""COMPUTED_VALUE"""),0)</f>
        <v>0</v>
      </c>
      <c r="Q1681" s="65">
        <f ca="1">IFERROR(__xludf.DUMMYFUNCTION("""COMPUTED_VALUE"""),0)</f>
        <v>0</v>
      </c>
      <c r="R1681" s="9"/>
    </row>
    <row r="1682" spans="1:18" ht="13.2" hidden="1" outlineLevel="1" x14ac:dyDescent="0.25">
      <c r="A1682" s="58"/>
      <c r="B1682" s="63" t="str">
        <f ca="1">IFERROR(__xludf.DUMMYFUNCTION("""COMPUTED_VALUE"""),"Energía Nuclear")</f>
        <v>Energía Nuclear</v>
      </c>
      <c r="C1682" s="64">
        <f ca="1">IFERROR(__xludf.DUMMYFUNCTION("""COMPUTED_VALUE"""),0)</f>
        <v>0</v>
      </c>
      <c r="D1682" s="45">
        <f ca="1">IFERROR(__xludf.DUMMYFUNCTION("""COMPUTED_VALUE"""),0)</f>
        <v>0</v>
      </c>
      <c r="E1682" s="45">
        <f ca="1">IFERROR(__xludf.DUMMYFUNCTION("""COMPUTED_VALUE"""),0)</f>
        <v>0</v>
      </c>
      <c r="F1682" s="45">
        <f ca="1">IFERROR(__xludf.DUMMYFUNCTION("""COMPUTED_VALUE"""),0)</f>
        <v>0</v>
      </c>
      <c r="G1682" s="45">
        <f ca="1">IFERROR(__xludf.DUMMYFUNCTION("""COMPUTED_VALUE"""),0)</f>
        <v>0</v>
      </c>
      <c r="H1682" s="45">
        <f ca="1">IFERROR(__xludf.DUMMYFUNCTION("""COMPUTED_VALUE"""),0)</f>
        <v>0</v>
      </c>
      <c r="I1682" s="45">
        <f ca="1">IFERROR(__xludf.DUMMYFUNCTION("""COMPUTED_VALUE"""),0)</f>
        <v>0</v>
      </c>
      <c r="J1682" s="45">
        <f ca="1">IFERROR(__xludf.DUMMYFUNCTION("""COMPUTED_VALUE"""),0)</f>
        <v>0</v>
      </c>
      <c r="K1682" s="45">
        <f ca="1">IFERROR(__xludf.DUMMYFUNCTION("""COMPUTED_VALUE"""),0)</f>
        <v>0</v>
      </c>
      <c r="L1682" s="45">
        <f ca="1">IFERROR(__xludf.DUMMYFUNCTION("""COMPUTED_VALUE"""),0)</f>
        <v>0</v>
      </c>
      <c r="M1682" s="45">
        <f ca="1">IFERROR(__xludf.DUMMYFUNCTION("""COMPUTED_VALUE"""),0)</f>
        <v>0</v>
      </c>
      <c r="N1682" s="45">
        <f ca="1">IFERROR(__xludf.DUMMYFUNCTION("""COMPUTED_VALUE"""),0)</f>
        <v>0</v>
      </c>
      <c r="O1682" s="45">
        <f ca="1">IFERROR(__xludf.DUMMYFUNCTION("""COMPUTED_VALUE"""),0)</f>
        <v>0</v>
      </c>
      <c r="P1682" s="45">
        <f ca="1">IFERROR(__xludf.DUMMYFUNCTION("""COMPUTED_VALUE"""),0)</f>
        <v>0</v>
      </c>
      <c r="Q1682" s="65">
        <f ca="1">IFERROR(__xludf.DUMMYFUNCTION("""COMPUTED_VALUE"""),0)</f>
        <v>0</v>
      </c>
      <c r="R1682" s="9"/>
    </row>
    <row r="1683" spans="1:18" ht="13.2" hidden="1" outlineLevel="1" x14ac:dyDescent="0.25">
      <c r="A1683" s="58"/>
      <c r="B1683" s="63" t="str">
        <f ca="1">IFERROR(__xludf.DUMMYFUNCTION("""COMPUTED_VALUE"""),"Energia Hidraúlica")</f>
        <v>Energia Hidraúlica</v>
      </c>
      <c r="C1683" s="64">
        <f ca="1">IFERROR(__xludf.DUMMYFUNCTION("""COMPUTED_VALUE"""),0)</f>
        <v>0</v>
      </c>
      <c r="D1683" s="45">
        <f ca="1">IFERROR(__xludf.DUMMYFUNCTION("""COMPUTED_VALUE"""),0)</f>
        <v>0</v>
      </c>
      <c r="E1683" s="45">
        <f ca="1">IFERROR(__xludf.DUMMYFUNCTION("""COMPUTED_VALUE"""),0)</f>
        <v>0</v>
      </c>
      <c r="F1683" s="45">
        <f ca="1">IFERROR(__xludf.DUMMYFUNCTION("""COMPUTED_VALUE"""),0)</f>
        <v>0</v>
      </c>
      <c r="G1683" s="45">
        <f ca="1">IFERROR(__xludf.DUMMYFUNCTION("""COMPUTED_VALUE"""),0)</f>
        <v>0</v>
      </c>
      <c r="H1683" s="45">
        <f ca="1">IFERROR(__xludf.DUMMYFUNCTION("""COMPUTED_VALUE"""),0)</f>
        <v>0</v>
      </c>
      <c r="I1683" s="45">
        <f ca="1">IFERROR(__xludf.DUMMYFUNCTION("""COMPUTED_VALUE"""),0)</f>
        <v>0</v>
      </c>
      <c r="J1683" s="45">
        <f ca="1">IFERROR(__xludf.DUMMYFUNCTION("""COMPUTED_VALUE"""),0)</f>
        <v>0</v>
      </c>
      <c r="K1683" s="45">
        <f ca="1">IFERROR(__xludf.DUMMYFUNCTION("""COMPUTED_VALUE"""),0)</f>
        <v>0</v>
      </c>
      <c r="L1683" s="45">
        <f ca="1">IFERROR(__xludf.DUMMYFUNCTION("""COMPUTED_VALUE"""),0)</f>
        <v>0</v>
      </c>
      <c r="M1683" s="45">
        <f ca="1">IFERROR(__xludf.DUMMYFUNCTION("""COMPUTED_VALUE"""),0)</f>
        <v>0</v>
      </c>
      <c r="N1683" s="45">
        <f ca="1">IFERROR(__xludf.DUMMYFUNCTION("""COMPUTED_VALUE"""),0)</f>
        <v>0</v>
      </c>
      <c r="O1683" s="45">
        <f ca="1">IFERROR(__xludf.DUMMYFUNCTION("""COMPUTED_VALUE"""),0)</f>
        <v>0</v>
      </c>
      <c r="P1683" s="45">
        <f ca="1">IFERROR(__xludf.DUMMYFUNCTION("""COMPUTED_VALUE"""),0)</f>
        <v>0</v>
      </c>
      <c r="Q1683" s="65">
        <f ca="1">IFERROR(__xludf.DUMMYFUNCTION("""COMPUTED_VALUE"""),0)</f>
        <v>0</v>
      </c>
      <c r="R1683" s="9"/>
    </row>
    <row r="1684" spans="1:18" ht="13.2" hidden="1" outlineLevel="1" x14ac:dyDescent="0.25">
      <c r="A1684" s="58"/>
      <c r="B1684" s="63" t="str">
        <f ca="1">IFERROR(__xludf.DUMMYFUNCTION("""COMPUTED_VALUE"""),"Geoenergía")</f>
        <v>Geoenergía</v>
      </c>
      <c r="C1684" s="64">
        <f ca="1">IFERROR(__xludf.DUMMYFUNCTION("""COMPUTED_VALUE"""),0)</f>
        <v>0</v>
      </c>
      <c r="D1684" s="45">
        <f ca="1">IFERROR(__xludf.DUMMYFUNCTION("""COMPUTED_VALUE"""),0)</f>
        <v>0</v>
      </c>
      <c r="E1684" s="45">
        <f ca="1">IFERROR(__xludf.DUMMYFUNCTION("""COMPUTED_VALUE"""),0)</f>
        <v>0</v>
      </c>
      <c r="F1684" s="45">
        <f ca="1">IFERROR(__xludf.DUMMYFUNCTION("""COMPUTED_VALUE"""),0)</f>
        <v>0</v>
      </c>
      <c r="G1684" s="45">
        <f ca="1">IFERROR(__xludf.DUMMYFUNCTION("""COMPUTED_VALUE"""),0)</f>
        <v>0</v>
      </c>
      <c r="H1684" s="45">
        <f ca="1">IFERROR(__xludf.DUMMYFUNCTION("""COMPUTED_VALUE"""),0)</f>
        <v>0</v>
      </c>
      <c r="I1684" s="45">
        <f ca="1">IFERROR(__xludf.DUMMYFUNCTION("""COMPUTED_VALUE"""),0)</f>
        <v>0</v>
      </c>
      <c r="J1684" s="45">
        <f ca="1">IFERROR(__xludf.DUMMYFUNCTION("""COMPUTED_VALUE"""),0)</f>
        <v>0</v>
      </c>
      <c r="K1684" s="45">
        <f ca="1">IFERROR(__xludf.DUMMYFUNCTION("""COMPUTED_VALUE"""),0)</f>
        <v>0</v>
      </c>
      <c r="L1684" s="45">
        <f ca="1">IFERROR(__xludf.DUMMYFUNCTION("""COMPUTED_VALUE"""),0)</f>
        <v>0</v>
      </c>
      <c r="M1684" s="45">
        <f ca="1">IFERROR(__xludf.DUMMYFUNCTION("""COMPUTED_VALUE"""),0)</f>
        <v>0</v>
      </c>
      <c r="N1684" s="45">
        <f ca="1">IFERROR(__xludf.DUMMYFUNCTION("""COMPUTED_VALUE"""),0)</f>
        <v>0</v>
      </c>
      <c r="O1684" s="45">
        <f ca="1">IFERROR(__xludf.DUMMYFUNCTION("""COMPUTED_VALUE"""),0)</f>
        <v>0</v>
      </c>
      <c r="P1684" s="45">
        <f ca="1">IFERROR(__xludf.DUMMYFUNCTION("""COMPUTED_VALUE"""),0)</f>
        <v>0</v>
      </c>
      <c r="Q1684" s="65">
        <f ca="1">IFERROR(__xludf.DUMMYFUNCTION("""COMPUTED_VALUE"""),0)</f>
        <v>0</v>
      </c>
      <c r="R1684" s="9"/>
    </row>
    <row r="1685" spans="1:18" ht="13.2" hidden="1" outlineLevel="1" x14ac:dyDescent="0.25">
      <c r="A1685" s="58"/>
      <c r="B1685" s="63" t="str">
        <f ca="1">IFERROR(__xludf.DUMMYFUNCTION("""COMPUTED_VALUE"""),"Energía solar")</f>
        <v>Energía solar</v>
      </c>
      <c r="C1685" s="64">
        <f ca="1">IFERROR(__xludf.DUMMYFUNCTION("""COMPUTED_VALUE"""),0)</f>
        <v>0</v>
      </c>
      <c r="D1685" s="45">
        <f ca="1">IFERROR(__xludf.DUMMYFUNCTION("""COMPUTED_VALUE"""),0)</f>
        <v>0</v>
      </c>
      <c r="E1685" s="45">
        <f ca="1">IFERROR(__xludf.DUMMYFUNCTION("""COMPUTED_VALUE"""),0)</f>
        <v>0</v>
      </c>
      <c r="F1685" s="45">
        <f ca="1">IFERROR(__xludf.DUMMYFUNCTION("""COMPUTED_VALUE"""),0)</f>
        <v>0</v>
      </c>
      <c r="G1685" s="45">
        <f ca="1">IFERROR(__xludf.DUMMYFUNCTION("""COMPUTED_VALUE"""),0)</f>
        <v>0</v>
      </c>
      <c r="H1685" s="45">
        <f ca="1">IFERROR(__xludf.DUMMYFUNCTION("""COMPUTED_VALUE"""),0)</f>
        <v>0</v>
      </c>
      <c r="I1685" s="45">
        <f ca="1">IFERROR(__xludf.DUMMYFUNCTION("""COMPUTED_VALUE"""),0)</f>
        <v>0</v>
      </c>
      <c r="J1685" s="45">
        <f ca="1">IFERROR(__xludf.DUMMYFUNCTION("""COMPUTED_VALUE"""),0)</f>
        <v>0</v>
      </c>
      <c r="K1685" s="45">
        <f ca="1">IFERROR(__xludf.DUMMYFUNCTION("""COMPUTED_VALUE"""),0)</f>
        <v>0</v>
      </c>
      <c r="L1685" s="45">
        <f ca="1">IFERROR(__xludf.DUMMYFUNCTION("""COMPUTED_VALUE"""),0)</f>
        <v>0</v>
      </c>
      <c r="M1685" s="45">
        <f ca="1">IFERROR(__xludf.DUMMYFUNCTION("""COMPUTED_VALUE"""),0)</f>
        <v>0</v>
      </c>
      <c r="N1685" s="45">
        <f ca="1">IFERROR(__xludf.DUMMYFUNCTION("""COMPUTED_VALUE"""),0)</f>
        <v>0</v>
      </c>
      <c r="O1685" s="45">
        <f ca="1">IFERROR(__xludf.DUMMYFUNCTION("""COMPUTED_VALUE"""),0)</f>
        <v>0</v>
      </c>
      <c r="P1685" s="45">
        <f ca="1">IFERROR(__xludf.DUMMYFUNCTION("""COMPUTED_VALUE"""),0)</f>
        <v>0</v>
      </c>
      <c r="Q1685" s="65">
        <f ca="1">IFERROR(__xludf.DUMMYFUNCTION("""COMPUTED_VALUE"""),0)</f>
        <v>0</v>
      </c>
      <c r="R1685" s="9"/>
    </row>
    <row r="1686" spans="1:18" ht="13.2" hidden="1" outlineLevel="1" x14ac:dyDescent="0.25">
      <c r="A1686" s="58"/>
      <c r="B1686" s="63" t="str">
        <f ca="1">IFERROR(__xludf.DUMMYFUNCTION("""COMPUTED_VALUE"""),"Energía eólica")</f>
        <v>Energía eólica</v>
      </c>
      <c r="C1686" s="64">
        <f ca="1">IFERROR(__xludf.DUMMYFUNCTION("""COMPUTED_VALUE"""),0)</f>
        <v>0</v>
      </c>
      <c r="D1686" s="45">
        <f ca="1">IFERROR(__xludf.DUMMYFUNCTION("""COMPUTED_VALUE"""),0)</f>
        <v>0</v>
      </c>
      <c r="E1686" s="45">
        <f ca="1">IFERROR(__xludf.DUMMYFUNCTION("""COMPUTED_VALUE"""),0)</f>
        <v>0</v>
      </c>
      <c r="F1686" s="45">
        <f ca="1">IFERROR(__xludf.DUMMYFUNCTION("""COMPUTED_VALUE"""),0)</f>
        <v>0</v>
      </c>
      <c r="G1686" s="45">
        <f ca="1">IFERROR(__xludf.DUMMYFUNCTION("""COMPUTED_VALUE"""),0)</f>
        <v>0</v>
      </c>
      <c r="H1686" s="45">
        <f ca="1">IFERROR(__xludf.DUMMYFUNCTION("""COMPUTED_VALUE"""),0)</f>
        <v>0</v>
      </c>
      <c r="I1686" s="45">
        <f ca="1">IFERROR(__xludf.DUMMYFUNCTION("""COMPUTED_VALUE"""),0)</f>
        <v>0</v>
      </c>
      <c r="J1686" s="45">
        <f ca="1">IFERROR(__xludf.DUMMYFUNCTION("""COMPUTED_VALUE"""),0)</f>
        <v>0</v>
      </c>
      <c r="K1686" s="45">
        <f ca="1">IFERROR(__xludf.DUMMYFUNCTION("""COMPUTED_VALUE"""),0)</f>
        <v>0</v>
      </c>
      <c r="L1686" s="45">
        <f ca="1">IFERROR(__xludf.DUMMYFUNCTION("""COMPUTED_VALUE"""),0)</f>
        <v>0</v>
      </c>
      <c r="M1686" s="45">
        <f ca="1">IFERROR(__xludf.DUMMYFUNCTION("""COMPUTED_VALUE"""),0)</f>
        <v>0</v>
      </c>
      <c r="N1686" s="45">
        <f ca="1">IFERROR(__xludf.DUMMYFUNCTION("""COMPUTED_VALUE"""),0)</f>
        <v>0</v>
      </c>
      <c r="O1686" s="45">
        <f ca="1">IFERROR(__xludf.DUMMYFUNCTION("""COMPUTED_VALUE"""),0)</f>
        <v>0</v>
      </c>
      <c r="P1686" s="45">
        <f ca="1">IFERROR(__xludf.DUMMYFUNCTION("""COMPUTED_VALUE"""),0)</f>
        <v>0</v>
      </c>
      <c r="Q1686" s="65">
        <f ca="1">IFERROR(__xludf.DUMMYFUNCTION("""COMPUTED_VALUE"""),0)</f>
        <v>0</v>
      </c>
      <c r="R1686" s="9"/>
    </row>
    <row r="1687" spans="1:18" ht="13.2" hidden="1" outlineLevel="1" x14ac:dyDescent="0.25">
      <c r="A1687" s="58"/>
      <c r="B1687" s="63" t="str">
        <f ca="1">IFERROR(__xludf.DUMMYFUNCTION("""COMPUTED_VALUE"""),"Bagazo de caña")</f>
        <v>Bagazo de caña</v>
      </c>
      <c r="C1687" s="64">
        <f ca="1">IFERROR(__xludf.DUMMYFUNCTION("""COMPUTED_VALUE"""),0)</f>
        <v>0</v>
      </c>
      <c r="D1687" s="45">
        <f ca="1">IFERROR(__xludf.DUMMYFUNCTION("""COMPUTED_VALUE"""),0)</f>
        <v>0</v>
      </c>
      <c r="E1687" s="45">
        <f ca="1">IFERROR(__xludf.DUMMYFUNCTION("""COMPUTED_VALUE"""),0)</f>
        <v>0</v>
      </c>
      <c r="F1687" s="45">
        <f ca="1">IFERROR(__xludf.DUMMYFUNCTION("""COMPUTED_VALUE"""),0)</f>
        <v>0</v>
      </c>
      <c r="G1687" s="45">
        <f ca="1">IFERROR(__xludf.DUMMYFUNCTION("""COMPUTED_VALUE"""),0)</f>
        <v>0</v>
      </c>
      <c r="H1687" s="45">
        <f ca="1">IFERROR(__xludf.DUMMYFUNCTION("""COMPUTED_VALUE"""),0)</f>
        <v>0</v>
      </c>
      <c r="I1687" s="45">
        <f ca="1">IFERROR(__xludf.DUMMYFUNCTION("""COMPUTED_VALUE"""),0)</f>
        <v>0</v>
      </c>
      <c r="J1687" s="45">
        <f ca="1">IFERROR(__xludf.DUMMYFUNCTION("""COMPUTED_VALUE"""),0)</f>
        <v>0</v>
      </c>
      <c r="K1687" s="45">
        <f ca="1">IFERROR(__xludf.DUMMYFUNCTION("""COMPUTED_VALUE"""),0)</f>
        <v>0</v>
      </c>
      <c r="L1687" s="45">
        <f ca="1">IFERROR(__xludf.DUMMYFUNCTION("""COMPUTED_VALUE"""),0)</f>
        <v>0</v>
      </c>
      <c r="M1687" s="45">
        <f ca="1">IFERROR(__xludf.DUMMYFUNCTION("""COMPUTED_VALUE"""),0)</f>
        <v>0</v>
      </c>
      <c r="N1687" s="45">
        <f ca="1">IFERROR(__xludf.DUMMYFUNCTION("""COMPUTED_VALUE"""),0)</f>
        <v>0</v>
      </c>
      <c r="O1687" s="45">
        <f ca="1">IFERROR(__xludf.DUMMYFUNCTION("""COMPUTED_VALUE"""),0)</f>
        <v>0</v>
      </c>
      <c r="P1687" s="45">
        <f ca="1">IFERROR(__xludf.DUMMYFUNCTION("""COMPUTED_VALUE"""),0)</f>
        <v>0</v>
      </c>
      <c r="Q1687" s="65">
        <f ca="1">IFERROR(__xludf.DUMMYFUNCTION("""COMPUTED_VALUE"""),0)</f>
        <v>0</v>
      </c>
      <c r="R1687" s="9"/>
    </row>
    <row r="1688" spans="1:18" ht="13.2" hidden="1" outlineLevel="1" x14ac:dyDescent="0.25">
      <c r="A1688" s="58"/>
      <c r="B1688" s="63" t="str">
        <f ca="1">IFERROR(__xludf.DUMMYFUNCTION("""COMPUTED_VALUE"""),"Leña")</f>
        <v>Leña</v>
      </c>
      <c r="C1688" s="64">
        <f ca="1">IFERROR(__xludf.DUMMYFUNCTION("""COMPUTED_VALUE"""),0)</f>
        <v>0</v>
      </c>
      <c r="D1688" s="45">
        <f ca="1">IFERROR(__xludf.DUMMYFUNCTION("""COMPUTED_VALUE"""),0)</f>
        <v>0</v>
      </c>
      <c r="E1688" s="45">
        <f ca="1">IFERROR(__xludf.DUMMYFUNCTION("""COMPUTED_VALUE"""),0)</f>
        <v>0</v>
      </c>
      <c r="F1688" s="45">
        <f ca="1">IFERROR(__xludf.DUMMYFUNCTION("""COMPUTED_VALUE"""),0)</f>
        <v>0</v>
      </c>
      <c r="G1688" s="45">
        <f ca="1">IFERROR(__xludf.DUMMYFUNCTION("""COMPUTED_VALUE"""),0)</f>
        <v>0</v>
      </c>
      <c r="H1688" s="45">
        <f ca="1">IFERROR(__xludf.DUMMYFUNCTION("""COMPUTED_VALUE"""),0)</f>
        <v>0</v>
      </c>
      <c r="I1688" s="45">
        <f ca="1">IFERROR(__xludf.DUMMYFUNCTION("""COMPUTED_VALUE"""),0)</f>
        <v>0</v>
      </c>
      <c r="J1688" s="45">
        <f ca="1">IFERROR(__xludf.DUMMYFUNCTION("""COMPUTED_VALUE"""),0)</f>
        <v>0</v>
      </c>
      <c r="K1688" s="45">
        <f ca="1">IFERROR(__xludf.DUMMYFUNCTION("""COMPUTED_VALUE"""),0)</f>
        <v>0</v>
      </c>
      <c r="L1688" s="45">
        <f ca="1">IFERROR(__xludf.DUMMYFUNCTION("""COMPUTED_VALUE"""),0)</f>
        <v>0</v>
      </c>
      <c r="M1688" s="45">
        <f ca="1">IFERROR(__xludf.DUMMYFUNCTION("""COMPUTED_VALUE"""),0)</f>
        <v>0</v>
      </c>
      <c r="N1688" s="45">
        <f ca="1">IFERROR(__xludf.DUMMYFUNCTION("""COMPUTED_VALUE"""),0)</f>
        <v>0</v>
      </c>
      <c r="O1688" s="45">
        <f ca="1">IFERROR(__xludf.DUMMYFUNCTION("""COMPUTED_VALUE"""),0)</f>
        <v>0</v>
      </c>
      <c r="P1688" s="45">
        <f ca="1">IFERROR(__xludf.DUMMYFUNCTION("""COMPUTED_VALUE"""),0)</f>
        <v>0</v>
      </c>
      <c r="Q1688" s="65">
        <f ca="1">IFERROR(__xludf.DUMMYFUNCTION("""COMPUTED_VALUE"""),0)</f>
        <v>0</v>
      </c>
      <c r="R1688" s="9"/>
    </row>
    <row r="1689" spans="1:18" ht="13.2" hidden="1" outlineLevel="1" x14ac:dyDescent="0.25">
      <c r="A1689" s="58"/>
      <c r="B1689" s="63" t="str">
        <f ca="1">IFERROR(__xludf.DUMMYFUNCTION("""COMPUTED_VALUE"""),"Biogás")</f>
        <v>Biogás</v>
      </c>
      <c r="C1689" s="64">
        <f ca="1">IFERROR(__xludf.DUMMYFUNCTION("""COMPUTED_VALUE"""),0)</f>
        <v>0</v>
      </c>
      <c r="D1689" s="45">
        <f ca="1">IFERROR(__xludf.DUMMYFUNCTION("""COMPUTED_VALUE"""),0)</f>
        <v>0</v>
      </c>
      <c r="E1689" s="45">
        <f ca="1">IFERROR(__xludf.DUMMYFUNCTION("""COMPUTED_VALUE"""),0)</f>
        <v>0</v>
      </c>
      <c r="F1689" s="45">
        <f ca="1">IFERROR(__xludf.DUMMYFUNCTION("""COMPUTED_VALUE"""),0)</f>
        <v>0</v>
      </c>
      <c r="G1689" s="45">
        <f ca="1">IFERROR(__xludf.DUMMYFUNCTION("""COMPUTED_VALUE"""),0)</f>
        <v>0</v>
      </c>
      <c r="H1689" s="45">
        <f ca="1">IFERROR(__xludf.DUMMYFUNCTION("""COMPUTED_VALUE"""),0)</f>
        <v>0</v>
      </c>
      <c r="I1689" s="45">
        <f ca="1">IFERROR(__xludf.DUMMYFUNCTION("""COMPUTED_VALUE"""),0)</f>
        <v>0</v>
      </c>
      <c r="J1689" s="45">
        <f ca="1">IFERROR(__xludf.DUMMYFUNCTION("""COMPUTED_VALUE"""),0)</f>
        <v>0</v>
      </c>
      <c r="K1689" s="45">
        <f ca="1">IFERROR(__xludf.DUMMYFUNCTION("""COMPUTED_VALUE"""),0)</f>
        <v>0</v>
      </c>
      <c r="L1689" s="45">
        <f ca="1">IFERROR(__xludf.DUMMYFUNCTION("""COMPUTED_VALUE"""),0)</f>
        <v>0</v>
      </c>
      <c r="M1689" s="45">
        <f ca="1">IFERROR(__xludf.DUMMYFUNCTION("""COMPUTED_VALUE"""),0)</f>
        <v>0</v>
      </c>
      <c r="N1689" s="45">
        <f ca="1">IFERROR(__xludf.DUMMYFUNCTION("""COMPUTED_VALUE"""),0)</f>
        <v>0</v>
      </c>
      <c r="O1689" s="45">
        <f ca="1">IFERROR(__xludf.DUMMYFUNCTION("""COMPUTED_VALUE"""),0)</f>
        <v>0</v>
      </c>
      <c r="P1689" s="45">
        <f ca="1">IFERROR(__xludf.DUMMYFUNCTION("""COMPUTED_VALUE"""),0)</f>
        <v>0</v>
      </c>
      <c r="Q1689" s="65">
        <f ca="1">IFERROR(__xludf.DUMMYFUNCTION("""COMPUTED_VALUE"""),0)</f>
        <v>0</v>
      </c>
      <c r="R1689" s="9"/>
    </row>
    <row r="1690" spans="1:18" ht="13.2" hidden="1" outlineLevel="1" x14ac:dyDescent="0.25">
      <c r="A1690" s="58"/>
      <c r="B1690" s="63" t="str">
        <f ca="1">IFERROR(__xludf.DUMMYFUNCTION("""COMPUTED_VALUE"""),"Coque de carbón")</f>
        <v>Coque de carbón</v>
      </c>
      <c r="C1690" s="64">
        <f ca="1">IFERROR(__xludf.DUMMYFUNCTION("""COMPUTED_VALUE"""),0)</f>
        <v>0</v>
      </c>
      <c r="D1690" s="45">
        <f ca="1">IFERROR(__xludf.DUMMYFUNCTION("""COMPUTED_VALUE"""),0)</f>
        <v>0</v>
      </c>
      <c r="E1690" s="45">
        <f ca="1">IFERROR(__xludf.DUMMYFUNCTION("""COMPUTED_VALUE"""),0)</f>
        <v>0</v>
      </c>
      <c r="F1690" s="45">
        <f ca="1">IFERROR(__xludf.DUMMYFUNCTION("""COMPUTED_VALUE"""),0)</f>
        <v>0</v>
      </c>
      <c r="G1690" s="45">
        <f ca="1">IFERROR(__xludf.DUMMYFUNCTION("""COMPUTED_VALUE"""),0)</f>
        <v>0</v>
      </c>
      <c r="H1690" s="45">
        <f ca="1">IFERROR(__xludf.DUMMYFUNCTION("""COMPUTED_VALUE"""),0)</f>
        <v>0</v>
      </c>
      <c r="I1690" s="45">
        <f ca="1">IFERROR(__xludf.DUMMYFUNCTION("""COMPUTED_VALUE"""),0)</f>
        <v>0</v>
      </c>
      <c r="J1690" s="45">
        <f ca="1">IFERROR(__xludf.DUMMYFUNCTION("""COMPUTED_VALUE"""),0)</f>
        <v>0</v>
      </c>
      <c r="K1690" s="45">
        <f ca="1">IFERROR(__xludf.DUMMYFUNCTION("""COMPUTED_VALUE"""),0)</f>
        <v>0</v>
      </c>
      <c r="L1690" s="45">
        <f ca="1">IFERROR(__xludf.DUMMYFUNCTION("""COMPUTED_VALUE"""),0)</f>
        <v>0</v>
      </c>
      <c r="M1690" s="45">
        <f ca="1">IFERROR(__xludf.DUMMYFUNCTION("""COMPUTED_VALUE"""),0)</f>
        <v>0</v>
      </c>
      <c r="N1690" s="45">
        <f ca="1">IFERROR(__xludf.DUMMYFUNCTION("""COMPUTED_VALUE"""),0)</f>
        <v>0</v>
      </c>
      <c r="O1690" s="45">
        <f ca="1">IFERROR(__xludf.DUMMYFUNCTION("""COMPUTED_VALUE"""),0)</f>
        <v>0</v>
      </c>
      <c r="P1690" s="45">
        <f ca="1">IFERROR(__xludf.DUMMYFUNCTION("""COMPUTED_VALUE"""),0)</f>
        <v>0</v>
      </c>
      <c r="Q1690" s="65">
        <f ca="1">IFERROR(__xludf.DUMMYFUNCTION("""COMPUTED_VALUE"""),0)</f>
        <v>0</v>
      </c>
      <c r="R1690" s="9"/>
    </row>
    <row r="1691" spans="1:18" ht="13.2" hidden="1" outlineLevel="1" x14ac:dyDescent="0.25">
      <c r="A1691" s="58"/>
      <c r="B1691" s="63" t="str">
        <f ca="1">IFERROR(__xludf.DUMMYFUNCTION("""COMPUTED_VALUE"""),"Coque de petróleo")</f>
        <v>Coque de petróleo</v>
      </c>
      <c r="C1691" s="64">
        <f ca="1">IFERROR(__xludf.DUMMYFUNCTION("""COMPUTED_VALUE"""),0)</f>
        <v>0</v>
      </c>
      <c r="D1691" s="45">
        <f ca="1">IFERROR(__xludf.DUMMYFUNCTION("""COMPUTED_VALUE"""),0)</f>
        <v>0</v>
      </c>
      <c r="E1691" s="45">
        <f ca="1">IFERROR(__xludf.DUMMYFUNCTION("""COMPUTED_VALUE"""),0)</f>
        <v>0</v>
      </c>
      <c r="F1691" s="45">
        <f ca="1">IFERROR(__xludf.DUMMYFUNCTION("""COMPUTED_VALUE"""),0)</f>
        <v>0</v>
      </c>
      <c r="G1691" s="45">
        <f ca="1">IFERROR(__xludf.DUMMYFUNCTION("""COMPUTED_VALUE"""),0)</f>
        <v>0</v>
      </c>
      <c r="H1691" s="45">
        <f ca="1">IFERROR(__xludf.DUMMYFUNCTION("""COMPUTED_VALUE"""),0)</f>
        <v>0</v>
      </c>
      <c r="I1691" s="45">
        <f ca="1">IFERROR(__xludf.DUMMYFUNCTION("""COMPUTED_VALUE"""),0)</f>
        <v>0</v>
      </c>
      <c r="J1691" s="45">
        <f ca="1">IFERROR(__xludf.DUMMYFUNCTION("""COMPUTED_VALUE"""),0)</f>
        <v>0</v>
      </c>
      <c r="K1691" s="45">
        <f ca="1">IFERROR(__xludf.DUMMYFUNCTION("""COMPUTED_VALUE"""),0)</f>
        <v>0</v>
      </c>
      <c r="L1691" s="45">
        <f ca="1">IFERROR(__xludf.DUMMYFUNCTION("""COMPUTED_VALUE"""),0)</f>
        <v>0</v>
      </c>
      <c r="M1691" s="45">
        <f ca="1">IFERROR(__xludf.DUMMYFUNCTION("""COMPUTED_VALUE"""),0)</f>
        <v>0</v>
      </c>
      <c r="N1691" s="45">
        <f ca="1">IFERROR(__xludf.DUMMYFUNCTION("""COMPUTED_VALUE"""),0)</f>
        <v>0</v>
      </c>
      <c r="O1691" s="45">
        <f ca="1">IFERROR(__xludf.DUMMYFUNCTION("""COMPUTED_VALUE"""),0)</f>
        <v>0</v>
      </c>
      <c r="P1691" s="45">
        <f ca="1">IFERROR(__xludf.DUMMYFUNCTION("""COMPUTED_VALUE"""),0)</f>
        <v>0</v>
      </c>
      <c r="Q1691" s="65">
        <f ca="1">IFERROR(__xludf.DUMMYFUNCTION("""COMPUTED_VALUE"""),0)</f>
        <v>0</v>
      </c>
      <c r="R1691" s="9"/>
    </row>
    <row r="1692" spans="1:18" ht="13.2" hidden="1" outlineLevel="1" x14ac:dyDescent="0.25">
      <c r="A1692" s="58"/>
      <c r="B1692" s="63" t="str">
        <f ca="1">IFERROR(__xludf.DUMMYFUNCTION("""COMPUTED_VALUE"""),"Gas licuado de petróleo")</f>
        <v>Gas licuado de petróleo</v>
      </c>
      <c r="C1692" s="64">
        <f ca="1">IFERROR(__xludf.DUMMYFUNCTION("""COMPUTED_VALUE"""),40.2715537038991)</f>
        <v>40.271553703899102</v>
      </c>
      <c r="D1692" s="45">
        <f ca="1">IFERROR(__xludf.DUMMYFUNCTION("""COMPUTED_VALUE"""),43.6845885395398)</f>
        <v>43.684588539539803</v>
      </c>
      <c r="E1692" s="45">
        <f ca="1">IFERROR(__xludf.DUMMYFUNCTION("""COMPUTED_VALUE"""),48.2726217694281)</f>
        <v>48.272621769428099</v>
      </c>
      <c r="F1692" s="45">
        <f ca="1">IFERROR(__xludf.DUMMYFUNCTION("""COMPUTED_VALUE"""),52.2894648291422)</f>
        <v>52.289464829142197</v>
      </c>
      <c r="G1692" s="45">
        <f ca="1">IFERROR(__xludf.DUMMYFUNCTION("""COMPUTED_VALUE"""),55.1261575858918)</f>
        <v>55.126157585891796</v>
      </c>
      <c r="H1692" s="45">
        <f ca="1">IFERROR(__xludf.DUMMYFUNCTION("""COMPUTED_VALUE"""),61.8407813615076)</f>
        <v>61.840781361507602</v>
      </c>
      <c r="I1692" s="45">
        <f ca="1">IFERROR(__xludf.DUMMYFUNCTION("""COMPUTED_VALUE"""),64.7291571488421)</f>
        <v>64.729157148842106</v>
      </c>
      <c r="J1692" s="45">
        <f ca="1">IFERROR(__xludf.DUMMYFUNCTION("""COMPUTED_VALUE"""),61.0426510473471)</f>
        <v>61.0426510473471</v>
      </c>
      <c r="K1692" s="45">
        <f ca="1">IFERROR(__xludf.DUMMYFUNCTION("""COMPUTED_VALUE"""),64.6411630939071)</f>
        <v>64.641163093907096</v>
      </c>
      <c r="L1692" s="45">
        <f ca="1">IFERROR(__xludf.DUMMYFUNCTION("""COMPUTED_VALUE"""),52.7694529179938)</f>
        <v>52.769452917993803</v>
      </c>
      <c r="M1692" s="45">
        <f ca="1">IFERROR(__xludf.DUMMYFUNCTION("""COMPUTED_VALUE"""),56.2022399377038)</f>
        <v>56.202239937703801</v>
      </c>
      <c r="N1692" s="45">
        <f ca="1">IFERROR(__xludf.DUMMYFUNCTION("""COMPUTED_VALUE"""),69.6398758752805)</f>
        <v>69.639875875280495</v>
      </c>
      <c r="O1692" s="45">
        <f ca="1">IFERROR(__xludf.DUMMYFUNCTION("""COMPUTED_VALUE"""),72.7539847308057)</f>
        <v>72.753984730805698</v>
      </c>
      <c r="P1692" s="45">
        <f ca="1">IFERROR(__xludf.DUMMYFUNCTION("""COMPUTED_VALUE"""),74.9842808469222)</f>
        <v>74.984280846922204</v>
      </c>
      <c r="Q1692" s="65">
        <f ca="1">IFERROR(__xludf.DUMMYFUNCTION("""COMPUTED_VALUE"""),63.5359371630379)</f>
        <v>63.5359371630379</v>
      </c>
      <c r="R1692" s="9"/>
    </row>
    <row r="1693" spans="1:18" ht="13.2" hidden="1" outlineLevel="1" x14ac:dyDescent="0.25">
      <c r="A1693" s="58"/>
      <c r="B1693" s="63" t="str">
        <f ca="1">IFERROR(__xludf.DUMMYFUNCTION("""COMPUTED_VALUE"""),"Gasolinas y naftas")</f>
        <v>Gasolinas y naftas</v>
      </c>
      <c r="C1693" s="64">
        <f ca="1">IFERROR(__xludf.DUMMYFUNCTION("""COMPUTED_VALUE"""),1328.8)</f>
        <v>1328.8</v>
      </c>
      <c r="D1693" s="45">
        <f ca="1">IFERROR(__xludf.DUMMYFUNCTION("""COMPUTED_VALUE"""),1327.22)</f>
        <v>1327.22</v>
      </c>
      <c r="E1693" s="45">
        <f ca="1">IFERROR(__xludf.DUMMYFUNCTION("""COMPUTED_VALUE"""),1317.69)</f>
        <v>1317.69</v>
      </c>
      <c r="F1693" s="45">
        <f ca="1">IFERROR(__xludf.DUMMYFUNCTION("""COMPUTED_VALUE"""),1324.11)</f>
        <v>1324.11</v>
      </c>
      <c r="G1693" s="45">
        <f ca="1">IFERROR(__xludf.DUMMYFUNCTION("""COMPUTED_VALUE"""),1464.04)</f>
        <v>1464.04</v>
      </c>
      <c r="H1693" s="45">
        <f ca="1">IFERROR(__xludf.DUMMYFUNCTION("""COMPUTED_VALUE"""),1524.87)</f>
        <v>1524.87</v>
      </c>
      <c r="I1693" s="45">
        <f ca="1">IFERROR(__xludf.DUMMYFUNCTION("""COMPUTED_VALUE"""),1627.38)</f>
        <v>1627.38</v>
      </c>
      <c r="J1693" s="45">
        <f ca="1">IFERROR(__xludf.DUMMYFUNCTION("""COMPUTED_VALUE"""),1575.09)</f>
        <v>1575.09</v>
      </c>
      <c r="K1693" s="45">
        <f ca="1">IFERROR(__xludf.DUMMYFUNCTION("""COMPUTED_VALUE"""),1616.81)</f>
        <v>1616.81</v>
      </c>
      <c r="L1693" s="45">
        <f ca="1">IFERROR(__xludf.DUMMYFUNCTION("""COMPUTED_VALUE"""),1515.98)</f>
        <v>1515.98</v>
      </c>
      <c r="M1693" s="45">
        <f ca="1">IFERROR(__xludf.DUMMYFUNCTION("""COMPUTED_VALUE"""),1121.52)</f>
        <v>1121.52</v>
      </c>
      <c r="N1693" s="45">
        <f ca="1">IFERROR(__xludf.DUMMYFUNCTION("""COMPUTED_VALUE"""),1293.7)</f>
        <v>1293.7</v>
      </c>
      <c r="O1693" s="45">
        <f ca="1">IFERROR(__xludf.DUMMYFUNCTION("""COMPUTED_VALUE"""),1389.17)</f>
        <v>1389.17</v>
      </c>
      <c r="P1693" s="45">
        <f ca="1">IFERROR(__xludf.DUMMYFUNCTION("""COMPUTED_VALUE"""),1409.9)</f>
        <v>1409.9</v>
      </c>
      <c r="Q1693" s="65">
        <f ca="1">IFERROR(__xludf.DUMMYFUNCTION("""COMPUTED_VALUE"""),1460)</f>
        <v>1460</v>
      </c>
      <c r="R1693" s="9"/>
    </row>
    <row r="1694" spans="1:18" ht="13.2" hidden="1" outlineLevel="1" x14ac:dyDescent="0.25">
      <c r="A1694" s="58"/>
      <c r="B1694" s="63" t="str">
        <f ca="1">IFERROR(__xludf.DUMMYFUNCTION("""COMPUTED_VALUE"""),"Querosenos")</f>
        <v>Querosenos</v>
      </c>
      <c r="C1694" s="64">
        <f ca="1">IFERROR(__xludf.DUMMYFUNCTION("""COMPUTED_VALUE"""),0)</f>
        <v>0</v>
      </c>
      <c r="D1694" s="45">
        <f ca="1">IFERROR(__xludf.DUMMYFUNCTION("""COMPUTED_VALUE"""),0)</f>
        <v>0</v>
      </c>
      <c r="E1694" s="45">
        <f ca="1">IFERROR(__xludf.DUMMYFUNCTION("""COMPUTED_VALUE"""),0)</f>
        <v>0</v>
      </c>
      <c r="F1694" s="45">
        <f ca="1">IFERROR(__xludf.DUMMYFUNCTION("""COMPUTED_VALUE"""),0)</f>
        <v>0</v>
      </c>
      <c r="G1694" s="45">
        <f ca="1">IFERROR(__xludf.DUMMYFUNCTION("""COMPUTED_VALUE"""),0)</f>
        <v>0</v>
      </c>
      <c r="H1694" s="45">
        <f ca="1">IFERROR(__xludf.DUMMYFUNCTION("""COMPUTED_VALUE"""),0)</f>
        <v>0</v>
      </c>
      <c r="I1694" s="45">
        <f ca="1">IFERROR(__xludf.DUMMYFUNCTION("""COMPUTED_VALUE"""),0)</f>
        <v>0</v>
      </c>
      <c r="J1694" s="45">
        <f ca="1">IFERROR(__xludf.DUMMYFUNCTION("""COMPUTED_VALUE"""),0)</f>
        <v>0</v>
      </c>
      <c r="K1694" s="45">
        <f ca="1">IFERROR(__xludf.DUMMYFUNCTION("""COMPUTED_VALUE"""),0)</f>
        <v>0</v>
      </c>
      <c r="L1694" s="45">
        <f ca="1">IFERROR(__xludf.DUMMYFUNCTION("""COMPUTED_VALUE"""),0)</f>
        <v>0</v>
      </c>
      <c r="M1694" s="45">
        <f ca="1">IFERROR(__xludf.DUMMYFUNCTION("""COMPUTED_VALUE"""),0)</f>
        <v>0</v>
      </c>
      <c r="N1694" s="45">
        <f ca="1">IFERROR(__xludf.DUMMYFUNCTION("""COMPUTED_VALUE"""),0)</f>
        <v>0</v>
      </c>
      <c r="O1694" s="45">
        <f ca="1">IFERROR(__xludf.DUMMYFUNCTION("""COMPUTED_VALUE"""),0)</f>
        <v>0</v>
      </c>
      <c r="P1694" s="45">
        <f ca="1">IFERROR(__xludf.DUMMYFUNCTION("""COMPUTED_VALUE"""),0)</f>
        <v>0</v>
      </c>
      <c r="Q1694" s="65">
        <f ca="1">IFERROR(__xludf.DUMMYFUNCTION("""COMPUTED_VALUE"""),0)</f>
        <v>0</v>
      </c>
      <c r="R1694" s="9"/>
    </row>
    <row r="1695" spans="1:18" ht="13.2" hidden="1" outlineLevel="1" x14ac:dyDescent="0.25">
      <c r="A1695" s="58"/>
      <c r="B1695" s="63" t="str">
        <f ca="1">IFERROR(__xludf.DUMMYFUNCTION("""COMPUTED_VALUE"""),"Diesel")</f>
        <v>Diesel</v>
      </c>
      <c r="C1695" s="64">
        <f ca="1">IFERROR(__xludf.DUMMYFUNCTION("""COMPUTED_VALUE"""),545.182687166988)</f>
        <v>545.18268716698799</v>
      </c>
      <c r="D1695" s="45">
        <f ca="1">IFERROR(__xludf.DUMMYFUNCTION("""COMPUTED_VALUE"""),546.537356816315)</f>
        <v>546.53735681631497</v>
      </c>
      <c r="E1695" s="45">
        <f ca="1">IFERROR(__xludf.DUMMYFUNCTION("""COMPUTED_VALUE"""),572.524513781989)</f>
        <v>572.52451378198896</v>
      </c>
      <c r="F1695" s="45">
        <f ca="1">IFERROR(__xludf.DUMMYFUNCTION("""COMPUTED_VALUE"""),556.068366724258)</f>
        <v>556.068366724258</v>
      </c>
      <c r="G1695" s="45">
        <f ca="1">IFERROR(__xludf.DUMMYFUNCTION("""COMPUTED_VALUE"""),548.888153074027)</f>
        <v>548.88815307402695</v>
      </c>
      <c r="H1695" s="45">
        <f ca="1">IFERROR(__xludf.DUMMYFUNCTION("""COMPUTED_VALUE"""),587.532681909643)</f>
        <v>587.53268190964297</v>
      </c>
      <c r="I1695" s="45">
        <f ca="1">IFERROR(__xludf.DUMMYFUNCTION("""COMPUTED_VALUE"""),549.635346650998)</f>
        <v>549.63534665099803</v>
      </c>
      <c r="J1695" s="45">
        <f ca="1">IFERROR(__xludf.DUMMYFUNCTION("""COMPUTED_VALUE"""),554.231053893215)</f>
        <v>554.23105389321495</v>
      </c>
      <c r="K1695" s="45">
        <f ca="1">IFERROR(__xludf.DUMMYFUNCTION("""COMPUTED_VALUE"""),617.216088727931)</f>
        <v>617.21608872793104</v>
      </c>
      <c r="L1695" s="45">
        <f ca="1">IFERROR(__xludf.DUMMYFUNCTION("""COMPUTED_VALUE"""),570.81345547891)</f>
        <v>570.81345547890999</v>
      </c>
      <c r="M1695" s="45">
        <f ca="1">IFERROR(__xludf.DUMMYFUNCTION("""COMPUTED_VALUE"""),332.218418111622)</f>
        <v>332.21841811162199</v>
      </c>
      <c r="N1695" s="45">
        <f ca="1">IFERROR(__xludf.DUMMYFUNCTION("""COMPUTED_VALUE"""),606.11756569322)</f>
        <v>606.11756569321994</v>
      </c>
      <c r="O1695" s="45">
        <f ca="1">IFERROR(__xludf.DUMMYFUNCTION("""COMPUTED_VALUE"""),609.680333149575)</f>
        <v>609.68033314957495</v>
      </c>
      <c r="P1695" s="45">
        <f ca="1">IFERROR(__xludf.DUMMYFUNCTION("""COMPUTED_VALUE"""),612.03637034386)</f>
        <v>612.03637034385997</v>
      </c>
      <c r="Q1695" s="65">
        <f ca="1">IFERROR(__xludf.DUMMYFUNCTION("""COMPUTED_VALUE"""),596.545660585931)</f>
        <v>596.54566058593105</v>
      </c>
      <c r="R1695" s="9"/>
    </row>
    <row r="1696" spans="1:18" ht="13.2" hidden="1" outlineLevel="1" x14ac:dyDescent="0.25">
      <c r="A1696" s="58"/>
      <c r="B1696" s="63" t="str">
        <f ca="1">IFERROR(__xludf.DUMMYFUNCTION("""COMPUTED_VALUE"""),"Combustóleo")</f>
        <v>Combustóleo</v>
      </c>
      <c r="C1696" s="64">
        <f ca="1">IFERROR(__xludf.DUMMYFUNCTION("""COMPUTED_VALUE"""),0)</f>
        <v>0</v>
      </c>
      <c r="D1696" s="45">
        <f ca="1">IFERROR(__xludf.DUMMYFUNCTION("""COMPUTED_VALUE"""),0)</f>
        <v>0</v>
      </c>
      <c r="E1696" s="45">
        <f ca="1">IFERROR(__xludf.DUMMYFUNCTION("""COMPUTED_VALUE"""),0)</f>
        <v>0</v>
      </c>
      <c r="F1696" s="45">
        <f ca="1">IFERROR(__xludf.DUMMYFUNCTION("""COMPUTED_VALUE"""),0)</f>
        <v>0</v>
      </c>
      <c r="G1696" s="45">
        <f ca="1">IFERROR(__xludf.DUMMYFUNCTION("""COMPUTED_VALUE"""),0)</f>
        <v>0</v>
      </c>
      <c r="H1696" s="45">
        <f ca="1">IFERROR(__xludf.DUMMYFUNCTION("""COMPUTED_VALUE"""),0)</f>
        <v>0</v>
      </c>
      <c r="I1696" s="45">
        <f ca="1">IFERROR(__xludf.DUMMYFUNCTION("""COMPUTED_VALUE"""),0)</f>
        <v>0</v>
      </c>
      <c r="J1696" s="45">
        <f ca="1">IFERROR(__xludf.DUMMYFUNCTION("""COMPUTED_VALUE"""),0)</f>
        <v>0</v>
      </c>
      <c r="K1696" s="45">
        <f ca="1">IFERROR(__xludf.DUMMYFUNCTION("""COMPUTED_VALUE"""),0)</f>
        <v>0</v>
      </c>
      <c r="L1696" s="45">
        <f ca="1">IFERROR(__xludf.DUMMYFUNCTION("""COMPUTED_VALUE"""),0)</f>
        <v>0</v>
      </c>
      <c r="M1696" s="45">
        <f ca="1">IFERROR(__xludf.DUMMYFUNCTION("""COMPUTED_VALUE"""),0)</f>
        <v>0</v>
      </c>
      <c r="N1696" s="45">
        <f ca="1">IFERROR(__xludf.DUMMYFUNCTION("""COMPUTED_VALUE"""),0)</f>
        <v>0</v>
      </c>
      <c r="O1696" s="45">
        <f ca="1">IFERROR(__xludf.DUMMYFUNCTION("""COMPUTED_VALUE"""),0)</f>
        <v>0</v>
      </c>
      <c r="P1696" s="45">
        <f ca="1">IFERROR(__xludf.DUMMYFUNCTION("""COMPUTED_VALUE"""),0)</f>
        <v>0</v>
      </c>
      <c r="Q1696" s="65">
        <f ca="1">IFERROR(__xludf.DUMMYFUNCTION("""COMPUTED_VALUE"""),0)</f>
        <v>0</v>
      </c>
      <c r="R1696" s="9"/>
    </row>
    <row r="1697" spans="1:18" ht="13.2" hidden="1" outlineLevel="1" x14ac:dyDescent="0.25">
      <c r="A1697" s="58"/>
      <c r="B1697" s="63" t="str">
        <f ca="1">IFERROR(__xludf.DUMMYFUNCTION("""COMPUTED_VALUE"""),"Otros energéticos")</f>
        <v>Otros energéticos</v>
      </c>
      <c r="C1697" s="64">
        <f ca="1">IFERROR(__xludf.DUMMYFUNCTION("""COMPUTED_VALUE"""),0)</f>
        <v>0</v>
      </c>
      <c r="D1697" s="45">
        <f ca="1">IFERROR(__xludf.DUMMYFUNCTION("""COMPUTED_VALUE"""),0)</f>
        <v>0</v>
      </c>
      <c r="E1697" s="45">
        <f ca="1">IFERROR(__xludf.DUMMYFUNCTION("""COMPUTED_VALUE"""),0)</f>
        <v>0</v>
      </c>
      <c r="F1697" s="45">
        <f ca="1">IFERROR(__xludf.DUMMYFUNCTION("""COMPUTED_VALUE"""),0)</f>
        <v>0</v>
      </c>
      <c r="G1697" s="45">
        <f ca="1">IFERROR(__xludf.DUMMYFUNCTION("""COMPUTED_VALUE"""),0)</f>
        <v>0</v>
      </c>
      <c r="H1697" s="45">
        <f ca="1">IFERROR(__xludf.DUMMYFUNCTION("""COMPUTED_VALUE"""),0)</f>
        <v>0</v>
      </c>
      <c r="I1697" s="45">
        <f ca="1">IFERROR(__xludf.DUMMYFUNCTION("""COMPUTED_VALUE"""),0)</f>
        <v>0</v>
      </c>
      <c r="J1697" s="45">
        <f ca="1">IFERROR(__xludf.DUMMYFUNCTION("""COMPUTED_VALUE"""),0)</f>
        <v>0</v>
      </c>
      <c r="K1697" s="45">
        <f ca="1">IFERROR(__xludf.DUMMYFUNCTION("""COMPUTED_VALUE"""),0)</f>
        <v>0</v>
      </c>
      <c r="L1697" s="45">
        <f ca="1">IFERROR(__xludf.DUMMYFUNCTION("""COMPUTED_VALUE"""),0)</f>
        <v>0</v>
      </c>
      <c r="M1697" s="45">
        <f ca="1">IFERROR(__xludf.DUMMYFUNCTION("""COMPUTED_VALUE"""),0)</f>
        <v>0</v>
      </c>
      <c r="N1697" s="45">
        <f ca="1">IFERROR(__xludf.DUMMYFUNCTION("""COMPUTED_VALUE"""),0)</f>
        <v>0</v>
      </c>
      <c r="O1697" s="45">
        <f ca="1">IFERROR(__xludf.DUMMYFUNCTION("""COMPUTED_VALUE"""),0)</f>
        <v>0</v>
      </c>
      <c r="P1697" s="45">
        <f ca="1">IFERROR(__xludf.DUMMYFUNCTION("""COMPUTED_VALUE"""),0)</f>
        <v>0</v>
      </c>
      <c r="Q1697" s="65">
        <f ca="1">IFERROR(__xludf.DUMMYFUNCTION("""COMPUTED_VALUE"""),0)</f>
        <v>0</v>
      </c>
      <c r="R1697" s="9"/>
    </row>
    <row r="1698" spans="1:18" ht="13.2" hidden="1" outlineLevel="1" x14ac:dyDescent="0.25">
      <c r="A1698" s="58"/>
      <c r="B1698" s="63" t="str">
        <f ca="1">IFERROR(__xludf.DUMMYFUNCTION("""COMPUTED_VALUE"""),"Gas natural seco")</f>
        <v>Gas natural seco</v>
      </c>
      <c r="C1698" s="64">
        <f ca="1">IFERROR(__xludf.DUMMYFUNCTION("""COMPUTED_VALUE"""),0.5)</f>
        <v>0.5</v>
      </c>
      <c r="D1698" s="45">
        <f ca="1">IFERROR(__xludf.DUMMYFUNCTION("""COMPUTED_VALUE"""),0.56)</f>
        <v>0.56000000000000005</v>
      </c>
      <c r="E1698" s="45">
        <f ca="1">IFERROR(__xludf.DUMMYFUNCTION("""COMPUTED_VALUE"""),0.69)</f>
        <v>0.69</v>
      </c>
      <c r="F1698" s="45">
        <f ca="1">IFERROR(__xludf.DUMMYFUNCTION("""COMPUTED_VALUE"""),0.87)</f>
        <v>0.87</v>
      </c>
      <c r="G1698" s="45">
        <f ca="1">IFERROR(__xludf.DUMMYFUNCTION("""COMPUTED_VALUE"""),0.82)</f>
        <v>0.82</v>
      </c>
      <c r="H1698" s="45">
        <f ca="1">IFERROR(__xludf.DUMMYFUNCTION("""COMPUTED_VALUE"""),0.83)</f>
        <v>0.83</v>
      </c>
      <c r="I1698" s="45">
        <f ca="1">IFERROR(__xludf.DUMMYFUNCTION("""COMPUTED_VALUE"""),1.12)</f>
        <v>1.1200000000000001</v>
      </c>
      <c r="J1698" s="45">
        <f ca="1">IFERROR(__xludf.DUMMYFUNCTION("""COMPUTED_VALUE"""),2.21)</f>
        <v>2.21</v>
      </c>
      <c r="K1698" s="45">
        <f ca="1">IFERROR(__xludf.DUMMYFUNCTION("""COMPUTED_VALUE"""),2.73)</f>
        <v>2.73</v>
      </c>
      <c r="L1698" s="45">
        <f ca="1">IFERROR(__xludf.DUMMYFUNCTION("""COMPUTED_VALUE"""),2.09)</f>
        <v>2.09</v>
      </c>
      <c r="M1698" s="45">
        <f ca="1">IFERROR(__xludf.DUMMYFUNCTION("""COMPUTED_VALUE"""),1.81)</f>
        <v>1.81</v>
      </c>
      <c r="N1698" s="45">
        <f ca="1">IFERROR(__xludf.DUMMYFUNCTION("""COMPUTED_VALUE"""),1.75)</f>
        <v>1.75</v>
      </c>
      <c r="O1698" s="45">
        <f ca="1">IFERROR(__xludf.DUMMYFUNCTION("""COMPUTED_VALUE"""),1.64)</f>
        <v>1.64</v>
      </c>
      <c r="P1698" s="45">
        <f ca="1">IFERROR(__xludf.DUMMYFUNCTION("""COMPUTED_VALUE"""),1.57)</f>
        <v>1.57</v>
      </c>
      <c r="Q1698" s="65">
        <f ca="1">IFERROR(__xludf.DUMMYFUNCTION("""COMPUTED_VALUE"""),1.53)</f>
        <v>1.53</v>
      </c>
      <c r="R1698" s="9"/>
    </row>
    <row r="1699" spans="1:18" ht="13.2" hidden="1" outlineLevel="1" x14ac:dyDescent="0.25">
      <c r="A1699" s="58"/>
      <c r="B1699" s="66" t="str">
        <f ca="1">IFERROR(__xludf.DUMMYFUNCTION("""COMPUTED_VALUE"""),"Energía eléctrica")</f>
        <v>Energía eléctrica</v>
      </c>
      <c r="C1699" s="67">
        <f ca="1">IFERROR(__xludf.DUMMYFUNCTION("""COMPUTED_VALUE"""),3.93939456408131)</f>
        <v>3.9393945640813102</v>
      </c>
      <c r="D1699" s="68">
        <f ca="1">IFERROR(__xludf.DUMMYFUNCTION("""COMPUTED_VALUE"""),3.95948584716505)</f>
        <v>3.95948584716505</v>
      </c>
      <c r="E1699" s="68">
        <f ca="1">IFERROR(__xludf.DUMMYFUNCTION("""COMPUTED_VALUE"""),3.98058559633925)</f>
        <v>3.98058559633925</v>
      </c>
      <c r="F1699" s="68">
        <f ca="1">IFERROR(__xludf.DUMMYFUNCTION("""COMPUTED_VALUE"""),4.1500233820874)</f>
        <v>4.1500233820874</v>
      </c>
      <c r="G1699" s="68">
        <f ca="1">IFERROR(__xludf.DUMMYFUNCTION("""COMPUTED_VALUE"""),4.06340620259458)</f>
        <v>4.0634062025945799</v>
      </c>
      <c r="H1699" s="68">
        <f ca="1">IFERROR(__xludf.DUMMYFUNCTION("""COMPUTED_VALUE"""),3.98775160396278)</f>
        <v>3.9877516039627801</v>
      </c>
      <c r="I1699" s="68">
        <f ca="1">IFERROR(__xludf.DUMMYFUNCTION("""COMPUTED_VALUE"""),4.0336409799439)</f>
        <v>4.0336409799439004</v>
      </c>
      <c r="J1699" s="68">
        <f ca="1">IFERROR(__xludf.DUMMYFUNCTION("""COMPUTED_VALUE"""),3.96355229468954)</f>
        <v>3.9635522946895398</v>
      </c>
      <c r="K1699" s="68">
        <f ca="1">IFERROR(__xludf.DUMMYFUNCTION("""COMPUTED_VALUE"""),3.80947913902316)</f>
        <v>3.8094791390231602</v>
      </c>
      <c r="L1699" s="68">
        <f ca="1">IFERROR(__xludf.DUMMYFUNCTION("""COMPUTED_VALUE"""),3.95134546164835)</f>
        <v>3.9513454616483501</v>
      </c>
      <c r="M1699" s="68">
        <f ca="1">IFERROR(__xludf.DUMMYFUNCTION("""COMPUTED_VALUE"""),3.35383867137387)</f>
        <v>3.3538386713738699</v>
      </c>
      <c r="N1699" s="68">
        <f ca="1">IFERROR(__xludf.DUMMYFUNCTION("""COMPUTED_VALUE"""),5.56988077980306)</f>
        <v>5.5698807798030598</v>
      </c>
      <c r="O1699" s="68">
        <f ca="1">IFERROR(__xludf.DUMMYFUNCTION("""COMPUTED_VALUE"""),4.44417081434527)</f>
        <v>4.4441708143452701</v>
      </c>
      <c r="P1699" s="68">
        <f ca="1">IFERROR(__xludf.DUMMYFUNCTION("""COMPUTED_VALUE"""),4.68674988466275)</f>
        <v>4.68674988466275</v>
      </c>
      <c r="Q1699" s="69">
        <f ca="1">IFERROR(__xludf.DUMMYFUNCTION("""COMPUTED_VALUE"""),5.16835989817558)</f>
        <v>5.1683598981755798</v>
      </c>
      <c r="R1699" s="9"/>
    </row>
    <row r="1700" spans="1:18" ht="13.2" hidden="1" outlineLevel="1" x14ac:dyDescent="0.25">
      <c r="A1700" s="1"/>
      <c r="B1700" s="2"/>
      <c r="C1700" s="70"/>
      <c r="D1700" s="70"/>
      <c r="E1700" s="70"/>
      <c r="F1700" s="70"/>
      <c r="G1700" s="70"/>
      <c r="H1700" s="70"/>
      <c r="I1700" s="70"/>
      <c r="J1700" s="70"/>
      <c r="K1700" s="70"/>
      <c r="L1700" s="70"/>
      <c r="M1700" s="70"/>
      <c r="N1700" s="70"/>
      <c r="O1700" s="70"/>
      <c r="P1700" s="70"/>
      <c r="Q1700" s="70"/>
      <c r="R1700" s="1"/>
    </row>
    <row r="1701" spans="1:18" ht="15.6" collapsed="1" x14ac:dyDescent="0.3">
      <c r="A1701" s="47"/>
      <c r="B1701" s="48" t="str">
        <f ca="1">IFERROR(__xludf.DUMMYFUNCTION("""COMPUTED_VALUE"""),"Aereo")</f>
        <v>Aereo</v>
      </c>
      <c r="C1701" s="49"/>
      <c r="D1701" s="49"/>
      <c r="E1701" s="49"/>
      <c r="F1701" s="49"/>
      <c r="G1701" s="49"/>
      <c r="H1701" s="49"/>
      <c r="I1701" s="49"/>
      <c r="J1701" s="49"/>
      <c r="K1701" s="49"/>
      <c r="L1701" s="49"/>
      <c r="M1701" s="49"/>
      <c r="N1701" s="49"/>
      <c r="O1701" s="49"/>
      <c r="P1701" s="49"/>
      <c r="Q1701" s="50"/>
      <c r="R1701" s="51"/>
    </row>
    <row r="1702" spans="1:18" ht="13.2" hidden="1" outlineLevel="1" x14ac:dyDescent="0.25">
      <c r="A1702" s="52"/>
      <c r="B1702" s="53"/>
      <c r="C1702" s="54">
        <f ca="1">IFERROR(__xludf.DUMMYFUNCTION("""COMPUTED_VALUE"""),2010)</f>
        <v>2010</v>
      </c>
      <c r="D1702" s="55">
        <f ca="1">IFERROR(__xludf.DUMMYFUNCTION("""COMPUTED_VALUE"""),2011)</f>
        <v>2011</v>
      </c>
      <c r="E1702" s="55">
        <f ca="1">IFERROR(__xludf.DUMMYFUNCTION("""COMPUTED_VALUE"""),2012)</f>
        <v>2012</v>
      </c>
      <c r="F1702" s="55">
        <f ca="1">IFERROR(__xludf.DUMMYFUNCTION("""COMPUTED_VALUE"""),2013)</f>
        <v>2013</v>
      </c>
      <c r="G1702" s="55">
        <f ca="1">IFERROR(__xludf.DUMMYFUNCTION("""COMPUTED_VALUE"""),2014)</f>
        <v>2014</v>
      </c>
      <c r="H1702" s="55">
        <f ca="1">IFERROR(__xludf.DUMMYFUNCTION("""COMPUTED_VALUE"""),2015)</f>
        <v>2015</v>
      </c>
      <c r="I1702" s="55">
        <f ca="1">IFERROR(__xludf.DUMMYFUNCTION("""COMPUTED_VALUE"""),2016)</f>
        <v>2016</v>
      </c>
      <c r="J1702" s="55">
        <f ca="1">IFERROR(__xludf.DUMMYFUNCTION("""COMPUTED_VALUE"""),2017)</f>
        <v>2017</v>
      </c>
      <c r="K1702" s="55">
        <f ca="1">IFERROR(__xludf.DUMMYFUNCTION("""COMPUTED_VALUE"""),2018)</f>
        <v>2018</v>
      </c>
      <c r="L1702" s="55">
        <f ca="1">IFERROR(__xludf.DUMMYFUNCTION("""COMPUTED_VALUE"""),2019)</f>
        <v>2019</v>
      </c>
      <c r="M1702" s="55">
        <f ca="1">IFERROR(__xludf.DUMMYFUNCTION("""COMPUTED_VALUE"""),2020)</f>
        <v>2020</v>
      </c>
      <c r="N1702" s="55">
        <f ca="1">IFERROR(__xludf.DUMMYFUNCTION("""COMPUTED_VALUE"""),2021)</f>
        <v>2021</v>
      </c>
      <c r="O1702" s="55">
        <f ca="1">IFERROR(__xludf.DUMMYFUNCTION("""COMPUTED_VALUE"""),2022)</f>
        <v>2022</v>
      </c>
      <c r="P1702" s="55">
        <f ca="1">IFERROR(__xludf.DUMMYFUNCTION("""COMPUTED_VALUE"""),2023)</f>
        <v>2023</v>
      </c>
      <c r="Q1702" s="56">
        <f ca="1">IFERROR(__xludf.DUMMYFUNCTION("""COMPUTED_VALUE"""),2024)</f>
        <v>2024</v>
      </c>
      <c r="R1702" s="57"/>
    </row>
    <row r="1703" spans="1:18" ht="13.2" hidden="1" outlineLevel="1" x14ac:dyDescent="0.25">
      <c r="A1703" s="58"/>
      <c r="B1703" s="59" t="str">
        <f ca="1">IFERROR(__xludf.DUMMYFUNCTION("""COMPUTED_VALUE"""),"Carbón mineral")</f>
        <v>Carbón mineral</v>
      </c>
      <c r="C1703" s="60">
        <f ca="1">IFERROR(__xludf.DUMMYFUNCTION("""COMPUTED_VALUE"""),0)</f>
        <v>0</v>
      </c>
      <c r="D1703" s="61">
        <f ca="1">IFERROR(__xludf.DUMMYFUNCTION("""COMPUTED_VALUE"""),0)</f>
        <v>0</v>
      </c>
      <c r="E1703" s="61">
        <f ca="1">IFERROR(__xludf.DUMMYFUNCTION("""COMPUTED_VALUE"""),0)</f>
        <v>0</v>
      </c>
      <c r="F1703" s="61">
        <f ca="1">IFERROR(__xludf.DUMMYFUNCTION("""COMPUTED_VALUE"""),0)</f>
        <v>0</v>
      </c>
      <c r="G1703" s="61">
        <f ca="1">IFERROR(__xludf.DUMMYFUNCTION("""COMPUTED_VALUE"""),0)</f>
        <v>0</v>
      </c>
      <c r="H1703" s="61">
        <f ca="1">IFERROR(__xludf.DUMMYFUNCTION("""COMPUTED_VALUE"""),0)</f>
        <v>0</v>
      </c>
      <c r="I1703" s="61">
        <f ca="1">IFERROR(__xludf.DUMMYFUNCTION("""COMPUTED_VALUE"""),0)</f>
        <v>0</v>
      </c>
      <c r="J1703" s="61">
        <f ca="1">IFERROR(__xludf.DUMMYFUNCTION("""COMPUTED_VALUE"""),0)</f>
        <v>0</v>
      </c>
      <c r="K1703" s="61">
        <f ca="1">IFERROR(__xludf.DUMMYFUNCTION("""COMPUTED_VALUE"""),0)</f>
        <v>0</v>
      </c>
      <c r="L1703" s="61">
        <f ca="1">IFERROR(__xludf.DUMMYFUNCTION("""COMPUTED_VALUE"""),0)</f>
        <v>0</v>
      </c>
      <c r="M1703" s="61">
        <f ca="1">IFERROR(__xludf.DUMMYFUNCTION("""COMPUTED_VALUE"""),0)</f>
        <v>0</v>
      </c>
      <c r="N1703" s="61">
        <f ca="1">IFERROR(__xludf.DUMMYFUNCTION("""COMPUTED_VALUE"""),0)</f>
        <v>0</v>
      </c>
      <c r="O1703" s="61">
        <f ca="1">IFERROR(__xludf.DUMMYFUNCTION("""COMPUTED_VALUE"""),0)</f>
        <v>0</v>
      </c>
      <c r="P1703" s="61">
        <f ca="1">IFERROR(__xludf.DUMMYFUNCTION("""COMPUTED_VALUE"""),0)</f>
        <v>0</v>
      </c>
      <c r="Q1703" s="62">
        <f ca="1">IFERROR(__xludf.DUMMYFUNCTION("""COMPUTED_VALUE"""),0)</f>
        <v>0</v>
      </c>
      <c r="R1703" s="9"/>
    </row>
    <row r="1704" spans="1:18" ht="13.2" hidden="1" outlineLevel="1" x14ac:dyDescent="0.25">
      <c r="A1704" s="58"/>
      <c r="B1704" s="63" t="str">
        <f ca="1">IFERROR(__xludf.DUMMYFUNCTION("""COMPUTED_VALUE"""),"Petróleo crudo")</f>
        <v>Petróleo crudo</v>
      </c>
      <c r="C1704" s="64">
        <f ca="1">IFERROR(__xludf.DUMMYFUNCTION("""COMPUTED_VALUE"""),0)</f>
        <v>0</v>
      </c>
      <c r="D1704" s="45">
        <f ca="1">IFERROR(__xludf.DUMMYFUNCTION("""COMPUTED_VALUE"""),0)</f>
        <v>0</v>
      </c>
      <c r="E1704" s="45">
        <f ca="1">IFERROR(__xludf.DUMMYFUNCTION("""COMPUTED_VALUE"""),0)</f>
        <v>0</v>
      </c>
      <c r="F1704" s="45">
        <f ca="1">IFERROR(__xludf.DUMMYFUNCTION("""COMPUTED_VALUE"""),0)</f>
        <v>0</v>
      </c>
      <c r="G1704" s="45">
        <f ca="1">IFERROR(__xludf.DUMMYFUNCTION("""COMPUTED_VALUE"""),0)</f>
        <v>0</v>
      </c>
      <c r="H1704" s="45">
        <f ca="1">IFERROR(__xludf.DUMMYFUNCTION("""COMPUTED_VALUE"""),0)</f>
        <v>0</v>
      </c>
      <c r="I1704" s="45">
        <f ca="1">IFERROR(__xludf.DUMMYFUNCTION("""COMPUTED_VALUE"""),0)</f>
        <v>0</v>
      </c>
      <c r="J1704" s="45">
        <f ca="1">IFERROR(__xludf.DUMMYFUNCTION("""COMPUTED_VALUE"""),0)</f>
        <v>0</v>
      </c>
      <c r="K1704" s="45">
        <f ca="1">IFERROR(__xludf.DUMMYFUNCTION("""COMPUTED_VALUE"""),0)</f>
        <v>0</v>
      </c>
      <c r="L1704" s="45">
        <f ca="1">IFERROR(__xludf.DUMMYFUNCTION("""COMPUTED_VALUE"""),0)</f>
        <v>0</v>
      </c>
      <c r="M1704" s="45">
        <f ca="1">IFERROR(__xludf.DUMMYFUNCTION("""COMPUTED_VALUE"""),0)</f>
        <v>0</v>
      </c>
      <c r="N1704" s="45">
        <f ca="1">IFERROR(__xludf.DUMMYFUNCTION("""COMPUTED_VALUE"""),0)</f>
        <v>0</v>
      </c>
      <c r="O1704" s="45">
        <f ca="1">IFERROR(__xludf.DUMMYFUNCTION("""COMPUTED_VALUE"""),0)</f>
        <v>0</v>
      </c>
      <c r="P1704" s="45">
        <f ca="1">IFERROR(__xludf.DUMMYFUNCTION("""COMPUTED_VALUE"""),0)</f>
        <v>0</v>
      </c>
      <c r="Q1704" s="65">
        <f ca="1">IFERROR(__xludf.DUMMYFUNCTION("""COMPUTED_VALUE"""),0)</f>
        <v>0</v>
      </c>
      <c r="R1704" s="9"/>
    </row>
    <row r="1705" spans="1:18" ht="13.2" hidden="1" outlineLevel="1" x14ac:dyDescent="0.25">
      <c r="A1705" s="58"/>
      <c r="B1705" s="63" t="str">
        <f ca="1">IFERROR(__xludf.DUMMYFUNCTION("""COMPUTED_VALUE"""),"Condensados")</f>
        <v>Condensados</v>
      </c>
      <c r="C1705" s="64">
        <f ca="1">IFERROR(__xludf.DUMMYFUNCTION("""COMPUTED_VALUE"""),0)</f>
        <v>0</v>
      </c>
      <c r="D1705" s="45">
        <f ca="1">IFERROR(__xludf.DUMMYFUNCTION("""COMPUTED_VALUE"""),0)</f>
        <v>0</v>
      </c>
      <c r="E1705" s="45">
        <f ca="1">IFERROR(__xludf.DUMMYFUNCTION("""COMPUTED_VALUE"""),0)</f>
        <v>0</v>
      </c>
      <c r="F1705" s="45">
        <f ca="1">IFERROR(__xludf.DUMMYFUNCTION("""COMPUTED_VALUE"""),0)</f>
        <v>0</v>
      </c>
      <c r="G1705" s="45">
        <f ca="1">IFERROR(__xludf.DUMMYFUNCTION("""COMPUTED_VALUE"""),0)</f>
        <v>0</v>
      </c>
      <c r="H1705" s="45">
        <f ca="1">IFERROR(__xludf.DUMMYFUNCTION("""COMPUTED_VALUE"""),0)</f>
        <v>0</v>
      </c>
      <c r="I1705" s="45">
        <f ca="1">IFERROR(__xludf.DUMMYFUNCTION("""COMPUTED_VALUE"""),0)</f>
        <v>0</v>
      </c>
      <c r="J1705" s="45">
        <f ca="1">IFERROR(__xludf.DUMMYFUNCTION("""COMPUTED_VALUE"""),0)</f>
        <v>0</v>
      </c>
      <c r="K1705" s="45">
        <f ca="1">IFERROR(__xludf.DUMMYFUNCTION("""COMPUTED_VALUE"""),0)</f>
        <v>0</v>
      </c>
      <c r="L1705" s="45">
        <f ca="1">IFERROR(__xludf.DUMMYFUNCTION("""COMPUTED_VALUE"""),0)</f>
        <v>0</v>
      </c>
      <c r="M1705" s="45">
        <f ca="1">IFERROR(__xludf.DUMMYFUNCTION("""COMPUTED_VALUE"""),0)</f>
        <v>0</v>
      </c>
      <c r="N1705" s="45">
        <f ca="1">IFERROR(__xludf.DUMMYFUNCTION("""COMPUTED_VALUE"""),0)</f>
        <v>0</v>
      </c>
      <c r="O1705" s="45">
        <f ca="1">IFERROR(__xludf.DUMMYFUNCTION("""COMPUTED_VALUE"""),0)</f>
        <v>0</v>
      </c>
      <c r="P1705" s="45">
        <f ca="1">IFERROR(__xludf.DUMMYFUNCTION("""COMPUTED_VALUE"""),0)</f>
        <v>0</v>
      </c>
      <c r="Q1705" s="65">
        <f ca="1">IFERROR(__xludf.DUMMYFUNCTION("""COMPUTED_VALUE"""),0)</f>
        <v>0</v>
      </c>
      <c r="R1705" s="9"/>
    </row>
    <row r="1706" spans="1:18" ht="13.2" hidden="1" outlineLevel="1" x14ac:dyDescent="0.25">
      <c r="A1706" s="58"/>
      <c r="B1706" s="63" t="str">
        <f ca="1">IFERROR(__xludf.DUMMYFUNCTION("""COMPUTED_VALUE"""),"Gas natural")</f>
        <v>Gas natural</v>
      </c>
      <c r="C1706" s="64">
        <f ca="1">IFERROR(__xludf.DUMMYFUNCTION("""COMPUTED_VALUE"""),0)</f>
        <v>0</v>
      </c>
      <c r="D1706" s="45">
        <f ca="1">IFERROR(__xludf.DUMMYFUNCTION("""COMPUTED_VALUE"""),0)</f>
        <v>0</v>
      </c>
      <c r="E1706" s="45">
        <f ca="1">IFERROR(__xludf.DUMMYFUNCTION("""COMPUTED_VALUE"""),0)</f>
        <v>0</v>
      </c>
      <c r="F1706" s="45">
        <f ca="1">IFERROR(__xludf.DUMMYFUNCTION("""COMPUTED_VALUE"""),0)</f>
        <v>0</v>
      </c>
      <c r="G1706" s="45">
        <f ca="1">IFERROR(__xludf.DUMMYFUNCTION("""COMPUTED_VALUE"""),0)</f>
        <v>0</v>
      </c>
      <c r="H1706" s="45">
        <f ca="1">IFERROR(__xludf.DUMMYFUNCTION("""COMPUTED_VALUE"""),0)</f>
        <v>0</v>
      </c>
      <c r="I1706" s="45">
        <f ca="1">IFERROR(__xludf.DUMMYFUNCTION("""COMPUTED_VALUE"""),0)</f>
        <v>0</v>
      </c>
      <c r="J1706" s="45">
        <f ca="1">IFERROR(__xludf.DUMMYFUNCTION("""COMPUTED_VALUE"""),0)</f>
        <v>0</v>
      </c>
      <c r="K1706" s="45">
        <f ca="1">IFERROR(__xludf.DUMMYFUNCTION("""COMPUTED_VALUE"""),0)</f>
        <v>0</v>
      </c>
      <c r="L1706" s="45">
        <f ca="1">IFERROR(__xludf.DUMMYFUNCTION("""COMPUTED_VALUE"""),0)</f>
        <v>0</v>
      </c>
      <c r="M1706" s="45">
        <f ca="1">IFERROR(__xludf.DUMMYFUNCTION("""COMPUTED_VALUE"""),0)</f>
        <v>0</v>
      </c>
      <c r="N1706" s="45">
        <f ca="1">IFERROR(__xludf.DUMMYFUNCTION("""COMPUTED_VALUE"""),0)</f>
        <v>0</v>
      </c>
      <c r="O1706" s="45">
        <f ca="1">IFERROR(__xludf.DUMMYFUNCTION("""COMPUTED_VALUE"""),0)</f>
        <v>0</v>
      </c>
      <c r="P1706" s="45">
        <f ca="1">IFERROR(__xludf.DUMMYFUNCTION("""COMPUTED_VALUE"""),0)</f>
        <v>0</v>
      </c>
      <c r="Q1706" s="65">
        <f ca="1">IFERROR(__xludf.DUMMYFUNCTION("""COMPUTED_VALUE"""),0)</f>
        <v>0</v>
      </c>
      <c r="R1706" s="9"/>
    </row>
    <row r="1707" spans="1:18" ht="13.2" hidden="1" outlineLevel="1" x14ac:dyDescent="0.25">
      <c r="A1707" s="58"/>
      <c r="B1707" s="63" t="str">
        <f ca="1">IFERROR(__xludf.DUMMYFUNCTION("""COMPUTED_VALUE"""),"Energía Nuclear")</f>
        <v>Energía Nuclear</v>
      </c>
      <c r="C1707" s="64">
        <f ca="1">IFERROR(__xludf.DUMMYFUNCTION("""COMPUTED_VALUE"""),0)</f>
        <v>0</v>
      </c>
      <c r="D1707" s="45">
        <f ca="1">IFERROR(__xludf.DUMMYFUNCTION("""COMPUTED_VALUE"""),0)</f>
        <v>0</v>
      </c>
      <c r="E1707" s="45">
        <f ca="1">IFERROR(__xludf.DUMMYFUNCTION("""COMPUTED_VALUE"""),0)</f>
        <v>0</v>
      </c>
      <c r="F1707" s="45">
        <f ca="1">IFERROR(__xludf.DUMMYFUNCTION("""COMPUTED_VALUE"""),0)</f>
        <v>0</v>
      </c>
      <c r="G1707" s="45">
        <f ca="1">IFERROR(__xludf.DUMMYFUNCTION("""COMPUTED_VALUE"""),0)</f>
        <v>0</v>
      </c>
      <c r="H1707" s="45">
        <f ca="1">IFERROR(__xludf.DUMMYFUNCTION("""COMPUTED_VALUE"""),0)</f>
        <v>0</v>
      </c>
      <c r="I1707" s="45">
        <f ca="1">IFERROR(__xludf.DUMMYFUNCTION("""COMPUTED_VALUE"""),0)</f>
        <v>0</v>
      </c>
      <c r="J1707" s="45">
        <f ca="1">IFERROR(__xludf.DUMMYFUNCTION("""COMPUTED_VALUE"""),0)</f>
        <v>0</v>
      </c>
      <c r="K1707" s="45">
        <f ca="1">IFERROR(__xludf.DUMMYFUNCTION("""COMPUTED_VALUE"""),0)</f>
        <v>0</v>
      </c>
      <c r="L1707" s="45">
        <f ca="1">IFERROR(__xludf.DUMMYFUNCTION("""COMPUTED_VALUE"""),0)</f>
        <v>0</v>
      </c>
      <c r="M1707" s="45">
        <f ca="1">IFERROR(__xludf.DUMMYFUNCTION("""COMPUTED_VALUE"""),0)</f>
        <v>0</v>
      </c>
      <c r="N1707" s="45">
        <f ca="1">IFERROR(__xludf.DUMMYFUNCTION("""COMPUTED_VALUE"""),0)</f>
        <v>0</v>
      </c>
      <c r="O1707" s="45">
        <f ca="1">IFERROR(__xludf.DUMMYFUNCTION("""COMPUTED_VALUE"""),0)</f>
        <v>0</v>
      </c>
      <c r="P1707" s="45">
        <f ca="1">IFERROR(__xludf.DUMMYFUNCTION("""COMPUTED_VALUE"""),0)</f>
        <v>0</v>
      </c>
      <c r="Q1707" s="65">
        <f ca="1">IFERROR(__xludf.DUMMYFUNCTION("""COMPUTED_VALUE"""),0)</f>
        <v>0</v>
      </c>
      <c r="R1707" s="9"/>
    </row>
    <row r="1708" spans="1:18" ht="13.2" hidden="1" outlineLevel="1" x14ac:dyDescent="0.25">
      <c r="A1708" s="58"/>
      <c r="B1708" s="63" t="str">
        <f ca="1">IFERROR(__xludf.DUMMYFUNCTION("""COMPUTED_VALUE"""),"Energia Hidraúlica")</f>
        <v>Energia Hidraúlica</v>
      </c>
      <c r="C1708" s="64">
        <f ca="1">IFERROR(__xludf.DUMMYFUNCTION("""COMPUTED_VALUE"""),0)</f>
        <v>0</v>
      </c>
      <c r="D1708" s="45">
        <f ca="1">IFERROR(__xludf.DUMMYFUNCTION("""COMPUTED_VALUE"""),0)</f>
        <v>0</v>
      </c>
      <c r="E1708" s="45">
        <f ca="1">IFERROR(__xludf.DUMMYFUNCTION("""COMPUTED_VALUE"""),0)</f>
        <v>0</v>
      </c>
      <c r="F1708" s="45">
        <f ca="1">IFERROR(__xludf.DUMMYFUNCTION("""COMPUTED_VALUE"""),0)</f>
        <v>0</v>
      </c>
      <c r="G1708" s="45">
        <f ca="1">IFERROR(__xludf.DUMMYFUNCTION("""COMPUTED_VALUE"""),0)</f>
        <v>0</v>
      </c>
      <c r="H1708" s="45">
        <f ca="1">IFERROR(__xludf.DUMMYFUNCTION("""COMPUTED_VALUE"""),0)</f>
        <v>0</v>
      </c>
      <c r="I1708" s="45">
        <f ca="1">IFERROR(__xludf.DUMMYFUNCTION("""COMPUTED_VALUE"""),0)</f>
        <v>0</v>
      </c>
      <c r="J1708" s="45">
        <f ca="1">IFERROR(__xludf.DUMMYFUNCTION("""COMPUTED_VALUE"""),0)</f>
        <v>0</v>
      </c>
      <c r="K1708" s="45">
        <f ca="1">IFERROR(__xludf.DUMMYFUNCTION("""COMPUTED_VALUE"""),0)</f>
        <v>0</v>
      </c>
      <c r="L1708" s="45">
        <f ca="1">IFERROR(__xludf.DUMMYFUNCTION("""COMPUTED_VALUE"""),0)</f>
        <v>0</v>
      </c>
      <c r="M1708" s="45">
        <f ca="1">IFERROR(__xludf.DUMMYFUNCTION("""COMPUTED_VALUE"""),0)</f>
        <v>0</v>
      </c>
      <c r="N1708" s="45">
        <f ca="1">IFERROR(__xludf.DUMMYFUNCTION("""COMPUTED_VALUE"""),0)</f>
        <v>0</v>
      </c>
      <c r="O1708" s="45">
        <f ca="1">IFERROR(__xludf.DUMMYFUNCTION("""COMPUTED_VALUE"""),0)</f>
        <v>0</v>
      </c>
      <c r="P1708" s="45">
        <f ca="1">IFERROR(__xludf.DUMMYFUNCTION("""COMPUTED_VALUE"""),0)</f>
        <v>0</v>
      </c>
      <c r="Q1708" s="65">
        <f ca="1">IFERROR(__xludf.DUMMYFUNCTION("""COMPUTED_VALUE"""),0)</f>
        <v>0</v>
      </c>
      <c r="R1708" s="9"/>
    </row>
    <row r="1709" spans="1:18" ht="13.2" hidden="1" outlineLevel="1" x14ac:dyDescent="0.25">
      <c r="A1709" s="58"/>
      <c r="B1709" s="63" t="str">
        <f ca="1">IFERROR(__xludf.DUMMYFUNCTION("""COMPUTED_VALUE"""),"Geoenergía")</f>
        <v>Geoenergía</v>
      </c>
      <c r="C1709" s="64">
        <f ca="1">IFERROR(__xludf.DUMMYFUNCTION("""COMPUTED_VALUE"""),0)</f>
        <v>0</v>
      </c>
      <c r="D1709" s="45">
        <f ca="1">IFERROR(__xludf.DUMMYFUNCTION("""COMPUTED_VALUE"""),0)</f>
        <v>0</v>
      </c>
      <c r="E1709" s="45">
        <f ca="1">IFERROR(__xludf.DUMMYFUNCTION("""COMPUTED_VALUE"""),0)</f>
        <v>0</v>
      </c>
      <c r="F1709" s="45">
        <f ca="1">IFERROR(__xludf.DUMMYFUNCTION("""COMPUTED_VALUE"""),0)</f>
        <v>0</v>
      </c>
      <c r="G1709" s="45">
        <f ca="1">IFERROR(__xludf.DUMMYFUNCTION("""COMPUTED_VALUE"""),0)</f>
        <v>0</v>
      </c>
      <c r="H1709" s="45">
        <f ca="1">IFERROR(__xludf.DUMMYFUNCTION("""COMPUTED_VALUE"""),0)</f>
        <v>0</v>
      </c>
      <c r="I1709" s="45">
        <f ca="1">IFERROR(__xludf.DUMMYFUNCTION("""COMPUTED_VALUE"""),0)</f>
        <v>0</v>
      </c>
      <c r="J1709" s="45">
        <f ca="1">IFERROR(__xludf.DUMMYFUNCTION("""COMPUTED_VALUE"""),0)</f>
        <v>0</v>
      </c>
      <c r="K1709" s="45">
        <f ca="1">IFERROR(__xludf.DUMMYFUNCTION("""COMPUTED_VALUE"""),0)</f>
        <v>0</v>
      </c>
      <c r="L1709" s="45">
        <f ca="1">IFERROR(__xludf.DUMMYFUNCTION("""COMPUTED_VALUE"""),0)</f>
        <v>0</v>
      </c>
      <c r="M1709" s="45">
        <f ca="1">IFERROR(__xludf.DUMMYFUNCTION("""COMPUTED_VALUE"""),0)</f>
        <v>0</v>
      </c>
      <c r="N1709" s="45">
        <f ca="1">IFERROR(__xludf.DUMMYFUNCTION("""COMPUTED_VALUE"""),0)</f>
        <v>0</v>
      </c>
      <c r="O1709" s="45">
        <f ca="1">IFERROR(__xludf.DUMMYFUNCTION("""COMPUTED_VALUE"""),0)</f>
        <v>0</v>
      </c>
      <c r="P1709" s="45">
        <f ca="1">IFERROR(__xludf.DUMMYFUNCTION("""COMPUTED_VALUE"""),0)</f>
        <v>0</v>
      </c>
      <c r="Q1709" s="65">
        <f ca="1">IFERROR(__xludf.DUMMYFUNCTION("""COMPUTED_VALUE"""),0)</f>
        <v>0</v>
      </c>
      <c r="R1709" s="9"/>
    </row>
    <row r="1710" spans="1:18" ht="13.2" hidden="1" outlineLevel="1" x14ac:dyDescent="0.25">
      <c r="A1710" s="58"/>
      <c r="B1710" s="63" t="str">
        <f ca="1">IFERROR(__xludf.DUMMYFUNCTION("""COMPUTED_VALUE"""),"Energía solar")</f>
        <v>Energía solar</v>
      </c>
      <c r="C1710" s="64">
        <f ca="1">IFERROR(__xludf.DUMMYFUNCTION("""COMPUTED_VALUE"""),0)</f>
        <v>0</v>
      </c>
      <c r="D1710" s="45">
        <f ca="1">IFERROR(__xludf.DUMMYFUNCTION("""COMPUTED_VALUE"""),0)</f>
        <v>0</v>
      </c>
      <c r="E1710" s="45">
        <f ca="1">IFERROR(__xludf.DUMMYFUNCTION("""COMPUTED_VALUE"""),0)</f>
        <v>0</v>
      </c>
      <c r="F1710" s="45">
        <f ca="1">IFERROR(__xludf.DUMMYFUNCTION("""COMPUTED_VALUE"""),0)</f>
        <v>0</v>
      </c>
      <c r="G1710" s="45">
        <f ca="1">IFERROR(__xludf.DUMMYFUNCTION("""COMPUTED_VALUE"""),0)</f>
        <v>0</v>
      </c>
      <c r="H1710" s="45">
        <f ca="1">IFERROR(__xludf.DUMMYFUNCTION("""COMPUTED_VALUE"""),0)</f>
        <v>0</v>
      </c>
      <c r="I1710" s="45">
        <f ca="1">IFERROR(__xludf.DUMMYFUNCTION("""COMPUTED_VALUE"""),0)</f>
        <v>0</v>
      </c>
      <c r="J1710" s="45">
        <f ca="1">IFERROR(__xludf.DUMMYFUNCTION("""COMPUTED_VALUE"""),0)</f>
        <v>0</v>
      </c>
      <c r="K1710" s="45">
        <f ca="1">IFERROR(__xludf.DUMMYFUNCTION("""COMPUTED_VALUE"""),0)</f>
        <v>0</v>
      </c>
      <c r="L1710" s="45">
        <f ca="1">IFERROR(__xludf.DUMMYFUNCTION("""COMPUTED_VALUE"""),0)</f>
        <v>0</v>
      </c>
      <c r="M1710" s="45">
        <f ca="1">IFERROR(__xludf.DUMMYFUNCTION("""COMPUTED_VALUE"""),0)</f>
        <v>0</v>
      </c>
      <c r="N1710" s="45">
        <f ca="1">IFERROR(__xludf.DUMMYFUNCTION("""COMPUTED_VALUE"""),0)</f>
        <v>0</v>
      </c>
      <c r="O1710" s="45">
        <f ca="1">IFERROR(__xludf.DUMMYFUNCTION("""COMPUTED_VALUE"""),0)</f>
        <v>0</v>
      </c>
      <c r="P1710" s="45">
        <f ca="1">IFERROR(__xludf.DUMMYFUNCTION("""COMPUTED_VALUE"""),0)</f>
        <v>0</v>
      </c>
      <c r="Q1710" s="65">
        <f ca="1">IFERROR(__xludf.DUMMYFUNCTION("""COMPUTED_VALUE"""),0)</f>
        <v>0</v>
      </c>
      <c r="R1710" s="9"/>
    </row>
    <row r="1711" spans="1:18" ht="13.2" hidden="1" outlineLevel="1" x14ac:dyDescent="0.25">
      <c r="A1711" s="58"/>
      <c r="B1711" s="63" t="str">
        <f ca="1">IFERROR(__xludf.DUMMYFUNCTION("""COMPUTED_VALUE"""),"Energía eólica")</f>
        <v>Energía eólica</v>
      </c>
      <c r="C1711" s="64">
        <f ca="1">IFERROR(__xludf.DUMMYFUNCTION("""COMPUTED_VALUE"""),0)</f>
        <v>0</v>
      </c>
      <c r="D1711" s="45">
        <f ca="1">IFERROR(__xludf.DUMMYFUNCTION("""COMPUTED_VALUE"""),0)</f>
        <v>0</v>
      </c>
      <c r="E1711" s="45">
        <f ca="1">IFERROR(__xludf.DUMMYFUNCTION("""COMPUTED_VALUE"""),0)</f>
        <v>0</v>
      </c>
      <c r="F1711" s="45">
        <f ca="1">IFERROR(__xludf.DUMMYFUNCTION("""COMPUTED_VALUE"""),0)</f>
        <v>0</v>
      </c>
      <c r="G1711" s="45">
        <f ca="1">IFERROR(__xludf.DUMMYFUNCTION("""COMPUTED_VALUE"""),0)</f>
        <v>0</v>
      </c>
      <c r="H1711" s="45">
        <f ca="1">IFERROR(__xludf.DUMMYFUNCTION("""COMPUTED_VALUE"""),0)</f>
        <v>0</v>
      </c>
      <c r="I1711" s="45">
        <f ca="1">IFERROR(__xludf.DUMMYFUNCTION("""COMPUTED_VALUE"""),0)</f>
        <v>0</v>
      </c>
      <c r="J1711" s="45">
        <f ca="1">IFERROR(__xludf.DUMMYFUNCTION("""COMPUTED_VALUE"""),0)</f>
        <v>0</v>
      </c>
      <c r="K1711" s="45">
        <f ca="1">IFERROR(__xludf.DUMMYFUNCTION("""COMPUTED_VALUE"""),0)</f>
        <v>0</v>
      </c>
      <c r="L1711" s="45">
        <f ca="1">IFERROR(__xludf.DUMMYFUNCTION("""COMPUTED_VALUE"""),0)</f>
        <v>0</v>
      </c>
      <c r="M1711" s="45">
        <f ca="1">IFERROR(__xludf.DUMMYFUNCTION("""COMPUTED_VALUE"""),0)</f>
        <v>0</v>
      </c>
      <c r="N1711" s="45">
        <f ca="1">IFERROR(__xludf.DUMMYFUNCTION("""COMPUTED_VALUE"""),0)</f>
        <v>0</v>
      </c>
      <c r="O1711" s="45">
        <f ca="1">IFERROR(__xludf.DUMMYFUNCTION("""COMPUTED_VALUE"""),0)</f>
        <v>0</v>
      </c>
      <c r="P1711" s="45">
        <f ca="1">IFERROR(__xludf.DUMMYFUNCTION("""COMPUTED_VALUE"""),0)</f>
        <v>0</v>
      </c>
      <c r="Q1711" s="65">
        <f ca="1">IFERROR(__xludf.DUMMYFUNCTION("""COMPUTED_VALUE"""),0)</f>
        <v>0</v>
      </c>
      <c r="R1711" s="9"/>
    </row>
    <row r="1712" spans="1:18" ht="13.2" hidden="1" outlineLevel="1" x14ac:dyDescent="0.25">
      <c r="A1712" s="58"/>
      <c r="B1712" s="63" t="str">
        <f ca="1">IFERROR(__xludf.DUMMYFUNCTION("""COMPUTED_VALUE"""),"Bagazo de caña")</f>
        <v>Bagazo de caña</v>
      </c>
      <c r="C1712" s="64">
        <f ca="1">IFERROR(__xludf.DUMMYFUNCTION("""COMPUTED_VALUE"""),0)</f>
        <v>0</v>
      </c>
      <c r="D1712" s="45">
        <f ca="1">IFERROR(__xludf.DUMMYFUNCTION("""COMPUTED_VALUE"""),0)</f>
        <v>0</v>
      </c>
      <c r="E1712" s="45">
        <f ca="1">IFERROR(__xludf.DUMMYFUNCTION("""COMPUTED_VALUE"""),0)</f>
        <v>0</v>
      </c>
      <c r="F1712" s="45">
        <f ca="1">IFERROR(__xludf.DUMMYFUNCTION("""COMPUTED_VALUE"""),0)</f>
        <v>0</v>
      </c>
      <c r="G1712" s="45">
        <f ca="1">IFERROR(__xludf.DUMMYFUNCTION("""COMPUTED_VALUE"""),0)</f>
        <v>0</v>
      </c>
      <c r="H1712" s="45">
        <f ca="1">IFERROR(__xludf.DUMMYFUNCTION("""COMPUTED_VALUE"""),0)</f>
        <v>0</v>
      </c>
      <c r="I1712" s="45">
        <f ca="1">IFERROR(__xludf.DUMMYFUNCTION("""COMPUTED_VALUE"""),0)</f>
        <v>0</v>
      </c>
      <c r="J1712" s="45">
        <f ca="1">IFERROR(__xludf.DUMMYFUNCTION("""COMPUTED_VALUE"""),0)</f>
        <v>0</v>
      </c>
      <c r="K1712" s="45">
        <f ca="1">IFERROR(__xludf.DUMMYFUNCTION("""COMPUTED_VALUE"""),0)</f>
        <v>0</v>
      </c>
      <c r="L1712" s="45">
        <f ca="1">IFERROR(__xludf.DUMMYFUNCTION("""COMPUTED_VALUE"""),0)</f>
        <v>0</v>
      </c>
      <c r="M1712" s="45">
        <f ca="1">IFERROR(__xludf.DUMMYFUNCTION("""COMPUTED_VALUE"""),0)</f>
        <v>0</v>
      </c>
      <c r="N1712" s="45">
        <f ca="1">IFERROR(__xludf.DUMMYFUNCTION("""COMPUTED_VALUE"""),0)</f>
        <v>0</v>
      </c>
      <c r="O1712" s="45">
        <f ca="1">IFERROR(__xludf.DUMMYFUNCTION("""COMPUTED_VALUE"""),0)</f>
        <v>0</v>
      </c>
      <c r="P1712" s="45">
        <f ca="1">IFERROR(__xludf.DUMMYFUNCTION("""COMPUTED_VALUE"""),0)</f>
        <v>0</v>
      </c>
      <c r="Q1712" s="65">
        <f ca="1">IFERROR(__xludf.DUMMYFUNCTION("""COMPUTED_VALUE"""),0)</f>
        <v>0</v>
      </c>
      <c r="R1712" s="9"/>
    </row>
    <row r="1713" spans="1:18" ht="13.2" hidden="1" outlineLevel="1" x14ac:dyDescent="0.25">
      <c r="A1713" s="58"/>
      <c r="B1713" s="63" t="str">
        <f ca="1">IFERROR(__xludf.DUMMYFUNCTION("""COMPUTED_VALUE"""),"Leña")</f>
        <v>Leña</v>
      </c>
      <c r="C1713" s="64">
        <f ca="1">IFERROR(__xludf.DUMMYFUNCTION("""COMPUTED_VALUE"""),0)</f>
        <v>0</v>
      </c>
      <c r="D1713" s="45">
        <f ca="1">IFERROR(__xludf.DUMMYFUNCTION("""COMPUTED_VALUE"""),0)</f>
        <v>0</v>
      </c>
      <c r="E1713" s="45">
        <f ca="1">IFERROR(__xludf.DUMMYFUNCTION("""COMPUTED_VALUE"""),0)</f>
        <v>0</v>
      </c>
      <c r="F1713" s="45">
        <f ca="1">IFERROR(__xludf.DUMMYFUNCTION("""COMPUTED_VALUE"""),0)</f>
        <v>0</v>
      </c>
      <c r="G1713" s="45">
        <f ca="1">IFERROR(__xludf.DUMMYFUNCTION("""COMPUTED_VALUE"""),0)</f>
        <v>0</v>
      </c>
      <c r="H1713" s="45">
        <f ca="1">IFERROR(__xludf.DUMMYFUNCTION("""COMPUTED_VALUE"""),0)</f>
        <v>0</v>
      </c>
      <c r="I1713" s="45">
        <f ca="1">IFERROR(__xludf.DUMMYFUNCTION("""COMPUTED_VALUE"""),0)</f>
        <v>0</v>
      </c>
      <c r="J1713" s="45">
        <f ca="1">IFERROR(__xludf.DUMMYFUNCTION("""COMPUTED_VALUE"""),0)</f>
        <v>0</v>
      </c>
      <c r="K1713" s="45">
        <f ca="1">IFERROR(__xludf.DUMMYFUNCTION("""COMPUTED_VALUE"""),0)</f>
        <v>0</v>
      </c>
      <c r="L1713" s="45">
        <f ca="1">IFERROR(__xludf.DUMMYFUNCTION("""COMPUTED_VALUE"""),0)</f>
        <v>0</v>
      </c>
      <c r="M1713" s="45">
        <f ca="1">IFERROR(__xludf.DUMMYFUNCTION("""COMPUTED_VALUE"""),0)</f>
        <v>0</v>
      </c>
      <c r="N1713" s="45">
        <f ca="1">IFERROR(__xludf.DUMMYFUNCTION("""COMPUTED_VALUE"""),0)</f>
        <v>0</v>
      </c>
      <c r="O1713" s="45">
        <f ca="1">IFERROR(__xludf.DUMMYFUNCTION("""COMPUTED_VALUE"""),0)</f>
        <v>0</v>
      </c>
      <c r="P1713" s="45">
        <f ca="1">IFERROR(__xludf.DUMMYFUNCTION("""COMPUTED_VALUE"""),0)</f>
        <v>0</v>
      </c>
      <c r="Q1713" s="65">
        <f ca="1">IFERROR(__xludf.DUMMYFUNCTION("""COMPUTED_VALUE"""),0)</f>
        <v>0</v>
      </c>
      <c r="R1713" s="9"/>
    </row>
    <row r="1714" spans="1:18" ht="13.2" hidden="1" outlineLevel="1" x14ac:dyDescent="0.25">
      <c r="A1714" s="58"/>
      <c r="B1714" s="63" t="str">
        <f ca="1">IFERROR(__xludf.DUMMYFUNCTION("""COMPUTED_VALUE"""),"Biogás")</f>
        <v>Biogás</v>
      </c>
      <c r="C1714" s="64">
        <f ca="1">IFERROR(__xludf.DUMMYFUNCTION("""COMPUTED_VALUE"""),0)</f>
        <v>0</v>
      </c>
      <c r="D1714" s="45">
        <f ca="1">IFERROR(__xludf.DUMMYFUNCTION("""COMPUTED_VALUE"""),0)</f>
        <v>0</v>
      </c>
      <c r="E1714" s="45">
        <f ca="1">IFERROR(__xludf.DUMMYFUNCTION("""COMPUTED_VALUE"""),0)</f>
        <v>0</v>
      </c>
      <c r="F1714" s="45">
        <f ca="1">IFERROR(__xludf.DUMMYFUNCTION("""COMPUTED_VALUE"""),0)</f>
        <v>0</v>
      </c>
      <c r="G1714" s="45">
        <f ca="1">IFERROR(__xludf.DUMMYFUNCTION("""COMPUTED_VALUE"""),0)</f>
        <v>0</v>
      </c>
      <c r="H1714" s="45">
        <f ca="1">IFERROR(__xludf.DUMMYFUNCTION("""COMPUTED_VALUE"""),0)</f>
        <v>0</v>
      </c>
      <c r="I1714" s="45">
        <f ca="1">IFERROR(__xludf.DUMMYFUNCTION("""COMPUTED_VALUE"""),0)</f>
        <v>0</v>
      </c>
      <c r="J1714" s="45">
        <f ca="1">IFERROR(__xludf.DUMMYFUNCTION("""COMPUTED_VALUE"""),0)</f>
        <v>0</v>
      </c>
      <c r="K1714" s="45">
        <f ca="1">IFERROR(__xludf.DUMMYFUNCTION("""COMPUTED_VALUE"""),0)</f>
        <v>0</v>
      </c>
      <c r="L1714" s="45">
        <f ca="1">IFERROR(__xludf.DUMMYFUNCTION("""COMPUTED_VALUE"""),0)</f>
        <v>0</v>
      </c>
      <c r="M1714" s="45">
        <f ca="1">IFERROR(__xludf.DUMMYFUNCTION("""COMPUTED_VALUE"""),0)</f>
        <v>0</v>
      </c>
      <c r="N1714" s="45">
        <f ca="1">IFERROR(__xludf.DUMMYFUNCTION("""COMPUTED_VALUE"""),0)</f>
        <v>0</v>
      </c>
      <c r="O1714" s="45">
        <f ca="1">IFERROR(__xludf.DUMMYFUNCTION("""COMPUTED_VALUE"""),0)</f>
        <v>0</v>
      </c>
      <c r="P1714" s="45">
        <f ca="1">IFERROR(__xludf.DUMMYFUNCTION("""COMPUTED_VALUE"""),0)</f>
        <v>0</v>
      </c>
      <c r="Q1714" s="65">
        <f ca="1">IFERROR(__xludf.DUMMYFUNCTION("""COMPUTED_VALUE"""),0)</f>
        <v>0</v>
      </c>
      <c r="R1714" s="9"/>
    </row>
    <row r="1715" spans="1:18" ht="13.2" hidden="1" outlineLevel="1" x14ac:dyDescent="0.25">
      <c r="A1715" s="58"/>
      <c r="B1715" s="63" t="str">
        <f ca="1">IFERROR(__xludf.DUMMYFUNCTION("""COMPUTED_VALUE"""),"Coque de carbón")</f>
        <v>Coque de carbón</v>
      </c>
      <c r="C1715" s="64">
        <f ca="1">IFERROR(__xludf.DUMMYFUNCTION("""COMPUTED_VALUE"""),0)</f>
        <v>0</v>
      </c>
      <c r="D1715" s="45">
        <f ca="1">IFERROR(__xludf.DUMMYFUNCTION("""COMPUTED_VALUE"""),0)</f>
        <v>0</v>
      </c>
      <c r="E1715" s="45">
        <f ca="1">IFERROR(__xludf.DUMMYFUNCTION("""COMPUTED_VALUE"""),0)</f>
        <v>0</v>
      </c>
      <c r="F1715" s="45">
        <f ca="1">IFERROR(__xludf.DUMMYFUNCTION("""COMPUTED_VALUE"""),0)</f>
        <v>0</v>
      </c>
      <c r="G1715" s="45">
        <f ca="1">IFERROR(__xludf.DUMMYFUNCTION("""COMPUTED_VALUE"""),0)</f>
        <v>0</v>
      </c>
      <c r="H1715" s="45">
        <f ca="1">IFERROR(__xludf.DUMMYFUNCTION("""COMPUTED_VALUE"""),0)</f>
        <v>0</v>
      </c>
      <c r="I1715" s="45">
        <f ca="1">IFERROR(__xludf.DUMMYFUNCTION("""COMPUTED_VALUE"""),0)</f>
        <v>0</v>
      </c>
      <c r="J1715" s="45">
        <f ca="1">IFERROR(__xludf.DUMMYFUNCTION("""COMPUTED_VALUE"""),0)</f>
        <v>0</v>
      </c>
      <c r="K1715" s="45">
        <f ca="1">IFERROR(__xludf.DUMMYFUNCTION("""COMPUTED_VALUE"""),0)</f>
        <v>0</v>
      </c>
      <c r="L1715" s="45">
        <f ca="1">IFERROR(__xludf.DUMMYFUNCTION("""COMPUTED_VALUE"""),0)</f>
        <v>0</v>
      </c>
      <c r="M1715" s="45">
        <f ca="1">IFERROR(__xludf.DUMMYFUNCTION("""COMPUTED_VALUE"""),0)</f>
        <v>0</v>
      </c>
      <c r="N1715" s="45">
        <f ca="1">IFERROR(__xludf.DUMMYFUNCTION("""COMPUTED_VALUE"""),0)</f>
        <v>0</v>
      </c>
      <c r="O1715" s="45">
        <f ca="1">IFERROR(__xludf.DUMMYFUNCTION("""COMPUTED_VALUE"""),0)</f>
        <v>0</v>
      </c>
      <c r="P1715" s="45">
        <f ca="1">IFERROR(__xludf.DUMMYFUNCTION("""COMPUTED_VALUE"""),0)</f>
        <v>0</v>
      </c>
      <c r="Q1715" s="65">
        <f ca="1">IFERROR(__xludf.DUMMYFUNCTION("""COMPUTED_VALUE"""),0)</f>
        <v>0</v>
      </c>
      <c r="R1715" s="9"/>
    </row>
    <row r="1716" spans="1:18" ht="13.2" hidden="1" outlineLevel="1" x14ac:dyDescent="0.25">
      <c r="A1716" s="58"/>
      <c r="B1716" s="63" t="str">
        <f ca="1">IFERROR(__xludf.DUMMYFUNCTION("""COMPUTED_VALUE"""),"Coque de petróleo")</f>
        <v>Coque de petróleo</v>
      </c>
      <c r="C1716" s="64">
        <f ca="1">IFERROR(__xludf.DUMMYFUNCTION("""COMPUTED_VALUE"""),0)</f>
        <v>0</v>
      </c>
      <c r="D1716" s="45">
        <f ca="1">IFERROR(__xludf.DUMMYFUNCTION("""COMPUTED_VALUE"""),0)</f>
        <v>0</v>
      </c>
      <c r="E1716" s="45">
        <f ca="1">IFERROR(__xludf.DUMMYFUNCTION("""COMPUTED_VALUE"""),0)</f>
        <v>0</v>
      </c>
      <c r="F1716" s="45">
        <f ca="1">IFERROR(__xludf.DUMMYFUNCTION("""COMPUTED_VALUE"""),0)</f>
        <v>0</v>
      </c>
      <c r="G1716" s="45">
        <f ca="1">IFERROR(__xludf.DUMMYFUNCTION("""COMPUTED_VALUE"""),0)</f>
        <v>0</v>
      </c>
      <c r="H1716" s="45">
        <f ca="1">IFERROR(__xludf.DUMMYFUNCTION("""COMPUTED_VALUE"""),0)</f>
        <v>0</v>
      </c>
      <c r="I1716" s="45">
        <f ca="1">IFERROR(__xludf.DUMMYFUNCTION("""COMPUTED_VALUE"""),0)</f>
        <v>0</v>
      </c>
      <c r="J1716" s="45">
        <f ca="1">IFERROR(__xludf.DUMMYFUNCTION("""COMPUTED_VALUE"""),0)</f>
        <v>0</v>
      </c>
      <c r="K1716" s="45">
        <f ca="1">IFERROR(__xludf.DUMMYFUNCTION("""COMPUTED_VALUE"""),0)</f>
        <v>0</v>
      </c>
      <c r="L1716" s="45">
        <f ca="1">IFERROR(__xludf.DUMMYFUNCTION("""COMPUTED_VALUE"""),0)</f>
        <v>0</v>
      </c>
      <c r="M1716" s="45">
        <f ca="1">IFERROR(__xludf.DUMMYFUNCTION("""COMPUTED_VALUE"""),0)</f>
        <v>0</v>
      </c>
      <c r="N1716" s="45">
        <f ca="1">IFERROR(__xludf.DUMMYFUNCTION("""COMPUTED_VALUE"""),0)</f>
        <v>0</v>
      </c>
      <c r="O1716" s="45">
        <f ca="1">IFERROR(__xludf.DUMMYFUNCTION("""COMPUTED_VALUE"""),0)</f>
        <v>0</v>
      </c>
      <c r="P1716" s="45">
        <f ca="1">IFERROR(__xludf.DUMMYFUNCTION("""COMPUTED_VALUE"""),0)</f>
        <v>0</v>
      </c>
      <c r="Q1716" s="65">
        <f ca="1">IFERROR(__xludf.DUMMYFUNCTION("""COMPUTED_VALUE"""),0)</f>
        <v>0</v>
      </c>
      <c r="R1716" s="9"/>
    </row>
    <row r="1717" spans="1:18" ht="13.2" hidden="1" outlineLevel="1" x14ac:dyDescent="0.25">
      <c r="A1717" s="58"/>
      <c r="B1717" s="63" t="str">
        <f ca="1">IFERROR(__xludf.DUMMYFUNCTION("""COMPUTED_VALUE"""),"Gas licuado de petróleo")</f>
        <v>Gas licuado de petróleo</v>
      </c>
      <c r="C1717" s="64">
        <f ca="1">IFERROR(__xludf.DUMMYFUNCTION("""COMPUTED_VALUE"""),0)</f>
        <v>0</v>
      </c>
      <c r="D1717" s="45">
        <f ca="1">IFERROR(__xludf.DUMMYFUNCTION("""COMPUTED_VALUE"""),0)</f>
        <v>0</v>
      </c>
      <c r="E1717" s="45">
        <f ca="1">IFERROR(__xludf.DUMMYFUNCTION("""COMPUTED_VALUE"""),0)</f>
        <v>0</v>
      </c>
      <c r="F1717" s="45">
        <f ca="1">IFERROR(__xludf.DUMMYFUNCTION("""COMPUTED_VALUE"""),0)</f>
        <v>0</v>
      </c>
      <c r="G1717" s="45">
        <f ca="1">IFERROR(__xludf.DUMMYFUNCTION("""COMPUTED_VALUE"""),0)</f>
        <v>0</v>
      </c>
      <c r="H1717" s="45">
        <f ca="1">IFERROR(__xludf.DUMMYFUNCTION("""COMPUTED_VALUE"""),0)</f>
        <v>0</v>
      </c>
      <c r="I1717" s="45">
        <f ca="1">IFERROR(__xludf.DUMMYFUNCTION("""COMPUTED_VALUE"""),0)</f>
        <v>0</v>
      </c>
      <c r="J1717" s="45">
        <f ca="1">IFERROR(__xludf.DUMMYFUNCTION("""COMPUTED_VALUE"""),0)</f>
        <v>0</v>
      </c>
      <c r="K1717" s="45">
        <f ca="1">IFERROR(__xludf.DUMMYFUNCTION("""COMPUTED_VALUE"""),0)</f>
        <v>0</v>
      </c>
      <c r="L1717" s="45">
        <f ca="1">IFERROR(__xludf.DUMMYFUNCTION("""COMPUTED_VALUE"""),0)</f>
        <v>0</v>
      </c>
      <c r="M1717" s="45">
        <f ca="1">IFERROR(__xludf.DUMMYFUNCTION("""COMPUTED_VALUE"""),0)</f>
        <v>0</v>
      </c>
      <c r="N1717" s="45">
        <f ca="1">IFERROR(__xludf.DUMMYFUNCTION("""COMPUTED_VALUE"""),0)</f>
        <v>0</v>
      </c>
      <c r="O1717" s="45">
        <f ca="1">IFERROR(__xludf.DUMMYFUNCTION("""COMPUTED_VALUE"""),0)</f>
        <v>0</v>
      </c>
      <c r="P1717" s="45">
        <f ca="1">IFERROR(__xludf.DUMMYFUNCTION("""COMPUTED_VALUE"""),0)</f>
        <v>0</v>
      </c>
      <c r="Q1717" s="65">
        <f ca="1">IFERROR(__xludf.DUMMYFUNCTION("""COMPUTED_VALUE"""),0)</f>
        <v>0</v>
      </c>
      <c r="R1717" s="9"/>
    </row>
    <row r="1718" spans="1:18" ht="13.2" hidden="1" outlineLevel="1" x14ac:dyDescent="0.25">
      <c r="A1718" s="58"/>
      <c r="B1718" s="63" t="str">
        <f ca="1">IFERROR(__xludf.DUMMYFUNCTION("""COMPUTED_VALUE"""),"Gasolinas y naftas")</f>
        <v>Gasolinas y naftas</v>
      </c>
      <c r="C1718" s="64">
        <f ca="1">IFERROR(__xludf.DUMMYFUNCTION("""COMPUTED_VALUE"""),0)</f>
        <v>0</v>
      </c>
      <c r="D1718" s="45">
        <f ca="1">IFERROR(__xludf.DUMMYFUNCTION("""COMPUTED_VALUE"""),0)</f>
        <v>0</v>
      </c>
      <c r="E1718" s="45">
        <f ca="1">IFERROR(__xludf.DUMMYFUNCTION("""COMPUTED_VALUE"""),0)</f>
        <v>0</v>
      </c>
      <c r="F1718" s="45">
        <f ca="1">IFERROR(__xludf.DUMMYFUNCTION("""COMPUTED_VALUE"""),0)</f>
        <v>0</v>
      </c>
      <c r="G1718" s="45">
        <f ca="1">IFERROR(__xludf.DUMMYFUNCTION("""COMPUTED_VALUE"""),0)</f>
        <v>0</v>
      </c>
      <c r="H1718" s="45">
        <f ca="1">IFERROR(__xludf.DUMMYFUNCTION("""COMPUTED_VALUE"""),0)</f>
        <v>0</v>
      </c>
      <c r="I1718" s="45">
        <f ca="1">IFERROR(__xludf.DUMMYFUNCTION("""COMPUTED_VALUE"""),0)</f>
        <v>0</v>
      </c>
      <c r="J1718" s="45">
        <f ca="1">IFERROR(__xludf.DUMMYFUNCTION("""COMPUTED_VALUE"""),0)</f>
        <v>0</v>
      </c>
      <c r="K1718" s="45">
        <f ca="1">IFERROR(__xludf.DUMMYFUNCTION("""COMPUTED_VALUE"""),0)</f>
        <v>0</v>
      </c>
      <c r="L1718" s="45">
        <f ca="1">IFERROR(__xludf.DUMMYFUNCTION("""COMPUTED_VALUE"""),0)</f>
        <v>0</v>
      </c>
      <c r="M1718" s="45">
        <f ca="1">IFERROR(__xludf.DUMMYFUNCTION("""COMPUTED_VALUE"""),0)</f>
        <v>0</v>
      </c>
      <c r="N1718" s="45">
        <f ca="1">IFERROR(__xludf.DUMMYFUNCTION("""COMPUTED_VALUE"""),0)</f>
        <v>0</v>
      </c>
      <c r="O1718" s="45">
        <f ca="1">IFERROR(__xludf.DUMMYFUNCTION("""COMPUTED_VALUE"""),0)</f>
        <v>0</v>
      </c>
      <c r="P1718" s="45">
        <f ca="1">IFERROR(__xludf.DUMMYFUNCTION("""COMPUTED_VALUE"""),0)</f>
        <v>0</v>
      </c>
      <c r="Q1718" s="65">
        <f ca="1">IFERROR(__xludf.DUMMYFUNCTION("""COMPUTED_VALUE"""),0)</f>
        <v>0</v>
      </c>
      <c r="R1718" s="9"/>
    </row>
    <row r="1719" spans="1:18" ht="13.2" hidden="1" outlineLevel="1" x14ac:dyDescent="0.25">
      <c r="A1719" s="58"/>
      <c r="B1719" s="63" t="str">
        <f ca="1">IFERROR(__xludf.DUMMYFUNCTION("""COMPUTED_VALUE"""),"Querosenos")</f>
        <v>Querosenos</v>
      </c>
      <c r="C1719" s="64">
        <f ca="1">IFERROR(__xludf.DUMMYFUNCTION("""COMPUTED_VALUE"""),90.12)</f>
        <v>90.12</v>
      </c>
      <c r="D1719" s="45">
        <f ca="1">IFERROR(__xludf.DUMMYFUNCTION("""COMPUTED_VALUE"""),78.26)</f>
        <v>78.260000000000005</v>
      </c>
      <c r="E1719" s="45">
        <f ca="1">IFERROR(__xludf.DUMMYFUNCTION("""COMPUTED_VALUE"""),91.97)</f>
        <v>91.97</v>
      </c>
      <c r="F1719" s="45">
        <f ca="1">IFERROR(__xludf.DUMMYFUNCTION("""COMPUTED_VALUE"""),102.94)</f>
        <v>102.94</v>
      </c>
      <c r="G1719" s="45">
        <f ca="1">IFERROR(__xludf.DUMMYFUNCTION("""COMPUTED_VALUE"""),130.91)</f>
        <v>130.91</v>
      </c>
      <c r="H1719" s="45">
        <f ca="1">IFERROR(__xludf.DUMMYFUNCTION("""COMPUTED_VALUE"""),147.79)</f>
        <v>147.79</v>
      </c>
      <c r="I1719" s="45">
        <f ca="1">IFERROR(__xludf.DUMMYFUNCTION("""COMPUTED_VALUE"""),166.86)</f>
        <v>166.86</v>
      </c>
      <c r="J1719" s="45">
        <f ca="1">IFERROR(__xludf.DUMMYFUNCTION("""COMPUTED_VALUE"""),182.04)</f>
        <v>182.04</v>
      </c>
      <c r="K1719" s="45">
        <f ca="1">IFERROR(__xludf.DUMMYFUNCTION("""COMPUTED_VALUE"""),209.18)</f>
        <v>209.18</v>
      </c>
      <c r="L1719" s="45">
        <f ca="1">IFERROR(__xludf.DUMMYFUNCTION("""COMPUTED_VALUE"""),214.53)</f>
        <v>214.53</v>
      </c>
      <c r="M1719" s="45">
        <f ca="1">IFERROR(__xludf.DUMMYFUNCTION("""COMPUTED_VALUE"""),87.55)</f>
        <v>87.55</v>
      </c>
      <c r="N1719" s="45">
        <f ca="1">IFERROR(__xludf.DUMMYFUNCTION("""COMPUTED_VALUE"""),140.82)</f>
        <v>140.82</v>
      </c>
      <c r="O1719" s="45">
        <f ca="1">IFERROR(__xludf.DUMMYFUNCTION("""COMPUTED_VALUE"""),183.35)</f>
        <v>183.35</v>
      </c>
      <c r="P1719" s="45">
        <f ca="1">IFERROR(__xludf.DUMMYFUNCTION("""COMPUTED_VALUE"""),197.27)</f>
        <v>197.27</v>
      </c>
      <c r="Q1719" s="65">
        <f ca="1">IFERROR(__xludf.DUMMYFUNCTION("""COMPUTED_VALUE"""),203.23)</f>
        <v>203.23</v>
      </c>
      <c r="R1719" s="9"/>
    </row>
    <row r="1720" spans="1:18" ht="13.2" hidden="1" outlineLevel="1" x14ac:dyDescent="0.25">
      <c r="A1720" s="58"/>
      <c r="B1720" s="63" t="str">
        <f ca="1">IFERROR(__xludf.DUMMYFUNCTION("""COMPUTED_VALUE"""),"Diesel")</f>
        <v>Diesel</v>
      </c>
      <c r="C1720" s="64">
        <f ca="1">IFERROR(__xludf.DUMMYFUNCTION("""COMPUTED_VALUE"""),0)</f>
        <v>0</v>
      </c>
      <c r="D1720" s="45">
        <f ca="1">IFERROR(__xludf.DUMMYFUNCTION("""COMPUTED_VALUE"""),0)</f>
        <v>0</v>
      </c>
      <c r="E1720" s="45">
        <f ca="1">IFERROR(__xludf.DUMMYFUNCTION("""COMPUTED_VALUE"""),0)</f>
        <v>0</v>
      </c>
      <c r="F1720" s="45">
        <f ca="1">IFERROR(__xludf.DUMMYFUNCTION("""COMPUTED_VALUE"""),0)</f>
        <v>0</v>
      </c>
      <c r="G1720" s="45">
        <f ca="1">IFERROR(__xludf.DUMMYFUNCTION("""COMPUTED_VALUE"""),0)</f>
        <v>0</v>
      </c>
      <c r="H1720" s="45">
        <f ca="1">IFERROR(__xludf.DUMMYFUNCTION("""COMPUTED_VALUE"""),0)</f>
        <v>0</v>
      </c>
      <c r="I1720" s="45">
        <f ca="1">IFERROR(__xludf.DUMMYFUNCTION("""COMPUTED_VALUE"""),0)</f>
        <v>0</v>
      </c>
      <c r="J1720" s="45">
        <f ca="1">IFERROR(__xludf.DUMMYFUNCTION("""COMPUTED_VALUE"""),0)</f>
        <v>0</v>
      </c>
      <c r="K1720" s="45">
        <f ca="1">IFERROR(__xludf.DUMMYFUNCTION("""COMPUTED_VALUE"""),0)</f>
        <v>0</v>
      </c>
      <c r="L1720" s="45">
        <f ca="1">IFERROR(__xludf.DUMMYFUNCTION("""COMPUTED_VALUE"""),0)</f>
        <v>0</v>
      </c>
      <c r="M1720" s="45">
        <f ca="1">IFERROR(__xludf.DUMMYFUNCTION("""COMPUTED_VALUE"""),0)</f>
        <v>0</v>
      </c>
      <c r="N1720" s="45">
        <f ca="1">IFERROR(__xludf.DUMMYFUNCTION("""COMPUTED_VALUE"""),0)</f>
        <v>0</v>
      </c>
      <c r="O1720" s="45">
        <f ca="1">IFERROR(__xludf.DUMMYFUNCTION("""COMPUTED_VALUE"""),0)</f>
        <v>0</v>
      </c>
      <c r="P1720" s="45">
        <f ca="1">IFERROR(__xludf.DUMMYFUNCTION("""COMPUTED_VALUE"""),0)</f>
        <v>0</v>
      </c>
      <c r="Q1720" s="65">
        <f ca="1">IFERROR(__xludf.DUMMYFUNCTION("""COMPUTED_VALUE"""),0)</f>
        <v>0</v>
      </c>
      <c r="R1720" s="9"/>
    </row>
    <row r="1721" spans="1:18" ht="13.2" hidden="1" outlineLevel="1" x14ac:dyDescent="0.25">
      <c r="A1721" s="58"/>
      <c r="B1721" s="63" t="str">
        <f ca="1">IFERROR(__xludf.DUMMYFUNCTION("""COMPUTED_VALUE"""),"Combustóleo")</f>
        <v>Combustóleo</v>
      </c>
      <c r="C1721" s="64">
        <f ca="1">IFERROR(__xludf.DUMMYFUNCTION("""COMPUTED_VALUE"""),0)</f>
        <v>0</v>
      </c>
      <c r="D1721" s="45">
        <f ca="1">IFERROR(__xludf.DUMMYFUNCTION("""COMPUTED_VALUE"""),0)</f>
        <v>0</v>
      </c>
      <c r="E1721" s="45">
        <f ca="1">IFERROR(__xludf.DUMMYFUNCTION("""COMPUTED_VALUE"""),0)</f>
        <v>0</v>
      </c>
      <c r="F1721" s="45">
        <f ca="1">IFERROR(__xludf.DUMMYFUNCTION("""COMPUTED_VALUE"""),0)</f>
        <v>0</v>
      </c>
      <c r="G1721" s="45">
        <f ca="1">IFERROR(__xludf.DUMMYFUNCTION("""COMPUTED_VALUE"""),0)</f>
        <v>0</v>
      </c>
      <c r="H1721" s="45">
        <f ca="1">IFERROR(__xludf.DUMMYFUNCTION("""COMPUTED_VALUE"""),0)</f>
        <v>0</v>
      </c>
      <c r="I1721" s="45">
        <f ca="1">IFERROR(__xludf.DUMMYFUNCTION("""COMPUTED_VALUE"""),0)</f>
        <v>0</v>
      </c>
      <c r="J1721" s="45">
        <f ca="1">IFERROR(__xludf.DUMMYFUNCTION("""COMPUTED_VALUE"""),0)</f>
        <v>0</v>
      </c>
      <c r="K1721" s="45">
        <f ca="1">IFERROR(__xludf.DUMMYFUNCTION("""COMPUTED_VALUE"""),0)</f>
        <v>0</v>
      </c>
      <c r="L1721" s="45">
        <f ca="1">IFERROR(__xludf.DUMMYFUNCTION("""COMPUTED_VALUE"""),0)</f>
        <v>0</v>
      </c>
      <c r="M1721" s="45">
        <f ca="1">IFERROR(__xludf.DUMMYFUNCTION("""COMPUTED_VALUE"""),0)</f>
        <v>0</v>
      </c>
      <c r="N1721" s="45">
        <f ca="1">IFERROR(__xludf.DUMMYFUNCTION("""COMPUTED_VALUE"""),0)</f>
        <v>0</v>
      </c>
      <c r="O1721" s="45">
        <f ca="1">IFERROR(__xludf.DUMMYFUNCTION("""COMPUTED_VALUE"""),0)</f>
        <v>0</v>
      </c>
      <c r="P1721" s="45">
        <f ca="1">IFERROR(__xludf.DUMMYFUNCTION("""COMPUTED_VALUE"""),0)</f>
        <v>0</v>
      </c>
      <c r="Q1721" s="65">
        <f ca="1">IFERROR(__xludf.DUMMYFUNCTION("""COMPUTED_VALUE"""),0)</f>
        <v>0</v>
      </c>
      <c r="R1721" s="9"/>
    </row>
    <row r="1722" spans="1:18" ht="13.2" hidden="1" outlineLevel="1" x14ac:dyDescent="0.25">
      <c r="A1722" s="58"/>
      <c r="B1722" s="63" t="str">
        <f ca="1">IFERROR(__xludf.DUMMYFUNCTION("""COMPUTED_VALUE"""),"Otros energéticos")</f>
        <v>Otros energéticos</v>
      </c>
      <c r="C1722" s="64">
        <f ca="1">IFERROR(__xludf.DUMMYFUNCTION("""COMPUTED_VALUE"""),0)</f>
        <v>0</v>
      </c>
      <c r="D1722" s="45">
        <f ca="1">IFERROR(__xludf.DUMMYFUNCTION("""COMPUTED_VALUE"""),0)</f>
        <v>0</v>
      </c>
      <c r="E1722" s="45">
        <f ca="1">IFERROR(__xludf.DUMMYFUNCTION("""COMPUTED_VALUE"""),0)</f>
        <v>0</v>
      </c>
      <c r="F1722" s="45">
        <f ca="1">IFERROR(__xludf.DUMMYFUNCTION("""COMPUTED_VALUE"""),0)</f>
        <v>0</v>
      </c>
      <c r="G1722" s="45">
        <f ca="1">IFERROR(__xludf.DUMMYFUNCTION("""COMPUTED_VALUE"""),0)</f>
        <v>0</v>
      </c>
      <c r="H1722" s="45">
        <f ca="1">IFERROR(__xludf.DUMMYFUNCTION("""COMPUTED_VALUE"""),0)</f>
        <v>0</v>
      </c>
      <c r="I1722" s="45">
        <f ca="1">IFERROR(__xludf.DUMMYFUNCTION("""COMPUTED_VALUE"""),0)</f>
        <v>0</v>
      </c>
      <c r="J1722" s="45">
        <f ca="1">IFERROR(__xludf.DUMMYFUNCTION("""COMPUTED_VALUE"""),0)</f>
        <v>0</v>
      </c>
      <c r="K1722" s="45">
        <f ca="1">IFERROR(__xludf.DUMMYFUNCTION("""COMPUTED_VALUE"""),0)</f>
        <v>0</v>
      </c>
      <c r="L1722" s="45">
        <f ca="1">IFERROR(__xludf.DUMMYFUNCTION("""COMPUTED_VALUE"""),0)</f>
        <v>0</v>
      </c>
      <c r="M1722" s="45">
        <f ca="1">IFERROR(__xludf.DUMMYFUNCTION("""COMPUTED_VALUE"""),0)</f>
        <v>0</v>
      </c>
      <c r="N1722" s="45">
        <f ca="1">IFERROR(__xludf.DUMMYFUNCTION("""COMPUTED_VALUE"""),0)</f>
        <v>0</v>
      </c>
      <c r="O1722" s="45">
        <f ca="1">IFERROR(__xludf.DUMMYFUNCTION("""COMPUTED_VALUE"""),0)</f>
        <v>0</v>
      </c>
      <c r="P1722" s="45">
        <f ca="1">IFERROR(__xludf.DUMMYFUNCTION("""COMPUTED_VALUE"""),0)</f>
        <v>0</v>
      </c>
      <c r="Q1722" s="65">
        <f ca="1">IFERROR(__xludf.DUMMYFUNCTION("""COMPUTED_VALUE"""),0)</f>
        <v>0</v>
      </c>
      <c r="R1722" s="9"/>
    </row>
    <row r="1723" spans="1:18" ht="13.2" hidden="1" outlineLevel="1" x14ac:dyDescent="0.25">
      <c r="A1723" s="58"/>
      <c r="B1723" s="63" t="str">
        <f ca="1">IFERROR(__xludf.DUMMYFUNCTION("""COMPUTED_VALUE"""),"Gas natural seco")</f>
        <v>Gas natural seco</v>
      </c>
      <c r="C1723" s="64">
        <f ca="1">IFERROR(__xludf.DUMMYFUNCTION("""COMPUTED_VALUE"""),0)</f>
        <v>0</v>
      </c>
      <c r="D1723" s="45">
        <f ca="1">IFERROR(__xludf.DUMMYFUNCTION("""COMPUTED_VALUE"""),0)</f>
        <v>0</v>
      </c>
      <c r="E1723" s="45">
        <f ca="1">IFERROR(__xludf.DUMMYFUNCTION("""COMPUTED_VALUE"""),0)</f>
        <v>0</v>
      </c>
      <c r="F1723" s="45">
        <f ca="1">IFERROR(__xludf.DUMMYFUNCTION("""COMPUTED_VALUE"""),0)</f>
        <v>0</v>
      </c>
      <c r="G1723" s="45">
        <f ca="1">IFERROR(__xludf.DUMMYFUNCTION("""COMPUTED_VALUE"""),0)</f>
        <v>0</v>
      </c>
      <c r="H1723" s="45">
        <f ca="1">IFERROR(__xludf.DUMMYFUNCTION("""COMPUTED_VALUE"""),0)</f>
        <v>0</v>
      </c>
      <c r="I1723" s="45">
        <f ca="1">IFERROR(__xludf.DUMMYFUNCTION("""COMPUTED_VALUE"""),0)</f>
        <v>0</v>
      </c>
      <c r="J1723" s="45">
        <f ca="1">IFERROR(__xludf.DUMMYFUNCTION("""COMPUTED_VALUE"""),0)</f>
        <v>0</v>
      </c>
      <c r="K1723" s="45">
        <f ca="1">IFERROR(__xludf.DUMMYFUNCTION("""COMPUTED_VALUE"""),0)</f>
        <v>0</v>
      </c>
      <c r="L1723" s="45">
        <f ca="1">IFERROR(__xludf.DUMMYFUNCTION("""COMPUTED_VALUE"""),0)</f>
        <v>0</v>
      </c>
      <c r="M1723" s="45">
        <f ca="1">IFERROR(__xludf.DUMMYFUNCTION("""COMPUTED_VALUE"""),0)</f>
        <v>0</v>
      </c>
      <c r="N1723" s="45">
        <f ca="1">IFERROR(__xludf.DUMMYFUNCTION("""COMPUTED_VALUE"""),0)</f>
        <v>0</v>
      </c>
      <c r="O1723" s="45">
        <f ca="1">IFERROR(__xludf.DUMMYFUNCTION("""COMPUTED_VALUE"""),0)</f>
        <v>0</v>
      </c>
      <c r="P1723" s="45">
        <f ca="1">IFERROR(__xludf.DUMMYFUNCTION("""COMPUTED_VALUE"""),0)</f>
        <v>0</v>
      </c>
      <c r="Q1723" s="65">
        <f ca="1">IFERROR(__xludf.DUMMYFUNCTION("""COMPUTED_VALUE"""),0)</f>
        <v>0</v>
      </c>
      <c r="R1723" s="9"/>
    </row>
    <row r="1724" spans="1:18" ht="13.2" hidden="1" outlineLevel="1" x14ac:dyDescent="0.25">
      <c r="A1724" s="58"/>
      <c r="B1724" s="66" t="str">
        <f ca="1">IFERROR(__xludf.DUMMYFUNCTION("""COMPUTED_VALUE"""),"Energía eléctrica")</f>
        <v>Energía eléctrica</v>
      </c>
      <c r="C1724" s="67">
        <f ca="1">IFERROR(__xludf.DUMMYFUNCTION("""COMPUTED_VALUE"""),0)</f>
        <v>0</v>
      </c>
      <c r="D1724" s="68">
        <f ca="1">IFERROR(__xludf.DUMMYFUNCTION("""COMPUTED_VALUE"""),0)</f>
        <v>0</v>
      </c>
      <c r="E1724" s="68">
        <f ca="1">IFERROR(__xludf.DUMMYFUNCTION("""COMPUTED_VALUE"""),0)</f>
        <v>0</v>
      </c>
      <c r="F1724" s="68">
        <f ca="1">IFERROR(__xludf.DUMMYFUNCTION("""COMPUTED_VALUE"""),0)</f>
        <v>0</v>
      </c>
      <c r="G1724" s="68">
        <f ca="1">IFERROR(__xludf.DUMMYFUNCTION("""COMPUTED_VALUE"""),0)</f>
        <v>0</v>
      </c>
      <c r="H1724" s="68">
        <f ca="1">IFERROR(__xludf.DUMMYFUNCTION("""COMPUTED_VALUE"""),0)</f>
        <v>0</v>
      </c>
      <c r="I1724" s="68">
        <f ca="1">IFERROR(__xludf.DUMMYFUNCTION("""COMPUTED_VALUE"""),0)</f>
        <v>0</v>
      </c>
      <c r="J1724" s="68">
        <f ca="1">IFERROR(__xludf.DUMMYFUNCTION("""COMPUTED_VALUE"""),0)</f>
        <v>0</v>
      </c>
      <c r="K1724" s="68">
        <f ca="1">IFERROR(__xludf.DUMMYFUNCTION("""COMPUTED_VALUE"""),0)</f>
        <v>0</v>
      </c>
      <c r="L1724" s="68">
        <f ca="1">IFERROR(__xludf.DUMMYFUNCTION("""COMPUTED_VALUE"""),0)</f>
        <v>0</v>
      </c>
      <c r="M1724" s="68">
        <f ca="1">IFERROR(__xludf.DUMMYFUNCTION("""COMPUTED_VALUE"""),0)</f>
        <v>0</v>
      </c>
      <c r="N1724" s="68">
        <f ca="1">IFERROR(__xludf.DUMMYFUNCTION("""COMPUTED_VALUE"""),0)</f>
        <v>0</v>
      </c>
      <c r="O1724" s="68">
        <f ca="1">IFERROR(__xludf.DUMMYFUNCTION("""COMPUTED_VALUE"""),0)</f>
        <v>0</v>
      </c>
      <c r="P1724" s="68">
        <f ca="1">IFERROR(__xludf.DUMMYFUNCTION("""COMPUTED_VALUE"""),0)</f>
        <v>0</v>
      </c>
      <c r="Q1724" s="69">
        <f ca="1">IFERROR(__xludf.DUMMYFUNCTION("""COMPUTED_VALUE"""),0)</f>
        <v>0</v>
      </c>
      <c r="R1724" s="9"/>
    </row>
    <row r="1725" spans="1:18" ht="13.2" hidden="1" outlineLevel="1" x14ac:dyDescent="0.25">
      <c r="A1725" s="1"/>
      <c r="B1725" s="2"/>
      <c r="C1725" s="70"/>
      <c r="D1725" s="70"/>
      <c r="E1725" s="70"/>
      <c r="F1725" s="70"/>
      <c r="G1725" s="70"/>
      <c r="H1725" s="70"/>
      <c r="I1725" s="70"/>
      <c r="J1725" s="70"/>
      <c r="K1725" s="70"/>
      <c r="L1725" s="70"/>
      <c r="M1725" s="70"/>
      <c r="N1725" s="70"/>
      <c r="O1725" s="70"/>
      <c r="P1725" s="70"/>
      <c r="Q1725" s="70"/>
      <c r="R1725" s="1"/>
    </row>
    <row r="1726" spans="1:18" ht="15.6" collapsed="1" x14ac:dyDescent="0.3">
      <c r="A1726" s="47"/>
      <c r="B1726" s="48" t="str">
        <f ca="1">IFERROR(__xludf.DUMMYFUNCTION("""COMPUTED_VALUE"""),"Marítimo")</f>
        <v>Marítimo</v>
      </c>
      <c r="C1726" s="49"/>
      <c r="D1726" s="49"/>
      <c r="E1726" s="49"/>
      <c r="F1726" s="49"/>
      <c r="G1726" s="49"/>
      <c r="H1726" s="49"/>
      <c r="I1726" s="49"/>
      <c r="J1726" s="49"/>
      <c r="K1726" s="49"/>
      <c r="L1726" s="49"/>
      <c r="M1726" s="49"/>
      <c r="N1726" s="49"/>
      <c r="O1726" s="49"/>
      <c r="P1726" s="49"/>
      <c r="Q1726" s="50"/>
      <c r="R1726" s="51"/>
    </row>
    <row r="1727" spans="1:18" ht="13.2" hidden="1" outlineLevel="1" x14ac:dyDescent="0.25">
      <c r="A1727" s="52"/>
      <c r="B1727" s="53"/>
      <c r="C1727" s="54">
        <f ca="1">IFERROR(__xludf.DUMMYFUNCTION("""COMPUTED_VALUE"""),2010)</f>
        <v>2010</v>
      </c>
      <c r="D1727" s="55">
        <f ca="1">IFERROR(__xludf.DUMMYFUNCTION("""COMPUTED_VALUE"""),2011)</f>
        <v>2011</v>
      </c>
      <c r="E1727" s="55">
        <f ca="1">IFERROR(__xludf.DUMMYFUNCTION("""COMPUTED_VALUE"""),2012)</f>
        <v>2012</v>
      </c>
      <c r="F1727" s="55">
        <f ca="1">IFERROR(__xludf.DUMMYFUNCTION("""COMPUTED_VALUE"""),2013)</f>
        <v>2013</v>
      </c>
      <c r="G1727" s="55">
        <f ca="1">IFERROR(__xludf.DUMMYFUNCTION("""COMPUTED_VALUE"""),2014)</f>
        <v>2014</v>
      </c>
      <c r="H1727" s="55">
        <f ca="1">IFERROR(__xludf.DUMMYFUNCTION("""COMPUTED_VALUE"""),2015)</f>
        <v>2015</v>
      </c>
      <c r="I1727" s="55">
        <f ca="1">IFERROR(__xludf.DUMMYFUNCTION("""COMPUTED_VALUE"""),2016)</f>
        <v>2016</v>
      </c>
      <c r="J1727" s="55">
        <f ca="1">IFERROR(__xludf.DUMMYFUNCTION("""COMPUTED_VALUE"""),2017)</f>
        <v>2017</v>
      </c>
      <c r="K1727" s="55">
        <f ca="1">IFERROR(__xludf.DUMMYFUNCTION("""COMPUTED_VALUE"""),2018)</f>
        <v>2018</v>
      </c>
      <c r="L1727" s="55">
        <f ca="1">IFERROR(__xludf.DUMMYFUNCTION("""COMPUTED_VALUE"""),2019)</f>
        <v>2019</v>
      </c>
      <c r="M1727" s="55">
        <f ca="1">IFERROR(__xludf.DUMMYFUNCTION("""COMPUTED_VALUE"""),2020)</f>
        <v>2020</v>
      </c>
      <c r="N1727" s="55">
        <f ca="1">IFERROR(__xludf.DUMMYFUNCTION("""COMPUTED_VALUE"""),2021)</f>
        <v>2021</v>
      </c>
      <c r="O1727" s="55">
        <f ca="1">IFERROR(__xludf.DUMMYFUNCTION("""COMPUTED_VALUE"""),2022)</f>
        <v>2022</v>
      </c>
      <c r="P1727" s="55">
        <f ca="1">IFERROR(__xludf.DUMMYFUNCTION("""COMPUTED_VALUE"""),2023)</f>
        <v>2023</v>
      </c>
      <c r="Q1727" s="56">
        <f ca="1">IFERROR(__xludf.DUMMYFUNCTION("""COMPUTED_VALUE"""),2024)</f>
        <v>2024</v>
      </c>
      <c r="R1727" s="57"/>
    </row>
    <row r="1728" spans="1:18" ht="13.2" hidden="1" outlineLevel="1" x14ac:dyDescent="0.25">
      <c r="A1728" s="58"/>
      <c r="B1728" s="59" t="str">
        <f ca="1">IFERROR(__xludf.DUMMYFUNCTION("""COMPUTED_VALUE"""),"Carbón mineral")</f>
        <v>Carbón mineral</v>
      </c>
      <c r="C1728" s="60">
        <f ca="1">IFERROR(__xludf.DUMMYFUNCTION("""COMPUTED_VALUE"""),0)</f>
        <v>0</v>
      </c>
      <c r="D1728" s="61">
        <f ca="1">IFERROR(__xludf.DUMMYFUNCTION("""COMPUTED_VALUE"""),0)</f>
        <v>0</v>
      </c>
      <c r="E1728" s="61">
        <f ca="1">IFERROR(__xludf.DUMMYFUNCTION("""COMPUTED_VALUE"""),0)</f>
        <v>0</v>
      </c>
      <c r="F1728" s="61">
        <f ca="1">IFERROR(__xludf.DUMMYFUNCTION("""COMPUTED_VALUE"""),0)</f>
        <v>0</v>
      </c>
      <c r="G1728" s="61">
        <f ca="1">IFERROR(__xludf.DUMMYFUNCTION("""COMPUTED_VALUE"""),0)</f>
        <v>0</v>
      </c>
      <c r="H1728" s="61">
        <f ca="1">IFERROR(__xludf.DUMMYFUNCTION("""COMPUTED_VALUE"""),0)</f>
        <v>0</v>
      </c>
      <c r="I1728" s="61">
        <f ca="1">IFERROR(__xludf.DUMMYFUNCTION("""COMPUTED_VALUE"""),0)</f>
        <v>0</v>
      </c>
      <c r="J1728" s="61">
        <f ca="1">IFERROR(__xludf.DUMMYFUNCTION("""COMPUTED_VALUE"""),0)</f>
        <v>0</v>
      </c>
      <c r="K1728" s="61">
        <f ca="1">IFERROR(__xludf.DUMMYFUNCTION("""COMPUTED_VALUE"""),0)</f>
        <v>0</v>
      </c>
      <c r="L1728" s="61">
        <f ca="1">IFERROR(__xludf.DUMMYFUNCTION("""COMPUTED_VALUE"""),0)</f>
        <v>0</v>
      </c>
      <c r="M1728" s="61">
        <f ca="1">IFERROR(__xludf.DUMMYFUNCTION("""COMPUTED_VALUE"""),0)</f>
        <v>0</v>
      </c>
      <c r="N1728" s="61">
        <f ca="1">IFERROR(__xludf.DUMMYFUNCTION("""COMPUTED_VALUE"""),0)</f>
        <v>0</v>
      </c>
      <c r="O1728" s="61">
        <f ca="1">IFERROR(__xludf.DUMMYFUNCTION("""COMPUTED_VALUE"""),0)</f>
        <v>0</v>
      </c>
      <c r="P1728" s="61">
        <f ca="1">IFERROR(__xludf.DUMMYFUNCTION("""COMPUTED_VALUE"""),0)</f>
        <v>0</v>
      </c>
      <c r="Q1728" s="62">
        <f ca="1">IFERROR(__xludf.DUMMYFUNCTION("""COMPUTED_VALUE"""),0)</f>
        <v>0</v>
      </c>
      <c r="R1728" s="9"/>
    </row>
    <row r="1729" spans="1:18" ht="13.2" hidden="1" outlineLevel="1" x14ac:dyDescent="0.25">
      <c r="A1729" s="58"/>
      <c r="B1729" s="63" t="str">
        <f ca="1">IFERROR(__xludf.DUMMYFUNCTION("""COMPUTED_VALUE"""),"Petróleo crudo")</f>
        <v>Petróleo crudo</v>
      </c>
      <c r="C1729" s="64">
        <f ca="1">IFERROR(__xludf.DUMMYFUNCTION("""COMPUTED_VALUE"""),0)</f>
        <v>0</v>
      </c>
      <c r="D1729" s="45">
        <f ca="1">IFERROR(__xludf.DUMMYFUNCTION("""COMPUTED_VALUE"""),0)</f>
        <v>0</v>
      </c>
      <c r="E1729" s="45">
        <f ca="1">IFERROR(__xludf.DUMMYFUNCTION("""COMPUTED_VALUE"""),0)</f>
        <v>0</v>
      </c>
      <c r="F1729" s="45">
        <f ca="1">IFERROR(__xludf.DUMMYFUNCTION("""COMPUTED_VALUE"""),0)</f>
        <v>0</v>
      </c>
      <c r="G1729" s="45">
        <f ca="1">IFERROR(__xludf.DUMMYFUNCTION("""COMPUTED_VALUE"""),0)</f>
        <v>0</v>
      </c>
      <c r="H1729" s="45">
        <f ca="1">IFERROR(__xludf.DUMMYFUNCTION("""COMPUTED_VALUE"""),0)</f>
        <v>0</v>
      </c>
      <c r="I1729" s="45">
        <f ca="1">IFERROR(__xludf.DUMMYFUNCTION("""COMPUTED_VALUE"""),0)</f>
        <v>0</v>
      </c>
      <c r="J1729" s="45">
        <f ca="1">IFERROR(__xludf.DUMMYFUNCTION("""COMPUTED_VALUE"""),0)</f>
        <v>0</v>
      </c>
      <c r="K1729" s="45">
        <f ca="1">IFERROR(__xludf.DUMMYFUNCTION("""COMPUTED_VALUE"""),0)</f>
        <v>0</v>
      </c>
      <c r="L1729" s="45">
        <f ca="1">IFERROR(__xludf.DUMMYFUNCTION("""COMPUTED_VALUE"""),0)</f>
        <v>0</v>
      </c>
      <c r="M1729" s="45">
        <f ca="1">IFERROR(__xludf.DUMMYFUNCTION("""COMPUTED_VALUE"""),0)</f>
        <v>0</v>
      </c>
      <c r="N1729" s="45">
        <f ca="1">IFERROR(__xludf.DUMMYFUNCTION("""COMPUTED_VALUE"""),0)</f>
        <v>0</v>
      </c>
      <c r="O1729" s="45">
        <f ca="1">IFERROR(__xludf.DUMMYFUNCTION("""COMPUTED_VALUE"""),0)</f>
        <v>0</v>
      </c>
      <c r="P1729" s="45">
        <f ca="1">IFERROR(__xludf.DUMMYFUNCTION("""COMPUTED_VALUE"""),0)</f>
        <v>0</v>
      </c>
      <c r="Q1729" s="65">
        <f ca="1">IFERROR(__xludf.DUMMYFUNCTION("""COMPUTED_VALUE"""),0)</f>
        <v>0</v>
      </c>
      <c r="R1729" s="9"/>
    </row>
    <row r="1730" spans="1:18" ht="13.2" hidden="1" outlineLevel="1" x14ac:dyDescent="0.25">
      <c r="A1730" s="58"/>
      <c r="B1730" s="63" t="str">
        <f ca="1">IFERROR(__xludf.DUMMYFUNCTION("""COMPUTED_VALUE"""),"Condensados")</f>
        <v>Condensados</v>
      </c>
      <c r="C1730" s="64">
        <f ca="1">IFERROR(__xludf.DUMMYFUNCTION("""COMPUTED_VALUE"""),0)</f>
        <v>0</v>
      </c>
      <c r="D1730" s="45">
        <f ca="1">IFERROR(__xludf.DUMMYFUNCTION("""COMPUTED_VALUE"""),0)</f>
        <v>0</v>
      </c>
      <c r="E1730" s="45">
        <f ca="1">IFERROR(__xludf.DUMMYFUNCTION("""COMPUTED_VALUE"""),0)</f>
        <v>0</v>
      </c>
      <c r="F1730" s="45">
        <f ca="1">IFERROR(__xludf.DUMMYFUNCTION("""COMPUTED_VALUE"""),0)</f>
        <v>0</v>
      </c>
      <c r="G1730" s="45">
        <f ca="1">IFERROR(__xludf.DUMMYFUNCTION("""COMPUTED_VALUE"""),0)</f>
        <v>0</v>
      </c>
      <c r="H1730" s="45">
        <f ca="1">IFERROR(__xludf.DUMMYFUNCTION("""COMPUTED_VALUE"""),0)</f>
        <v>0</v>
      </c>
      <c r="I1730" s="45">
        <f ca="1">IFERROR(__xludf.DUMMYFUNCTION("""COMPUTED_VALUE"""),0)</f>
        <v>0</v>
      </c>
      <c r="J1730" s="45">
        <f ca="1">IFERROR(__xludf.DUMMYFUNCTION("""COMPUTED_VALUE"""),0)</f>
        <v>0</v>
      </c>
      <c r="K1730" s="45">
        <f ca="1">IFERROR(__xludf.DUMMYFUNCTION("""COMPUTED_VALUE"""),0)</f>
        <v>0</v>
      </c>
      <c r="L1730" s="45">
        <f ca="1">IFERROR(__xludf.DUMMYFUNCTION("""COMPUTED_VALUE"""),0)</f>
        <v>0</v>
      </c>
      <c r="M1730" s="45">
        <f ca="1">IFERROR(__xludf.DUMMYFUNCTION("""COMPUTED_VALUE"""),0)</f>
        <v>0</v>
      </c>
      <c r="N1730" s="45">
        <f ca="1">IFERROR(__xludf.DUMMYFUNCTION("""COMPUTED_VALUE"""),0)</f>
        <v>0</v>
      </c>
      <c r="O1730" s="45">
        <f ca="1">IFERROR(__xludf.DUMMYFUNCTION("""COMPUTED_VALUE"""),0)</f>
        <v>0</v>
      </c>
      <c r="P1730" s="45">
        <f ca="1">IFERROR(__xludf.DUMMYFUNCTION("""COMPUTED_VALUE"""),0)</f>
        <v>0</v>
      </c>
      <c r="Q1730" s="65">
        <f ca="1">IFERROR(__xludf.DUMMYFUNCTION("""COMPUTED_VALUE"""),0)</f>
        <v>0</v>
      </c>
      <c r="R1730" s="9"/>
    </row>
    <row r="1731" spans="1:18" ht="13.2" hidden="1" outlineLevel="1" x14ac:dyDescent="0.25">
      <c r="A1731" s="58"/>
      <c r="B1731" s="63" t="str">
        <f ca="1">IFERROR(__xludf.DUMMYFUNCTION("""COMPUTED_VALUE"""),"Gas natural")</f>
        <v>Gas natural</v>
      </c>
      <c r="C1731" s="64">
        <f ca="1">IFERROR(__xludf.DUMMYFUNCTION("""COMPUTED_VALUE"""),0)</f>
        <v>0</v>
      </c>
      <c r="D1731" s="45">
        <f ca="1">IFERROR(__xludf.DUMMYFUNCTION("""COMPUTED_VALUE"""),0)</f>
        <v>0</v>
      </c>
      <c r="E1731" s="45">
        <f ca="1">IFERROR(__xludf.DUMMYFUNCTION("""COMPUTED_VALUE"""),0)</f>
        <v>0</v>
      </c>
      <c r="F1731" s="45">
        <f ca="1">IFERROR(__xludf.DUMMYFUNCTION("""COMPUTED_VALUE"""),0)</f>
        <v>0</v>
      </c>
      <c r="G1731" s="45">
        <f ca="1">IFERROR(__xludf.DUMMYFUNCTION("""COMPUTED_VALUE"""),0)</f>
        <v>0</v>
      </c>
      <c r="H1731" s="45">
        <f ca="1">IFERROR(__xludf.DUMMYFUNCTION("""COMPUTED_VALUE"""),0)</f>
        <v>0</v>
      </c>
      <c r="I1731" s="45">
        <f ca="1">IFERROR(__xludf.DUMMYFUNCTION("""COMPUTED_VALUE"""),0)</f>
        <v>0</v>
      </c>
      <c r="J1731" s="45">
        <f ca="1">IFERROR(__xludf.DUMMYFUNCTION("""COMPUTED_VALUE"""),0)</f>
        <v>0</v>
      </c>
      <c r="K1731" s="45">
        <f ca="1">IFERROR(__xludf.DUMMYFUNCTION("""COMPUTED_VALUE"""),0)</f>
        <v>0</v>
      </c>
      <c r="L1731" s="45">
        <f ca="1">IFERROR(__xludf.DUMMYFUNCTION("""COMPUTED_VALUE"""),0)</f>
        <v>0</v>
      </c>
      <c r="M1731" s="45">
        <f ca="1">IFERROR(__xludf.DUMMYFUNCTION("""COMPUTED_VALUE"""),0)</f>
        <v>0</v>
      </c>
      <c r="N1731" s="45">
        <f ca="1">IFERROR(__xludf.DUMMYFUNCTION("""COMPUTED_VALUE"""),0)</f>
        <v>0</v>
      </c>
      <c r="O1731" s="45">
        <f ca="1">IFERROR(__xludf.DUMMYFUNCTION("""COMPUTED_VALUE"""),0)</f>
        <v>0</v>
      </c>
      <c r="P1731" s="45">
        <f ca="1">IFERROR(__xludf.DUMMYFUNCTION("""COMPUTED_VALUE"""),0)</f>
        <v>0</v>
      </c>
      <c r="Q1731" s="65">
        <f ca="1">IFERROR(__xludf.DUMMYFUNCTION("""COMPUTED_VALUE"""),0)</f>
        <v>0</v>
      </c>
      <c r="R1731" s="9"/>
    </row>
    <row r="1732" spans="1:18" ht="13.2" hidden="1" outlineLevel="1" x14ac:dyDescent="0.25">
      <c r="A1732" s="58"/>
      <c r="B1732" s="63" t="str">
        <f ca="1">IFERROR(__xludf.DUMMYFUNCTION("""COMPUTED_VALUE"""),"Energía Nuclear")</f>
        <v>Energía Nuclear</v>
      </c>
      <c r="C1732" s="64">
        <f ca="1">IFERROR(__xludf.DUMMYFUNCTION("""COMPUTED_VALUE"""),0)</f>
        <v>0</v>
      </c>
      <c r="D1732" s="45">
        <f ca="1">IFERROR(__xludf.DUMMYFUNCTION("""COMPUTED_VALUE"""),0)</f>
        <v>0</v>
      </c>
      <c r="E1732" s="45">
        <f ca="1">IFERROR(__xludf.DUMMYFUNCTION("""COMPUTED_VALUE"""),0)</f>
        <v>0</v>
      </c>
      <c r="F1732" s="45">
        <f ca="1">IFERROR(__xludf.DUMMYFUNCTION("""COMPUTED_VALUE"""),0)</f>
        <v>0</v>
      </c>
      <c r="G1732" s="45">
        <f ca="1">IFERROR(__xludf.DUMMYFUNCTION("""COMPUTED_VALUE"""),0)</f>
        <v>0</v>
      </c>
      <c r="H1732" s="45">
        <f ca="1">IFERROR(__xludf.DUMMYFUNCTION("""COMPUTED_VALUE"""),0)</f>
        <v>0</v>
      </c>
      <c r="I1732" s="45">
        <f ca="1">IFERROR(__xludf.DUMMYFUNCTION("""COMPUTED_VALUE"""),0)</f>
        <v>0</v>
      </c>
      <c r="J1732" s="45">
        <f ca="1">IFERROR(__xludf.DUMMYFUNCTION("""COMPUTED_VALUE"""),0)</f>
        <v>0</v>
      </c>
      <c r="K1732" s="45">
        <f ca="1">IFERROR(__xludf.DUMMYFUNCTION("""COMPUTED_VALUE"""),0)</f>
        <v>0</v>
      </c>
      <c r="L1732" s="45">
        <f ca="1">IFERROR(__xludf.DUMMYFUNCTION("""COMPUTED_VALUE"""),0)</f>
        <v>0</v>
      </c>
      <c r="M1732" s="45">
        <f ca="1">IFERROR(__xludf.DUMMYFUNCTION("""COMPUTED_VALUE"""),0)</f>
        <v>0</v>
      </c>
      <c r="N1732" s="45">
        <f ca="1">IFERROR(__xludf.DUMMYFUNCTION("""COMPUTED_VALUE"""),0)</f>
        <v>0</v>
      </c>
      <c r="O1732" s="45">
        <f ca="1">IFERROR(__xludf.DUMMYFUNCTION("""COMPUTED_VALUE"""),0)</f>
        <v>0</v>
      </c>
      <c r="P1732" s="45">
        <f ca="1">IFERROR(__xludf.DUMMYFUNCTION("""COMPUTED_VALUE"""),0)</f>
        <v>0</v>
      </c>
      <c r="Q1732" s="65">
        <f ca="1">IFERROR(__xludf.DUMMYFUNCTION("""COMPUTED_VALUE"""),0)</f>
        <v>0</v>
      </c>
      <c r="R1732" s="9"/>
    </row>
    <row r="1733" spans="1:18" ht="13.2" hidden="1" outlineLevel="1" x14ac:dyDescent="0.25">
      <c r="A1733" s="58"/>
      <c r="B1733" s="63" t="str">
        <f ca="1">IFERROR(__xludf.DUMMYFUNCTION("""COMPUTED_VALUE"""),"Energia Hidraúlica")</f>
        <v>Energia Hidraúlica</v>
      </c>
      <c r="C1733" s="64">
        <f ca="1">IFERROR(__xludf.DUMMYFUNCTION("""COMPUTED_VALUE"""),0)</f>
        <v>0</v>
      </c>
      <c r="D1733" s="45">
        <f ca="1">IFERROR(__xludf.DUMMYFUNCTION("""COMPUTED_VALUE"""),0)</f>
        <v>0</v>
      </c>
      <c r="E1733" s="45">
        <f ca="1">IFERROR(__xludf.DUMMYFUNCTION("""COMPUTED_VALUE"""),0)</f>
        <v>0</v>
      </c>
      <c r="F1733" s="45">
        <f ca="1">IFERROR(__xludf.DUMMYFUNCTION("""COMPUTED_VALUE"""),0)</f>
        <v>0</v>
      </c>
      <c r="G1733" s="45">
        <f ca="1">IFERROR(__xludf.DUMMYFUNCTION("""COMPUTED_VALUE"""),0)</f>
        <v>0</v>
      </c>
      <c r="H1733" s="45">
        <f ca="1">IFERROR(__xludf.DUMMYFUNCTION("""COMPUTED_VALUE"""),0)</f>
        <v>0</v>
      </c>
      <c r="I1733" s="45">
        <f ca="1">IFERROR(__xludf.DUMMYFUNCTION("""COMPUTED_VALUE"""),0)</f>
        <v>0</v>
      </c>
      <c r="J1733" s="45">
        <f ca="1">IFERROR(__xludf.DUMMYFUNCTION("""COMPUTED_VALUE"""),0)</f>
        <v>0</v>
      </c>
      <c r="K1733" s="45">
        <f ca="1">IFERROR(__xludf.DUMMYFUNCTION("""COMPUTED_VALUE"""),0)</f>
        <v>0</v>
      </c>
      <c r="L1733" s="45">
        <f ca="1">IFERROR(__xludf.DUMMYFUNCTION("""COMPUTED_VALUE"""),0)</f>
        <v>0</v>
      </c>
      <c r="M1733" s="45">
        <f ca="1">IFERROR(__xludf.DUMMYFUNCTION("""COMPUTED_VALUE"""),0)</f>
        <v>0</v>
      </c>
      <c r="N1733" s="45">
        <f ca="1">IFERROR(__xludf.DUMMYFUNCTION("""COMPUTED_VALUE"""),0)</f>
        <v>0</v>
      </c>
      <c r="O1733" s="45">
        <f ca="1">IFERROR(__xludf.DUMMYFUNCTION("""COMPUTED_VALUE"""),0)</f>
        <v>0</v>
      </c>
      <c r="P1733" s="45">
        <f ca="1">IFERROR(__xludf.DUMMYFUNCTION("""COMPUTED_VALUE"""),0)</f>
        <v>0</v>
      </c>
      <c r="Q1733" s="65">
        <f ca="1">IFERROR(__xludf.DUMMYFUNCTION("""COMPUTED_VALUE"""),0)</f>
        <v>0</v>
      </c>
      <c r="R1733" s="9"/>
    </row>
    <row r="1734" spans="1:18" ht="13.2" hidden="1" outlineLevel="1" x14ac:dyDescent="0.25">
      <c r="A1734" s="58"/>
      <c r="B1734" s="63" t="str">
        <f ca="1">IFERROR(__xludf.DUMMYFUNCTION("""COMPUTED_VALUE"""),"Geoenergía")</f>
        <v>Geoenergía</v>
      </c>
      <c r="C1734" s="64">
        <f ca="1">IFERROR(__xludf.DUMMYFUNCTION("""COMPUTED_VALUE"""),0)</f>
        <v>0</v>
      </c>
      <c r="D1734" s="45">
        <f ca="1">IFERROR(__xludf.DUMMYFUNCTION("""COMPUTED_VALUE"""),0)</f>
        <v>0</v>
      </c>
      <c r="E1734" s="45">
        <f ca="1">IFERROR(__xludf.DUMMYFUNCTION("""COMPUTED_VALUE"""),0)</f>
        <v>0</v>
      </c>
      <c r="F1734" s="45">
        <f ca="1">IFERROR(__xludf.DUMMYFUNCTION("""COMPUTED_VALUE"""),0)</f>
        <v>0</v>
      </c>
      <c r="G1734" s="45">
        <f ca="1">IFERROR(__xludf.DUMMYFUNCTION("""COMPUTED_VALUE"""),0)</f>
        <v>0</v>
      </c>
      <c r="H1734" s="45">
        <f ca="1">IFERROR(__xludf.DUMMYFUNCTION("""COMPUTED_VALUE"""),0)</f>
        <v>0</v>
      </c>
      <c r="I1734" s="45">
        <f ca="1">IFERROR(__xludf.DUMMYFUNCTION("""COMPUTED_VALUE"""),0)</f>
        <v>0</v>
      </c>
      <c r="J1734" s="45">
        <f ca="1">IFERROR(__xludf.DUMMYFUNCTION("""COMPUTED_VALUE"""),0)</f>
        <v>0</v>
      </c>
      <c r="K1734" s="45">
        <f ca="1">IFERROR(__xludf.DUMMYFUNCTION("""COMPUTED_VALUE"""),0)</f>
        <v>0</v>
      </c>
      <c r="L1734" s="45">
        <f ca="1">IFERROR(__xludf.DUMMYFUNCTION("""COMPUTED_VALUE"""),0)</f>
        <v>0</v>
      </c>
      <c r="M1734" s="45">
        <f ca="1">IFERROR(__xludf.DUMMYFUNCTION("""COMPUTED_VALUE"""),0)</f>
        <v>0</v>
      </c>
      <c r="N1734" s="45">
        <f ca="1">IFERROR(__xludf.DUMMYFUNCTION("""COMPUTED_VALUE"""),0)</f>
        <v>0</v>
      </c>
      <c r="O1734" s="45">
        <f ca="1">IFERROR(__xludf.DUMMYFUNCTION("""COMPUTED_VALUE"""),0)</f>
        <v>0</v>
      </c>
      <c r="P1734" s="45">
        <f ca="1">IFERROR(__xludf.DUMMYFUNCTION("""COMPUTED_VALUE"""),0)</f>
        <v>0</v>
      </c>
      <c r="Q1734" s="65">
        <f ca="1">IFERROR(__xludf.DUMMYFUNCTION("""COMPUTED_VALUE"""),0)</f>
        <v>0</v>
      </c>
      <c r="R1734" s="9"/>
    </row>
    <row r="1735" spans="1:18" ht="13.2" hidden="1" outlineLevel="1" x14ac:dyDescent="0.25">
      <c r="A1735" s="58"/>
      <c r="B1735" s="63" t="str">
        <f ca="1">IFERROR(__xludf.DUMMYFUNCTION("""COMPUTED_VALUE"""),"Energía solar")</f>
        <v>Energía solar</v>
      </c>
      <c r="C1735" s="64">
        <f ca="1">IFERROR(__xludf.DUMMYFUNCTION("""COMPUTED_VALUE"""),0)</f>
        <v>0</v>
      </c>
      <c r="D1735" s="45">
        <f ca="1">IFERROR(__xludf.DUMMYFUNCTION("""COMPUTED_VALUE"""),0)</f>
        <v>0</v>
      </c>
      <c r="E1735" s="45">
        <f ca="1">IFERROR(__xludf.DUMMYFUNCTION("""COMPUTED_VALUE"""),0)</f>
        <v>0</v>
      </c>
      <c r="F1735" s="45">
        <f ca="1">IFERROR(__xludf.DUMMYFUNCTION("""COMPUTED_VALUE"""),0)</f>
        <v>0</v>
      </c>
      <c r="G1735" s="45">
        <f ca="1">IFERROR(__xludf.DUMMYFUNCTION("""COMPUTED_VALUE"""),0)</f>
        <v>0</v>
      </c>
      <c r="H1735" s="45">
        <f ca="1">IFERROR(__xludf.DUMMYFUNCTION("""COMPUTED_VALUE"""),0)</f>
        <v>0</v>
      </c>
      <c r="I1735" s="45">
        <f ca="1">IFERROR(__xludf.DUMMYFUNCTION("""COMPUTED_VALUE"""),0)</f>
        <v>0</v>
      </c>
      <c r="J1735" s="45">
        <f ca="1">IFERROR(__xludf.DUMMYFUNCTION("""COMPUTED_VALUE"""),0)</f>
        <v>0</v>
      </c>
      <c r="K1735" s="45">
        <f ca="1">IFERROR(__xludf.DUMMYFUNCTION("""COMPUTED_VALUE"""),0)</f>
        <v>0</v>
      </c>
      <c r="L1735" s="45">
        <f ca="1">IFERROR(__xludf.DUMMYFUNCTION("""COMPUTED_VALUE"""),0)</f>
        <v>0</v>
      </c>
      <c r="M1735" s="45">
        <f ca="1">IFERROR(__xludf.DUMMYFUNCTION("""COMPUTED_VALUE"""),0)</f>
        <v>0</v>
      </c>
      <c r="N1735" s="45">
        <f ca="1">IFERROR(__xludf.DUMMYFUNCTION("""COMPUTED_VALUE"""),0)</f>
        <v>0</v>
      </c>
      <c r="O1735" s="45">
        <f ca="1">IFERROR(__xludf.DUMMYFUNCTION("""COMPUTED_VALUE"""),0)</f>
        <v>0</v>
      </c>
      <c r="P1735" s="45">
        <f ca="1">IFERROR(__xludf.DUMMYFUNCTION("""COMPUTED_VALUE"""),0)</f>
        <v>0</v>
      </c>
      <c r="Q1735" s="65">
        <f ca="1">IFERROR(__xludf.DUMMYFUNCTION("""COMPUTED_VALUE"""),0)</f>
        <v>0</v>
      </c>
      <c r="R1735" s="9"/>
    </row>
    <row r="1736" spans="1:18" ht="13.2" hidden="1" outlineLevel="1" x14ac:dyDescent="0.25">
      <c r="A1736" s="58"/>
      <c r="B1736" s="63" t="str">
        <f ca="1">IFERROR(__xludf.DUMMYFUNCTION("""COMPUTED_VALUE"""),"Energía eólica")</f>
        <v>Energía eólica</v>
      </c>
      <c r="C1736" s="64">
        <f ca="1">IFERROR(__xludf.DUMMYFUNCTION("""COMPUTED_VALUE"""),0)</f>
        <v>0</v>
      </c>
      <c r="D1736" s="45">
        <f ca="1">IFERROR(__xludf.DUMMYFUNCTION("""COMPUTED_VALUE"""),0)</f>
        <v>0</v>
      </c>
      <c r="E1736" s="45">
        <f ca="1">IFERROR(__xludf.DUMMYFUNCTION("""COMPUTED_VALUE"""),0)</f>
        <v>0</v>
      </c>
      <c r="F1736" s="45">
        <f ca="1">IFERROR(__xludf.DUMMYFUNCTION("""COMPUTED_VALUE"""),0)</f>
        <v>0</v>
      </c>
      <c r="G1736" s="45">
        <f ca="1">IFERROR(__xludf.DUMMYFUNCTION("""COMPUTED_VALUE"""),0)</f>
        <v>0</v>
      </c>
      <c r="H1736" s="45">
        <f ca="1">IFERROR(__xludf.DUMMYFUNCTION("""COMPUTED_VALUE"""),0)</f>
        <v>0</v>
      </c>
      <c r="I1736" s="45">
        <f ca="1">IFERROR(__xludf.DUMMYFUNCTION("""COMPUTED_VALUE"""),0)</f>
        <v>0</v>
      </c>
      <c r="J1736" s="45">
        <f ca="1">IFERROR(__xludf.DUMMYFUNCTION("""COMPUTED_VALUE"""),0)</f>
        <v>0</v>
      </c>
      <c r="K1736" s="45">
        <f ca="1">IFERROR(__xludf.DUMMYFUNCTION("""COMPUTED_VALUE"""),0)</f>
        <v>0</v>
      </c>
      <c r="L1736" s="45">
        <f ca="1">IFERROR(__xludf.DUMMYFUNCTION("""COMPUTED_VALUE"""),0)</f>
        <v>0</v>
      </c>
      <c r="M1736" s="45">
        <f ca="1">IFERROR(__xludf.DUMMYFUNCTION("""COMPUTED_VALUE"""),0)</f>
        <v>0</v>
      </c>
      <c r="N1736" s="45">
        <f ca="1">IFERROR(__xludf.DUMMYFUNCTION("""COMPUTED_VALUE"""),0)</f>
        <v>0</v>
      </c>
      <c r="O1736" s="45">
        <f ca="1">IFERROR(__xludf.DUMMYFUNCTION("""COMPUTED_VALUE"""),0)</f>
        <v>0</v>
      </c>
      <c r="P1736" s="45">
        <f ca="1">IFERROR(__xludf.DUMMYFUNCTION("""COMPUTED_VALUE"""),0)</f>
        <v>0</v>
      </c>
      <c r="Q1736" s="65">
        <f ca="1">IFERROR(__xludf.DUMMYFUNCTION("""COMPUTED_VALUE"""),0)</f>
        <v>0</v>
      </c>
      <c r="R1736" s="9"/>
    </row>
    <row r="1737" spans="1:18" ht="13.2" hidden="1" outlineLevel="1" x14ac:dyDescent="0.25">
      <c r="A1737" s="58"/>
      <c r="B1737" s="63" t="str">
        <f ca="1">IFERROR(__xludf.DUMMYFUNCTION("""COMPUTED_VALUE"""),"Bagazo de caña")</f>
        <v>Bagazo de caña</v>
      </c>
      <c r="C1737" s="64">
        <f ca="1">IFERROR(__xludf.DUMMYFUNCTION("""COMPUTED_VALUE"""),0)</f>
        <v>0</v>
      </c>
      <c r="D1737" s="45">
        <f ca="1">IFERROR(__xludf.DUMMYFUNCTION("""COMPUTED_VALUE"""),0)</f>
        <v>0</v>
      </c>
      <c r="E1737" s="45">
        <f ca="1">IFERROR(__xludf.DUMMYFUNCTION("""COMPUTED_VALUE"""),0)</f>
        <v>0</v>
      </c>
      <c r="F1737" s="45">
        <f ca="1">IFERROR(__xludf.DUMMYFUNCTION("""COMPUTED_VALUE"""),0)</f>
        <v>0</v>
      </c>
      <c r="G1737" s="45">
        <f ca="1">IFERROR(__xludf.DUMMYFUNCTION("""COMPUTED_VALUE"""),0)</f>
        <v>0</v>
      </c>
      <c r="H1737" s="45">
        <f ca="1">IFERROR(__xludf.DUMMYFUNCTION("""COMPUTED_VALUE"""),0)</f>
        <v>0</v>
      </c>
      <c r="I1737" s="45">
        <f ca="1">IFERROR(__xludf.DUMMYFUNCTION("""COMPUTED_VALUE"""),0)</f>
        <v>0</v>
      </c>
      <c r="J1737" s="45">
        <f ca="1">IFERROR(__xludf.DUMMYFUNCTION("""COMPUTED_VALUE"""),0)</f>
        <v>0</v>
      </c>
      <c r="K1737" s="45">
        <f ca="1">IFERROR(__xludf.DUMMYFUNCTION("""COMPUTED_VALUE"""),0)</f>
        <v>0</v>
      </c>
      <c r="L1737" s="45">
        <f ca="1">IFERROR(__xludf.DUMMYFUNCTION("""COMPUTED_VALUE"""),0)</f>
        <v>0</v>
      </c>
      <c r="M1737" s="45">
        <f ca="1">IFERROR(__xludf.DUMMYFUNCTION("""COMPUTED_VALUE"""),0)</f>
        <v>0</v>
      </c>
      <c r="N1737" s="45">
        <f ca="1">IFERROR(__xludf.DUMMYFUNCTION("""COMPUTED_VALUE"""),0)</f>
        <v>0</v>
      </c>
      <c r="O1737" s="45">
        <f ca="1">IFERROR(__xludf.DUMMYFUNCTION("""COMPUTED_VALUE"""),0)</f>
        <v>0</v>
      </c>
      <c r="P1737" s="45">
        <f ca="1">IFERROR(__xludf.DUMMYFUNCTION("""COMPUTED_VALUE"""),0)</f>
        <v>0</v>
      </c>
      <c r="Q1737" s="65">
        <f ca="1">IFERROR(__xludf.DUMMYFUNCTION("""COMPUTED_VALUE"""),0)</f>
        <v>0</v>
      </c>
      <c r="R1737" s="9"/>
    </row>
    <row r="1738" spans="1:18" ht="13.2" hidden="1" outlineLevel="1" x14ac:dyDescent="0.25">
      <c r="A1738" s="58"/>
      <c r="B1738" s="63" t="str">
        <f ca="1">IFERROR(__xludf.DUMMYFUNCTION("""COMPUTED_VALUE"""),"Leña")</f>
        <v>Leña</v>
      </c>
      <c r="C1738" s="64">
        <f ca="1">IFERROR(__xludf.DUMMYFUNCTION("""COMPUTED_VALUE"""),0)</f>
        <v>0</v>
      </c>
      <c r="D1738" s="45">
        <f ca="1">IFERROR(__xludf.DUMMYFUNCTION("""COMPUTED_VALUE"""),0)</f>
        <v>0</v>
      </c>
      <c r="E1738" s="45">
        <f ca="1">IFERROR(__xludf.DUMMYFUNCTION("""COMPUTED_VALUE"""),0)</f>
        <v>0</v>
      </c>
      <c r="F1738" s="45">
        <f ca="1">IFERROR(__xludf.DUMMYFUNCTION("""COMPUTED_VALUE"""),0)</f>
        <v>0</v>
      </c>
      <c r="G1738" s="45">
        <f ca="1">IFERROR(__xludf.DUMMYFUNCTION("""COMPUTED_VALUE"""),0)</f>
        <v>0</v>
      </c>
      <c r="H1738" s="45">
        <f ca="1">IFERROR(__xludf.DUMMYFUNCTION("""COMPUTED_VALUE"""),0)</f>
        <v>0</v>
      </c>
      <c r="I1738" s="45">
        <f ca="1">IFERROR(__xludf.DUMMYFUNCTION("""COMPUTED_VALUE"""),0)</f>
        <v>0</v>
      </c>
      <c r="J1738" s="45">
        <f ca="1">IFERROR(__xludf.DUMMYFUNCTION("""COMPUTED_VALUE"""),0)</f>
        <v>0</v>
      </c>
      <c r="K1738" s="45">
        <f ca="1">IFERROR(__xludf.DUMMYFUNCTION("""COMPUTED_VALUE"""),0)</f>
        <v>0</v>
      </c>
      <c r="L1738" s="45">
        <f ca="1">IFERROR(__xludf.DUMMYFUNCTION("""COMPUTED_VALUE"""),0)</f>
        <v>0</v>
      </c>
      <c r="M1738" s="45">
        <f ca="1">IFERROR(__xludf.DUMMYFUNCTION("""COMPUTED_VALUE"""),0)</f>
        <v>0</v>
      </c>
      <c r="N1738" s="45">
        <f ca="1">IFERROR(__xludf.DUMMYFUNCTION("""COMPUTED_VALUE"""),0)</f>
        <v>0</v>
      </c>
      <c r="O1738" s="45">
        <f ca="1">IFERROR(__xludf.DUMMYFUNCTION("""COMPUTED_VALUE"""),0)</f>
        <v>0</v>
      </c>
      <c r="P1738" s="45">
        <f ca="1">IFERROR(__xludf.DUMMYFUNCTION("""COMPUTED_VALUE"""),0)</f>
        <v>0</v>
      </c>
      <c r="Q1738" s="65">
        <f ca="1">IFERROR(__xludf.DUMMYFUNCTION("""COMPUTED_VALUE"""),0)</f>
        <v>0</v>
      </c>
      <c r="R1738" s="9"/>
    </row>
    <row r="1739" spans="1:18" ht="13.2" hidden="1" outlineLevel="1" x14ac:dyDescent="0.25">
      <c r="A1739" s="58"/>
      <c r="B1739" s="63" t="str">
        <f ca="1">IFERROR(__xludf.DUMMYFUNCTION("""COMPUTED_VALUE"""),"Biogás")</f>
        <v>Biogás</v>
      </c>
      <c r="C1739" s="64">
        <f ca="1">IFERROR(__xludf.DUMMYFUNCTION("""COMPUTED_VALUE"""),0)</f>
        <v>0</v>
      </c>
      <c r="D1739" s="45">
        <f ca="1">IFERROR(__xludf.DUMMYFUNCTION("""COMPUTED_VALUE"""),0)</f>
        <v>0</v>
      </c>
      <c r="E1739" s="45">
        <f ca="1">IFERROR(__xludf.DUMMYFUNCTION("""COMPUTED_VALUE"""),0)</f>
        <v>0</v>
      </c>
      <c r="F1739" s="45">
        <f ca="1">IFERROR(__xludf.DUMMYFUNCTION("""COMPUTED_VALUE"""),0)</f>
        <v>0</v>
      </c>
      <c r="G1739" s="45">
        <f ca="1">IFERROR(__xludf.DUMMYFUNCTION("""COMPUTED_VALUE"""),0)</f>
        <v>0</v>
      </c>
      <c r="H1739" s="45">
        <f ca="1">IFERROR(__xludf.DUMMYFUNCTION("""COMPUTED_VALUE"""),0)</f>
        <v>0</v>
      </c>
      <c r="I1739" s="45">
        <f ca="1">IFERROR(__xludf.DUMMYFUNCTION("""COMPUTED_VALUE"""),0)</f>
        <v>0</v>
      </c>
      <c r="J1739" s="45">
        <f ca="1">IFERROR(__xludf.DUMMYFUNCTION("""COMPUTED_VALUE"""),0)</f>
        <v>0</v>
      </c>
      <c r="K1739" s="45">
        <f ca="1">IFERROR(__xludf.DUMMYFUNCTION("""COMPUTED_VALUE"""),0)</f>
        <v>0</v>
      </c>
      <c r="L1739" s="45">
        <f ca="1">IFERROR(__xludf.DUMMYFUNCTION("""COMPUTED_VALUE"""),0)</f>
        <v>0</v>
      </c>
      <c r="M1739" s="45">
        <f ca="1">IFERROR(__xludf.DUMMYFUNCTION("""COMPUTED_VALUE"""),0)</f>
        <v>0</v>
      </c>
      <c r="N1739" s="45">
        <f ca="1">IFERROR(__xludf.DUMMYFUNCTION("""COMPUTED_VALUE"""),0)</f>
        <v>0</v>
      </c>
      <c r="O1739" s="45">
        <f ca="1">IFERROR(__xludf.DUMMYFUNCTION("""COMPUTED_VALUE"""),0)</f>
        <v>0</v>
      </c>
      <c r="P1739" s="45">
        <f ca="1">IFERROR(__xludf.DUMMYFUNCTION("""COMPUTED_VALUE"""),0)</f>
        <v>0</v>
      </c>
      <c r="Q1739" s="65">
        <f ca="1">IFERROR(__xludf.DUMMYFUNCTION("""COMPUTED_VALUE"""),0)</f>
        <v>0</v>
      </c>
      <c r="R1739" s="9"/>
    </row>
    <row r="1740" spans="1:18" ht="13.2" hidden="1" outlineLevel="1" x14ac:dyDescent="0.25">
      <c r="A1740" s="58"/>
      <c r="B1740" s="63" t="str">
        <f ca="1">IFERROR(__xludf.DUMMYFUNCTION("""COMPUTED_VALUE"""),"Coque de carbón")</f>
        <v>Coque de carbón</v>
      </c>
      <c r="C1740" s="64">
        <f ca="1">IFERROR(__xludf.DUMMYFUNCTION("""COMPUTED_VALUE"""),0)</f>
        <v>0</v>
      </c>
      <c r="D1740" s="45">
        <f ca="1">IFERROR(__xludf.DUMMYFUNCTION("""COMPUTED_VALUE"""),0)</f>
        <v>0</v>
      </c>
      <c r="E1740" s="45">
        <f ca="1">IFERROR(__xludf.DUMMYFUNCTION("""COMPUTED_VALUE"""),0)</f>
        <v>0</v>
      </c>
      <c r="F1740" s="45">
        <f ca="1">IFERROR(__xludf.DUMMYFUNCTION("""COMPUTED_VALUE"""),0)</f>
        <v>0</v>
      </c>
      <c r="G1740" s="45">
        <f ca="1">IFERROR(__xludf.DUMMYFUNCTION("""COMPUTED_VALUE"""),0)</f>
        <v>0</v>
      </c>
      <c r="H1740" s="45">
        <f ca="1">IFERROR(__xludf.DUMMYFUNCTION("""COMPUTED_VALUE"""),0)</f>
        <v>0</v>
      </c>
      <c r="I1740" s="45">
        <f ca="1">IFERROR(__xludf.DUMMYFUNCTION("""COMPUTED_VALUE"""),0)</f>
        <v>0</v>
      </c>
      <c r="J1740" s="45">
        <f ca="1">IFERROR(__xludf.DUMMYFUNCTION("""COMPUTED_VALUE"""),0)</f>
        <v>0</v>
      </c>
      <c r="K1740" s="45">
        <f ca="1">IFERROR(__xludf.DUMMYFUNCTION("""COMPUTED_VALUE"""),0)</f>
        <v>0</v>
      </c>
      <c r="L1740" s="45">
        <f ca="1">IFERROR(__xludf.DUMMYFUNCTION("""COMPUTED_VALUE"""),0)</f>
        <v>0</v>
      </c>
      <c r="M1740" s="45">
        <f ca="1">IFERROR(__xludf.DUMMYFUNCTION("""COMPUTED_VALUE"""),0)</f>
        <v>0</v>
      </c>
      <c r="N1740" s="45">
        <f ca="1">IFERROR(__xludf.DUMMYFUNCTION("""COMPUTED_VALUE"""),0)</f>
        <v>0</v>
      </c>
      <c r="O1740" s="45">
        <f ca="1">IFERROR(__xludf.DUMMYFUNCTION("""COMPUTED_VALUE"""),0)</f>
        <v>0</v>
      </c>
      <c r="P1740" s="45">
        <f ca="1">IFERROR(__xludf.DUMMYFUNCTION("""COMPUTED_VALUE"""),0)</f>
        <v>0</v>
      </c>
      <c r="Q1740" s="65">
        <f ca="1">IFERROR(__xludf.DUMMYFUNCTION("""COMPUTED_VALUE"""),0)</f>
        <v>0</v>
      </c>
      <c r="R1740" s="9"/>
    </row>
    <row r="1741" spans="1:18" ht="13.2" hidden="1" outlineLevel="1" x14ac:dyDescent="0.25">
      <c r="A1741" s="58"/>
      <c r="B1741" s="63" t="str">
        <f ca="1">IFERROR(__xludf.DUMMYFUNCTION("""COMPUTED_VALUE"""),"Coque de petróleo")</f>
        <v>Coque de petróleo</v>
      </c>
      <c r="C1741" s="64">
        <f ca="1">IFERROR(__xludf.DUMMYFUNCTION("""COMPUTED_VALUE"""),0)</f>
        <v>0</v>
      </c>
      <c r="D1741" s="45">
        <f ca="1">IFERROR(__xludf.DUMMYFUNCTION("""COMPUTED_VALUE"""),0)</f>
        <v>0</v>
      </c>
      <c r="E1741" s="45">
        <f ca="1">IFERROR(__xludf.DUMMYFUNCTION("""COMPUTED_VALUE"""),0)</f>
        <v>0</v>
      </c>
      <c r="F1741" s="45">
        <f ca="1">IFERROR(__xludf.DUMMYFUNCTION("""COMPUTED_VALUE"""),0)</f>
        <v>0</v>
      </c>
      <c r="G1741" s="45">
        <f ca="1">IFERROR(__xludf.DUMMYFUNCTION("""COMPUTED_VALUE"""),0)</f>
        <v>0</v>
      </c>
      <c r="H1741" s="45">
        <f ca="1">IFERROR(__xludf.DUMMYFUNCTION("""COMPUTED_VALUE"""),0)</f>
        <v>0</v>
      </c>
      <c r="I1741" s="45">
        <f ca="1">IFERROR(__xludf.DUMMYFUNCTION("""COMPUTED_VALUE"""),0)</f>
        <v>0</v>
      </c>
      <c r="J1741" s="45">
        <f ca="1">IFERROR(__xludf.DUMMYFUNCTION("""COMPUTED_VALUE"""),0)</f>
        <v>0</v>
      </c>
      <c r="K1741" s="45">
        <f ca="1">IFERROR(__xludf.DUMMYFUNCTION("""COMPUTED_VALUE"""),0)</f>
        <v>0</v>
      </c>
      <c r="L1741" s="45">
        <f ca="1">IFERROR(__xludf.DUMMYFUNCTION("""COMPUTED_VALUE"""),0)</f>
        <v>0</v>
      </c>
      <c r="M1741" s="45">
        <f ca="1">IFERROR(__xludf.DUMMYFUNCTION("""COMPUTED_VALUE"""),0)</f>
        <v>0</v>
      </c>
      <c r="N1741" s="45">
        <f ca="1">IFERROR(__xludf.DUMMYFUNCTION("""COMPUTED_VALUE"""),0)</f>
        <v>0</v>
      </c>
      <c r="O1741" s="45">
        <f ca="1">IFERROR(__xludf.DUMMYFUNCTION("""COMPUTED_VALUE"""),0)</f>
        <v>0</v>
      </c>
      <c r="P1741" s="45">
        <f ca="1">IFERROR(__xludf.DUMMYFUNCTION("""COMPUTED_VALUE"""),0)</f>
        <v>0</v>
      </c>
      <c r="Q1741" s="65">
        <f ca="1">IFERROR(__xludf.DUMMYFUNCTION("""COMPUTED_VALUE"""),0)</f>
        <v>0</v>
      </c>
      <c r="R1741" s="9"/>
    </row>
    <row r="1742" spans="1:18" ht="13.2" hidden="1" outlineLevel="1" x14ac:dyDescent="0.25">
      <c r="A1742" s="58"/>
      <c r="B1742" s="63" t="str">
        <f ca="1">IFERROR(__xludf.DUMMYFUNCTION("""COMPUTED_VALUE"""),"Gas licuado de petróleo")</f>
        <v>Gas licuado de petróleo</v>
      </c>
      <c r="C1742" s="64">
        <f ca="1">IFERROR(__xludf.DUMMYFUNCTION("""COMPUTED_VALUE"""),0)</f>
        <v>0</v>
      </c>
      <c r="D1742" s="45">
        <f ca="1">IFERROR(__xludf.DUMMYFUNCTION("""COMPUTED_VALUE"""),0)</f>
        <v>0</v>
      </c>
      <c r="E1742" s="45">
        <f ca="1">IFERROR(__xludf.DUMMYFUNCTION("""COMPUTED_VALUE"""),0)</f>
        <v>0</v>
      </c>
      <c r="F1742" s="45">
        <f ca="1">IFERROR(__xludf.DUMMYFUNCTION("""COMPUTED_VALUE"""),0)</f>
        <v>0</v>
      </c>
      <c r="G1742" s="45">
        <f ca="1">IFERROR(__xludf.DUMMYFUNCTION("""COMPUTED_VALUE"""),0)</f>
        <v>0</v>
      </c>
      <c r="H1742" s="45">
        <f ca="1">IFERROR(__xludf.DUMMYFUNCTION("""COMPUTED_VALUE"""),0)</f>
        <v>0</v>
      </c>
      <c r="I1742" s="45">
        <f ca="1">IFERROR(__xludf.DUMMYFUNCTION("""COMPUTED_VALUE"""),0)</f>
        <v>0</v>
      </c>
      <c r="J1742" s="45">
        <f ca="1">IFERROR(__xludf.DUMMYFUNCTION("""COMPUTED_VALUE"""),0)</f>
        <v>0</v>
      </c>
      <c r="K1742" s="45">
        <f ca="1">IFERROR(__xludf.DUMMYFUNCTION("""COMPUTED_VALUE"""),0)</f>
        <v>0</v>
      </c>
      <c r="L1742" s="45">
        <f ca="1">IFERROR(__xludf.DUMMYFUNCTION("""COMPUTED_VALUE"""),0)</f>
        <v>0</v>
      </c>
      <c r="M1742" s="45">
        <f ca="1">IFERROR(__xludf.DUMMYFUNCTION("""COMPUTED_VALUE"""),0)</f>
        <v>0</v>
      </c>
      <c r="N1742" s="45">
        <f ca="1">IFERROR(__xludf.DUMMYFUNCTION("""COMPUTED_VALUE"""),0)</f>
        <v>0</v>
      </c>
      <c r="O1742" s="45">
        <f ca="1">IFERROR(__xludf.DUMMYFUNCTION("""COMPUTED_VALUE"""),0)</f>
        <v>0</v>
      </c>
      <c r="P1742" s="45">
        <f ca="1">IFERROR(__xludf.DUMMYFUNCTION("""COMPUTED_VALUE"""),0)</f>
        <v>0</v>
      </c>
      <c r="Q1742" s="65">
        <f ca="1">IFERROR(__xludf.DUMMYFUNCTION("""COMPUTED_VALUE"""),0)</f>
        <v>0</v>
      </c>
      <c r="R1742" s="9"/>
    </row>
    <row r="1743" spans="1:18" ht="13.2" hidden="1" outlineLevel="1" x14ac:dyDescent="0.25">
      <c r="A1743" s="58"/>
      <c r="B1743" s="63" t="str">
        <f ca="1">IFERROR(__xludf.DUMMYFUNCTION("""COMPUTED_VALUE"""),"Gasolinas y naftas")</f>
        <v>Gasolinas y naftas</v>
      </c>
      <c r="C1743" s="64">
        <f ca="1">IFERROR(__xludf.DUMMYFUNCTION("""COMPUTED_VALUE"""),0)</f>
        <v>0</v>
      </c>
      <c r="D1743" s="45">
        <f ca="1">IFERROR(__xludf.DUMMYFUNCTION("""COMPUTED_VALUE"""),0)</f>
        <v>0</v>
      </c>
      <c r="E1743" s="45">
        <f ca="1">IFERROR(__xludf.DUMMYFUNCTION("""COMPUTED_VALUE"""),0)</f>
        <v>0</v>
      </c>
      <c r="F1743" s="45">
        <f ca="1">IFERROR(__xludf.DUMMYFUNCTION("""COMPUTED_VALUE"""),0)</f>
        <v>0</v>
      </c>
      <c r="G1743" s="45">
        <f ca="1">IFERROR(__xludf.DUMMYFUNCTION("""COMPUTED_VALUE"""),0)</f>
        <v>0</v>
      </c>
      <c r="H1743" s="45">
        <f ca="1">IFERROR(__xludf.DUMMYFUNCTION("""COMPUTED_VALUE"""),0)</f>
        <v>0</v>
      </c>
      <c r="I1743" s="45">
        <f ca="1">IFERROR(__xludf.DUMMYFUNCTION("""COMPUTED_VALUE"""),0)</f>
        <v>0</v>
      </c>
      <c r="J1743" s="45">
        <f ca="1">IFERROR(__xludf.DUMMYFUNCTION("""COMPUTED_VALUE"""),0)</f>
        <v>0</v>
      </c>
      <c r="K1743" s="45">
        <f ca="1">IFERROR(__xludf.DUMMYFUNCTION("""COMPUTED_VALUE"""),0)</f>
        <v>0</v>
      </c>
      <c r="L1743" s="45">
        <f ca="1">IFERROR(__xludf.DUMMYFUNCTION("""COMPUTED_VALUE"""),0)</f>
        <v>0</v>
      </c>
      <c r="M1743" s="45">
        <f ca="1">IFERROR(__xludf.DUMMYFUNCTION("""COMPUTED_VALUE"""),0)</f>
        <v>0</v>
      </c>
      <c r="N1743" s="45">
        <f ca="1">IFERROR(__xludf.DUMMYFUNCTION("""COMPUTED_VALUE"""),0)</f>
        <v>0</v>
      </c>
      <c r="O1743" s="45">
        <f ca="1">IFERROR(__xludf.DUMMYFUNCTION("""COMPUTED_VALUE"""),0)</f>
        <v>0</v>
      </c>
      <c r="P1743" s="45">
        <f ca="1">IFERROR(__xludf.DUMMYFUNCTION("""COMPUTED_VALUE"""),0)</f>
        <v>0</v>
      </c>
      <c r="Q1743" s="65">
        <f ca="1">IFERROR(__xludf.DUMMYFUNCTION("""COMPUTED_VALUE"""),0)</f>
        <v>0</v>
      </c>
      <c r="R1743" s="9"/>
    </row>
    <row r="1744" spans="1:18" ht="13.2" hidden="1" outlineLevel="1" x14ac:dyDescent="0.25">
      <c r="A1744" s="58"/>
      <c r="B1744" s="63" t="str">
        <f ca="1">IFERROR(__xludf.DUMMYFUNCTION("""COMPUTED_VALUE"""),"Querosenos")</f>
        <v>Querosenos</v>
      </c>
      <c r="C1744" s="64">
        <f ca="1">IFERROR(__xludf.DUMMYFUNCTION("""COMPUTED_VALUE"""),0)</f>
        <v>0</v>
      </c>
      <c r="D1744" s="45">
        <f ca="1">IFERROR(__xludf.DUMMYFUNCTION("""COMPUTED_VALUE"""),0)</f>
        <v>0</v>
      </c>
      <c r="E1744" s="45">
        <f ca="1">IFERROR(__xludf.DUMMYFUNCTION("""COMPUTED_VALUE"""),0)</f>
        <v>0</v>
      </c>
      <c r="F1744" s="45">
        <f ca="1">IFERROR(__xludf.DUMMYFUNCTION("""COMPUTED_VALUE"""),0)</f>
        <v>0</v>
      </c>
      <c r="G1744" s="45">
        <f ca="1">IFERROR(__xludf.DUMMYFUNCTION("""COMPUTED_VALUE"""),0)</f>
        <v>0</v>
      </c>
      <c r="H1744" s="45">
        <f ca="1">IFERROR(__xludf.DUMMYFUNCTION("""COMPUTED_VALUE"""),0)</f>
        <v>0</v>
      </c>
      <c r="I1744" s="45">
        <f ca="1">IFERROR(__xludf.DUMMYFUNCTION("""COMPUTED_VALUE"""),0)</f>
        <v>0</v>
      </c>
      <c r="J1744" s="45">
        <f ca="1">IFERROR(__xludf.DUMMYFUNCTION("""COMPUTED_VALUE"""),0)</f>
        <v>0</v>
      </c>
      <c r="K1744" s="45">
        <f ca="1">IFERROR(__xludf.DUMMYFUNCTION("""COMPUTED_VALUE"""),0)</f>
        <v>0</v>
      </c>
      <c r="L1744" s="45">
        <f ca="1">IFERROR(__xludf.DUMMYFUNCTION("""COMPUTED_VALUE"""),0)</f>
        <v>0</v>
      </c>
      <c r="M1744" s="45">
        <f ca="1">IFERROR(__xludf.DUMMYFUNCTION("""COMPUTED_VALUE"""),0)</f>
        <v>0</v>
      </c>
      <c r="N1744" s="45">
        <f ca="1">IFERROR(__xludf.DUMMYFUNCTION("""COMPUTED_VALUE"""),0)</f>
        <v>0</v>
      </c>
      <c r="O1744" s="45">
        <f ca="1">IFERROR(__xludf.DUMMYFUNCTION("""COMPUTED_VALUE"""),0)</f>
        <v>0</v>
      </c>
      <c r="P1744" s="45">
        <f ca="1">IFERROR(__xludf.DUMMYFUNCTION("""COMPUTED_VALUE"""),0)</f>
        <v>0</v>
      </c>
      <c r="Q1744" s="65">
        <f ca="1">IFERROR(__xludf.DUMMYFUNCTION("""COMPUTED_VALUE"""),0)</f>
        <v>0</v>
      </c>
      <c r="R1744" s="9"/>
    </row>
    <row r="1745" spans="1:18" ht="13.2" hidden="1" outlineLevel="1" x14ac:dyDescent="0.25">
      <c r="A1745" s="58"/>
      <c r="B1745" s="63" t="str">
        <f ca="1">IFERROR(__xludf.DUMMYFUNCTION("""COMPUTED_VALUE"""),"Diesel")</f>
        <v>Diesel</v>
      </c>
      <c r="C1745" s="64">
        <f ca="1">IFERROR(__xludf.DUMMYFUNCTION("""COMPUTED_VALUE"""),28.5583511155476)</f>
        <v>28.558351115547602</v>
      </c>
      <c r="D1745" s="45">
        <f ca="1">IFERROR(__xludf.DUMMYFUNCTION("""COMPUTED_VALUE"""),33.3321084433332)</f>
        <v>33.332108443333198</v>
      </c>
      <c r="E1745" s="45">
        <f ca="1">IFERROR(__xludf.DUMMYFUNCTION("""COMPUTED_VALUE"""),33.1425377621704)</f>
        <v>33.142537762170399</v>
      </c>
      <c r="F1745" s="45">
        <f ca="1">IFERROR(__xludf.DUMMYFUNCTION("""COMPUTED_VALUE"""),29.0613585511401)</f>
        <v>29.061358551140099</v>
      </c>
      <c r="G1745" s="45">
        <f ca="1">IFERROR(__xludf.DUMMYFUNCTION("""COMPUTED_VALUE"""),29.1403819322459)</f>
        <v>29.140381932245901</v>
      </c>
      <c r="H1745" s="45">
        <f ca="1">IFERROR(__xludf.DUMMYFUNCTION("""COMPUTED_VALUE"""),34.9572780719207)</f>
        <v>34.957278071920697</v>
      </c>
      <c r="I1745" s="45">
        <f ca="1">IFERROR(__xludf.DUMMYFUNCTION("""COMPUTED_VALUE"""),30.5204374943505)</f>
        <v>30.520437494350499</v>
      </c>
      <c r="J1745" s="45">
        <f ca="1">IFERROR(__xludf.DUMMYFUNCTION("""COMPUTED_VALUE"""),28.0992140821218)</f>
        <v>28.099214082121801</v>
      </c>
      <c r="K1745" s="45">
        <f ca="1">IFERROR(__xludf.DUMMYFUNCTION("""COMPUTED_VALUE"""),26.7323160497266)</f>
        <v>26.732316049726599</v>
      </c>
      <c r="L1745" s="45">
        <f ca="1">IFERROR(__xludf.DUMMYFUNCTION("""COMPUTED_VALUE"""),20.1087553073713)</f>
        <v>20.1087553073713</v>
      </c>
      <c r="M1745" s="45">
        <f ca="1">IFERROR(__xludf.DUMMYFUNCTION("""COMPUTED_VALUE"""),15.230982118667)</f>
        <v>15.230982118667001</v>
      </c>
      <c r="N1745" s="45">
        <f ca="1">IFERROR(__xludf.DUMMYFUNCTION("""COMPUTED_VALUE"""),17.5009884223259)</f>
        <v>17.5009884223259</v>
      </c>
      <c r="O1745" s="45">
        <f ca="1">IFERROR(__xludf.DUMMYFUNCTION("""COMPUTED_VALUE"""),33.4025211290146)</f>
        <v>33.402521129014602</v>
      </c>
      <c r="P1745" s="45">
        <f ca="1">IFERROR(__xludf.DUMMYFUNCTION("""COMPUTED_VALUE"""),32.034629406776)</f>
        <v>32.034629406775998</v>
      </c>
      <c r="Q1745" s="65">
        <f ca="1">IFERROR(__xludf.DUMMYFUNCTION("""COMPUTED_VALUE"""),27.6805209384936)</f>
        <v>27.680520938493601</v>
      </c>
      <c r="R1745" s="9"/>
    </row>
    <row r="1746" spans="1:18" ht="13.2" hidden="1" outlineLevel="1" x14ac:dyDescent="0.25">
      <c r="A1746" s="58"/>
      <c r="B1746" s="63" t="str">
        <f ca="1">IFERROR(__xludf.DUMMYFUNCTION("""COMPUTED_VALUE"""),"Combustóleo")</f>
        <v>Combustóleo</v>
      </c>
      <c r="C1746" s="64">
        <f ca="1">IFERROR(__xludf.DUMMYFUNCTION("""COMPUTED_VALUE"""),1.9)</f>
        <v>1.9</v>
      </c>
      <c r="D1746" s="45">
        <f ca="1">IFERROR(__xludf.DUMMYFUNCTION("""COMPUTED_VALUE"""),1.55)</f>
        <v>1.55</v>
      </c>
      <c r="E1746" s="45">
        <f ca="1">IFERROR(__xludf.DUMMYFUNCTION("""COMPUTED_VALUE"""),0.37)</f>
        <v>0.37</v>
      </c>
      <c r="F1746" s="45">
        <f ca="1">IFERROR(__xludf.DUMMYFUNCTION("""COMPUTED_VALUE"""),0.08)</f>
        <v>0.08</v>
      </c>
      <c r="G1746" s="45">
        <f ca="1">IFERROR(__xludf.DUMMYFUNCTION("""COMPUTED_VALUE"""),0.539999999999992)</f>
        <v>0.53999999999999204</v>
      </c>
      <c r="H1746" s="45">
        <f ca="1">IFERROR(__xludf.DUMMYFUNCTION("""COMPUTED_VALUE"""),1.73259615448884)</f>
        <v>1.73259615448884</v>
      </c>
      <c r="I1746" s="45">
        <f ca="1">IFERROR(__xludf.DUMMYFUNCTION("""COMPUTED_VALUE"""),0.99)</f>
        <v>0.99</v>
      </c>
      <c r="J1746" s="45">
        <f ca="1">IFERROR(__xludf.DUMMYFUNCTION("""COMPUTED_VALUE"""),2.44482509993834)</f>
        <v>2.4448250999383401</v>
      </c>
      <c r="K1746" s="45">
        <f ca="1">IFERROR(__xludf.DUMMYFUNCTION("""COMPUTED_VALUE"""),2.9)</f>
        <v>2.9</v>
      </c>
      <c r="L1746" s="45">
        <f ca="1">IFERROR(__xludf.DUMMYFUNCTION("""COMPUTED_VALUE"""),2.38)</f>
        <v>2.38</v>
      </c>
      <c r="M1746" s="45">
        <f ca="1">IFERROR(__xludf.DUMMYFUNCTION("""COMPUTED_VALUE"""),2.09)</f>
        <v>2.09</v>
      </c>
      <c r="N1746" s="45">
        <f ca="1">IFERROR(__xludf.DUMMYFUNCTION("""COMPUTED_VALUE"""),3.88)</f>
        <v>3.88</v>
      </c>
      <c r="O1746" s="45">
        <f ca="1">IFERROR(__xludf.DUMMYFUNCTION("""COMPUTED_VALUE"""),3.9)</f>
        <v>3.9</v>
      </c>
      <c r="P1746" s="45">
        <f ca="1">IFERROR(__xludf.DUMMYFUNCTION("""COMPUTED_VALUE"""),3.95)</f>
        <v>3.95</v>
      </c>
      <c r="Q1746" s="65">
        <f ca="1">IFERROR(__xludf.DUMMYFUNCTION("""COMPUTED_VALUE"""),4.03142)</f>
        <v>4.0314199999999998</v>
      </c>
      <c r="R1746" s="9"/>
    </row>
    <row r="1747" spans="1:18" ht="13.2" hidden="1" outlineLevel="1" x14ac:dyDescent="0.25">
      <c r="A1747" s="58"/>
      <c r="B1747" s="63" t="str">
        <f ca="1">IFERROR(__xludf.DUMMYFUNCTION("""COMPUTED_VALUE"""),"Otros energéticos")</f>
        <v>Otros energéticos</v>
      </c>
      <c r="C1747" s="64">
        <f ca="1">IFERROR(__xludf.DUMMYFUNCTION("""COMPUTED_VALUE"""),0)</f>
        <v>0</v>
      </c>
      <c r="D1747" s="45">
        <f ca="1">IFERROR(__xludf.DUMMYFUNCTION("""COMPUTED_VALUE"""),0)</f>
        <v>0</v>
      </c>
      <c r="E1747" s="45">
        <f ca="1">IFERROR(__xludf.DUMMYFUNCTION("""COMPUTED_VALUE"""),0)</f>
        <v>0</v>
      </c>
      <c r="F1747" s="45">
        <f ca="1">IFERROR(__xludf.DUMMYFUNCTION("""COMPUTED_VALUE"""),0)</f>
        <v>0</v>
      </c>
      <c r="G1747" s="45">
        <f ca="1">IFERROR(__xludf.DUMMYFUNCTION("""COMPUTED_VALUE"""),0)</f>
        <v>0</v>
      </c>
      <c r="H1747" s="45">
        <f ca="1">IFERROR(__xludf.DUMMYFUNCTION("""COMPUTED_VALUE"""),0)</f>
        <v>0</v>
      </c>
      <c r="I1747" s="45">
        <f ca="1">IFERROR(__xludf.DUMMYFUNCTION("""COMPUTED_VALUE"""),0)</f>
        <v>0</v>
      </c>
      <c r="J1747" s="45">
        <f ca="1">IFERROR(__xludf.DUMMYFUNCTION("""COMPUTED_VALUE"""),0)</f>
        <v>0</v>
      </c>
      <c r="K1747" s="45">
        <f ca="1">IFERROR(__xludf.DUMMYFUNCTION("""COMPUTED_VALUE"""),0)</f>
        <v>0</v>
      </c>
      <c r="L1747" s="45">
        <f ca="1">IFERROR(__xludf.DUMMYFUNCTION("""COMPUTED_VALUE"""),0)</f>
        <v>0</v>
      </c>
      <c r="M1747" s="45">
        <f ca="1">IFERROR(__xludf.DUMMYFUNCTION("""COMPUTED_VALUE"""),0)</f>
        <v>0</v>
      </c>
      <c r="N1747" s="45">
        <f ca="1">IFERROR(__xludf.DUMMYFUNCTION("""COMPUTED_VALUE"""),0)</f>
        <v>0</v>
      </c>
      <c r="O1747" s="45">
        <f ca="1">IFERROR(__xludf.DUMMYFUNCTION("""COMPUTED_VALUE"""),0)</f>
        <v>0</v>
      </c>
      <c r="P1747" s="45">
        <f ca="1">IFERROR(__xludf.DUMMYFUNCTION("""COMPUTED_VALUE"""),0)</f>
        <v>0</v>
      </c>
      <c r="Q1747" s="65">
        <f ca="1">IFERROR(__xludf.DUMMYFUNCTION("""COMPUTED_VALUE"""),0)</f>
        <v>0</v>
      </c>
      <c r="R1747" s="9"/>
    </row>
    <row r="1748" spans="1:18" ht="13.2" hidden="1" outlineLevel="1" x14ac:dyDescent="0.25">
      <c r="A1748" s="58"/>
      <c r="B1748" s="63" t="str">
        <f ca="1">IFERROR(__xludf.DUMMYFUNCTION("""COMPUTED_VALUE"""),"Gas natural seco")</f>
        <v>Gas natural seco</v>
      </c>
      <c r="C1748" s="64">
        <f ca="1">IFERROR(__xludf.DUMMYFUNCTION("""COMPUTED_VALUE"""),0)</f>
        <v>0</v>
      </c>
      <c r="D1748" s="45">
        <f ca="1">IFERROR(__xludf.DUMMYFUNCTION("""COMPUTED_VALUE"""),0)</f>
        <v>0</v>
      </c>
      <c r="E1748" s="45">
        <f ca="1">IFERROR(__xludf.DUMMYFUNCTION("""COMPUTED_VALUE"""),0)</f>
        <v>0</v>
      </c>
      <c r="F1748" s="45">
        <f ca="1">IFERROR(__xludf.DUMMYFUNCTION("""COMPUTED_VALUE"""),0)</f>
        <v>0</v>
      </c>
      <c r="G1748" s="45">
        <f ca="1">IFERROR(__xludf.DUMMYFUNCTION("""COMPUTED_VALUE"""),0)</f>
        <v>0</v>
      </c>
      <c r="H1748" s="45">
        <f ca="1">IFERROR(__xludf.DUMMYFUNCTION("""COMPUTED_VALUE"""),0)</f>
        <v>0</v>
      </c>
      <c r="I1748" s="45">
        <f ca="1">IFERROR(__xludf.DUMMYFUNCTION("""COMPUTED_VALUE"""),0)</f>
        <v>0</v>
      </c>
      <c r="J1748" s="45">
        <f ca="1">IFERROR(__xludf.DUMMYFUNCTION("""COMPUTED_VALUE"""),0)</f>
        <v>0</v>
      </c>
      <c r="K1748" s="45">
        <f ca="1">IFERROR(__xludf.DUMMYFUNCTION("""COMPUTED_VALUE"""),0)</f>
        <v>0</v>
      </c>
      <c r="L1748" s="45">
        <f ca="1">IFERROR(__xludf.DUMMYFUNCTION("""COMPUTED_VALUE"""),0)</f>
        <v>0</v>
      </c>
      <c r="M1748" s="45">
        <f ca="1">IFERROR(__xludf.DUMMYFUNCTION("""COMPUTED_VALUE"""),0)</f>
        <v>0</v>
      </c>
      <c r="N1748" s="45">
        <f ca="1">IFERROR(__xludf.DUMMYFUNCTION("""COMPUTED_VALUE"""),0)</f>
        <v>0</v>
      </c>
      <c r="O1748" s="45">
        <f ca="1">IFERROR(__xludf.DUMMYFUNCTION("""COMPUTED_VALUE"""),0)</f>
        <v>0</v>
      </c>
      <c r="P1748" s="45">
        <f ca="1">IFERROR(__xludf.DUMMYFUNCTION("""COMPUTED_VALUE"""),0)</f>
        <v>0</v>
      </c>
      <c r="Q1748" s="65">
        <f ca="1">IFERROR(__xludf.DUMMYFUNCTION("""COMPUTED_VALUE"""),0)</f>
        <v>0</v>
      </c>
      <c r="R1748" s="9"/>
    </row>
    <row r="1749" spans="1:18" ht="13.2" hidden="1" outlineLevel="1" x14ac:dyDescent="0.25">
      <c r="A1749" s="58"/>
      <c r="B1749" s="66" t="str">
        <f ca="1">IFERROR(__xludf.DUMMYFUNCTION("""COMPUTED_VALUE"""),"Energía eléctrica")</f>
        <v>Energía eléctrica</v>
      </c>
      <c r="C1749" s="67">
        <f ca="1">IFERROR(__xludf.DUMMYFUNCTION("""COMPUTED_VALUE"""),0)</f>
        <v>0</v>
      </c>
      <c r="D1749" s="68">
        <f ca="1">IFERROR(__xludf.DUMMYFUNCTION("""COMPUTED_VALUE"""),0)</f>
        <v>0</v>
      </c>
      <c r="E1749" s="68">
        <f ca="1">IFERROR(__xludf.DUMMYFUNCTION("""COMPUTED_VALUE"""),0)</f>
        <v>0</v>
      </c>
      <c r="F1749" s="68">
        <f ca="1">IFERROR(__xludf.DUMMYFUNCTION("""COMPUTED_VALUE"""),0)</f>
        <v>0</v>
      </c>
      <c r="G1749" s="68">
        <f ca="1">IFERROR(__xludf.DUMMYFUNCTION("""COMPUTED_VALUE"""),0)</f>
        <v>0</v>
      </c>
      <c r="H1749" s="68">
        <f ca="1">IFERROR(__xludf.DUMMYFUNCTION("""COMPUTED_VALUE"""),0)</f>
        <v>0</v>
      </c>
      <c r="I1749" s="68">
        <f ca="1">IFERROR(__xludf.DUMMYFUNCTION("""COMPUTED_VALUE"""),0)</f>
        <v>0</v>
      </c>
      <c r="J1749" s="68">
        <f ca="1">IFERROR(__xludf.DUMMYFUNCTION("""COMPUTED_VALUE"""),0)</f>
        <v>0</v>
      </c>
      <c r="K1749" s="68">
        <f ca="1">IFERROR(__xludf.DUMMYFUNCTION("""COMPUTED_VALUE"""),0)</f>
        <v>0</v>
      </c>
      <c r="L1749" s="68">
        <f ca="1">IFERROR(__xludf.DUMMYFUNCTION("""COMPUTED_VALUE"""),0)</f>
        <v>0</v>
      </c>
      <c r="M1749" s="68">
        <f ca="1">IFERROR(__xludf.DUMMYFUNCTION("""COMPUTED_VALUE"""),0)</f>
        <v>0</v>
      </c>
      <c r="N1749" s="68">
        <f ca="1">IFERROR(__xludf.DUMMYFUNCTION("""COMPUTED_VALUE"""),0)</f>
        <v>0</v>
      </c>
      <c r="O1749" s="68">
        <f ca="1">IFERROR(__xludf.DUMMYFUNCTION("""COMPUTED_VALUE"""),0)</f>
        <v>0</v>
      </c>
      <c r="P1749" s="68">
        <f ca="1">IFERROR(__xludf.DUMMYFUNCTION("""COMPUTED_VALUE"""),0)</f>
        <v>0</v>
      </c>
      <c r="Q1749" s="69">
        <f ca="1">IFERROR(__xludf.DUMMYFUNCTION("""COMPUTED_VALUE"""),0)</f>
        <v>0</v>
      </c>
      <c r="R1749" s="9"/>
    </row>
    <row r="1750" spans="1:18" ht="13.2" hidden="1" outlineLevel="1" x14ac:dyDescent="0.25">
      <c r="A1750" s="1"/>
      <c r="B1750" s="2"/>
      <c r="C1750" s="70"/>
      <c r="D1750" s="70"/>
      <c r="E1750" s="70"/>
      <c r="F1750" s="70"/>
      <c r="G1750" s="70"/>
      <c r="H1750" s="70"/>
      <c r="I1750" s="70"/>
      <c r="J1750" s="70"/>
      <c r="K1750" s="70"/>
      <c r="L1750" s="70"/>
      <c r="M1750" s="70"/>
      <c r="N1750" s="70"/>
      <c r="O1750" s="70"/>
      <c r="P1750" s="70"/>
      <c r="Q1750" s="70"/>
      <c r="R1750" s="1"/>
    </row>
    <row r="1751" spans="1:18" ht="15.6" collapsed="1" x14ac:dyDescent="0.3">
      <c r="A1751" s="47"/>
      <c r="B1751" s="48" t="str">
        <f ca="1">IFERROR(__xludf.DUMMYFUNCTION("""COMPUTED_VALUE"""),"Ferroviario")</f>
        <v>Ferroviario</v>
      </c>
      <c r="C1751" s="49"/>
      <c r="D1751" s="49"/>
      <c r="E1751" s="49"/>
      <c r="F1751" s="49"/>
      <c r="G1751" s="49"/>
      <c r="H1751" s="49"/>
      <c r="I1751" s="49"/>
      <c r="J1751" s="49"/>
      <c r="K1751" s="49"/>
      <c r="L1751" s="49"/>
      <c r="M1751" s="49"/>
      <c r="N1751" s="49"/>
      <c r="O1751" s="49"/>
      <c r="P1751" s="49"/>
      <c r="Q1751" s="50"/>
      <c r="R1751" s="51"/>
    </row>
    <row r="1752" spans="1:18" ht="13.2" hidden="1" outlineLevel="1" x14ac:dyDescent="0.25">
      <c r="A1752" s="52"/>
      <c r="B1752" s="53"/>
      <c r="C1752" s="54">
        <f ca="1">IFERROR(__xludf.DUMMYFUNCTION("""COMPUTED_VALUE"""),2010)</f>
        <v>2010</v>
      </c>
      <c r="D1752" s="55">
        <f ca="1">IFERROR(__xludf.DUMMYFUNCTION("""COMPUTED_VALUE"""),2011)</f>
        <v>2011</v>
      </c>
      <c r="E1752" s="55">
        <f ca="1">IFERROR(__xludf.DUMMYFUNCTION("""COMPUTED_VALUE"""),2012)</f>
        <v>2012</v>
      </c>
      <c r="F1752" s="55">
        <f ca="1">IFERROR(__xludf.DUMMYFUNCTION("""COMPUTED_VALUE"""),2013)</f>
        <v>2013</v>
      </c>
      <c r="G1752" s="55">
        <f ca="1">IFERROR(__xludf.DUMMYFUNCTION("""COMPUTED_VALUE"""),2014)</f>
        <v>2014</v>
      </c>
      <c r="H1752" s="55">
        <f ca="1">IFERROR(__xludf.DUMMYFUNCTION("""COMPUTED_VALUE"""),2015)</f>
        <v>2015</v>
      </c>
      <c r="I1752" s="55">
        <f ca="1">IFERROR(__xludf.DUMMYFUNCTION("""COMPUTED_VALUE"""),2016)</f>
        <v>2016</v>
      </c>
      <c r="J1752" s="55">
        <f ca="1">IFERROR(__xludf.DUMMYFUNCTION("""COMPUTED_VALUE"""),2017)</f>
        <v>2017</v>
      </c>
      <c r="K1752" s="55">
        <f ca="1">IFERROR(__xludf.DUMMYFUNCTION("""COMPUTED_VALUE"""),2018)</f>
        <v>2018</v>
      </c>
      <c r="L1752" s="55">
        <f ca="1">IFERROR(__xludf.DUMMYFUNCTION("""COMPUTED_VALUE"""),2019)</f>
        <v>2019</v>
      </c>
      <c r="M1752" s="55">
        <f ca="1">IFERROR(__xludf.DUMMYFUNCTION("""COMPUTED_VALUE"""),2020)</f>
        <v>2020</v>
      </c>
      <c r="N1752" s="55">
        <f ca="1">IFERROR(__xludf.DUMMYFUNCTION("""COMPUTED_VALUE"""),2021)</f>
        <v>2021</v>
      </c>
      <c r="O1752" s="55">
        <f ca="1">IFERROR(__xludf.DUMMYFUNCTION("""COMPUTED_VALUE"""),2022)</f>
        <v>2022</v>
      </c>
      <c r="P1752" s="55">
        <f ca="1">IFERROR(__xludf.DUMMYFUNCTION("""COMPUTED_VALUE"""),2023)</f>
        <v>2023</v>
      </c>
      <c r="Q1752" s="56">
        <f ca="1">IFERROR(__xludf.DUMMYFUNCTION("""COMPUTED_VALUE"""),2024)</f>
        <v>2024</v>
      </c>
      <c r="R1752" s="57"/>
    </row>
    <row r="1753" spans="1:18" ht="13.2" hidden="1" outlineLevel="1" x14ac:dyDescent="0.25">
      <c r="A1753" s="58"/>
      <c r="B1753" s="59" t="str">
        <f ca="1">IFERROR(__xludf.DUMMYFUNCTION("""COMPUTED_VALUE"""),"Carbón mineral")</f>
        <v>Carbón mineral</v>
      </c>
      <c r="C1753" s="60">
        <f ca="1">IFERROR(__xludf.DUMMYFUNCTION("""COMPUTED_VALUE"""),0)</f>
        <v>0</v>
      </c>
      <c r="D1753" s="61">
        <f ca="1">IFERROR(__xludf.DUMMYFUNCTION("""COMPUTED_VALUE"""),0)</f>
        <v>0</v>
      </c>
      <c r="E1753" s="61">
        <f ca="1">IFERROR(__xludf.DUMMYFUNCTION("""COMPUTED_VALUE"""),0)</f>
        <v>0</v>
      </c>
      <c r="F1753" s="61">
        <f ca="1">IFERROR(__xludf.DUMMYFUNCTION("""COMPUTED_VALUE"""),0)</f>
        <v>0</v>
      </c>
      <c r="G1753" s="61">
        <f ca="1">IFERROR(__xludf.DUMMYFUNCTION("""COMPUTED_VALUE"""),0)</f>
        <v>0</v>
      </c>
      <c r="H1753" s="61">
        <f ca="1">IFERROR(__xludf.DUMMYFUNCTION("""COMPUTED_VALUE"""),0)</f>
        <v>0</v>
      </c>
      <c r="I1753" s="61">
        <f ca="1">IFERROR(__xludf.DUMMYFUNCTION("""COMPUTED_VALUE"""),0)</f>
        <v>0</v>
      </c>
      <c r="J1753" s="61">
        <f ca="1">IFERROR(__xludf.DUMMYFUNCTION("""COMPUTED_VALUE"""),0)</f>
        <v>0</v>
      </c>
      <c r="K1753" s="61">
        <f ca="1">IFERROR(__xludf.DUMMYFUNCTION("""COMPUTED_VALUE"""),0)</f>
        <v>0</v>
      </c>
      <c r="L1753" s="61">
        <f ca="1">IFERROR(__xludf.DUMMYFUNCTION("""COMPUTED_VALUE"""),0)</f>
        <v>0</v>
      </c>
      <c r="M1753" s="61">
        <f ca="1">IFERROR(__xludf.DUMMYFUNCTION("""COMPUTED_VALUE"""),0)</f>
        <v>0</v>
      </c>
      <c r="N1753" s="61">
        <f ca="1">IFERROR(__xludf.DUMMYFUNCTION("""COMPUTED_VALUE"""),0)</f>
        <v>0</v>
      </c>
      <c r="O1753" s="61">
        <f ca="1">IFERROR(__xludf.DUMMYFUNCTION("""COMPUTED_VALUE"""),0)</f>
        <v>0</v>
      </c>
      <c r="P1753" s="61">
        <f ca="1">IFERROR(__xludf.DUMMYFUNCTION("""COMPUTED_VALUE"""),0)</f>
        <v>0</v>
      </c>
      <c r="Q1753" s="62">
        <f ca="1">IFERROR(__xludf.DUMMYFUNCTION("""COMPUTED_VALUE"""),0)</f>
        <v>0</v>
      </c>
      <c r="R1753" s="9"/>
    </row>
    <row r="1754" spans="1:18" ht="13.2" hidden="1" outlineLevel="1" x14ac:dyDescent="0.25">
      <c r="A1754" s="58"/>
      <c r="B1754" s="63" t="str">
        <f ca="1">IFERROR(__xludf.DUMMYFUNCTION("""COMPUTED_VALUE"""),"Petróleo crudo")</f>
        <v>Petróleo crudo</v>
      </c>
      <c r="C1754" s="64">
        <f ca="1">IFERROR(__xludf.DUMMYFUNCTION("""COMPUTED_VALUE"""),0)</f>
        <v>0</v>
      </c>
      <c r="D1754" s="45">
        <f ca="1">IFERROR(__xludf.DUMMYFUNCTION("""COMPUTED_VALUE"""),0)</f>
        <v>0</v>
      </c>
      <c r="E1754" s="45">
        <f ca="1">IFERROR(__xludf.DUMMYFUNCTION("""COMPUTED_VALUE"""),0)</f>
        <v>0</v>
      </c>
      <c r="F1754" s="45">
        <f ca="1">IFERROR(__xludf.DUMMYFUNCTION("""COMPUTED_VALUE"""),0)</f>
        <v>0</v>
      </c>
      <c r="G1754" s="45">
        <f ca="1">IFERROR(__xludf.DUMMYFUNCTION("""COMPUTED_VALUE"""),0)</f>
        <v>0</v>
      </c>
      <c r="H1754" s="45">
        <f ca="1">IFERROR(__xludf.DUMMYFUNCTION("""COMPUTED_VALUE"""),0)</f>
        <v>0</v>
      </c>
      <c r="I1754" s="45">
        <f ca="1">IFERROR(__xludf.DUMMYFUNCTION("""COMPUTED_VALUE"""),0)</f>
        <v>0</v>
      </c>
      <c r="J1754" s="45">
        <f ca="1">IFERROR(__xludf.DUMMYFUNCTION("""COMPUTED_VALUE"""),0)</f>
        <v>0</v>
      </c>
      <c r="K1754" s="45">
        <f ca="1">IFERROR(__xludf.DUMMYFUNCTION("""COMPUTED_VALUE"""),0)</f>
        <v>0</v>
      </c>
      <c r="L1754" s="45">
        <f ca="1">IFERROR(__xludf.DUMMYFUNCTION("""COMPUTED_VALUE"""),0)</f>
        <v>0</v>
      </c>
      <c r="M1754" s="45">
        <f ca="1">IFERROR(__xludf.DUMMYFUNCTION("""COMPUTED_VALUE"""),0)</f>
        <v>0</v>
      </c>
      <c r="N1754" s="45">
        <f ca="1">IFERROR(__xludf.DUMMYFUNCTION("""COMPUTED_VALUE"""),0)</f>
        <v>0</v>
      </c>
      <c r="O1754" s="45">
        <f ca="1">IFERROR(__xludf.DUMMYFUNCTION("""COMPUTED_VALUE"""),0)</f>
        <v>0</v>
      </c>
      <c r="P1754" s="45">
        <f ca="1">IFERROR(__xludf.DUMMYFUNCTION("""COMPUTED_VALUE"""),0)</f>
        <v>0</v>
      </c>
      <c r="Q1754" s="65">
        <f ca="1">IFERROR(__xludf.DUMMYFUNCTION("""COMPUTED_VALUE"""),0)</f>
        <v>0</v>
      </c>
      <c r="R1754" s="9"/>
    </row>
    <row r="1755" spans="1:18" ht="13.2" hidden="1" outlineLevel="1" x14ac:dyDescent="0.25">
      <c r="A1755" s="58"/>
      <c r="B1755" s="63" t="str">
        <f ca="1">IFERROR(__xludf.DUMMYFUNCTION("""COMPUTED_VALUE"""),"Condensados")</f>
        <v>Condensados</v>
      </c>
      <c r="C1755" s="64">
        <f ca="1">IFERROR(__xludf.DUMMYFUNCTION("""COMPUTED_VALUE"""),0)</f>
        <v>0</v>
      </c>
      <c r="D1755" s="45">
        <f ca="1">IFERROR(__xludf.DUMMYFUNCTION("""COMPUTED_VALUE"""),0)</f>
        <v>0</v>
      </c>
      <c r="E1755" s="45">
        <f ca="1">IFERROR(__xludf.DUMMYFUNCTION("""COMPUTED_VALUE"""),0)</f>
        <v>0</v>
      </c>
      <c r="F1755" s="45">
        <f ca="1">IFERROR(__xludf.DUMMYFUNCTION("""COMPUTED_VALUE"""),0)</f>
        <v>0</v>
      </c>
      <c r="G1755" s="45">
        <f ca="1">IFERROR(__xludf.DUMMYFUNCTION("""COMPUTED_VALUE"""),0)</f>
        <v>0</v>
      </c>
      <c r="H1755" s="45">
        <f ca="1">IFERROR(__xludf.DUMMYFUNCTION("""COMPUTED_VALUE"""),0)</f>
        <v>0</v>
      </c>
      <c r="I1755" s="45">
        <f ca="1">IFERROR(__xludf.DUMMYFUNCTION("""COMPUTED_VALUE"""),0)</f>
        <v>0</v>
      </c>
      <c r="J1755" s="45">
        <f ca="1">IFERROR(__xludf.DUMMYFUNCTION("""COMPUTED_VALUE"""),0)</f>
        <v>0</v>
      </c>
      <c r="K1755" s="45">
        <f ca="1">IFERROR(__xludf.DUMMYFUNCTION("""COMPUTED_VALUE"""),0)</f>
        <v>0</v>
      </c>
      <c r="L1755" s="45">
        <f ca="1">IFERROR(__xludf.DUMMYFUNCTION("""COMPUTED_VALUE"""),0)</f>
        <v>0</v>
      </c>
      <c r="M1755" s="45">
        <f ca="1">IFERROR(__xludf.DUMMYFUNCTION("""COMPUTED_VALUE"""),0)</f>
        <v>0</v>
      </c>
      <c r="N1755" s="45">
        <f ca="1">IFERROR(__xludf.DUMMYFUNCTION("""COMPUTED_VALUE"""),0)</f>
        <v>0</v>
      </c>
      <c r="O1755" s="45">
        <f ca="1">IFERROR(__xludf.DUMMYFUNCTION("""COMPUTED_VALUE"""),0)</f>
        <v>0</v>
      </c>
      <c r="P1755" s="45">
        <f ca="1">IFERROR(__xludf.DUMMYFUNCTION("""COMPUTED_VALUE"""),0)</f>
        <v>0</v>
      </c>
      <c r="Q1755" s="65">
        <f ca="1">IFERROR(__xludf.DUMMYFUNCTION("""COMPUTED_VALUE"""),0)</f>
        <v>0</v>
      </c>
      <c r="R1755" s="9"/>
    </row>
    <row r="1756" spans="1:18" ht="13.2" hidden="1" outlineLevel="1" x14ac:dyDescent="0.25">
      <c r="A1756" s="58"/>
      <c r="B1756" s="63" t="str">
        <f ca="1">IFERROR(__xludf.DUMMYFUNCTION("""COMPUTED_VALUE"""),"Gas natural")</f>
        <v>Gas natural</v>
      </c>
      <c r="C1756" s="64">
        <f ca="1">IFERROR(__xludf.DUMMYFUNCTION("""COMPUTED_VALUE"""),0)</f>
        <v>0</v>
      </c>
      <c r="D1756" s="45">
        <f ca="1">IFERROR(__xludf.DUMMYFUNCTION("""COMPUTED_VALUE"""),0)</f>
        <v>0</v>
      </c>
      <c r="E1756" s="45">
        <f ca="1">IFERROR(__xludf.DUMMYFUNCTION("""COMPUTED_VALUE"""),0)</f>
        <v>0</v>
      </c>
      <c r="F1756" s="45">
        <f ca="1">IFERROR(__xludf.DUMMYFUNCTION("""COMPUTED_VALUE"""),0)</f>
        <v>0</v>
      </c>
      <c r="G1756" s="45">
        <f ca="1">IFERROR(__xludf.DUMMYFUNCTION("""COMPUTED_VALUE"""),0)</f>
        <v>0</v>
      </c>
      <c r="H1756" s="45">
        <f ca="1">IFERROR(__xludf.DUMMYFUNCTION("""COMPUTED_VALUE"""),0)</f>
        <v>0</v>
      </c>
      <c r="I1756" s="45">
        <f ca="1">IFERROR(__xludf.DUMMYFUNCTION("""COMPUTED_VALUE"""),0)</f>
        <v>0</v>
      </c>
      <c r="J1756" s="45">
        <f ca="1">IFERROR(__xludf.DUMMYFUNCTION("""COMPUTED_VALUE"""),0)</f>
        <v>0</v>
      </c>
      <c r="K1756" s="45">
        <f ca="1">IFERROR(__xludf.DUMMYFUNCTION("""COMPUTED_VALUE"""),0)</f>
        <v>0</v>
      </c>
      <c r="L1756" s="45">
        <f ca="1">IFERROR(__xludf.DUMMYFUNCTION("""COMPUTED_VALUE"""),0)</f>
        <v>0</v>
      </c>
      <c r="M1756" s="45">
        <f ca="1">IFERROR(__xludf.DUMMYFUNCTION("""COMPUTED_VALUE"""),0)</f>
        <v>0</v>
      </c>
      <c r="N1756" s="45">
        <f ca="1">IFERROR(__xludf.DUMMYFUNCTION("""COMPUTED_VALUE"""),0)</f>
        <v>0</v>
      </c>
      <c r="O1756" s="45">
        <f ca="1">IFERROR(__xludf.DUMMYFUNCTION("""COMPUTED_VALUE"""),0)</f>
        <v>0</v>
      </c>
      <c r="P1756" s="45">
        <f ca="1">IFERROR(__xludf.DUMMYFUNCTION("""COMPUTED_VALUE"""),0)</f>
        <v>0</v>
      </c>
      <c r="Q1756" s="65">
        <f ca="1">IFERROR(__xludf.DUMMYFUNCTION("""COMPUTED_VALUE"""),0)</f>
        <v>0</v>
      </c>
      <c r="R1756" s="9"/>
    </row>
    <row r="1757" spans="1:18" ht="13.2" hidden="1" outlineLevel="1" x14ac:dyDescent="0.25">
      <c r="A1757" s="58"/>
      <c r="B1757" s="63" t="str">
        <f ca="1">IFERROR(__xludf.DUMMYFUNCTION("""COMPUTED_VALUE"""),"Energía Nuclear")</f>
        <v>Energía Nuclear</v>
      </c>
      <c r="C1757" s="64">
        <f ca="1">IFERROR(__xludf.DUMMYFUNCTION("""COMPUTED_VALUE"""),0)</f>
        <v>0</v>
      </c>
      <c r="D1757" s="45">
        <f ca="1">IFERROR(__xludf.DUMMYFUNCTION("""COMPUTED_VALUE"""),0)</f>
        <v>0</v>
      </c>
      <c r="E1757" s="45">
        <f ca="1">IFERROR(__xludf.DUMMYFUNCTION("""COMPUTED_VALUE"""),0)</f>
        <v>0</v>
      </c>
      <c r="F1757" s="45">
        <f ca="1">IFERROR(__xludf.DUMMYFUNCTION("""COMPUTED_VALUE"""),0)</f>
        <v>0</v>
      </c>
      <c r="G1757" s="45">
        <f ca="1">IFERROR(__xludf.DUMMYFUNCTION("""COMPUTED_VALUE"""),0)</f>
        <v>0</v>
      </c>
      <c r="H1757" s="45">
        <f ca="1">IFERROR(__xludf.DUMMYFUNCTION("""COMPUTED_VALUE"""),0)</f>
        <v>0</v>
      </c>
      <c r="I1757" s="45">
        <f ca="1">IFERROR(__xludf.DUMMYFUNCTION("""COMPUTED_VALUE"""),0)</f>
        <v>0</v>
      </c>
      <c r="J1757" s="45">
        <f ca="1">IFERROR(__xludf.DUMMYFUNCTION("""COMPUTED_VALUE"""),0)</f>
        <v>0</v>
      </c>
      <c r="K1757" s="45">
        <f ca="1">IFERROR(__xludf.DUMMYFUNCTION("""COMPUTED_VALUE"""),0)</f>
        <v>0</v>
      </c>
      <c r="L1757" s="45">
        <f ca="1">IFERROR(__xludf.DUMMYFUNCTION("""COMPUTED_VALUE"""),0)</f>
        <v>0</v>
      </c>
      <c r="M1757" s="45">
        <f ca="1">IFERROR(__xludf.DUMMYFUNCTION("""COMPUTED_VALUE"""),0)</f>
        <v>0</v>
      </c>
      <c r="N1757" s="45">
        <f ca="1">IFERROR(__xludf.DUMMYFUNCTION("""COMPUTED_VALUE"""),0)</f>
        <v>0</v>
      </c>
      <c r="O1757" s="45">
        <f ca="1">IFERROR(__xludf.DUMMYFUNCTION("""COMPUTED_VALUE"""),0)</f>
        <v>0</v>
      </c>
      <c r="P1757" s="45">
        <f ca="1">IFERROR(__xludf.DUMMYFUNCTION("""COMPUTED_VALUE"""),0)</f>
        <v>0</v>
      </c>
      <c r="Q1757" s="65">
        <f ca="1">IFERROR(__xludf.DUMMYFUNCTION("""COMPUTED_VALUE"""),0)</f>
        <v>0</v>
      </c>
      <c r="R1757" s="9"/>
    </row>
    <row r="1758" spans="1:18" ht="13.2" hidden="1" outlineLevel="1" x14ac:dyDescent="0.25">
      <c r="A1758" s="58"/>
      <c r="B1758" s="63" t="str">
        <f ca="1">IFERROR(__xludf.DUMMYFUNCTION("""COMPUTED_VALUE"""),"Energia Hidraúlica")</f>
        <v>Energia Hidraúlica</v>
      </c>
      <c r="C1758" s="64">
        <f ca="1">IFERROR(__xludf.DUMMYFUNCTION("""COMPUTED_VALUE"""),0)</f>
        <v>0</v>
      </c>
      <c r="D1758" s="45">
        <f ca="1">IFERROR(__xludf.DUMMYFUNCTION("""COMPUTED_VALUE"""),0)</f>
        <v>0</v>
      </c>
      <c r="E1758" s="45">
        <f ca="1">IFERROR(__xludf.DUMMYFUNCTION("""COMPUTED_VALUE"""),0)</f>
        <v>0</v>
      </c>
      <c r="F1758" s="45">
        <f ca="1">IFERROR(__xludf.DUMMYFUNCTION("""COMPUTED_VALUE"""),0)</f>
        <v>0</v>
      </c>
      <c r="G1758" s="45">
        <f ca="1">IFERROR(__xludf.DUMMYFUNCTION("""COMPUTED_VALUE"""),0)</f>
        <v>0</v>
      </c>
      <c r="H1758" s="45">
        <f ca="1">IFERROR(__xludf.DUMMYFUNCTION("""COMPUTED_VALUE"""),0)</f>
        <v>0</v>
      </c>
      <c r="I1758" s="45">
        <f ca="1">IFERROR(__xludf.DUMMYFUNCTION("""COMPUTED_VALUE"""),0)</f>
        <v>0</v>
      </c>
      <c r="J1758" s="45">
        <f ca="1">IFERROR(__xludf.DUMMYFUNCTION("""COMPUTED_VALUE"""),0)</f>
        <v>0</v>
      </c>
      <c r="K1758" s="45">
        <f ca="1">IFERROR(__xludf.DUMMYFUNCTION("""COMPUTED_VALUE"""),0)</f>
        <v>0</v>
      </c>
      <c r="L1758" s="45">
        <f ca="1">IFERROR(__xludf.DUMMYFUNCTION("""COMPUTED_VALUE"""),0)</f>
        <v>0</v>
      </c>
      <c r="M1758" s="45">
        <f ca="1">IFERROR(__xludf.DUMMYFUNCTION("""COMPUTED_VALUE"""),0)</f>
        <v>0</v>
      </c>
      <c r="N1758" s="45">
        <f ca="1">IFERROR(__xludf.DUMMYFUNCTION("""COMPUTED_VALUE"""),0)</f>
        <v>0</v>
      </c>
      <c r="O1758" s="45">
        <f ca="1">IFERROR(__xludf.DUMMYFUNCTION("""COMPUTED_VALUE"""),0)</f>
        <v>0</v>
      </c>
      <c r="P1758" s="45">
        <f ca="1">IFERROR(__xludf.DUMMYFUNCTION("""COMPUTED_VALUE"""),0)</f>
        <v>0</v>
      </c>
      <c r="Q1758" s="65">
        <f ca="1">IFERROR(__xludf.DUMMYFUNCTION("""COMPUTED_VALUE"""),0)</f>
        <v>0</v>
      </c>
      <c r="R1758" s="9"/>
    </row>
    <row r="1759" spans="1:18" ht="13.2" hidden="1" outlineLevel="1" x14ac:dyDescent="0.25">
      <c r="A1759" s="58"/>
      <c r="B1759" s="63" t="str">
        <f ca="1">IFERROR(__xludf.DUMMYFUNCTION("""COMPUTED_VALUE"""),"Geoenergía")</f>
        <v>Geoenergía</v>
      </c>
      <c r="C1759" s="64">
        <f ca="1">IFERROR(__xludf.DUMMYFUNCTION("""COMPUTED_VALUE"""),0)</f>
        <v>0</v>
      </c>
      <c r="D1759" s="45">
        <f ca="1">IFERROR(__xludf.DUMMYFUNCTION("""COMPUTED_VALUE"""),0)</f>
        <v>0</v>
      </c>
      <c r="E1759" s="45">
        <f ca="1">IFERROR(__xludf.DUMMYFUNCTION("""COMPUTED_VALUE"""),0)</f>
        <v>0</v>
      </c>
      <c r="F1759" s="45">
        <f ca="1">IFERROR(__xludf.DUMMYFUNCTION("""COMPUTED_VALUE"""),0)</f>
        <v>0</v>
      </c>
      <c r="G1759" s="45">
        <f ca="1">IFERROR(__xludf.DUMMYFUNCTION("""COMPUTED_VALUE"""),0)</f>
        <v>0</v>
      </c>
      <c r="H1759" s="45">
        <f ca="1">IFERROR(__xludf.DUMMYFUNCTION("""COMPUTED_VALUE"""),0)</f>
        <v>0</v>
      </c>
      <c r="I1759" s="45">
        <f ca="1">IFERROR(__xludf.DUMMYFUNCTION("""COMPUTED_VALUE"""),0)</f>
        <v>0</v>
      </c>
      <c r="J1759" s="45">
        <f ca="1">IFERROR(__xludf.DUMMYFUNCTION("""COMPUTED_VALUE"""),0)</f>
        <v>0</v>
      </c>
      <c r="K1759" s="45">
        <f ca="1">IFERROR(__xludf.DUMMYFUNCTION("""COMPUTED_VALUE"""),0)</f>
        <v>0</v>
      </c>
      <c r="L1759" s="45">
        <f ca="1">IFERROR(__xludf.DUMMYFUNCTION("""COMPUTED_VALUE"""),0)</f>
        <v>0</v>
      </c>
      <c r="M1759" s="45">
        <f ca="1">IFERROR(__xludf.DUMMYFUNCTION("""COMPUTED_VALUE"""),0)</f>
        <v>0</v>
      </c>
      <c r="N1759" s="45">
        <f ca="1">IFERROR(__xludf.DUMMYFUNCTION("""COMPUTED_VALUE"""),0)</f>
        <v>0</v>
      </c>
      <c r="O1759" s="45">
        <f ca="1">IFERROR(__xludf.DUMMYFUNCTION("""COMPUTED_VALUE"""),0)</f>
        <v>0</v>
      </c>
      <c r="P1759" s="45">
        <f ca="1">IFERROR(__xludf.DUMMYFUNCTION("""COMPUTED_VALUE"""),0)</f>
        <v>0</v>
      </c>
      <c r="Q1759" s="65">
        <f ca="1">IFERROR(__xludf.DUMMYFUNCTION("""COMPUTED_VALUE"""),0)</f>
        <v>0</v>
      </c>
      <c r="R1759" s="9"/>
    </row>
    <row r="1760" spans="1:18" ht="13.2" hidden="1" outlineLevel="1" x14ac:dyDescent="0.25">
      <c r="A1760" s="58"/>
      <c r="B1760" s="63" t="str">
        <f ca="1">IFERROR(__xludf.DUMMYFUNCTION("""COMPUTED_VALUE"""),"Energía solar")</f>
        <v>Energía solar</v>
      </c>
      <c r="C1760" s="64">
        <f ca="1">IFERROR(__xludf.DUMMYFUNCTION("""COMPUTED_VALUE"""),0)</f>
        <v>0</v>
      </c>
      <c r="D1760" s="45">
        <f ca="1">IFERROR(__xludf.DUMMYFUNCTION("""COMPUTED_VALUE"""),0)</f>
        <v>0</v>
      </c>
      <c r="E1760" s="45">
        <f ca="1">IFERROR(__xludf.DUMMYFUNCTION("""COMPUTED_VALUE"""),0)</f>
        <v>0</v>
      </c>
      <c r="F1760" s="45">
        <f ca="1">IFERROR(__xludf.DUMMYFUNCTION("""COMPUTED_VALUE"""),0)</f>
        <v>0</v>
      </c>
      <c r="G1760" s="45">
        <f ca="1">IFERROR(__xludf.DUMMYFUNCTION("""COMPUTED_VALUE"""),0)</f>
        <v>0</v>
      </c>
      <c r="H1760" s="45">
        <f ca="1">IFERROR(__xludf.DUMMYFUNCTION("""COMPUTED_VALUE"""),0)</f>
        <v>0</v>
      </c>
      <c r="I1760" s="45">
        <f ca="1">IFERROR(__xludf.DUMMYFUNCTION("""COMPUTED_VALUE"""),0)</f>
        <v>0</v>
      </c>
      <c r="J1760" s="45">
        <f ca="1">IFERROR(__xludf.DUMMYFUNCTION("""COMPUTED_VALUE"""),0)</f>
        <v>0</v>
      </c>
      <c r="K1760" s="45">
        <f ca="1">IFERROR(__xludf.DUMMYFUNCTION("""COMPUTED_VALUE"""),0)</f>
        <v>0</v>
      </c>
      <c r="L1760" s="45">
        <f ca="1">IFERROR(__xludf.DUMMYFUNCTION("""COMPUTED_VALUE"""),0)</f>
        <v>0</v>
      </c>
      <c r="M1760" s="45">
        <f ca="1">IFERROR(__xludf.DUMMYFUNCTION("""COMPUTED_VALUE"""),0)</f>
        <v>0</v>
      </c>
      <c r="N1760" s="45">
        <f ca="1">IFERROR(__xludf.DUMMYFUNCTION("""COMPUTED_VALUE"""),0)</f>
        <v>0</v>
      </c>
      <c r="O1760" s="45">
        <f ca="1">IFERROR(__xludf.DUMMYFUNCTION("""COMPUTED_VALUE"""),0)</f>
        <v>0</v>
      </c>
      <c r="P1760" s="45">
        <f ca="1">IFERROR(__xludf.DUMMYFUNCTION("""COMPUTED_VALUE"""),0)</f>
        <v>0</v>
      </c>
      <c r="Q1760" s="65">
        <f ca="1">IFERROR(__xludf.DUMMYFUNCTION("""COMPUTED_VALUE"""),0)</f>
        <v>0</v>
      </c>
      <c r="R1760" s="9"/>
    </row>
    <row r="1761" spans="1:18" ht="13.2" hidden="1" outlineLevel="1" x14ac:dyDescent="0.25">
      <c r="A1761" s="58"/>
      <c r="B1761" s="63" t="str">
        <f ca="1">IFERROR(__xludf.DUMMYFUNCTION("""COMPUTED_VALUE"""),"Energía eólica")</f>
        <v>Energía eólica</v>
      </c>
      <c r="C1761" s="64">
        <f ca="1">IFERROR(__xludf.DUMMYFUNCTION("""COMPUTED_VALUE"""),0)</f>
        <v>0</v>
      </c>
      <c r="D1761" s="45">
        <f ca="1">IFERROR(__xludf.DUMMYFUNCTION("""COMPUTED_VALUE"""),0)</f>
        <v>0</v>
      </c>
      <c r="E1761" s="45">
        <f ca="1">IFERROR(__xludf.DUMMYFUNCTION("""COMPUTED_VALUE"""),0)</f>
        <v>0</v>
      </c>
      <c r="F1761" s="45">
        <f ca="1">IFERROR(__xludf.DUMMYFUNCTION("""COMPUTED_VALUE"""),0)</f>
        <v>0</v>
      </c>
      <c r="G1761" s="45">
        <f ca="1">IFERROR(__xludf.DUMMYFUNCTION("""COMPUTED_VALUE"""),0)</f>
        <v>0</v>
      </c>
      <c r="H1761" s="45">
        <f ca="1">IFERROR(__xludf.DUMMYFUNCTION("""COMPUTED_VALUE"""),0)</f>
        <v>0</v>
      </c>
      <c r="I1761" s="45">
        <f ca="1">IFERROR(__xludf.DUMMYFUNCTION("""COMPUTED_VALUE"""),0)</f>
        <v>0</v>
      </c>
      <c r="J1761" s="45">
        <f ca="1">IFERROR(__xludf.DUMMYFUNCTION("""COMPUTED_VALUE"""),0)</f>
        <v>0</v>
      </c>
      <c r="K1761" s="45">
        <f ca="1">IFERROR(__xludf.DUMMYFUNCTION("""COMPUTED_VALUE"""),0)</f>
        <v>0</v>
      </c>
      <c r="L1761" s="45">
        <f ca="1">IFERROR(__xludf.DUMMYFUNCTION("""COMPUTED_VALUE"""),0)</f>
        <v>0</v>
      </c>
      <c r="M1761" s="45">
        <f ca="1">IFERROR(__xludf.DUMMYFUNCTION("""COMPUTED_VALUE"""),0)</f>
        <v>0</v>
      </c>
      <c r="N1761" s="45">
        <f ca="1">IFERROR(__xludf.DUMMYFUNCTION("""COMPUTED_VALUE"""),0)</f>
        <v>0</v>
      </c>
      <c r="O1761" s="45">
        <f ca="1">IFERROR(__xludf.DUMMYFUNCTION("""COMPUTED_VALUE"""),0)</f>
        <v>0</v>
      </c>
      <c r="P1761" s="45">
        <f ca="1">IFERROR(__xludf.DUMMYFUNCTION("""COMPUTED_VALUE"""),0)</f>
        <v>0</v>
      </c>
      <c r="Q1761" s="65">
        <f ca="1">IFERROR(__xludf.DUMMYFUNCTION("""COMPUTED_VALUE"""),0)</f>
        <v>0</v>
      </c>
      <c r="R1761" s="9"/>
    </row>
    <row r="1762" spans="1:18" ht="13.2" hidden="1" outlineLevel="1" x14ac:dyDescent="0.25">
      <c r="A1762" s="58"/>
      <c r="B1762" s="63" t="str">
        <f ca="1">IFERROR(__xludf.DUMMYFUNCTION("""COMPUTED_VALUE"""),"Bagazo de caña")</f>
        <v>Bagazo de caña</v>
      </c>
      <c r="C1762" s="64">
        <f ca="1">IFERROR(__xludf.DUMMYFUNCTION("""COMPUTED_VALUE"""),0)</f>
        <v>0</v>
      </c>
      <c r="D1762" s="45">
        <f ca="1">IFERROR(__xludf.DUMMYFUNCTION("""COMPUTED_VALUE"""),0)</f>
        <v>0</v>
      </c>
      <c r="E1762" s="45">
        <f ca="1">IFERROR(__xludf.DUMMYFUNCTION("""COMPUTED_VALUE"""),0)</f>
        <v>0</v>
      </c>
      <c r="F1762" s="45">
        <f ca="1">IFERROR(__xludf.DUMMYFUNCTION("""COMPUTED_VALUE"""),0)</f>
        <v>0</v>
      </c>
      <c r="G1762" s="45">
        <f ca="1">IFERROR(__xludf.DUMMYFUNCTION("""COMPUTED_VALUE"""),0)</f>
        <v>0</v>
      </c>
      <c r="H1762" s="45">
        <f ca="1">IFERROR(__xludf.DUMMYFUNCTION("""COMPUTED_VALUE"""),0)</f>
        <v>0</v>
      </c>
      <c r="I1762" s="45">
        <f ca="1">IFERROR(__xludf.DUMMYFUNCTION("""COMPUTED_VALUE"""),0)</f>
        <v>0</v>
      </c>
      <c r="J1762" s="45">
        <f ca="1">IFERROR(__xludf.DUMMYFUNCTION("""COMPUTED_VALUE"""),0)</f>
        <v>0</v>
      </c>
      <c r="K1762" s="45">
        <f ca="1">IFERROR(__xludf.DUMMYFUNCTION("""COMPUTED_VALUE"""),0)</f>
        <v>0</v>
      </c>
      <c r="L1762" s="45">
        <f ca="1">IFERROR(__xludf.DUMMYFUNCTION("""COMPUTED_VALUE"""),0)</f>
        <v>0</v>
      </c>
      <c r="M1762" s="45">
        <f ca="1">IFERROR(__xludf.DUMMYFUNCTION("""COMPUTED_VALUE"""),0)</f>
        <v>0</v>
      </c>
      <c r="N1762" s="45">
        <f ca="1">IFERROR(__xludf.DUMMYFUNCTION("""COMPUTED_VALUE"""),0)</f>
        <v>0</v>
      </c>
      <c r="O1762" s="45">
        <f ca="1">IFERROR(__xludf.DUMMYFUNCTION("""COMPUTED_VALUE"""),0)</f>
        <v>0</v>
      </c>
      <c r="P1762" s="45">
        <f ca="1">IFERROR(__xludf.DUMMYFUNCTION("""COMPUTED_VALUE"""),0)</f>
        <v>0</v>
      </c>
      <c r="Q1762" s="65">
        <f ca="1">IFERROR(__xludf.DUMMYFUNCTION("""COMPUTED_VALUE"""),0)</f>
        <v>0</v>
      </c>
      <c r="R1762" s="9"/>
    </row>
    <row r="1763" spans="1:18" ht="13.2" hidden="1" outlineLevel="1" x14ac:dyDescent="0.25">
      <c r="A1763" s="58"/>
      <c r="B1763" s="63" t="str">
        <f ca="1">IFERROR(__xludf.DUMMYFUNCTION("""COMPUTED_VALUE"""),"Leña")</f>
        <v>Leña</v>
      </c>
      <c r="C1763" s="64">
        <f ca="1">IFERROR(__xludf.DUMMYFUNCTION("""COMPUTED_VALUE"""),0)</f>
        <v>0</v>
      </c>
      <c r="D1763" s="45">
        <f ca="1">IFERROR(__xludf.DUMMYFUNCTION("""COMPUTED_VALUE"""),0)</f>
        <v>0</v>
      </c>
      <c r="E1763" s="45">
        <f ca="1">IFERROR(__xludf.DUMMYFUNCTION("""COMPUTED_VALUE"""),0)</f>
        <v>0</v>
      </c>
      <c r="F1763" s="45">
        <f ca="1">IFERROR(__xludf.DUMMYFUNCTION("""COMPUTED_VALUE"""),0)</f>
        <v>0</v>
      </c>
      <c r="G1763" s="45">
        <f ca="1">IFERROR(__xludf.DUMMYFUNCTION("""COMPUTED_VALUE"""),0)</f>
        <v>0</v>
      </c>
      <c r="H1763" s="45">
        <f ca="1">IFERROR(__xludf.DUMMYFUNCTION("""COMPUTED_VALUE"""),0)</f>
        <v>0</v>
      </c>
      <c r="I1763" s="45">
        <f ca="1">IFERROR(__xludf.DUMMYFUNCTION("""COMPUTED_VALUE"""),0)</f>
        <v>0</v>
      </c>
      <c r="J1763" s="45">
        <f ca="1">IFERROR(__xludf.DUMMYFUNCTION("""COMPUTED_VALUE"""),0)</f>
        <v>0</v>
      </c>
      <c r="K1763" s="45">
        <f ca="1">IFERROR(__xludf.DUMMYFUNCTION("""COMPUTED_VALUE"""),0)</f>
        <v>0</v>
      </c>
      <c r="L1763" s="45">
        <f ca="1">IFERROR(__xludf.DUMMYFUNCTION("""COMPUTED_VALUE"""),0)</f>
        <v>0</v>
      </c>
      <c r="M1763" s="45">
        <f ca="1">IFERROR(__xludf.DUMMYFUNCTION("""COMPUTED_VALUE"""),0)</f>
        <v>0</v>
      </c>
      <c r="N1763" s="45">
        <f ca="1">IFERROR(__xludf.DUMMYFUNCTION("""COMPUTED_VALUE"""),0)</f>
        <v>0</v>
      </c>
      <c r="O1763" s="45">
        <f ca="1">IFERROR(__xludf.DUMMYFUNCTION("""COMPUTED_VALUE"""),0)</f>
        <v>0</v>
      </c>
      <c r="P1763" s="45">
        <f ca="1">IFERROR(__xludf.DUMMYFUNCTION("""COMPUTED_VALUE"""),0)</f>
        <v>0</v>
      </c>
      <c r="Q1763" s="65">
        <f ca="1">IFERROR(__xludf.DUMMYFUNCTION("""COMPUTED_VALUE"""),0)</f>
        <v>0</v>
      </c>
      <c r="R1763" s="9"/>
    </row>
    <row r="1764" spans="1:18" ht="13.2" hidden="1" outlineLevel="1" x14ac:dyDescent="0.25">
      <c r="A1764" s="58"/>
      <c r="B1764" s="63" t="str">
        <f ca="1">IFERROR(__xludf.DUMMYFUNCTION("""COMPUTED_VALUE"""),"Biogás")</f>
        <v>Biogás</v>
      </c>
      <c r="C1764" s="64">
        <f ca="1">IFERROR(__xludf.DUMMYFUNCTION("""COMPUTED_VALUE"""),0)</f>
        <v>0</v>
      </c>
      <c r="D1764" s="45">
        <f ca="1">IFERROR(__xludf.DUMMYFUNCTION("""COMPUTED_VALUE"""),0)</f>
        <v>0</v>
      </c>
      <c r="E1764" s="45">
        <f ca="1">IFERROR(__xludf.DUMMYFUNCTION("""COMPUTED_VALUE"""),0)</f>
        <v>0</v>
      </c>
      <c r="F1764" s="45">
        <f ca="1">IFERROR(__xludf.DUMMYFUNCTION("""COMPUTED_VALUE"""),0)</f>
        <v>0</v>
      </c>
      <c r="G1764" s="45">
        <f ca="1">IFERROR(__xludf.DUMMYFUNCTION("""COMPUTED_VALUE"""),0)</f>
        <v>0</v>
      </c>
      <c r="H1764" s="45">
        <f ca="1">IFERROR(__xludf.DUMMYFUNCTION("""COMPUTED_VALUE"""),0)</f>
        <v>0</v>
      </c>
      <c r="I1764" s="45">
        <f ca="1">IFERROR(__xludf.DUMMYFUNCTION("""COMPUTED_VALUE"""),0)</f>
        <v>0</v>
      </c>
      <c r="J1764" s="45">
        <f ca="1">IFERROR(__xludf.DUMMYFUNCTION("""COMPUTED_VALUE"""),0)</f>
        <v>0</v>
      </c>
      <c r="K1764" s="45">
        <f ca="1">IFERROR(__xludf.DUMMYFUNCTION("""COMPUTED_VALUE"""),0)</f>
        <v>0</v>
      </c>
      <c r="L1764" s="45">
        <f ca="1">IFERROR(__xludf.DUMMYFUNCTION("""COMPUTED_VALUE"""),0)</f>
        <v>0</v>
      </c>
      <c r="M1764" s="45">
        <f ca="1">IFERROR(__xludf.DUMMYFUNCTION("""COMPUTED_VALUE"""),0)</f>
        <v>0</v>
      </c>
      <c r="N1764" s="45">
        <f ca="1">IFERROR(__xludf.DUMMYFUNCTION("""COMPUTED_VALUE"""),0)</f>
        <v>0</v>
      </c>
      <c r="O1764" s="45">
        <f ca="1">IFERROR(__xludf.DUMMYFUNCTION("""COMPUTED_VALUE"""),0)</f>
        <v>0</v>
      </c>
      <c r="P1764" s="45">
        <f ca="1">IFERROR(__xludf.DUMMYFUNCTION("""COMPUTED_VALUE"""),0)</f>
        <v>0</v>
      </c>
      <c r="Q1764" s="65">
        <f ca="1">IFERROR(__xludf.DUMMYFUNCTION("""COMPUTED_VALUE"""),0)</f>
        <v>0</v>
      </c>
      <c r="R1764" s="9"/>
    </row>
    <row r="1765" spans="1:18" ht="13.2" hidden="1" outlineLevel="1" x14ac:dyDescent="0.25">
      <c r="A1765" s="58"/>
      <c r="B1765" s="63" t="str">
        <f ca="1">IFERROR(__xludf.DUMMYFUNCTION("""COMPUTED_VALUE"""),"Coque de carbón")</f>
        <v>Coque de carbón</v>
      </c>
      <c r="C1765" s="64">
        <f ca="1">IFERROR(__xludf.DUMMYFUNCTION("""COMPUTED_VALUE"""),0)</f>
        <v>0</v>
      </c>
      <c r="D1765" s="45">
        <f ca="1">IFERROR(__xludf.DUMMYFUNCTION("""COMPUTED_VALUE"""),0)</f>
        <v>0</v>
      </c>
      <c r="E1765" s="45">
        <f ca="1">IFERROR(__xludf.DUMMYFUNCTION("""COMPUTED_VALUE"""),0)</f>
        <v>0</v>
      </c>
      <c r="F1765" s="45">
        <f ca="1">IFERROR(__xludf.DUMMYFUNCTION("""COMPUTED_VALUE"""),0)</f>
        <v>0</v>
      </c>
      <c r="G1765" s="45">
        <f ca="1">IFERROR(__xludf.DUMMYFUNCTION("""COMPUTED_VALUE"""),0)</f>
        <v>0</v>
      </c>
      <c r="H1765" s="45">
        <f ca="1">IFERROR(__xludf.DUMMYFUNCTION("""COMPUTED_VALUE"""),0)</f>
        <v>0</v>
      </c>
      <c r="I1765" s="45">
        <f ca="1">IFERROR(__xludf.DUMMYFUNCTION("""COMPUTED_VALUE"""),0)</f>
        <v>0</v>
      </c>
      <c r="J1765" s="45">
        <f ca="1">IFERROR(__xludf.DUMMYFUNCTION("""COMPUTED_VALUE"""),0)</f>
        <v>0</v>
      </c>
      <c r="K1765" s="45">
        <f ca="1">IFERROR(__xludf.DUMMYFUNCTION("""COMPUTED_VALUE"""),0)</f>
        <v>0</v>
      </c>
      <c r="L1765" s="45">
        <f ca="1">IFERROR(__xludf.DUMMYFUNCTION("""COMPUTED_VALUE"""),0)</f>
        <v>0</v>
      </c>
      <c r="M1765" s="45">
        <f ca="1">IFERROR(__xludf.DUMMYFUNCTION("""COMPUTED_VALUE"""),0)</f>
        <v>0</v>
      </c>
      <c r="N1765" s="45">
        <f ca="1">IFERROR(__xludf.DUMMYFUNCTION("""COMPUTED_VALUE"""),0)</f>
        <v>0</v>
      </c>
      <c r="O1765" s="45">
        <f ca="1">IFERROR(__xludf.DUMMYFUNCTION("""COMPUTED_VALUE"""),0)</f>
        <v>0</v>
      </c>
      <c r="P1765" s="45">
        <f ca="1">IFERROR(__xludf.DUMMYFUNCTION("""COMPUTED_VALUE"""),0)</f>
        <v>0</v>
      </c>
      <c r="Q1765" s="65">
        <f ca="1">IFERROR(__xludf.DUMMYFUNCTION("""COMPUTED_VALUE"""),0)</f>
        <v>0</v>
      </c>
      <c r="R1765" s="9"/>
    </row>
    <row r="1766" spans="1:18" ht="13.2" hidden="1" outlineLevel="1" x14ac:dyDescent="0.25">
      <c r="A1766" s="58"/>
      <c r="B1766" s="63" t="str">
        <f ca="1">IFERROR(__xludf.DUMMYFUNCTION("""COMPUTED_VALUE"""),"Coque de petróleo")</f>
        <v>Coque de petróleo</v>
      </c>
      <c r="C1766" s="64">
        <f ca="1">IFERROR(__xludf.DUMMYFUNCTION("""COMPUTED_VALUE"""),0)</f>
        <v>0</v>
      </c>
      <c r="D1766" s="45">
        <f ca="1">IFERROR(__xludf.DUMMYFUNCTION("""COMPUTED_VALUE"""),0)</f>
        <v>0</v>
      </c>
      <c r="E1766" s="45">
        <f ca="1">IFERROR(__xludf.DUMMYFUNCTION("""COMPUTED_VALUE"""),0)</f>
        <v>0</v>
      </c>
      <c r="F1766" s="45">
        <f ca="1">IFERROR(__xludf.DUMMYFUNCTION("""COMPUTED_VALUE"""),0)</f>
        <v>0</v>
      </c>
      <c r="G1766" s="45">
        <f ca="1">IFERROR(__xludf.DUMMYFUNCTION("""COMPUTED_VALUE"""),0)</f>
        <v>0</v>
      </c>
      <c r="H1766" s="45">
        <f ca="1">IFERROR(__xludf.DUMMYFUNCTION("""COMPUTED_VALUE"""),0)</f>
        <v>0</v>
      </c>
      <c r="I1766" s="45">
        <f ca="1">IFERROR(__xludf.DUMMYFUNCTION("""COMPUTED_VALUE"""),0)</f>
        <v>0</v>
      </c>
      <c r="J1766" s="45">
        <f ca="1">IFERROR(__xludf.DUMMYFUNCTION("""COMPUTED_VALUE"""),0)</f>
        <v>0</v>
      </c>
      <c r="K1766" s="45">
        <f ca="1">IFERROR(__xludf.DUMMYFUNCTION("""COMPUTED_VALUE"""),0)</f>
        <v>0</v>
      </c>
      <c r="L1766" s="45">
        <f ca="1">IFERROR(__xludf.DUMMYFUNCTION("""COMPUTED_VALUE"""),0)</f>
        <v>0</v>
      </c>
      <c r="M1766" s="45">
        <f ca="1">IFERROR(__xludf.DUMMYFUNCTION("""COMPUTED_VALUE"""),0)</f>
        <v>0</v>
      </c>
      <c r="N1766" s="45">
        <f ca="1">IFERROR(__xludf.DUMMYFUNCTION("""COMPUTED_VALUE"""),0)</f>
        <v>0</v>
      </c>
      <c r="O1766" s="45">
        <f ca="1">IFERROR(__xludf.DUMMYFUNCTION("""COMPUTED_VALUE"""),0)</f>
        <v>0</v>
      </c>
      <c r="P1766" s="45">
        <f ca="1">IFERROR(__xludf.DUMMYFUNCTION("""COMPUTED_VALUE"""),0)</f>
        <v>0</v>
      </c>
      <c r="Q1766" s="65">
        <f ca="1">IFERROR(__xludf.DUMMYFUNCTION("""COMPUTED_VALUE"""),0)</f>
        <v>0</v>
      </c>
      <c r="R1766" s="9"/>
    </row>
    <row r="1767" spans="1:18" ht="13.2" hidden="1" outlineLevel="1" x14ac:dyDescent="0.25">
      <c r="A1767" s="58"/>
      <c r="B1767" s="63" t="str">
        <f ca="1">IFERROR(__xludf.DUMMYFUNCTION("""COMPUTED_VALUE"""),"Gas licuado de petróleo")</f>
        <v>Gas licuado de petróleo</v>
      </c>
      <c r="C1767" s="64">
        <f ca="1">IFERROR(__xludf.DUMMYFUNCTION("""COMPUTED_VALUE"""),0)</f>
        <v>0</v>
      </c>
      <c r="D1767" s="45">
        <f ca="1">IFERROR(__xludf.DUMMYFUNCTION("""COMPUTED_VALUE"""),0)</f>
        <v>0</v>
      </c>
      <c r="E1767" s="45">
        <f ca="1">IFERROR(__xludf.DUMMYFUNCTION("""COMPUTED_VALUE"""),0)</f>
        <v>0</v>
      </c>
      <c r="F1767" s="45">
        <f ca="1">IFERROR(__xludf.DUMMYFUNCTION("""COMPUTED_VALUE"""),0)</f>
        <v>0</v>
      </c>
      <c r="G1767" s="45">
        <f ca="1">IFERROR(__xludf.DUMMYFUNCTION("""COMPUTED_VALUE"""),0)</f>
        <v>0</v>
      </c>
      <c r="H1767" s="45">
        <f ca="1">IFERROR(__xludf.DUMMYFUNCTION("""COMPUTED_VALUE"""),0)</f>
        <v>0</v>
      </c>
      <c r="I1767" s="45">
        <f ca="1">IFERROR(__xludf.DUMMYFUNCTION("""COMPUTED_VALUE"""),0)</f>
        <v>0</v>
      </c>
      <c r="J1767" s="45">
        <f ca="1">IFERROR(__xludf.DUMMYFUNCTION("""COMPUTED_VALUE"""),0)</f>
        <v>0</v>
      </c>
      <c r="K1767" s="45">
        <f ca="1">IFERROR(__xludf.DUMMYFUNCTION("""COMPUTED_VALUE"""),0)</f>
        <v>0</v>
      </c>
      <c r="L1767" s="45">
        <f ca="1">IFERROR(__xludf.DUMMYFUNCTION("""COMPUTED_VALUE"""),0)</f>
        <v>0</v>
      </c>
      <c r="M1767" s="45">
        <f ca="1">IFERROR(__xludf.DUMMYFUNCTION("""COMPUTED_VALUE"""),0)</f>
        <v>0</v>
      </c>
      <c r="N1767" s="45">
        <f ca="1">IFERROR(__xludf.DUMMYFUNCTION("""COMPUTED_VALUE"""),0)</f>
        <v>0</v>
      </c>
      <c r="O1767" s="45">
        <f ca="1">IFERROR(__xludf.DUMMYFUNCTION("""COMPUTED_VALUE"""),0)</f>
        <v>0</v>
      </c>
      <c r="P1767" s="45">
        <f ca="1">IFERROR(__xludf.DUMMYFUNCTION("""COMPUTED_VALUE"""),0)</f>
        <v>0</v>
      </c>
      <c r="Q1767" s="65">
        <f ca="1">IFERROR(__xludf.DUMMYFUNCTION("""COMPUTED_VALUE"""),0)</f>
        <v>0</v>
      </c>
      <c r="R1767" s="9"/>
    </row>
    <row r="1768" spans="1:18" ht="13.2" hidden="1" outlineLevel="1" x14ac:dyDescent="0.25">
      <c r="A1768" s="58"/>
      <c r="B1768" s="63" t="str">
        <f ca="1">IFERROR(__xludf.DUMMYFUNCTION("""COMPUTED_VALUE"""),"Gasolinas y naftas")</f>
        <v>Gasolinas y naftas</v>
      </c>
      <c r="C1768" s="64">
        <f ca="1">IFERROR(__xludf.DUMMYFUNCTION("""COMPUTED_VALUE"""),0)</f>
        <v>0</v>
      </c>
      <c r="D1768" s="45">
        <f ca="1">IFERROR(__xludf.DUMMYFUNCTION("""COMPUTED_VALUE"""),0)</f>
        <v>0</v>
      </c>
      <c r="E1768" s="45">
        <f ca="1">IFERROR(__xludf.DUMMYFUNCTION("""COMPUTED_VALUE"""),0)</f>
        <v>0</v>
      </c>
      <c r="F1768" s="45">
        <f ca="1">IFERROR(__xludf.DUMMYFUNCTION("""COMPUTED_VALUE"""),0)</f>
        <v>0</v>
      </c>
      <c r="G1768" s="45">
        <f ca="1">IFERROR(__xludf.DUMMYFUNCTION("""COMPUTED_VALUE"""),0)</f>
        <v>0</v>
      </c>
      <c r="H1768" s="45">
        <f ca="1">IFERROR(__xludf.DUMMYFUNCTION("""COMPUTED_VALUE"""),0)</f>
        <v>0</v>
      </c>
      <c r="I1768" s="45">
        <f ca="1">IFERROR(__xludf.DUMMYFUNCTION("""COMPUTED_VALUE"""),0)</f>
        <v>0</v>
      </c>
      <c r="J1768" s="45">
        <f ca="1">IFERROR(__xludf.DUMMYFUNCTION("""COMPUTED_VALUE"""),0)</f>
        <v>0</v>
      </c>
      <c r="K1768" s="45">
        <f ca="1">IFERROR(__xludf.DUMMYFUNCTION("""COMPUTED_VALUE"""),0)</f>
        <v>0</v>
      </c>
      <c r="L1768" s="45">
        <f ca="1">IFERROR(__xludf.DUMMYFUNCTION("""COMPUTED_VALUE"""),0)</f>
        <v>0</v>
      </c>
      <c r="M1768" s="45">
        <f ca="1">IFERROR(__xludf.DUMMYFUNCTION("""COMPUTED_VALUE"""),0)</f>
        <v>0</v>
      </c>
      <c r="N1768" s="45">
        <f ca="1">IFERROR(__xludf.DUMMYFUNCTION("""COMPUTED_VALUE"""),0)</f>
        <v>0</v>
      </c>
      <c r="O1768" s="45">
        <f ca="1">IFERROR(__xludf.DUMMYFUNCTION("""COMPUTED_VALUE"""),0)</f>
        <v>0</v>
      </c>
      <c r="P1768" s="45">
        <f ca="1">IFERROR(__xludf.DUMMYFUNCTION("""COMPUTED_VALUE"""),0)</f>
        <v>0</v>
      </c>
      <c r="Q1768" s="65">
        <f ca="1">IFERROR(__xludf.DUMMYFUNCTION("""COMPUTED_VALUE"""),0)</f>
        <v>0</v>
      </c>
      <c r="R1768" s="9"/>
    </row>
    <row r="1769" spans="1:18" ht="13.2" hidden="1" outlineLevel="1" x14ac:dyDescent="0.25">
      <c r="A1769" s="58"/>
      <c r="B1769" s="63" t="str">
        <f ca="1">IFERROR(__xludf.DUMMYFUNCTION("""COMPUTED_VALUE"""),"Querosenos")</f>
        <v>Querosenos</v>
      </c>
      <c r="C1769" s="64">
        <f ca="1">IFERROR(__xludf.DUMMYFUNCTION("""COMPUTED_VALUE"""),0)</f>
        <v>0</v>
      </c>
      <c r="D1769" s="45">
        <f ca="1">IFERROR(__xludf.DUMMYFUNCTION("""COMPUTED_VALUE"""),0)</f>
        <v>0</v>
      </c>
      <c r="E1769" s="45">
        <f ca="1">IFERROR(__xludf.DUMMYFUNCTION("""COMPUTED_VALUE"""),0)</f>
        <v>0</v>
      </c>
      <c r="F1769" s="45">
        <f ca="1">IFERROR(__xludf.DUMMYFUNCTION("""COMPUTED_VALUE"""),0)</f>
        <v>0</v>
      </c>
      <c r="G1769" s="45">
        <f ca="1">IFERROR(__xludf.DUMMYFUNCTION("""COMPUTED_VALUE"""),0)</f>
        <v>0</v>
      </c>
      <c r="H1769" s="45">
        <f ca="1">IFERROR(__xludf.DUMMYFUNCTION("""COMPUTED_VALUE"""),0)</f>
        <v>0</v>
      </c>
      <c r="I1769" s="45">
        <f ca="1">IFERROR(__xludf.DUMMYFUNCTION("""COMPUTED_VALUE"""),0)</f>
        <v>0</v>
      </c>
      <c r="J1769" s="45">
        <f ca="1">IFERROR(__xludf.DUMMYFUNCTION("""COMPUTED_VALUE"""),0)</f>
        <v>0</v>
      </c>
      <c r="K1769" s="45">
        <f ca="1">IFERROR(__xludf.DUMMYFUNCTION("""COMPUTED_VALUE"""),0)</f>
        <v>0</v>
      </c>
      <c r="L1769" s="45">
        <f ca="1">IFERROR(__xludf.DUMMYFUNCTION("""COMPUTED_VALUE"""),0)</f>
        <v>0</v>
      </c>
      <c r="M1769" s="45">
        <f ca="1">IFERROR(__xludf.DUMMYFUNCTION("""COMPUTED_VALUE"""),0)</f>
        <v>0</v>
      </c>
      <c r="N1769" s="45">
        <f ca="1">IFERROR(__xludf.DUMMYFUNCTION("""COMPUTED_VALUE"""),0)</f>
        <v>0</v>
      </c>
      <c r="O1769" s="45">
        <f ca="1">IFERROR(__xludf.DUMMYFUNCTION("""COMPUTED_VALUE"""),0)</f>
        <v>0</v>
      </c>
      <c r="P1769" s="45">
        <f ca="1">IFERROR(__xludf.DUMMYFUNCTION("""COMPUTED_VALUE"""),0)</f>
        <v>0</v>
      </c>
      <c r="Q1769" s="65">
        <f ca="1">IFERROR(__xludf.DUMMYFUNCTION("""COMPUTED_VALUE"""),0)</f>
        <v>0</v>
      </c>
      <c r="R1769" s="9"/>
    </row>
    <row r="1770" spans="1:18" ht="13.2" hidden="1" outlineLevel="1" x14ac:dyDescent="0.25">
      <c r="A1770" s="58"/>
      <c r="B1770" s="63" t="str">
        <f ca="1">IFERROR(__xludf.DUMMYFUNCTION("""COMPUTED_VALUE"""),"Diesel")</f>
        <v>Diesel</v>
      </c>
      <c r="C1770" s="64">
        <f ca="1">IFERROR(__xludf.DUMMYFUNCTION("""COMPUTED_VALUE"""),26.4930339525778)</f>
        <v>26.4930339525778</v>
      </c>
      <c r="D1770" s="45">
        <f ca="1">IFERROR(__xludf.DUMMYFUNCTION("""COMPUTED_VALUE"""),27.8807776593006)</f>
        <v>27.880777659300598</v>
      </c>
      <c r="E1770" s="45">
        <f ca="1">IFERROR(__xludf.DUMMYFUNCTION("""COMPUTED_VALUE"""),26.903942418703)</f>
        <v>26.903942418703</v>
      </c>
      <c r="F1770" s="45">
        <f ca="1">IFERROR(__xludf.DUMMYFUNCTION("""COMPUTED_VALUE"""),26.8110545405531)</f>
        <v>26.811054540553101</v>
      </c>
      <c r="G1770" s="45">
        <f ca="1">IFERROR(__xludf.DUMMYFUNCTION("""COMPUTED_VALUE"""),26.538200501882)</f>
        <v>26.538200501881999</v>
      </c>
      <c r="H1770" s="45">
        <f ca="1">IFERROR(__xludf.DUMMYFUNCTION("""COMPUTED_VALUE"""),30.7804342449892)</f>
        <v>30.780434244989198</v>
      </c>
      <c r="I1770" s="45">
        <f ca="1">IFERROR(__xludf.DUMMYFUNCTION("""COMPUTED_VALUE"""),28.2469275964928)</f>
        <v>28.246927596492799</v>
      </c>
      <c r="J1770" s="45">
        <f ca="1">IFERROR(__xludf.DUMMYFUNCTION("""COMPUTED_VALUE"""),29.1070339053797)</f>
        <v>29.107033905379701</v>
      </c>
      <c r="K1770" s="45">
        <f ca="1">IFERROR(__xludf.DUMMYFUNCTION("""COMPUTED_VALUE"""),30.0085485949089)</f>
        <v>30.008548594908898</v>
      </c>
      <c r="L1770" s="45">
        <f ca="1">IFERROR(__xludf.DUMMYFUNCTION("""COMPUTED_VALUE"""),20.8129951214764)</f>
        <v>20.812995121476401</v>
      </c>
      <c r="M1770" s="45">
        <f ca="1">IFERROR(__xludf.DUMMYFUNCTION("""COMPUTED_VALUE"""),23.5844083581685)</f>
        <v>23.584408358168499</v>
      </c>
      <c r="N1770" s="45">
        <f ca="1">IFERROR(__xludf.DUMMYFUNCTION("""COMPUTED_VALUE"""),24.8672236622314)</f>
        <v>24.8672236622314</v>
      </c>
      <c r="O1770" s="45">
        <f ca="1">IFERROR(__xludf.DUMMYFUNCTION("""COMPUTED_VALUE"""),31.2141824396511)</f>
        <v>31.214182439651101</v>
      </c>
      <c r="P1770" s="45">
        <f ca="1">IFERROR(__xludf.DUMMYFUNCTION("""COMPUTED_VALUE"""),31.3568037615544)</f>
        <v>31.356803761554399</v>
      </c>
      <c r="Q1770" s="65">
        <f ca="1">IFERROR(__xludf.DUMMYFUNCTION("""COMPUTED_VALUE"""),28.2945710494028)</f>
        <v>28.294571049402801</v>
      </c>
      <c r="R1770" s="9"/>
    </row>
    <row r="1771" spans="1:18" ht="13.2" hidden="1" outlineLevel="1" x14ac:dyDescent="0.25">
      <c r="A1771" s="58"/>
      <c r="B1771" s="63" t="str">
        <f ca="1">IFERROR(__xludf.DUMMYFUNCTION("""COMPUTED_VALUE"""),"Combustóleo")</f>
        <v>Combustóleo</v>
      </c>
      <c r="C1771" s="64">
        <f ca="1">IFERROR(__xludf.DUMMYFUNCTION("""COMPUTED_VALUE"""),0)</f>
        <v>0</v>
      </c>
      <c r="D1771" s="45">
        <f ca="1">IFERROR(__xludf.DUMMYFUNCTION("""COMPUTED_VALUE"""),0)</f>
        <v>0</v>
      </c>
      <c r="E1771" s="45">
        <f ca="1">IFERROR(__xludf.DUMMYFUNCTION("""COMPUTED_VALUE"""),0)</f>
        <v>0</v>
      </c>
      <c r="F1771" s="45">
        <f ca="1">IFERROR(__xludf.DUMMYFUNCTION("""COMPUTED_VALUE"""),0)</f>
        <v>0</v>
      </c>
      <c r="G1771" s="45">
        <f ca="1">IFERROR(__xludf.DUMMYFUNCTION("""COMPUTED_VALUE"""),0)</f>
        <v>0</v>
      </c>
      <c r="H1771" s="45">
        <f ca="1">IFERROR(__xludf.DUMMYFUNCTION("""COMPUTED_VALUE"""),0)</f>
        <v>0</v>
      </c>
      <c r="I1771" s="45">
        <f ca="1">IFERROR(__xludf.DUMMYFUNCTION("""COMPUTED_VALUE"""),0)</f>
        <v>0</v>
      </c>
      <c r="J1771" s="45">
        <f ca="1">IFERROR(__xludf.DUMMYFUNCTION("""COMPUTED_VALUE"""),0)</f>
        <v>0</v>
      </c>
      <c r="K1771" s="45">
        <f ca="1">IFERROR(__xludf.DUMMYFUNCTION("""COMPUTED_VALUE"""),0)</f>
        <v>0</v>
      </c>
      <c r="L1771" s="45">
        <f ca="1">IFERROR(__xludf.DUMMYFUNCTION("""COMPUTED_VALUE"""),0)</f>
        <v>0</v>
      </c>
      <c r="M1771" s="45">
        <f ca="1">IFERROR(__xludf.DUMMYFUNCTION("""COMPUTED_VALUE"""),0)</f>
        <v>0</v>
      </c>
      <c r="N1771" s="45">
        <f ca="1">IFERROR(__xludf.DUMMYFUNCTION("""COMPUTED_VALUE"""),0)</f>
        <v>0</v>
      </c>
      <c r="O1771" s="45">
        <f ca="1">IFERROR(__xludf.DUMMYFUNCTION("""COMPUTED_VALUE"""),0)</f>
        <v>0</v>
      </c>
      <c r="P1771" s="45">
        <f ca="1">IFERROR(__xludf.DUMMYFUNCTION("""COMPUTED_VALUE"""),0)</f>
        <v>0</v>
      </c>
      <c r="Q1771" s="65">
        <f ca="1">IFERROR(__xludf.DUMMYFUNCTION("""COMPUTED_VALUE"""),0)</f>
        <v>0</v>
      </c>
      <c r="R1771" s="9"/>
    </row>
    <row r="1772" spans="1:18" ht="13.2" hidden="1" outlineLevel="1" x14ac:dyDescent="0.25">
      <c r="A1772" s="58"/>
      <c r="B1772" s="63" t="str">
        <f ca="1">IFERROR(__xludf.DUMMYFUNCTION("""COMPUTED_VALUE"""),"Otros energéticos")</f>
        <v>Otros energéticos</v>
      </c>
      <c r="C1772" s="64">
        <f ca="1">IFERROR(__xludf.DUMMYFUNCTION("""COMPUTED_VALUE"""),0)</f>
        <v>0</v>
      </c>
      <c r="D1772" s="45">
        <f ca="1">IFERROR(__xludf.DUMMYFUNCTION("""COMPUTED_VALUE"""),0)</f>
        <v>0</v>
      </c>
      <c r="E1772" s="45">
        <f ca="1">IFERROR(__xludf.DUMMYFUNCTION("""COMPUTED_VALUE"""),0)</f>
        <v>0</v>
      </c>
      <c r="F1772" s="45">
        <f ca="1">IFERROR(__xludf.DUMMYFUNCTION("""COMPUTED_VALUE"""),0)</f>
        <v>0</v>
      </c>
      <c r="G1772" s="45">
        <f ca="1">IFERROR(__xludf.DUMMYFUNCTION("""COMPUTED_VALUE"""),0)</f>
        <v>0</v>
      </c>
      <c r="H1772" s="45">
        <f ca="1">IFERROR(__xludf.DUMMYFUNCTION("""COMPUTED_VALUE"""),0)</f>
        <v>0</v>
      </c>
      <c r="I1772" s="45">
        <f ca="1">IFERROR(__xludf.DUMMYFUNCTION("""COMPUTED_VALUE"""),0)</f>
        <v>0</v>
      </c>
      <c r="J1772" s="45">
        <f ca="1">IFERROR(__xludf.DUMMYFUNCTION("""COMPUTED_VALUE"""),0)</f>
        <v>0</v>
      </c>
      <c r="K1772" s="45">
        <f ca="1">IFERROR(__xludf.DUMMYFUNCTION("""COMPUTED_VALUE"""),0)</f>
        <v>0</v>
      </c>
      <c r="L1772" s="45">
        <f ca="1">IFERROR(__xludf.DUMMYFUNCTION("""COMPUTED_VALUE"""),0)</f>
        <v>0</v>
      </c>
      <c r="M1772" s="45">
        <f ca="1">IFERROR(__xludf.DUMMYFUNCTION("""COMPUTED_VALUE"""),0)</f>
        <v>0</v>
      </c>
      <c r="N1772" s="45">
        <f ca="1">IFERROR(__xludf.DUMMYFUNCTION("""COMPUTED_VALUE"""),0)</f>
        <v>0</v>
      </c>
      <c r="O1772" s="45">
        <f ca="1">IFERROR(__xludf.DUMMYFUNCTION("""COMPUTED_VALUE"""),0)</f>
        <v>0</v>
      </c>
      <c r="P1772" s="45">
        <f ca="1">IFERROR(__xludf.DUMMYFUNCTION("""COMPUTED_VALUE"""),0)</f>
        <v>0</v>
      </c>
      <c r="Q1772" s="65">
        <f ca="1">IFERROR(__xludf.DUMMYFUNCTION("""COMPUTED_VALUE"""),0)</f>
        <v>0</v>
      </c>
      <c r="R1772" s="9"/>
    </row>
    <row r="1773" spans="1:18" ht="13.2" hidden="1" outlineLevel="1" x14ac:dyDescent="0.25">
      <c r="A1773" s="58"/>
      <c r="B1773" s="63" t="str">
        <f ca="1">IFERROR(__xludf.DUMMYFUNCTION("""COMPUTED_VALUE"""),"Gas natural seco")</f>
        <v>Gas natural seco</v>
      </c>
      <c r="C1773" s="64">
        <f ca="1">IFERROR(__xludf.DUMMYFUNCTION("""COMPUTED_VALUE"""),0)</f>
        <v>0</v>
      </c>
      <c r="D1773" s="45">
        <f ca="1">IFERROR(__xludf.DUMMYFUNCTION("""COMPUTED_VALUE"""),0)</f>
        <v>0</v>
      </c>
      <c r="E1773" s="45">
        <f ca="1">IFERROR(__xludf.DUMMYFUNCTION("""COMPUTED_VALUE"""),0)</f>
        <v>0</v>
      </c>
      <c r="F1773" s="45">
        <f ca="1">IFERROR(__xludf.DUMMYFUNCTION("""COMPUTED_VALUE"""),0)</f>
        <v>0</v>
      </c>
      <c r="G1773" s="45">
        <f ca="1">IFERROR(__xludf.DUMMYFUNCTION("""COMPUTED_VALUE"""),0)</f>
        <v>0</v>
      </c>
      <c r="H1773" s="45">
        <f ca="1">IFERROR(__xludf.DUMMYFUNCTION("""COMPUTED_VALUE"""),0)</f>
        <v>0</v>
      </c>
      <c r="I1773" s="45">
        <f ca="1">IFERROR(__xludf.DUMMYFUNCTION("""COMPUTED_VALUE"""),0)</f>
        <v>0</v>
      </c>
      <c r="J1773" s="45">
        <f ca="1">IFERROR(__xludf.DUMMYFUNCTION("""COMPUTED_VALUE"""),0)</f>
        <v>0</v>
      </c>
      <c r="K1773" s="45">
        <f ca="1">IFERROR(__xludf.DUMMYFUNCTION("""COMPUTED_VALUE"""),0)</f>
        <v>0</v>
      </c>
      <c r="L1773" s="45">
        <f ca="1">IFERROR(__xludf.DUMMYFUNCTION("""COMPUTED_VALUE"""),0)</f>
        <v>0</v>
      </c>
      <c r="M1773" s="45">
        <f ca="1">IFERROR(__xludf.DUMMYFUNCTION("""COMPUTED_VALUE"""),0)</f>
        <v>0</v>
      </c>
      <c r="N1773" s="45">
        <f ca="1">IFERROR(__xludf.DUMMYFUNCTION("""COMPUTED_VALUE"""),0)</f>
        <v>0</v>
      </c>
      <c r="O1773" s="45">
        <f ca="1">IFERROR(__xludf.DUMMYFUNCTION("""COMPUTED_VALUE"""),0)</f>
        <v>0</v>
      </c>
      <c r="P1773" s="45">
        <f ca="1">IFERROR(__xludf.DUMMYFUNCTION("""COMPUTED_VALUE"""),0)</f>
        <v>0</v>
      </c>
      <c r="Q1773" s="65">
        <f ca="1">IFERROR(__xludf.DUMMYFUNCTION("""COMPUTED_VALUE"""),0)</f>
        <v>0</v>
      </c>
      <c r="R1773" s="9"/>
    </row>
    <row r="1774" spans="1:18" ht="13.2" hidden="1" outlineLevel="1" x14ac:dyDescent="0.25">
      <c r="A1774" s="58"/>
      <c r="B1774" s="66" t="str">
        <f ca="1">IFERROR(__xludf.DUMMYFUNCTION("""COMPUTED_VALUE"""),"Energía eléctrica")</f>
        <v>Energía eléctrica</v>
      </c>
      <c r="C1774" s="67">
        <f ca="1">IFERROR(__xludf.DUMMYFUNCTION("""COMPUTED_VALUE"""),0.142510397667024)</f>
        <v>0.142510397667024</v>
      </c>
      <c r="D1774" s="68">
        <f ca="1">IFERROR(__xludf.DUMMYFUNCTION("""COMPUTED_VALUE"""),0.162858029703446)</f>
        <v>0.16285802970344601</v>
      </c>
      <c r="E1774" s="68">
        <f ca="1">IFERROR(__xludf.DUMMYFUNCTION("""COMPUTED_VALUE"""),0.162888413149432)</f>
        <v>0.162888413149432</v>
      </c>
      <c r="F1774" s="68">
        <f ca="1">IFERROR(__xludf.DUMMYFUNCTION("""COMPUTED_VALUE"""),0.163145882342502)</f>
        <v>0.16314588234250199</v>
      </c>
      <c r="G1774" s="68">
        <f ca="1">IFERROR(__xludf.DUMMYFUNCTION("""COMPUTED_VALUE"""),0.153529201609367)</f>
        <v>0.15352920160936701</v>
      </c>
      <c r="H1774" s="68">
        <f ca="1">IFERROR(__xludf.DUMMYFUNCTION("""COMPUTED_VALUE"""),0.194275078141776)</f>
        <v>0.194275078141776</v>
      </c>
      <c r="I1774" s="68">
        <f ca="1">IFERROR(__xludf.DUMMYFUNCTION("""COMPUTED_VALUE"""),0.18521820826273)</f>
        <v>0.18521820826273</v>
      </c>
      <c r="J1774" s="68">
        <f ca="1">IFERROR(__xludf.DUMMYFUNCTION("""COMPUTED_VALUE"""),0.0834432062039904)</f>
        <v>8.34432062039904E-2</v>
      </c>
      <c r="K1774" s="68">
        <f ca="1">IFERROR(__xludf.DUMMYFUNCTION("""COMPUTED_VALUE"""),0.19722099084861)</f>
        <v>0.19722099084861</v>
      </c>
      <c r="L1774" s="68">
        <f ca="1">IFERROR(__xludf.DUMMYFUNCTION("""COMPUTED_VALUE"""),0.209065897441712)</f>
        <v>0.209065897441712</v>
      </c>
      <c r="M1774" s="68">
        <f ca="1">IFERROR(__xludf.DUMMYFUNCTION("""COMPUTED_VALUE"""),0.197897312907154)</f>
        <v>0.19789731290715401</v>
      </c>
      <c r="N1774" s="68">
        <f ca="1">IFERROR(__xludf.DUMMYFUNCTION("""COMPUTED_VALUE"""),0.310011917243213)</f>
        <v>0.31001191724321298</v>
      </c>
      <c r="O1774" s="68">
        <f ca="1">IFERROR(__xludf.DUMMYFUNCTION("""COMPUTED_VALUE"""),0.243669987988242)</f>
        <v>0.24366998798824199</v>
      </c>
      <c r="P1774" s="68">
        <f ca="1">IFERROR(__xludf.DUMMYFUNCTION("""COMPUTED_VALUE"""),0.260566444179024)</f>
        <v>0.26056644417902403</v>
      </c>
      <c r="Q1774" s="69">
        <f ca="1">IFERROR(__xludf.DUMMYFUNCTION("""COMPUTED_VALUE"""),0.290824314743427)</f>
        <v>0.29082431474342701</v>
      </c>
      <c r="R1774" s="9"/>
    </row>
    <row r="1775" spans="1:18" ht="13.2" hidden="1" outlineLevel="1" x14ac:dyDescent="0.25">
      <c r="A1775" s="1"/>
      <c r="B1775" s="2"/>
      <c r="C1775" s="70"/>
      <c r="D1775" s="70"/>
      <c r="E1775" s="70"/>
      <c r="F1775" s="70"/>
      <c r="G1775" s="70"/>
      <c r="H1775" s="70"/>
      <c r="I1775" s="70"/>
      <c r="J1775" s="70"/>
      <c r="K1775" s="70"/>
      <c r="L1775" s="70"/>
      <c r="M1775" s="70"/>
      <c r="N1775" s="70"/>
      <c r="O1775" s="70"/>
      <c r="P1775" s="70"/>
      <c r="Q1775" s="70"/>
      <c r="R1775" s="1"/>
    </row>
    <row r="1776" spans="1:18" ht="13.2" x14ac:dyDescent="0.25">
      <c r="A1776" s="1"/>
      <c r="B1776" s="31" t="str">
        <f ca="1">IFERROR(__xludf.DUMMYFUNCTION("""COMPUTED_VALUE"""),"Agropecuario")</f>
        <v>Agropecuario</v>
      </c>
      <c r="C1776" s="41"/>
      <c r="D1776" s="42"/>
      <c r="E1776" s="41"/>
      <c r="F1776" s="41"/>
      <c r="G1776" s="43"/>
      <c r="H1776" s="44"/>
      <c r="I1776" s="45"/>
      <c r="J1776" s="45"/>
      <c r="K1776" s="45"/>
      <c r="L1776" s="45"/>
      <c r="M1776" s="45"/>
      <c r="N1776" s="45"/>
      <c r="O1776" s="45"/>
      <c r="P1776" s="45"/>
      <c r="Q1776" s="45"/>
      <c r="R1776" s="10"/>
    </row>
    <row r="1777" spans="1:18" ht="13.2" outlineLevel="1" collapsed="1" x14ac:dyDescent="0.25">
      <c r="A1777" s="71"/>
      <c r="B1777" s="72" t="str">
        <f ca="1">IFERROR(__xludf.DUMMYFUNCTION("""COMPUTED_VALUE"""),"Bombeo de agua")</f>
        <v>Bombeo de agua</v>
      </c>
      <c r="C1777" s="73"/>
      <c r="D1777" s="73"/>
      <c r="E1777" s="73"/>
      <c r="F1777" s="73"/>
      <c r="G1777" s="73"/>
      <c r="H1777" s="73"/>
      <c r="I1777" s="73"/>
      <c r="J1777" s="73"/>
      <c r="K1777" s="73"/>
      <c r="L1777" s="73"/>
      <c r="M1777" s="73"/>
      <c r="N1777" s="73"/>
      <c r="O1777" s="73"/>
      <c r="P1777" s="73"/>
      <c r="Q1777" s="74"/>
      <c r="R1777" s="75"/>
    </row>
    <row r="1778" spans="1:18" ht="13.2" hidden="1" outlineLevel="2" x14ac:dyDescent="0.25">
      <c r="A1778" s="76"/>
      <c r="B1778" s="76"/>
      <c r="C1778" s="77">
        <f ca="1">IFERROR(__xludf.DUMMYFUNCTION("""COMPUTED_VALUE"""),2010)</f>
        <v>2010</v>
      </c>
      <c r="D1778" s="77">
        <f ca="1">IFERROR(__xludf.DUMMYFUNCTION("""COMPUTED_VALUE"""),2011)</f>
        <v>2011</v>
      </c>
      <c r="E1778" s="77">
        <f ca="1">IFERROR(__xludf.DUMMYFUNCTION("""COMPUTED_VALUE"""),2012)</f>
        <v>2012</v>
      </c>
      <c r="F1778" s="77">
        <f ca="1">IFERROR(__xludf.DUMMYFUNCTION("""COMPUTED_VALUE"""),2013)</f>
        <v>2013</v>
      </c>
      <c r="G1778" s="77">
        <f ca="1">IFERROR(__xludf.DUMMYFUNCTION("""COMPUTED_VALUE"""),2014)</f>
        <v>2014</v>
      </c>
      <c r="H1778" s="77">
        <f ca="1">IFERROR(__xludf.DUMMYFUNCTION("""COMPUTED_VALUE"""),2015)</f>
        <v>2015</v>
      </c>
      <c r="I1778" s="77">
        <f ca="1">IFERROR(__xludf.DUMMYFUNCTION("""COMPUTED_VALUE"""),2016)</f>
        <v>2016</v>
      </c>
      <c r="J1778" s="77">
        <f ca="1">IFERROR(__xludf.DUMMYFUNCTION("""COMPUTED_VALUE"""),2017)</f>
        <v>2017</v>
      </c>
      <c r="K1778" s="77">
        <f ca="1">IFERROR(__xludf.DUMMYFUNCTION("""COMPUTED_VALUE"""),2018)</f>
        <v>2018</v>
      </c>
      <c r="L1778" s="77">
        <f ca="1">IFERROR(__xludf.DUMMYFUNCTION("""COMPUTED_VALUE"""),2019)</f>
        <v>2019</v>
      </c>
      <c r="M1778" s="77">
        <f ca="1">IFERROR(__xludf.DUMMYFUNCTION("""COMPUTED_VALUE"""),2020)</f>
        <v>2020</v>
      </c>
      <c r="N1778" s="77">
        <f ca="1">IFERROR(__xludf.DUMMYFUNCTION("""COMPUTED_VALUE"""),2021)</f>
        <v>2021</v>
      </c>
      <c r="O1778" s="77">
        <f ca="1">IFERROR(__xludf.DUMMYFUNCTION("""COMPUTED_VALUE"""),2022)</f>
        <v>2022</v>
      </c>
      <c r="P1778" s="77">
        <f ca="1">IFERROR(__xludf.DUMMYFUNCTION("""COMPUTED_VALUE"""),2023)</f>
        <v>2023</v>
      </c>
      <c r="Q1778" s="77">
        <f ca="1">IFERROR(__xludf.DUMMYFUNCTION("""COMPUTED_VALUE"""),2024)</f>
        <v>2024</v>
      </c>
    </row>
    <row r="1779" spans="1:18" ht="13.2" hidden="1" outlineLevel="2" x14ac:dyDescent="0.25">
      <c r="A1779" s="76"/>
      <c r="B1779" s="78" t="str">
        <f ca="1">IFERROR(__xludf.DUMMYFUNCTION("""COMPUTED_VALUE"""),"Gas licuado de petróleo")</f>
        <v>Gas licuado de petróleo</v>
      </c>
      <c r="C1779" s="77">
        <f ca="1">IFERROR(__xludf.DUMMYFUNCTION("""COMPUTED_VALUE"""),0)</f>
        <v>0</v>
      </c>
      <c r="D1779" s="77">
        <f ca="1">IFERROR(__xludf.DUMMYFUNCTION("""COMPUTED_VALUE"""),0)</f>
        <v>0</v>
      </c>
      <c r="E1779" s="77">
        <f ca="1">IFERROR(__xludf.DUMMYFUNCTION("""COMPUTED_VALUE"""),0)</f>
        <v>0</v>
      </c>
      <c r="F1779" s="77">
        <f ca="1">IFERROR(__xludf.DUMMYFUNCTION("""COMPUTED_VALUE"""),0)</f>
        <v>0</v>
      </c>
      <c r="G1779" s="77">
        <f ca="1">IFERROR(__xludf.DUMMYFUNCTION("""COMPUTED_VALUE"""),0)</f>
        <v>0</v>
      </c>
      <c r="H1779" s="77">
        <f ca="1">IFERROR(__xludf.DUMMYFUNCTION("""COMPUTED_VALUE"""),0)</f>
        <v>0</v>
      </c>
      <c r="I1779" s="77">
        <f ca="1">IFERROR(__xludf.DUMMYFUNCTION("""COMPUTED_VALUE"""),0)</f>
        <v>0</v>
      </c>
      <c r="J1779" s="77">
        <f ca="1">IFERROR(__xludf.DUMMYFUNCTION("""COMPUTED_VALUE"""),0)</f>
        <v>0</v>
      </c>
      <c r="K1779" s="77">
        <f ca="1">IFERROR(__xludf.DUMMYFUNCTION("""COMPUTED_VALUE"""),0)</f>
        <v>0</v>
      </c>
      <c r="L1779" s="77">
        <f ca="1">IFERROR(__xludf.DUMMYFUNCTION("""COMPUTED_VALUE"""),0)</f>
        <v>0</v>
      </c>
      <c r="M1779" s="77">
        <f ca="1">IFERROR(__xludf.DUMMYFUNCTION("""COMPUTED_VALUE"""),0)</f>
        <v>0</v>
      </c>
      <c r="N1779" s="77">
        <f ca="1">IFERROR(__xludf.DUMMYFUNCTION("""COMPUTED_VALUE"""),0)</f>
        <v>0</v>
      </c>
      <c r="O1779" s="77">
        <f ca="1">IFERROR(__xludf.DUMMYFUNCTION("""COMPUTED_VALUE"""),0)</f>
        <v>0</v>
      </c>
      <c r="P1779" s="77">
        <f ca="1">IFERROR(__xludf.DUMMYFUNCTION("""COMPUTED_VALUE"""),0)</f>
        <v>0</v>
      </c>
      <c r="Q1779" s="77">
        <f ca="1">IFERROR(__xludf.DUMMYFUNCTION("""COMPUTED_VALUE"""),0)</f>
        <v>0</v>
      </c>
    </row>
    <row r="1780" spans="1:18" ht="13.2" hidden="1" outlineLevel="2" x14ac:dyDescent="0.25">
      <c r="A1780" s="76"/>
      <c r="B1780" s="78" t="str">
        <f ca="1">IFERROR(__xludf.DUMMYFUNCTION("""COMPUTED_VALUE"""),"Diesel")</f>
        <v>Diesel</v>
      </c>
      <c r="C1780" s="77">
        <f ca="1">IFERROR(__xludf.DUMMYFUNCTION("""COMPUTED_VALUE"""),0)</f>
        <v>0</v>
      </c>
      <c r="D1780" s="77">
        <f ca="1">IFERROR(__xludf.DUMMYFUNCTION("""COMPUTED_VALUE"""),0)</f>
        <v>0</v>
      </c>
      <c r="E1780" s="77">
        <f ca="1">IFERROR(__xludf.DUMMYFUNCTION("""COMPUTED_VALUE"""),0)</f>
        <v>0</v>
      </c>
      <c r="F1780" s="77">
        <f ca="1">IFERROR(__xludf.DUMMYFUNCTION("""COMPUTED_VALUE"""),0)</f>
        <v>0</v>
      </c>
      <c r="G1780" s="77">
        <f ca="1">IFERROR(__xludf.DUMMYFUNCTION("""COMPUTED_VALUE"""),0)</f>
        <v>0</v>
      </c>
      <c r="H1780" s="77">
        <f ca="1">IFERROR(__xludf.DUMMYFUNCTION("""COMPUTED_VALUE"""),0)</f>
        <v>0</v>
      </c>
      <c r="I1780" s="77">
        <f ca="1">IFERROR(__xludf.DUMMYFUNCTION("""COMPUTED_VALUE"""),0)</f>
        <v>0</v>
      </c>
      <c r="J1780" s="77">
        <f ca="1">IFERROR(__xludf.DUMMYFUNCTION("""COMPUTED_VALUE"""),0)</f>
        <v>0</v>
      </c>
      <c r="K1780" s="77">
        <f ca="1">IFERROR(__xludf.DUMMYFUNCTION("""COMPUTED_VALUE"""),0)</f>
        <v>0</v>
      </c>
      <c r="L1780" s="77">
        <f ca="1">IFERROR(__xludf.DUMMYFUNCTION("""COMPUTED_VALUE"""),0)</f>
        <v>0</v>
      </c>
      <c r="M1780" s="77">
        <f ca="1">IFERROR(__xludf.DUMMYFUNCTION("""COMPUTED_VALUE"""),0)</f>
        <v>0</v>
      </c>
      <c r="N1780" s="77">
        <f ca="1">IFERROR(__xludf.DUMMYFUNCTION("""COMPUTED_VALUE"""),0)</f>
        <v>0</v>
      </c>
      <c r="O1780" s="77">
        <f ca="1">IFERROR(__xludf.DUMMYFUNCTION("""COMPUTED_VALUE"""),0)</f>
        <v>0</v>
      </c>
      <c r="P1780" s="77">
        <f ca="1">IFERROR(__xludf.DUMMYFUNCTION("""COMPUTED_VALUE"""),0)</f>
        <v>0</v>
      </c>
      <c r="Q1780" s="77">
        <f ca="1">IFERROR(__xludf.DUMMYFUNCTION("""COMPUTED_VALUE"""),0)</f>
        <v>0</v>
      </c>
    </row>
    <row r="1781" spans="1:18" ht="13.2" hidden="1" outlineLevel="2" x14ac:dyDescent="0.25">
      <c r="A1781" s="76"/>
      <c r="B1781" s="78" t="str">
        <f ca="1">IFERROR(__xludf.DUMMYFUNCTION("""COMPUTED_VALUE"""),"Combustóleo")</f>
        <v>Combustóleo</v>
      </c>
      <c r="C1781" s="77">
        <f ca="1">IFERROR(__xludf.DUMMYFUNCTION("""COMPUTED_VALUE"""),0)</f>
        <v>0</v>
      </c>
      <c r="D1781" s="77">
        <f ca="1">IFERROR(__xludf.DUMMYFUNCTION("""COMPUTED_VALUE"""),0)</f>
        <v>0</v>
      </c>
      <c r="E1781" s="77">
        <f ca="1">IFERROR(__xludf.DUMMYFUNCTION("""COMPUTED_VALUE"""),0)</f>
        <v>0</v>
      </c>
      <c r="F1781" s="77">
        <f ca="1">IFERROR(__xludf.DUMMYFUNCTION("""COMPUTED_VALUE"""),0)</f>
        <v>0</v>
      </c>
      <c r="G1781" s="77">
        <f ca="1">IFERROR(__xludf.DUMMYFUNCTION("""COMPUTED_VALUE"""),0)</f>
        <v>0</v>
      </c>
      <c r="H1781" s="77">
        <f ca="1">IFERROR(__xludf.DUMMYFUNCTION("""COMPUTED_VALUE"""),0)</f>
        <v>0</v>
      </c>
      <c r="I1781" s="77">
        <f ca="1">IFERROR(__xludf.DUMMYFUNCTION("""COMPUTED_VALUE"""),0)</f>
        <v>0</v>
      </c>
      <c r="J1781" s="77">
        <f ca="1">IFERROR(__xludf.DUMMYFUNCTION("""COMPUTED_VALUE"""),0)</f>
        <v>0</v>
      </c>
      <c r="K1781" s="77">
        <f ca="1">IFERROR(__xludf.DUMMYFUNCTION("""COMPUTED_VALUE"""),0)</f>
        <v>0</v>
      </c>
      <c r="L1781" s="77">
        <f ca="1">IFERROR(__xludf.DUMMYFUNCTION("""COMPUTED_VALUE"""),0)</f>
        <v>0</v>
      </c>
      <c r="M1781" s="77">
        <f ca="1">IFERROR(__xludf.DUMMYFUNCTION("""COMPUTED_VALUE"""),0)</f>
        <v>0</v>
      </c>
      <c r="N1781" s="77">
        <f ca="1">IFERROR(__xludf.DUMMYFUNCTION("""COMPUTED_VALUE"""),0)</f>
        <v>0</v>
      </c>
      <c r="O1781" s="77">
        <f ca="1">IFERROR(__xludf.DUMMYFUNCTION("""COMPUTED_VALUE"""),0)</f>
        <v>0</v>
      </c>
      <c r="P1781" s="77">
        <f ca="1">IFERROR(__xludf.DUMMYFUNCTION("""COMPUTED_VALUE"""),0)</f>
        <v>0</v>
      </c>
      <c r="Q1781" s="77">
        <f ca="1">IFERROR(__xludf.DUMMYFUNCTION("""COMPUTED_VALUE"""),0)</f>
        <v>0</v>
      </c>
    </row>
    <row r="1782" spans="1:18" ht="13.2" hidden="1" outlineLevel="2" x14ac:dyDescent="0.25">
      <c r="A1782" s="76"/>
      <c r="B1782" s="78" t="str">
        <f ca="1">IFERROR(__xludf.DUMMYFUNCTION("""COMPUTED_VALUE"""),"Gas natural seco")</f>
        <v>Gas natural seco</v>
      </c>
      <c r="C1782" s="77">
        <f ca="1">IFERROR(__xludf.DUMMYFUNCTION("""COMPUTED_VALUE"""),0)</f>
        <v>0</v>
      </c>
      <c r="D1782" s="77">
        <f ca="1">IFERROR(__xludf.DUMMYFUNCTION("""COMPUTED_VALUE"""),0)</f>
        <v>0</v>
      </c>
      <c r="E1782" s="77">
        <f ca="1">IFERROR(__xludf.DUMMYFUNCTION("""COMPUTED_VALUE"""),0)</f>
        <v>0</v>
      </c>
      <c r="F1782" s="77">
        <f ca="1">IFERROR(__xludf.DUMMYFUNCTION("""COMPUTED_VALUE"""),0)</f>
        <v>0</v>
      </c>
      <c r="G1782" s="77">
        <f ca="1">IFERROR(__xludf.DUMMYFUNCTION("""COMPUTED_VALUE"""),0)</f>
        <v>0</v>
      </c>
      <c r="H1782" s="77">
        <f ca="1">IFERROR(__xludf.DUMMYFUNCTION("""COMPUTED_VALUE"""),0)</f>
        <v>0</v>
      </c>
      <c r="I1782" s="77">
        <f ca="1">IFERROR(__xludf.DUMMYFUNCTION("""COMPUTED_VALUE"""),0)</f>
        <v>0</v>
      </c>
      <c r="J1782" s="77">
        <f ca="1">IFERROR(__xludf.DUMMYFUNCTION("""COMPUTED_VALUE"""),0)</f>
        <v>0</v>
      </c>
      <c r="K1782" s="77">
        <f ca="1">IFERROR(__xludf.DUMMYFUNCTION("""COMPUTED_VALUE"""),0)</f>
        <v>0</v>
      </c>
      <c r="L1782" s="77">
        <f ca="1">IFERROR(__xludf.DUMMYFUNCTION("""COMPUTED_VALUE"""),0)</f>
        <v>0</v>
      </c>
      <c r="M1782" s="77">
        <f ca="1">IFERROR(__xludf.DUMMYFUNCTION("""COMPUTED_VALUE"""),0)</f>
        <v>0</v>
      </c>
      <c r="N1782" s="77">
        <f ca="1">IFERROR(__xludf.DUMMYFUNCTION("""COMPUTED_VALUE"""),0)</f>
        <v>0</v>
      </c>
      <c r="O1782" s="77">
        <f ca="1">IFERROR(__xludf.DUMMYFUNCTION("""COMPUTED_VALUE"""),0)</f>
        <v>0</v>
      </c>
      <c r="P1782" s="77">
        <f ca="1">IFERROR(__xludf.DUMMYFUNCTION("""COMPUTED_VALUE"""),0)</f>
        <v>0</v>
      </c>
      <c r="Q1782" s="77">
        <f ca="1">IFERROR(__xludf.DUMMYFUNCTION("""COMPUTED_VALUE"""),0)</f>
        <v>0</v>
      </c>
    </row>
    <row r="1783" spans="1:18" ht="13.2" hidden="1" outlineLevel="2" x14ac:dyDescent="0.25">
      <c r="A1783" s="76"/>
      <c r="B1783" s="77" t="str">
        <f ca="1">IFERROR(__xludf.DUMMYFUNCTION("""COMPUTED_VALUE"""),"Energía eléctrica")</f>
        <v>Energía eléctrica</v>
      </c>
      <c r="C1783" s="77">
        <f ca="1">IFERROR(__xludf.DUMMYFUNCTION("""COMPUTED_VALUE"""),32.3091430139382)</f>
        <v>32.309143013938197</v>
      </c>
      <c r="D1783" s="77">
        <f ca="1">IFERROR(__xludf.DUMMYFUNCTION("""COMPUTED_VALUE"""),37.5794903540703)</f>
        <v>37.579490354070302</v>
      </c>
      <c r="E1783" s="77">
        <f ca="1">IFERROR(__xludf.DUMMYFUNCTION("""COMPUTED_VALUE"""),37.0571139914958)</f>
        <v>37.057113991495797</v>
      </c>
      <c r="F1783" s="77">
        <f ca="1">IFERROR(__xludf.DUMMYFUNCTION("""COMPUTED_VALUE"""),35.2802970565661)</f>
        <v>35.280297056566098</v>
      </c>
      <c r="G1783" s="77">
        <f ca="1">IFERROR(__xludf.DUMMYFUNCTION("""COMPUTED_VALUE"""),34.5440703621076)</f>
        <v>34.544070362107597</v>
      </c>
      <c r="H1783" s="77">
        <f ca="1">IFERROR(__xludf.DUMMYFUNCTION("""COMPUTED_VALUE"""),34.6014139174616)</f>
        <v>34.601413917461599</v>
      </c>
      <c r="I1783" s="77">
        <f ca="1">IFERROR(__xludf.DUMMYFUNCTION("""COMPUTED_VALUE"""),39.2148106494036)</f>
        <v>39.214810649403603</v>
      </c>
      <c r="J1783" s="77">
        <f ca="1">IFERROR(__xludf.DUMMYFUNCTION("""COMPUTED_VALUE"""),39.6563837484464)</f>
        <v>39.656383748446402</v>
      </c>
      <c r="K1783" s="77">
        <f ca="1">IFERROR(__xludf.DUMMYFUNCTION("""COMPUTED_VALUE"""),38.7279745713772)</f>
        <v>38.727974571377203</v>
      </c>
      <c r="L1783" s="77">
        <f ca="1">IFERROR(__xludf.DUMMYFUNCTION("""COMPUTED_VALUE"""),39.084869526728)</f>
        <v>39.084869526727999</v>
      </c>
      <c r="M1783" s="77">
        <f ca="1">IFERROR(__xludf.DUMMYFUNCTION("""COMPUTED_VALUE"""),49.0889492490219)</f>
        <v>49.088949249021901</v>
      </c>
      <c r="N1783" s="77">
        <f ca="1">IFERROR(__xludf.DUMMYFUNCTION("""COMPUTED_VALUE"""),46.956471731772)</f>
        <v>46.956471731771998</v>
      </c>
      <c r="O1783" s="77">
        <f ca="1">IFERROR(__xludf.DUMMYFUNCTION("""COMPUTED_VALUE"""),46.5756647140842)</f>
        <v>46.575664714084198</v>
      </c>
      <c r="P1783" s="77">
        <f ca="1">IFERROR(__xludf.DUMMYFUNCTION("""COMPUTED_VALUE"""),49.9458962199138)</f>
        <v>49.945896219913799</v>
      </c>
      <c r="Q1783" s="77">
        <f ca="1">IFERROR(__xludf.DUMMYFUNCTION("""COMPUTED_VALUE"""),50.3475748202157)</f>
        <v>50.347574820215698</v>
      </c>
    </row>
    <row r="1784" spans="1:18" ht="13.2" outlineLevel="1" collapsed="1" x14ac:dyDescent="0.25">
      <c r="A1784" s="71"/>
      <c r="B1784" s="72" t="str">
        <f ca="1">IFERROR(__xludf.DUMMYFUNCTION("""COMPUTED_VALUE"""),"Riego agricola")</f>
        <v>Riego agricola</v>
      </c>
      <c r="C1784" s="73"/>
      <c r="D1784" s="73"/>
      <c r="E1784" s="73"/>
      <c r="F1784" s="73"/>
      <c r="G1784" s="73"/>
      <c r="H1784" s="73"/>
      <c r="I1784" s="73"/>
      <c r="J1784" s="73"/>
      <c r="K1784" s="73"/>
      <c r="L1784" s="73"/>
      <c r="M1784" s="73"/>
      <c r="N1784" s="73"/>
      <c r="O1784" s="73"/>
      <c r="P1784" s="73"/>
      <c r="Q1784" s="74"/>
      <c r="R1784" s="75"/>
    </row>
    <row r="1785" spans="1:18" ht="13.2" hidden="1" outlineLevel="2" x14ac:dyDescent="0.25">
      <c r="A1785" s="76"/>
      <c r="B1785" s="78"/>
      <c r="C1785" s="77">
        <f ca="1">IFERROR(__xludf.DUMMYFUNCTION("""COMPUTED_VALUE"""),2010)</f>
        <v>2010</v>
      </c>
      <c r="D1785" s="77">
        <f ca="1">IFERROR(__xludf.DUMMYFUNCTION("""COMPUTED_VALUE"""),2011)</f>
        <v>2011</v>
      </c>
      <c r="E1785" s="77">
        <f ca="1">IFERROR(__xludf.DUMMYFUNCTION("""COMPUTED_VALUE"""),2012)</f>
        <v>2012</v>
      </c>
      <c r="F1785" s="77">
        <f ca="1">IFERROR(__xludf.DUMMYFUNCTION("""COMPUTED_VALUE"""),2013)</f>
        <v>2013</v>
      </c>
      <c r="G1785" s="77">
        <f ca="1">IFERROR(__xludf.DUMMYFUNCTION("""COMPUTED_VALUE"""),2014)</f>
        <v>2014</v>
      </c>
      <c r="H1785" s="77">
        <f ca="1">IFERROR(__xludf.DUMMYFUNCTION("""COMPUTED_VALUE"""),2015)</f>
        <v>2015</v>
      </c>
      <c r="I1785" s="77">
        <f ca="1">IFERROR(__xludf.DUMMYFUNCTION("""COMPUTED_VALUE"""),2016)</f>
        <v>2016</v>
      </c>
      <c r="J1785" s="77">
        <f ca="1">IFERROR(__xludf.DUMMYFUNCTION("""COMPUTED_VALUE"""),2017)</f>
        <v>2017</v>
      </c>
      <c r="K1785" s="77">
        <f ca="1">IFERROR(__xludf.DUMMYFUNCTION("""COMPUTED_VALUE"""),2018)</f>
        <v>2018</v>
      </c>
      <c r="L1785" s="77">
        <f ca="1">IFERROR(__xludf.DUMMYFUNCTION("""COMPUTED_VALUE"""),2019)</f>
        <v>2019</v>
      </c>
      <c r="M1785" s="77">
        <f ca="1">IFERROR(__xludf.DUMMYFUNCTION("""COMPUTED_VALUE"""),2020)</f>
        <v>2020</v>
      </c>
      <c r="N1785" s="77">
        <f ca="1">IFERROR(__xludf.DUMMYFUNCTION("""COMPUTED_VALUE"""),2021)</f>
        <v>2021</v>
      </c>
      <c r="O1785" s="77">
        <f ca="1">IFERROR(__xludf.DUMMYFUNCTION("""COMPUTED_VALUE"""),2022)</f>
        <v>2022</v>
      </c>
      <c r="P1785" s="77">
        <f ca="1">IFERROR(__xludf.DUMMYFUNCTION("""COMPUTED_VALUE"""),2023)</f>
        <v>2023</v>
      </c>
      <c r="Q1785" s="77">
        <f ca="1">IFERROR(__xludf.DUMMYFUNCTION("""COMPUTED_VALUE"""),2024)</f>
        <v>2024</v>
      </c>
    </row>
    <row r="1786" spans="1:18" ht="13.2" hidden="1" outlineLevel="2" x14ac:dyDescent="0.25">
      <c r="A1786" s="76"/>
      <c r="B1786" s="78" t="str">
        <f ca="1">IFERROR(__xludf.DUMMYFUNCTION("""COMPUTED_VALUE"""),"Gas licuado de petróleo")</f>
        <v>Gas licuado de petróleo</v>
      </c>
      <c r="C1786" s="77">
        <f ca="1">IFERROR(__xludf.DUMMYFUNCTION("""COMPUTED_VALUE"""),0)</f>
        <v>0</v>
      </c>
      <c r="D1786" s="77">
        <f ca="1">IFERROR(__xludf.DUMMYFUNCTION("""COMPUTED_VALUE"""),0)</f>
        <v>0</v>
      </c>
      <c r="E1786" s="77">
        <f ca="1">IFERROR(__xludf.DUMMYFUNCTION("""COMPUTED_VALUE"""),0)</f>
        <v>0</v>
      </c>
      <c r="F1786" s="77">
        <f ca="1">IFERROR(__xludf.DUMMYFUNCTION("""COMPUTED_VALUE"""),0)</f>
        <v>0</v>
      </c>
      <c r="G1786" s="77">
        <f ca="1">IFERROR(__xludf.DUMMYFUNCTION("""COMPUTED_VALUE"""),0)</f>
        <v>0</v>
      </c>
      <c r="H1786" s="77">
        <f ca="1">IFERROR(__xludf.DUMMYFUNCTION("""COMPUTED_VALUE"""),0)</f>
        <v>0</v>
      </c>
      <c r="I1786" s="77">
        <f ca="1">IFERROR(__xludf.DUMMYFUNCTION("""COMPUTED_VALUE"""),0)</f>
        <v>0</v>
      </c>
      <c r="J1786" s="77">
        <f ca="1">IFERROR(__xludf.DUMMYFUNCTION("""COMPUTED_VALUE"""),0)</f>
        <v>0</v>
      </c>
      <c r="K1786" s="77">
        <f ca="1">IFERROR(__xludf.DUMMYFUNCTION("""COMPUTED_VALUE"""),0)</f>
        <v>0</v>
      </c>
      <c r="L1786" s="77">
        <f ca="1">IFERROR(__xludf.DUMMYFUNCTION("""COMPUTED_VALUE"""),0)</f>
        <v>0</v>
      </c>
      <c r="M1786" s="77">
        <f ca="1">IFERROR(__xludf.DUMMYFUNCTION("""COMPUTED_VALUE"""),0)</f>
        <v>0</v>
      </c>
      <c r="N1786" s="77">
        <f ca="1">IFERROR(__xludf.DUMMYFUNCTION("""COMPUTED_VALUE"""),0)</f>
        <v>0</v>
      </c>
      <c r="O1786" s="77">
        <f ca="1">IFERROR(__xludf.DUMMYFUNCTION("""COMPUTED_VALUE"""),0)</f>
        <v>0</v>
      </c>
      <c r="P1786" s="77">
        <f ca="1">IFERROR(__xludf.DUMMYFUNCTION("""COMPUTED_VALUE"""),0)</f>
        <v>0</v>
      </c>
      <c r="Q1786" s="77">
        <f ca="1">IFERROR(__xludf.DUMMYFUNCTION("""COMPUTED_VALUE"""),0)</f>
        <v>0</v>
      </c>
    </row>
    <row r="1787" spans="1:18" ht="13.2" hidden="1" outlineLevel="2" x14ac:dyDescent="0.25">
      <c r="A1787" s="76"/>
      <c r="B1787" s="78" t="str">
        <f ca="1">IFERROR(__xludf.DUMMYFUNCTION("""COMPUTED_VALUE"""),"Diesel")</f>
        <v>Diesel</v>
      </c>
      <c r="C1787" s="77">
        <f ca="1">IFERROR(__xludf.DUMMYFUNCTION("""COMPUTED_VALUE"""),0)</f>
        <v>0</v>
      </c>
      <c r="D1787" s="77">
        <f ca="1">IFERROR(__xludf.DUMMYFUNCTION("""COMPUTED_VALUE"""),0)</f>
        <v>0</v>
      </c>
      <c r="E1787" s="77">
        <f ca="1">IFERROR(__xludf.DUMMYFUNCTION("""COMPUTED_VALUE"""),0)</f>
        <v>0</v>
      </c>
      <c r="F1787" s="77">
        <f ca="1">IFERROR(__xludf.DUMMYFUNCTION("""COMPUTED_VALUE"""),0)</f>
        <v>0</v>
      </c>
      <c r="G1787" s="77">
        <f ca="1">IFERROR(__xludf.DUMMYFUNCTION("""COMPUTED_VALUE"""),0)</f>
        <v>0</v>
      </c>
      <c r="H1787" s="77">
        <f ca="1">IFERROR(__xludf.DUMMYFUNCTION("""COMPUTED_VALUE"""),0)</f>
        <v>0</v>
      </c>
      <c r="I1787" s="77">
        <f ca="1">IFERROR(__xludf.DUMMYFUNCTION("""COMPUTED_VALUE"""),0)</f>
        <v>0</v>
      </c>
      <c r="J1787" s="77">
        <f ca="1">IFERROR(__xludf.DUMMYFUNCTION("""COMPUTED_VALUE"""),0)</f>
        <v>0</v>
      </c>
      <c r="K1787" s="77">
        <f ca="1">IFERROR(__xludf.DUMMYFUNCTION("""COMPUTED_VALUE"""),0)</f>
        <v>0</v>
      </c>
      <c r="L1787" s="77">
        <f ca="1">IFERROR(__xludf.DUMMYFUNCTION("""COMPUTED_VALUE"""),0)</f>
        <v>0</v>
      </c>
      <c r="M1787" s="77">
        <f ca="1">IFERROR(__xludf.DUMMYFUNCTION("""COMPUTED_VALUE"""),0)</f>
        <v>0</v>
      </c>
      <c r="N1787" s="77">
        <f ca="1">IFERROR(__xludf.DUMMYFUNCTION("""COMPUTED_VALUE"""),0)</f>
        <v>0</v>
      </c>
      <c r="O1787" s="77">
        <f ca="1">IFERROR(__xludf.DUMMYFUNCTION("""COMPUTED_VALUE"""),0)</f>
        <v>0</v>
      </c>
      <c r="P1787" s="77">
        <f ca="1">IFERROR(__xludf.DUMMYFUNCTION("""COMPUTED_VALUE"""),0)</f>
        <v>0</v>
      </c>
      <c r="Q1787" s="77">
        <f ca="1">IFERROR(__xludf.DUMMYFUNCTION("""COMPUTED_VALUE"""),0)</f>
        <v>0</v>
      </c>
    </row>
    <row r="1788" spans="1:18" ht="13.2" hidden="1" outlineLevel="2" x14ac:dyDescent="0.25">
      <c r="A1788" s="76"/>
      <c r="B1788" s="78" t="str">
        <f ca="1">IFERROR(__xludf.DUMMYFUNCTION("""COMPUTED_VALUE"""),"Combustóleo")</f>
        <v>Combustóleo</v>
      </c>
      <c r="C1788" s="77">
        <f ca="1">IFERROR(__xludf.DUMMYFUNCTION("""COMPUTED_VALUE"""),0)</f>
        <v>0</v>
      </c>
      <c r="D1788" s="77">
        <f ca="1">IFERROR(__xludf.DUMMYFUNCTION("""COMPUTED_VALUE"""),0)</f>
        <v>0</v>
      </c>
      <c r="E1788" s="77">
        <f ca="1">IFERROR(__xludf.DUMMYFUNCTION("""COMPUTED_VALUE"""),0)</f>
        <v>0</v>
      </c>
      <c r="F1788" s="77">
        <f ca="1">IFERROR(__xludf.DUMMYFUNCTION("""COMPUTED_VALUE"""),0)</f>
        <v>0</v>
      </c>
      <c r="G1788" s="77">
        <f ca="1">IFERROR(__xludf.DUMMYFUNCTION("""COMPUTED_VALUE"""),0)</f>
        <v>0</v>
      </c>
      <c r="H1788" s="77">
        <f ca="1">IFERROR(__xludf.DUMMYFUNCTION("""COMPUTED_VALUE"""),0)</f>
        <v>0</v>
      </c>
      <c r="I1788" s="77">
        <f ca="1">IFERROR(__xludf.DUMMYFUNCTION("""COMPUTED_VALUE"""),0)</f>
        <v>0</v>
      </c>
      <c r="J1788" s="77">
        <f ca="1">IFERROR(__xludf.DUMMYFUNCTION("""COMPUTED_VALUE"""),0)</f>
        <v>0</v>
      </c>
      <c r="K1788" s="77">
        <f ca="1">IFERROR(__xludf.DUMMYFUNCTION("""COMPUTED_VALUE"""),0)</f>
        <v>0</v>
      </c>
      <c r="L1788" s="77">
        <f ca="1">IFERROR(__xludf.DUMMYFUNCTION("""COMPUTED_VALUE"""),0)</f>
        <v>0</v>
      </c>
      <c r="M1788" s="77">
        <f ca="1">IFERROR(__xludf.DUMMYFUNCTION("""COMPUTED_VALUE"""),0)</f>
        <v>0</v>
      </c>
      <c r="N1788" s="77">
        <f ca="1">IFERROR(__xludf.DUMMYFUNCTION("""COMPUTED_VALUE"""),0)</f>
        <v>0</v>
      </c>
      <c r="O1788" s="77">
        <f ca="1">IFERROR(__xludf.DUMMYFUNCTION("""COMPUTED_VALUE"""),0)</f>
        <v>0</v>
      </c>
      <c r="P1788" s="77">
        <f ca="1">IFERROR(__xludf.DUMMYFUNCTION("""COMPUTED_VALUE"""),0)</f>
        <v>0</v>
      </c>
      <c r="Q1788" s="77">
        <f ca="1">IFERROR(__xludf.DUMMYFUNCTION("""COMPUTED_VALUE"""),0)</f>
        <v>0</v>
      </c>
    </row>
    <row r="1789" spans="1:18" ht="13.2" hidden="1" outlineLevel="2" x14ac:dyDescent="0.25">
      <c r="A1789" s="76"/>
      <c r="B1789" s="78" t="str">
        <f ca="1">IFERROR(__xludf.DUMMYFUNCTION("""COMPUTED_VALUE"""),"Gas natural seco")</f>
        <v>Gas natural seco</v>
      </c>
      <c r="C1789" s="77">
        <f ca="1">IFERROR(__xludf.DUMMYFUNCTION("""COMPUTED_VALUE"""),0)</f>
        <v>0</v>
      </c>
      <c r="D1789" s="77">
        <f ca="1">IFERROR(__xludf.DUMMYFUNCTION("""COMPUTED_VALUE"""),0)</f>
        <v>0</v>
      </c>
      <c r="E1789" s="77">
        <f ca="1">IFERROR(__xludf.DUMMYFUNCTION("""COMPUTED_VALUE"""),0)</f>
        <v>0</v>
      </c>
      <c r="F1789" s="77">
        <f ca="1">IFERROR(__xludf.DUMMYFUNCTION("""COMPUTED_VALUE"""),0)</f>
        <v>0</v>
      </c>
      <c r="G1789" s="77">
        <f ca="1">IFERROR(__xludf.DUMMYFUNCTION("""COMPUTED_VALUE"""),0)</f>
        <v>0</v>
      </c>
      <c r="H1789" s="77">
        <f ca="1">IFERROR(__xludf.DUMMYFUNCTION("""COMPUTED_VALUE"""),0)</f>
        <v>0</v>
      </c>
      <c r="I1789" s="77">
        <f ca="1">IFERROR(__xludf.DUMMYFUNCTION("""COMPUTED_VALUE"""),0)</f>
        <v>0</v>
      </c>
      <c r="J1789" s="77">
        <f ca="1">IFERROR(__xludf.DUMMYFUNCTION("""COMPUTED_VALUE"""),0)</f>
        <v>0</v>
      </c>
      <c r="K1789" s="77">
        <f ca="1">IFERROR(__xludf.DUMMYFUNCTION("""COMPUTED_VALUE"""),0)</f>
        <v>0</v>
      </c>
      <c r="L1789" s="77">
        <f ca="1">IFERROR(__xludf.DUMMYFUNCTION("""COMPUTED_VALUE"""),0)</f>
        <v>0</v>
      </c>
      <c r="M1789" s="77">
        <f ca="1">IFERROR(__xludf.DUMMYFUNCTION("""COMPUTED_VALUE"""),0)</f>
        <v>0</v>
      </c>
      <c r="N1789" s="77">
        <f ca="1">IFERROR(__xludf.DUMMYFUNCTION("""COMPUTED_VALUE"""),0)</f>
        <v>0</v>
      </c>
      <c r="O1789" s="77">
        <f ca="1">IFERROR(__xludf.DUMMYFUNCTION("""COMPUTED_VALUE"""),0)</f>
        <v>0</v>
      </c>
      <c r="P1789" s="77">
        <f ca="1">IFERROR(__xludf.DUMMYFUNCTION("""COMPUTED_VALUE"""),0)</f>
        <v>0</v>
      </c>
      <c r="Q1789" s="77">
        <f ca="1">IFERROR(__xludf.DUMMYFUNCTION("""COMPUTED_VALUE"""),0)</f>
        <v>0</v>
      </c>
    </row>
    <row r="1790" spans="1:18" ht="13.2" hidden="1" outlineLevel="2" x14ac:dyDescent="0.25">
      <c r="A1790" s="76"/>
      <c r="B1790" s="77" t="str">
        <f ca="1">IFERROR(__xludf.DUMMYFUNCTION("""COMPUTED_VALUE"""),"Energía eléctrica")</f>
        <v>Energía eléctrica</v>
      </c>
      <c r="C1790" s="77">
        <f ca="1">IFERROR(__xludf.DUMMYFUNCTION("""COMPUTED_VALUE"""),2.26998704855331)</f>
        <v>2.2699870485533098</v>
      </c>
      <c r="D1790" s="77">
        <f ca="1">IFERROR(__xludf.DUMMYFUNCTION("""COMPUTED_VALUE"""),2.63626435582454)</f>
        <v>2.6362643558245402</v>
      </c>
      <c r="E1790" s="77">
        <f ca="1">IFERROR(__xludf.DUMMYFUNCTION("""COMPUTED_VALUE"""),2.59603408456907)</f>
        <v>2.5960340845690699</v>
      </c>
      <c r="F1790" s="77">
        <f ca="1">IFERROR(__xludf.DUMMYFUNCTION("""COMPUTED_VALUE"""),2.47777808807675)</f>
        <v>2.4777780880767502</v>
      </c>
      <c r="G1790" s="77">
        <f ca="1">IFERROR(__xludf.DUMMYFUNCTION("""COMPUTED_VALUE"""),2.425761385428)</f>
        <v>2.4257613854279998</v>
      </c>
      <c r="H1790" s="77">
        <f ca="1">IFERROR(__xludf.DUMMYFUNCTION("""COMPUTED_VALUE"""),2.42332597471584)</f>
        <v>2.4233259747158402</v>
      </c>
      <c r="I1790" s="77">
        <f ca="1">IFERROR(__xludf.DUMMYFUNCTION("""COMPUTED_VALUE"""),2.74740342256383)</f>
        <v>2.74740342256383</v>
      </c>
      <c r="J1790" s="77">
        <f ca="1">IFERROR(__xludf.DUMMYFUNCTION("""COMPUTED_VALUE"""),2.78491700705818)</f>
        <v>2.7849170070581799</v>
      </c>
      <c r="K1790" s="77">
        <f ca="1">IFERROR(__xludf.DUMMYFUNCTION("""COMPUTED_VALUE"""),2.70919361113091)</f>
        <v>2.7091936111309098</v>
      </c>
      <c r="L1790" s="77">
        <f ca="1">IFERROR(__xludf.DUMMYFUNCTION("""COMPUTED_VALUE"""),2.73876325648642)</f>
        <v>2.7387632564864202</v>
      </c>
      <c r="M1790" s="77">
        <f ca="1">IFERROR(__xludf.DUMMYFUNCTION("""COMPUTED_VALUE"""),3.43716385575583)</f>
        <v>3.4371638557558302</v>
      </c>
      <c r="N1790" s="77">
        <f ca="1">IFERROR(__xludf.DUMMYFUNCTION("""COMPUTED_VALUE"""),3.29646005335283)</f>
        <v>3.2964600533528299</v>
      </c>
      <c r="O1790" s="77">
        <f ca="1">IFERROR(__xludf.DUMMYFUNCTION("""COMPUTED_VALUE"""),3.26669158412088)</f>
        <v>3.2666915841208799</v>
      </c>
      <c r="P1790" s="77">
        <f ca="1">IFERROR(__xludf.DUMMYFUNCTION("""COMPUTED_VALUE"""),3.50300790235529)</f>
        <v>3.5030079023552898</v>
      </c>
      <c r="Q1790" s="77">
        <f ca="1">IFERROR(__xludf.DUMMYFUNCTION("""COMPUTED_VALUE"""),3.52780936403955)</f>
        <v>3.52780936403955</v>
      </c>
    </row>
    <row r="1791" spans="1:18" ht="13.2" outlineLevel="1" collapsed="1" x14ac:dyDescent="0.25">
      <c r="A1791" s="71"/>
      <c r="B1791" s="72" t="str">
        <f ca="1">IFERROR(__xludf.DUMMYFUNCTION("""COMPUTED_VALUE"""),"Maquinaria y equipo")</f>
        <v>Maquinaria y equipo</v>
      </c>
      <c r="C1791" s="73"/>
      <c r="D1791" s="73"/>
      <c r="E1791" s="73"/>
      <c r="F1791" s="73"/>
      <c r="G1791" s="73"/>
      <c r="H1791" s="73"/>
      <c r="I1791" s="73"/>
      <c r="J1791" s="73"/>
      <c r="K1791" s="73"/>
      <c r="L1791" s="73"/>
      <c r="M1791" s="73"/>
      <c r="N1791" s="73"/>
      <c r="O1791" s="73"/>
      <c r="P1791" s="73"/>
      <c r="Q1791" s="74"/>
      <c r="R1791" s="75"/>
    </row>
    <row r="1792" spans="1:18" ht="13.2" hidden="1" outlineLevel="2" x14ac:dyDescent="0.25">
      <c r="A1792" s="76"/>
      <c r="B1792" s="78"/>
      <c r="C1792" s="77">
        <f ca="1">IFERROR(__xludf.DUMMYFUNCTION("""COMPUTED_VALUE"""),2010)</f>
        <v>2010</v>
      </c>
      <c r="D1792" s="77">
        <f ca="1">IFERROR(__xludf.DUMMYFUNCTION("""COMPUTED_VALUE"""),2011)</f>
        <v>2011</v>
      </c>
      <c r="E1792" s="77">
        <f ca="1">IFERROR(__xludf.DUMMYFUNCTION("""COMPUTED_VALUE"""),2012)</f>
        <v>2012</v>
      </c>
      <c r="F1792" s="77">
        <f ca="1">IFERROR(__xludf.DUMMYFUNCTION("""COMPUTED_VALUE"""),2013)</f>
        <v>2013</v>
      </c>
      <c r="G1792" s="77">
        <f ca="1">IFERROR(__xludf.DUMMYFUNCTION("""COMPUTED_VALUE"""),2014)</f>
        <v>2014</v>
      </c>
      <c r="H1792" s="77">
        <f ca="1">IFERROR(__xludf.DUMMYFUNCTION("""COMPUTED_VALUE"""),2015)</f>
        <v>2015</v>
      </c>
      <c r="I1792" s="77">
        <f ca="1">IFERROR(__xludf.DUMMYFUNCTION("""COMPUTED_VALUE"""),2016)</f>
        <v>2016</v>
      </c>
      <c r="J1792" s="77">
        <f ca="1">IFERROR(__xludf.DUMMYFUNCTION("""COMPUTED_VALUE"""),2017)</f>
        <v>2017</v>
      </c>
      <c r="K1792" s="77">
        <f ca="1">IFERROR(__xludf.DUMMYFUNCTION("""COMPUTED_VALUE"""),2018)</f>
        <v>2018</v>
      </c>
      <c r="L1792" s="77">
        <f ca="1">IFERROR(__xludf.DUMMYFUNCTION("""COMPUTED_VALUE"""),2019)</f>
        <v>2019</v>
      </c>
      <c r="M1792" s="77">
        <f ca="1">IFERROR(__xludf.DUMMYFUNCTION("""COMPUTED_VALUE"""),2020)</f>
        <v>2020</v>
      </c>
      <c r="N1792" s="77">
        <f ca="1">IFERROR(__xludf.DUMMYFUNCTION("""COMPUTED_VALUE"""),2021)</f>
        <v>2021</v>
      </c>
      <c r="O1792" s="77">
        <f ca="1">IFERROR(__xludf.DUMMYFUNCTION("""COMPUTED_VALUE"""),2022)</f>
        <v>2022</v>
      </c>
      <c r="P1792" s="77">
        <f ca="1">IFERROR(__xludf.DUMMYFUNCTION("""COMPUTED_VALUE"""),2023)</f>
        <v>2023</v>
      </c>
      <c r="Q1792" s="77">
        <f ca="1">IFERROR(__xludf.DUMMYFUNCTION("""COMPUTED_VALUE"""),2024)</f>
        <v>2024</v>
      </c>
    </row>
    <row r="1793" spans="1:18" ht="13.2" hidden="1" outlineLevel="2" x14ac:dyDescent="0.25">
      <c r="A1793" s="76"/>
      <c r="B1793" s="78" t="str">
        <f ca="1">IFERROR(__xludf.DUMMYFUNCTION("""COMPUTED_VALUE"""),"Gas licuado de petróleo")</f>
        <v>Gas licuado de petróleo</v>
      </c>
      <c r="C1793" s="77">
        <f ca="1">IFERROR(__xludf.DUMMYFUNCTION("""COMPUTED_VALUE"""),4.02834657202802)</f>
        <v>4.0283465720280196</v>
      </c>
      <c r="D1793" s="77">
        <f ca="1">IFERROR(__xludf.DUMMYFUNCTION("""COMPUTED_VALUE"""),4.17219059425285)</f>
        <v>4.1721905942528501</v>
      </c>
      <c r="E1793" s="77">
        <f ca="1">IFERROR(__xludf.DUMMYFUNCTION("""COMPUTED_VALUE"""),3.7893899247681)</f>
        <v>3.7893899247681002</v>
      </c>
      <c r="F1793" s="77">
        <f ca="1">IFERROR(__xludf.DUMMYFUNCTION("""COMPUTED_VALUE"""),3.69731047288196)</f>
        <v>3.6973104728819601</v>
      </c>
      <c r="G1793" s="77">
        <f ca="1">IFERROR(__xludf.DUMMYFUNCTION("""COMPUTED_VALUE"""),3.87998531274973)</f>
        <v>3.8799853127497301</v>
      </c>
      <c r="H1793" s="77">
        <f ca="1">IFERROR(__xludf.DUMMYFUNCTION("""COMPUTED_VALUE"""),3.3450995158191)</f>
        <v>3.3450995158191001</v>
      </c>
      <c r="I1793" s="77">
        <f ca="1">IFERROR(__xludf.DUMMYFUNCTION("""COMPUTED_VALUE"""),3.66713574320308)</f>
        <v>3.66713574320308</v>
      </c>
      <c r="J1793" s="77">
        <f ca="1">IFERROR(__xludf.DUMMYFUNCTION("""COMPUTED_VALUE"""),3.35173218413609)</f>
        <v>3.3517321841360901</v>
      </c>
      <c r="K1793" s="77">
        <f ca="1">IFERROR(__xludf.DUMMYFUNCTION("""COMPUTED_VALUE"""),3.51838414486113)</f>
        <v>3.5183841448611299</v>
      </c>
      <c r="L1793" s="77">
        <f ca="1">IFERROR(__xludf.DUMMYFUNCTION("""COMPUTED_VALUE"""),2.99027068669338)</f>
        <v>2.9902706866933801</v>
      </c>
      <c r="M1793" s="77">
        <f ca="1">IFERROR(__xludf.DUMMYFUNCTION("""COMPUTED_VALUE"""),3.21247677410263)</f>
        <v>3.2124767741026301</v>
      </c>
      <c r="N1793" s="77">
        <f ca="1">IFERROR(__xludf.DUMMYFUNCTION("""COMPUTED_VALUE"""),3.29131403383966)</f>
        <v>3.2913140338396598</v>
      </c>
      <c r="O1793" s="77">
        <f ca="1">IFERROR(__xludf.DUMMYFUNCTION("""COMPUTED_VALUE"""),3.54789370913911)</f>
        <v>3.5478937091391098</v>
      </c>
      <c r="P1793" s="77">
        <f ca="1">IFERROR(__xludf.DUMMYFUNCTION("""COMPUTED_VALUE"""),3.72410397801176)</f>
        <v>3.72410397801176</v>
      </c>
      <c r="Q1793" s="77">
        <f ca="1">IFERROR(__xludf.DUMMYFUNCTION("""COMPUTED_VALUE"""),3.48561607991345)</f>
        <v>3.4856160799134499</v>
      </c>
    </row>
    <row r="1794" spans="1:18" ht="13.2" hidden="1" outlineLevel="2" x14ac:dyDescent="0.25">
      <c r="A1794" s="76"/>
      <c r="B1794" s="78" t="str">
        <f ca="1">IFERROR(__xludf.DUMMYFUNCTION("""COMPUTED_VALUE"""),"Diesel")</f>
        <v>Diesel</v>
      </c>
      <c r="C1794" s="77">
        <f ca="1">IFERROR(__xludf.DUMMYFUNCTION("""COMPUTED_VALUE"""),103.359654874199)</f>
        <v>103.35965487419899</v>
      </c>
      <c r="D1794" s="77">
        <f ca="1">IFERROR(__xludf.DUMMYFUNCTION("""COMPUTED_VALUE"""),98.7086947712801)</f>
        <v>98.708694771280094</v>
      </c>
      <c r="E1794" s="77">
        <f ca="1">IFERROR(__xludf.DUMMYFUNCTION("""COMPUTED_VALUE"""),109.99813147145)</f>
        <v>109.99813147144999</v>
      </c>
      <c r="F1794" s="77">
        <f ca="1">IFERROR(__xludf.DUMMYFUNCTION("""COMPUTED_VALUE"""),111.028193693808)</f>
        <v>111.02819369380801</v>
      </c>
      <c r="G1794" s="77">
        <f ca="1">IFERROR(__xludf.DUMMYFUNCTION("""COMPUTED_VALUE"""),112.603968033828)</f>
        <v>112.603968033828</v>
      </c>
      <c r="H1794" s="77">
        <f ca="1">IFERROR(__xludf.DUMMYFUNCTION("""COMPUTED_VALUE"""),131.997894161535)</f>
        <v>131.99789416153499</v>
      </c>
      <c r="I1794" s="77">
        <f ca="1">IFERROR(__xludf.DUMMYFUNCTION("""COMPUTED_VALUE"""),123.378480111072)</f>
        <v>123.37848011107199</v>
      </c>
      <c r="J1794" s="77">
        <f ca="1">IFERROR(__xludf.DUMMYFUNCTION("""COMPUTED_VALUE"""),130.00116852102)</f>
        <v>130.00116852101999</v>
      </c>
      <c r="K1794" s="77">
        <f ca="1">IFERROR(__xludf.DUMMYFUNCTION("""COMPUTED_VALUE"""),146.913836016648)</f>
        <v>146.91383601664799</v>
      </c>
      <c r="L1794" s="77">
        <f ca="1">IFERROR(__xludf.DUMMYFUNCTION("""COMPUTED_VALUE"""),147.472568454674)</f>
        <v>147.47256845467399</v>
      </c>
      <c r="M1794" s="77">
        <f ca="1">IFERROR(__xludf.DUMMYFUNCTION("""COMPUTED_VALUE"""),120.41407279445)</f>
        <v>120.41407279444999</v>
      </c>
      <c r="N1794" s="77">
        <f ca="1">IFERROR(__xludf.DUMMYFUNCTION("""COMPUTED_VALUE"""),119.977122820635)</f>
        <v>119.977122820635</v>
      </c>
      <c r="O1794" s="77">
        <f ca="1">IFERROR(__xludf.DUMMYFUNCTION("""COMPUTED_VALUE"""),116.250686209471)</f>
        <v>116.250686209471</v>
      </c>
      <c r="P1794" s="77">
        <f ca="1">IFERROR(__xludf.DUMMYFUNCTION("""COMPUTED_VALUE"""),118.048427302845)</f>
        <v>118.048427302845</v>
      </c>
      <c r="Q1794" s="77">
        <f ca="1">IFERROR(__xludf.DUMMYFUNCTION("""COMPUTED_VALUE"""),138.265191163142)</f>
        <v>138.26519116314199</v>
      </c>
    </row>
    <row r="1795" spans="1:18" ht="13.2" hidden="1" outlineLevel="2" x14ac:dyDescent="0.25">
      <c r="A1795" s="76"/>
      <c r="B1795" s="78" t="str">
        <f ca="1">IFERROR(__xludf.DUMMYFUNCTION("""COMPUTED_VALUE"""),"Combustóleo")</f>
        <v>Combustóleo</v>
      </c>
      <c r="C1795" s="77">
        <f ca="1">IFERROR(__xludf.DUMMYFUNCTION("""COMPUTED_VALUE"""),0)</f>
        <v>0</v>
      </c>
      <c r="D1795" s="77">
        <f ca="1">IFERROR(__xludf.DUMMYFUNCTION("""COMPUTED_VALUE"""),0)</f>
        <v>0</v>
      </c>
      <c r="E1795" s="77">
        <f ca="1">IFERROR(__xludf.DUMMYFUNCTION("""COMPUTED_VALUE"""),0)</f>
        <v>0</v>
      </c>
      <c r="F1795" s="77">
        <f ca="1">IFERROR(__xludf.DUMMYFUNCTION("""COMPUTED_VALUE"""),0)</f>
        <v>0</v>
      </c>
      <c r="G1795" s="77">
        <f ca="1">IFERROR(__xludf.DUMMYFUNCTION("""COMPUTED_VALUE"""),0)</f>
        <v>0</v>
      </c>
      <c r="H1795" s="77">
        <f ca="1">IFERROR(__xludf.DUMMYFUNCTION("""COMPUTED_VALUE"""),0)</f>
        <v>0</v>
      </c>
      <c r="I1795" s="77">
        <f ca="1">IFERROR(__xludf.DUMMYFUNCTION("""COMPUTED_VALUE"""),0)</f>
        <v>0</v>
      </c>
      <c r="J1795" s="77">
        <f ca="1">IFERROR(__xludf.DUMMYFUNCTION("""COMPUTED_VALUE"""),0)</f>
        <v>0</v>
      </c>
      <c r="K1795" s="77">
        <f ca="1">IFERROR(__xludf.DUMMYFUNCTION("""COMPUTED_VALUE"""),0)</f>
        <v>0</v>
      </c>
      <c r="L1795" s="77">
        <f ca="1">IFERROR(__xludf.DUMMYFUNCTION("""COMPUTED_VALUE"""),0)</f>
        <v>0</v>
      </c>
      <c r="M1795" s="77">
        <f ca="1">IFERROR(__xludf.DUMMYFUNCTION("""COMPUTED_VALUE"""),0)</f>
        <v>0</v>
      </c>
      <c r="N1795" s="77">
        <f ca="1">IFERROR(__xludf.DUMMYFUNCTION("""COMPUTED_VALUE"""),0)</f>
        <v>0</v>
      </c>
      <c r="O1795" s="77">
        <f ca="1">IFERROR(__xludf.DUMMYFUNCTION("""COMPUTED_VALUE"""),0)</f>
        <v>0</v>
      </c>
      <c r="P1795" s="77">
        <f ca="1">IFERROR(__xludf.DUMMYFUNCTION("""COMPUTED_VALUE"""),0)</f>
        <v>0</v>
      </c>
      <c r="Q1795" s="77">
        <f ca="1">IFERROR(__xludf.DUMMYFUNCTION("""COMPUTED_VALUE"""),0)</f>
        <v>0</v>
      </c>
    </row>
    <row r="1796" spans="1:18" ht="13.2" hidden="1" outlineLevel="2" x14ac:dyDescent="0.25">
      <c r="A1796" s="76"/>
      <c r="B1796" s="78" t="str">
        <f ca="1">IFERROR(__xludf.DUMMYFUNCTION("""COMPUTED_VALUE"""),"Gas natural seco")</f>
        <v>Gas natural seco</v>
      </c>
      <c r="C1796" s="77">
        <f ca="1">IFERROR(__xludf.DUMMYFUNCTION("""COMPUTED_VALUE"""),0.176515249472379)</f>
        <v>0.17651524947237901</v>
      </c>
      <c r="D1796" s="77">
        <f ca="1">IFERROR(__xludf.DUMMYFUNCTION("""COMPUTED_VALUE"""),0.191365107975753)</f>
        <v>0.19136510797575301</v>
      </c>
      <c r="E1796" s="77">
        <f ca="1">IFERROR(__xludf.DUMMYFUNCTION("""COMPUTED_VALUE"""),0.117100619327522)</f>
        <v>0.117100619327522</v>
      </c>
      <c r="F1796" s="77">
        <f ca="1">IFERROR(__xludf.DUMMYFUNCTION("""COMPUTED_VALUE"""),0.150081137965436)</f>
        <v>0.15008113796543601</v>
      </c>
      <c r="G1796" s="77">
        <f ca="1">IFERROR(__xludf.DUMMYFUNCTION("""COMPUTED_VALUE"""),0.063056331731109)</f>
        <v>6.3056331731109E-2</v>
      </c>
      <c r="H1796" s="77">
        <f ca="1">IFERROR(__xludf.DUMMYFUNCTION("""COMPUTED_VALUE"""),0.0660485284650561)</f>
        <v>6.60485284650561E-2</v>
      </c>
      <c r="I1796" s="77">
        <f ca="1">IFERROR(__xludf.DUMMYFUNCTION("""COMPUTED_VALUE"""),0.1492813860039)</f>
        <v>0.14928138600390001</v>
      </c>
      <c r="J1796" s="77">
        <f ca="1">IFERROR(__xludf.DUMMYFUNCTION("""COMPUTED_VALUE"""),0.0911243564437028)</f>
        <v>9.11243564437028E-2</v>
      </c>
      <c r="K1796" s="77">
        <f ca="1">IFERROR(__xludf.DUMMYFUNCTION("""COMPUTED_VALUE"""),0.0825402597450977)</f>
        <v>8.2540259745097697E-2</v>
      </c>
      <c r="L1796" s="77">
        <f ca="1">IFERROR(__xludf.DUMMYFUNCTION("""COMPUTED_VALUE"""),0.0979816756860727)</f>
        <v>9.7981675686072703E-2</v>
      </c>
      <c r="M1796" s="77">
        <f ca="1">IFERROR(__xludf.DUMMYFUNCTION("""COMPUTED_VALUE"""),0.199422465611976)</f>
        <v>0.19942246561197599</v>
      </c>
      <c r="N1796" s="77">
        <f ca="1">IFERROR(__xludf.DUMMYFUNCTION("""COMPUTED_VALUE"""),0.0975273099869697)</f>
        <v>9.7527309986969707E-2</v>
      </c>
      <c r="O1796" s="77">
        <f ca="1">IFERROR(__xludf.DUMMYFUNCTION("""COMPUTED_VALUE"""),0.0943197002923402)</f>
        <v>9.43197002923402E-2</v>
      </c>
      <c r="P1796" s="77">
        <f ca="1">IFERROR(__xludf.DUMMYFUNCTION("""COMPUTED_VALUE"""),0.0698183204664552)</f>
        <v>6.9818320466455197E-2</v>
      </c>
      <c r="Q1796" s="77">
        <f ca="1">IFERROR(__xludf.DUMMYFUNCTION("""COMPUTED_VALUE"""),0.0439272385402416)</f>
        <v>4.3927238540241602E-2</v>
      </c>
    </row>
    <row r="1797" spans="1:18" ht="13.2" hidden="1" outlineLevel="2" x14ac:dyDescent="0.25">
      <c r="A1797" s="76"/>
      <c r="B1797" s="77" t="str">
        <f ca="1">IFERROR(__xludf.DUMMYFUNCTION("""COMPUTED_VALUE"""),"Energía eléctrica")</f>
        <v>Energía eléctrica</v>
      </c>
      <c r="C1797" s="77">
        <f ca="1">IFERROR(__xludf.DUMMYFUNCTION("""COMPUTED_VALUE"""),0)</f>
        <v>0</v>
      </c>
      <c r="D1797" s="77">
        <f ca="1">IFERROR(__xludf.DUMMYFUNCTION("""COMPUTED_VALUE"""),0)</f>
        <v>0</v>
      </c>
      <c r="E1797" s="77">
        <f ca="1">IFERROR(__xludf.DUMMYFUNCTION("""COMPUTED_VALUE"""),0)</f>
        <v>0</v>
      </c>
      <c r="F1797" s="77">
        <f ca="1">IFERROR(__xludf.DUMMYFUNCTION("""COMPUTED_VALUE"""),0)</f>
        <v>0</v>
      </c>
      <c r="G1797" s="77">
        <f ca="1">IFERROR(__xludf.DUMMYFUNCTION("""COMPUTED_VALUE"""),0)</f>
        <v>0</v>
      </c>
      <c r="H1797" s="77">
        <f ca="1">IFERROR(__xludf.DUMMYFUNCTION("""COMPUTED_VALUE"""),0)</f>
        <v>0</v>
      </c>
      <c r="I1797" s="77">
        <f ca="1">IFERROR(__xludf.DUMMYFUNCTION("""COMPUTED_VALUE"""),0)</f>
        <v>0</v>
      </c>
      <c r="J1797" s="77">
        <f ca="1">IFERROR(__xludf.DUMMYFUNCTION("""COMPUTED_VALUE"""),0)</f>
        <v>0</v>
      </c>
      <c r="K1797" s="77">
        <f ca="1">IFERROR(__xludf.DUMMYFUNCTION("""COMPUTED_VALUE"""),0)</f>
        <v>0</v>
      </c>
      <c r="L1797" s="77">
        <f ca="1">IFERROR(__xludf.DUMMYFUNCTION("""COMPUTED_VALUE"""),0)</f>
        <v>0</v>
      </c>
      <c r="M1797" s="77">
        <f ca="1">IFERROR(__xludf.DUMMYFUNCTION("""COMPUTED_VALUE"""),0)</f>
        <v>0</v>
      </c>
      <c r="N1797" s="77">
        <f ca="1">IFERROR(__xludf.DUMMYFUNCTION("""COMPUTED_VALUE"""),0)</f>
        <v>0</v>
      </c>
      <c r="O1797" s="77">
        <f ca="1">IFERROR(__xludf.DUMMYFUNCTION("""COMPUTED_VALUE"""),0)</f>
        <v>0</v>
      </c>
      <c r="P1797" s="77">
        <f ca="1">IFERROR(__xludf.DUMMYFUNCTION("""COMPUTED_VALUE"""),0)</f>
        <v>0</v>
      </c>
      <c r="Q1797" s="77">
        <f ca="1">IFERROR(__xludf.DUMMYFUNCTION("""COMPUTED_VALUE"""),0)</f>
        <v>0</v>
      </c>
    </row>
    <row r="1798" spans="1:18" ht="13.2" outlineLevel="1" collapsed="1" x14ac:dyDescent="0.25">
      <c r="A1798" s="71"/>
      <c r="B1798" s="72" t="str">
        <f ca="1">IFERROR(__xludf.DUMMYFUNCTION("""COMPUTED_VALUE"""),"Usos térmicos")</f>
        <v>Usos térmicos</v>
      </c>
      <c r="C1798" s="73"/>
      <c r="D1798" s="73"/>
      <c r="E1798" s="73"/>
      <c r="F1798" s="73"/>
      <c r="G1798" s="73"/>
      <c r="H1798" s="73"/>
      <c r="I1798" s="73"/>
      <c r="J1798" s="73"/>
      <c r="K1798" s="73"/>
      <c r="L1798" s="73"/>
      <c r="M1798" s="73"/>
      <c r="N1798" s="73"/>
      <c r="O1798" s="73"/>
      <c r="P1798" s="73"/>
      <c r="Q1798" s="74"/>
      <c r="R1798" s="75"/>
    </row>
    <row r="1799" spans="1:18" ht="13.2" hidden="1" outlineLevel="2" x14ac:dyDescent="0.25">
      <c r="A1799" s="76"/>
      <c r="B1799" s="78"/>
      <c r="C1799" s="77">
        <f ca="1">IFERROR(__xludf.DUMMYFUNCTION("""COMPUTED_VALUE"""),2010)</f>
        <v>2010</v>
      </c>
      <c r="D1799" s="77">
        <f ca="1">IFERROR(__xludf.DUMMYFUNCTION("""COMPUTED_VALUE"""),2011)</f>
        <v>2011</v>
      </c>
      <c r="E1799" s="77">
        <f ca="1">IFERROR(__xludf.DUMMYFUNCTION("""COMPUTED_VALUE"""),2012)</f>
        <v>2012</v>
      </c>
      <c r="F1799" s="77">
        <f ca="1">IFERROR(__xludf.DUMMYFUNCTION("""COMPUTED_VALUE"""),2013)</f>
        <v>2013</v>
      </c>
      <c r="G1799" s="77">
        <f ca="1">IFERROR(__xludf.DUMMYFUNCTION("""COMPUTED_VALUE"""),2014)</f>
        <v>2014</v>
      </c>
      <c r="H1799" s="77">
        <f ca="1">IFERROR(__xludf.DUMMYFUNCTION("""COMPUTED_VALUE"""),2015)</f>
        <v>2015</v>
      </c>
      <c r="I1799" s="77">
        <f ca="1">IFERROR(__xludf.DUMMYFUNCTION("""COMPUTED_VALUE"""),2016)</f>
        <v>2016</v>
      </c>
      <c r="J1799" s="77">
        <f ca="1">IFERROR(__xludf.DUMMYFUNCTION("""COMPUTED_VALUE"""),2017)</f>
        <v>2017</v>
      </c>
      <c r="K1799" s="77">
        <f ca="1">IFERROR(__xludf.DUMMYFUNCTION("""COMPUTED_VALUE"""),2018)</f>
        <v>2018</v>
      </c>
      <c r="L1799" s="77">
        <f ca="1">IFERROR(__xludf.DUMMYFUNCTION("""COMPUTED_VALUE"""),2019)</f>
        <v>2019</v>
      </c>
      <c r="M1799" s="77">
        <f ca="1">IFERROR(__xludf.DUMMYFUNCTION("""COMPUTED_VALUE"""),2020)</f>
        <v>2020</v>
      </c>
      <c r="N1799" s="77">
        <f ca="1">IFERROR(__xludf.DUMMYFUNCTION("""COMPUTED_VALUE"""),2021)</f>
        <v>2021</v>
      </c>
      <c r="O1799" s="77">
        <f ca="1">IFERROR(__xludf.DUMMYFUNCTION("""COMPUTED_VALUE"""),2022)</f>
        <v>2022</v>
      </c>
      <c r="P1799" s="77">
        <f ca="1">IFERROR(__xludf.DUMMYFUNCTION("""COMPUTED_VALUE"""),2023)</f>
        <v>2023</v>
      </c>
      <c r="Q1799" s="77">
        <f ca="1">IFERROR(__xludf.DUMMYFUNCTION("""COMPUTED_VALUE"""),2024)</f>
        <v>2024</v>
      </c>
    </row>
    <row r="1800" spans="1:18" ht="13.2" hidden="1" outlineLevel="2" x14ac:dyDescent="0.25">
      <c r="A1800" s="76"/>
      <c r="B1800" s="78" t="str">
        <f ca="1">IFERROR(__xludf.DUMMYFUNCTION("""COMPUTED_VALUE"""),"Gas licuado de petróleo")</f>
        <v>Gas licuado de petróleo</v>
      </c>
      <c r="C1800" s="77">
        <f ca="1">IFERROR(__xludf.DUMMYFUNCTION("""COMPUTED_VALUE"""),2.7987667290709)</f>
        <v>2.7987667290709002</v>
      </c>
      <c r="D1800" s="77">
        <f ca="1">IFERROR(__xludf.DUMMYFUNCTION("""COMPUTED_VALUE"""),3.01105806071214)</f>
        <v>3.01105806071214</v>
      </c>
      <c r="E1800" s="77">
        <f ca="1">IFERROR(__xludf.DUMMYFUNCTION("""COMPUTED_VALUE"""),2.36557232585928)</f>
        <v>2.3655723258592798</v>
      </c>
      <c r="F1800" s="77">
        <f ca="1">IFERROR(__xludf.DUMMYFUNCTION("""COMPUTED_VALUE"""),2.22434637027339)</f>
        <v>2.2243463702733899</v>
      </c>
      <c r="G1800" s="77">
        <f ca="1">IFERROR(__xludf.DUMMYFUNCTION("""COMPUTED_VALUE"""),2.32335400628608)</f>
        <v>2.3233540062860798</v>
      </c>
      <c r="H1800" s="77">
        <f ca="1">IFERROR(__xludf.DUMMYFUNCTION("""COMPUTED_VALUE"""),1.60250274118672)</f>
        <v>1.6025027411867201</v>
      </c>
      <c r="I1800" s="77">
        <f ca="1">IFERROR(__xludf.DUMMYFUNCTION("""COMPUTED_VALUE"""),1.79667856674021)</f>
        <v>1.7966785667402101</v>
      </c>
      <c r="J1800" s="77">
        <f ca="1">IFERROR(__xludf.DUMMYFUNCTION("""COMPUTED_VALUE"""),1.60773873227166)</f>
        <v>1.6077387322716601</v>
      </c>
      <c r="K1800" s="77">
        <f ca="1">IFERROR(__xludf.DUMMYFUNCTION("""COMPUTED_VALUE"""),1.64615114701984)</f>
        <v>1.64615114701984</v>
      </c>
      <c r="L1800" s="77">
        <f ca="1">IFERROR(__xludf.DUMMYFUNCTION("""COMPUTED_VALUE"""),1.39568962839103)</f>
        <v>1.3956896283910301</v>
      </c>
      <c r="M1800" s="77">
        <f ca="1">IFERROR(__xludf.DUMMYFUNCTION("""COMPUTED_VALUE"""),1.58748014391776)</f>
        <v>1.5874801439177599</v>
      </c>
      <c r="N1800" s="77">
        <f ca="1">IFERROR(__xludf.DUMMYFUNCTION("""COMPUTED_VALUE"""),1.5291492967724)</f>
        <v>1.5291492967724001</v>
      </c>
      <c r="O1800" s="77">
        <f ca="1">IFERROR(__xludf.DUMMYFUNCTION("""COMPUTED_VALUE"""),1.60432920185576)</f>
        <v>1.60432920185576</v>
      </c>
      <c r="P1800" s="77">
        <f ca="1">IFERROR(__xludf.DUMMYFUNCTION("""COMPUTED_VALUE"""),1.64197589028283)</f>
        <v>1.6419758902828301</v>
      </c>
      <c r="Q1800" s="77">
        <f ca="1">IFERROR(__xludf.DUMMYFUNCTION("""COMPUTED_VALUE"""),1.49619432441234)</f>
        <v>1.4961943244123399</v>
      </c>
    </row>
    <row r="1801" spans="1:18" ht="13.2" hidden="1" outlineLevel="2" x14ac:dyDescent="0.25">
      <c r="A1801" s="76"/>
      <c r="B1801" s="78" t="str">
        <f ca="1">IFERROR(__xludf.DUMMYFUNCTION("""COMPUTED_VALUE"""),"Diesel")</f>
        <v>Diesel</v>
      </c>
      <c r="C1801" s="77">
        <f ca="1">IFERROR(__xludf.DUMMYFUNCTION("""COMPUTED_VALUE"""),6.91607285698003)</f>
        <v>6.9160728569800298</v>
      </c>
      <c r="D1801" s="77">
        <f ca="1">IFERROR(__xludf.DUMMYFUNCTION("""COMPUTED_VALUE"""),6.94375194465669)</f>
        <v>6.9437519446566904</v>
      </c>
      <c r="E1801" s="77">
        <f ca="1">IFERROR(__xludf.DUMMYFUNCTION("""COMPUTED_VALUE"""),6.38040205750871)</f>
        <v>6.3804020575087099</v>
      </c>
      <c r="F1801" s="77">
        <f ca="1">IFERROR(__xludf.DUMMYFUNCTION("""COMPUTED_VALUE"""),6.09911640679299)</f>
        <v>6.0991164067929899</v>
      </c>
      <c r="G1801" s="77">
        <f ca="1">IFERROR(__xludf.DUMMYFUNCTION("""COMPUTED_VALUE"""),6.14460712300914)</f>
        <v>6.1446071230091404</v>
      </c>
      <c r="H1801" s="77">
        <f ca="1">IFERROR(__xludf.DUMMYFUNCTION("""COMPUTED_VALUE"""),5.06668839896972)</f>
        <v>5.0666883989697196</v>
      </c>
      <c r="I1801" s="77">
        <f ca="1">IFERROR(__xludf.DUMMYFUNCTION("""COMPUTED_VALUE"""),4.92198811635206)</f>
        <v>4.9219881163520602</v>
      </c>
      <c r="J1801" s="77">
        <f ca="1">IFERROR(__xludf.DUMMYFUNCTION("""COMPUTED_VALUE"""),4.9868173109915)</f>
        <v>4.9868173109915004</v>
      </c>
      <c r="K1801" s="77">
        <f ca="1">IFERROR(__xludf.DUMMYFUNCTION("""COMPUTED_VALUE"""),5.41465059406978)</f>
        <v>5.41465059406978</v>
      </c>
      <c r="L1801" s="77">
        <f ca="1">IFERROR(__xludf.DUMMYFUNCTION("""COMPUTED_VALUE"""),5.40164349953338)</f>
        <v>5.40164349953338</v>
      </c>
      <c r="M1801" s="77">
        <f ca="1">IFERROR(__xludf.DUMMYFUNCTION("""COMPUTED_VALUE"""),4.87748166233618)</f>
        <v>4.8774816623361801</v>
      </c>
      <c r="N1801" s="77">
        <f ca="1">IFERROR(__xludf.DUMMYFUNCTION("""COMPUTED_VALUE"""),4.3491079264408)</f>
        <v>4.3491079264407997</v>
      </c>
      <c r="O1801" s="77">
        <f ca="1">IFERROR(__xludf.DUMMYFUNCTION("""COMPUTED_VALUE"""),4.01358719342193)</f>
        <v>4.0135871934219303</v>
      </c>
      <c r="P1801" s="77">
        <f ca="1">IFERROR(__xludf.DUMMYFUNCTION("""COMPUTED_VALUE"""),3.88530728709833)</f>
        <v>3.8853072870983301</v>
      </c>
      <c r="Q1801" s="77">
        <f ca="1">IFERROR(__xludf.DUMMYFUNCTION("""COMPUTED_VALUE"""),4.32422569848122)</f>
        <v>4.3242256984812197</v>
      </c>
    </row>
    <row r="1802" spans="1:18" ht="13.2" hidden="1" outlineLevel="2" x14ac:dyDescent="0.25">
      <c r="A1802" s="76"/>
      <c r="B1802" s="78" t="str">
        <f ca="1">IFERROR(__xludf.DUMMYFUNCTION("""COMPUTED_VALUE"""),"Combustóleo")</f>
        <v>Combustóleo</v>
      </c>
      <c r="C1802" s="77">
        <f ca="1">IFERROR(__xludf.DUMMYFUNCTION("""COMPUTED_VALUE"""),1.53566875233712)</f>
        <v>1.53566875233712</v>
      </c>
      <c r="D1802" s="77">
        <f ca="1">IFERROR(__xludf.DUMMYFUNCTION("""COMPUTED_VALUE"""),2.08730495974374)</f>
        <v>2.0873049597437401</v>
      </c>
      <c r="E1802" s="77">
        <f ca="1">IFERROR(__xludf.DUMMYFUNCTION("""COMPUTED_VALUE"""),1.39699817283709)</f>
        <v>1.3969981728370899</v>
      </c>
      <c r="F1802" s="77">
        <f ca="1">IFERROR(__xludf.DUMMYFUNCTION("""COMPUTED_VALUE"""),2.2083597275231)</f>
        <v>2.2083597275231002</v>
      </c>
      <c r="G1802" s="77">
        <f ca="1">IFERROR(__xludf.DUMMYFUNCTION("""COMPUTED_VALUE"""),2.39580791438578)</f>
        <v>2.39580791438578</v>
      </c>
      <c r="H1802" s="77">
        <f ca="1">IFERROR(__xludf.DUMMYFUNCTION("""COMPUTED_VALUE"""),1.34666848471516)</f>
        <v>1.34666848471516</v>
      </c>
      <c r="I1802" s="77">
        <f ca="1">IFERROR(__xludf.DUMMYFUNCTION("""COMPUTED_VALUE"""),1.19898295605754)</f>
        <v>1.19898295605754</v>
      </c>
      <c r="J1802" s="77">
        <f ca="1">IFERROR(__xludf.DUMMYFUNCTION("""COMPUTED_VALUE"""),1.04848256707975)</f>
        <v>1.04848256707975</v>
      </c>
      <c r="K1802" s="77">
        <f ca="1">IFERROR(__xludf.DUMMYFUNCTION("""COMPUTED_VALUE"""),0.819867249384025)</f>
        <v>0.819867249384025</v>
      </c>
      <c r="L1802" s="77">
        <f ca="1">IFERROR(__xludf.DUMMYFUNCTION("""COMPUTED_VALUE"""),1.27837356970465)</f>
        <v>1.2783735697046501</v>
      </c>
      <c r="M1802" s="77">
        <f ca="1">IFERROR(__xludf.DUMMYFUNCTION("""COMPUTED_VALUE"""),2.05478911743662)</f>
        <v>2.05478911743662</v>
      </c>
      <c r="N1802" s="77">
        <f ca="1">IFERROR(__xludf.DUMMYFUNCTION("""COMPUTED_VALUE"""),1.49285551422624)</f>
        <v>1.4928555142262401</v>
      </c>
      <c r="O1802" s="77">
        <f ca="1">IFERROR(__xludf.DUMMYFUNCTION("""COMPUTED_VALUE"""),1.45222194591227)</f>
        <v>1.4522219459122701</v>
      </c>
      <c r="P1802" s="77">
        <f ca="1">IFERROR(__xludf.DUMMYFUNCTION("""COMPUTED_VALUE"""),1.24183135712813)</f>
        <v>1.2418313571281301</v>
      </c>
      <c r="Q1802" s="77">
        <f ca="1">IFERROR(__xludf.DUMMYFUNCTION("""COMPUTED_VALUE"""),1.28699533649458)</f>
        <v>1.2869953364945801</v>
      </c>
    </row>
    <row r="1803" spans="1:18" ht="13.2" hidden="1" outlineLevel="2" x14ac:dyDescent="0.25">
      <c r="A1803" s="76"/>
      <c r="B1803" s="78" t="str">
        <f ca="1">IFERROR(__xludf.DUMMYFUNCTION("""COMPUTED_VALUE"""),"Gas natural seco")</f>
        <v>Gas natural seco</v>
      </c>
      <c r="C1803" s="77">
        <f ca="1">IFERROR(__xludf.DUMMYFUNCTION("""COMPUTED_VALUE"""),1.24418475052762)</f>
        <v>1.24418475052762</v>
      </c>
      <c r="D1803" s="77">
        <f ca="1">IFERROR(__xludf.DUMMYFUNCTION("""COMPUTED_VALUE"""),1.31583489202424)</f>
        <v>1.31583489202424</v>
      </c>
      <c r="E1803" s="77">
        <f ca="1">IFERROR(__xludf.DUMMYFUNCTION("""COMPUTED_VALUE"""),0.886299380672477)</f>
        <v>0.88629938067247704</v>
      </c>
      <c r="F1803" s="77">
        <f ca="1">IFERROR(__xludf.DUMMYFUNCTION("""COMPUTED_VALUE"""),1.16321886203456)</f>
        <v>1.16321886203456</v>
      </c>
      <c r="G1803" s="77">
        <f ca="1">IFERROR(__xludf.DUMMYFUNCTION("""COMPUTED_VALUE"""),0.490243668268891)</f>
        <v>0.49024366826889099</v>
      </c>
      <c r="H1803" s="77">
        <f ca="1">IFERROR(__xludf.DUMMYFUNCTION("""COMPUTED_VALUE"""),0.594451471534943)</f>
        <v>0.59445147153494304</v>
      </c>
      <c r="I1803" s="77">
        <f ca="1">IFERROR(__xludf.DUMMYFUNCTION("""COMPUTED_VALUE"""),1.32401861399609)</f>
        <v>1.3240186139960901</v>
      </c>
      <c r="J1803" s="77">
        <f ca="1">IFERROR(__xludf.DUMMYFUNCTION("""COMPUTED_VALUE"""),0.818875643556297)</f>
        <v>0.81887564355629705</v>
      </c>
      <c r="K1803" s="77">
        <f ca="1">IFERROR(__xludf.DUMMYFUNCTION("""COMPUTED_VALUE"""),0.754559740254902)</f>
        <v>0.75455974025490202</v>
      </c>
      <c r="L1803" s="77">
        <f ca="1">IFERROR(__xludf.DUMMYFUNCTION("""COMPUTED_VALUE"""),0.896718324313927)</f>
        <v>0.89671832431392695</v>
      </c>
      <c r="M1803" s="77">
        <f ca="1">IFERROR(__xludf.DUMMYFUNCTION("""COMPUTED_VALUE"""),1.75917753438802)</f>
        <v>1.75917753438802</v>
      </c>
      <c r="N1803" s="77">
        <f ca="1">IFERROR(__xludf.DUMMYFUNCTION("""COMPUTED_VALUE"""),0.89477269001303)</f>
        <v>0.89477269001302995</v>
      </c>
      <c r="O1803" s="77">
        <f ca="1">IFERROR(__xludf.DUMMYFUNCTION("""COMPUTED_VALUE"""),0.880800299707659)</f>
        <v>0.88080029970765905</v>
      </c>
      <c r="P1803" s="77">
        <f ca="1">IFERROR(__xludf.DUMMYFUNCTION("""COMPUTED_VALUE"""),0.662681679533544)</f>
        <v>0.66268167953354395</v>
      </c>
      <c r="Q1803" s="77">
        <f ca="1">IFERROR(__xludf.DUMMYFUNCTION("""COMPUTED_VALUE"""),0.424272761459758)</f>
        <v>0.42427276145975801</v>
      </c>
    </row>
    <row r="1804" spans="1:18" ht="13.2" hidden="1" outlineLevel="2" x14ac:dyDescent="0.25">
      <c r="A1804" s="76"/>
      <c r="B1804" s="77" t="str">
        <f ca="1">IFERROR(__xludf.DUMMYFUNCTION("""COMPUTED_VALUE"""),"Energía eléctrica")</f>
        <v>Energía eléctrica</v>
      </c>
      <c r="C1804" s="77">
        <f ca="1">IFERROR(__xludf.DUMMYFUNCTION("""COMPUTED_VALUE"""),0)</f>
        <v>0</v>
      </c>
      <c r="D1804" s="77">
        <f ca="1">IFERROR(__xludf.DUMMYFUNCTION("""COMPUTED_VALUE"""),0)</f>
        <v>0</v>
      </c>
      <c r="E1804" s="77">
        <f ca="1">IFERROR(__xludf.DUMMYFUNCTION("""COMPUTED_VALUE"""),0)</f>
        <v>0</v>
      </c>
      <c r="F1804" s="77">
        <f ca="1">IFERROR(__xludf.DUMMYFUNCTION("""COMPUTED_VALUE"""),0)</f>
        <v>0</v>
      </c>
      <c r="G1804" s="77">
        <f ca="1">IFERROR(__xludf.DUMMYFUNCTION("""COMPUTED_VALUE"""),0)</f>
        <v>0</v>
      </c>
      <c r="H1804" s="77">
        <f ca="1">IFERROR(__xludf.DUMMYFUNCTION("""COMPUTED_VALUE"""),0)</f>
        <v>0</v>
      </c>
      <c r="I1804" s="77">
        <f ca="1">IFERROR(__xludf.DUMMYFUNCTION("""COMPUTED_VALUE"""),0)</f>
        <v>0</v>
      </c>
      <c r="J1804" s="77">
        <f ca="1">IFERROR(__xludf.DUMMYFUNCTION("""COMPUTED_VALUE"""),0)</f>
        <v>0</v>
      </c>
      <c r="K1804" s="77">
        <f ca="1">IFERROR(__xludf.DUMMYFUNCTION("""COMPUTED_VALUE"""),0)</f>
        <v>0</v>
      </c>
      <c r="L1804" s="77">
        <f ca="1">IFERROR(__xludf.DUMMYFUNCTION("""COMPUTED_VALUE"""),0)</f>
        <v>0</v>
      </c>
      <c r="M1804" s="77">
        <f ca="1">IFERROR(__xludf.DUMMYFUNCTION("""COMPUTED_VALUE"""),0)</f>
        <v>0</v>
      </c>
      <c r="N1804" s="77">
        <f ca="1">IFERROR(__xludf.DUMMYFUNCTION("""COMPUTED_VALUE"""),0)</f>
        <v>0</v>
      </c>
      <c r="O1804" s="77">
        <f ca="1">IFERROR(__xludf.DUMMYFUNCTION("""COMPUTED_VALUE"""),0)</f>
        <v>0</v>
      </c>
      <c r="P1804" s="77">
        <f ca="1">IFERROR(__xludf.DUMMYFUNCTION("""COMPUTED_VALUE"""),0)</f>
        <v>0</v>
      </c>
      <c r="Q1804" s="77">
        <f ca="1">IFERROR(__xludf.DUMMYFUNCTION("""COMPUTED_VALUE"""),0)</f>
        <v>0</v>
      </c>
    </row>
    <row r="1805" spans="1:18" ht="13.2" x14ac:dyDescent="0.25">
      <c r="A1805" s="1"/>
      <c r="B1805" s="31" t="str">
        <f ca="1">IFERROR(__xludf.DUMMYFUNCTION("""COMPUTED_VALUE"""),"Comercial y servicios")</f>
        <v>Comercial y servicios</v>
      </c>
      <c r="C1805" s="41"/>
      <c r="D1805" s="42"/>
      <c r="E1805" s="41"/>
      <c r="F1805" s="41"/>
      <c r="G1805" s="43"/>
      <c r="H1805" s="44"/>
      <c r="I1805" s="45"/>
      <c r="J1805" s="45"/>
      <c r="K1805" s="45"/>
      <c r="L1805" s="45"/>
      <c r="M1805" s="45"/>
      <c r="N1805" s="45"/>
      <c r="O1805" s="45"/>
      <c r="P1805" s="45"/>
      <c r="Q1805" s="45"/>
      <c r="R1805" s="10"/>
    </row>
    <row r="1806" spans="1:18" ht="13.2" outlineLevel="1" collapsed="1" x14ac:dyDescent="0.25">
      <c r="A1806" s="71"/>
      <c r="B1806" s="72" t="str">
        <f ca="1">IFERROR(__xludf.DUMMYFUNCTION("""COMPUTED_VALUE"""),"Iluminación")</f>
        <v>Iluminación</v>
      </c>
      <c r="C1806" s="73"/>
      <c r="D1806" s="73"/>
      <c r="E1806" s="73"/>
      <c r="F1806" s="73"/>
      <c r="G1806" s="73"/>
      <c r="H1806" s="73"/>
      <c r="I1806" s="73"/>
      <c r="J1806" s="73"/>
      <c r="K1806" s="73"/>
      <c r="L1806" s="73"/>
      <c r="M1806" s="73"/>
      <c r="N1806" s="73"/>
      <c r="O1806" s="73"/>
      <c r="P1806" s="73"/>
      <c r="Q1806" s="74"/>
      <c r="R1806" s="75"/>
    </row>
    <row r="1807" spans="1:18" ht="13.2" hidden="1" outlineLevel="2" x14ac:dyDescent="0.25">
      <c r="A1807" s="76"/>
      <c r="B1807" s="78"/>
      <c r="C1807" s="77">
        <f ca="1">IFERROR(__xludf.DUMMYFUNCTION("""COMPUTED_VALUE"""),2010)</f>
        <v>2010</v>
      </c>
      <c r="D1807" s="77">
        <f ca="1">IFERROR(__xludf.DUMMYFUNCTION("""COMPUTED_VALUE"""),2011)</f>
        <v>2011</v>
      </c>
      <c r="E1807" s="77">
        <f ca="1">IFERROR(__xludf.DUMMYFUNCTION("""COMPUTED_VALUE"""),2012)</f>
        <v>2012</v>
      </c>
      <c r="F1807" s="77">
        <f ca="1">IFERROR(__xludf.DUMMYFUNCTION("""COMPUTED_VALUE"""),2013)</f>
        <v>2013</v>
      </c>
      <c r="G1807" s="77">
        <f ca="1">IFERROR(__xludf.DUMMYFUNCTION("""COMPUTED_VALUE"""),2014)</f>
        <v>2014</v>
      </c>
      <c r="H1807" s="77">
        <f ca="1">IFERROR(__xludf.DUMMYFUNCTION("""COMPUTED_VALUE"""),2015)</f>
        <v>2015</v>
      </c>
      <c r="I1807" s="77">
        <f ca="1">IFERROR(__xludf.DUMMYFUNCTION("""COMPUTED_VALUE"""),2016)</f>
        <v>2016</v>
      </c>
      <c r="J1807" s="77">
        <f ca="1">IFERROR(__xludf.DUMMYFUNCTION("""COMPUTED_VALUE"""),2017)</f>
        <v>2017</v>
      </c>
      <c r="K1807" s="77">
        <f ca="1">IFERROR(__xludf.DUMMYFUNCTION("""COMPUTED_VALUE"""),2018)</f>
        <v>2018</v>
      </c>
      <c r="L1807" s="77">
        <f ca="1">IFERROR(__xludf.DUMMYFUNCTION("""COMPUTED_VALUE"""),2019)</f>
        <v>2019</v>
      </c>
      <c r="M1807" s="77">
        <f ca="1">IFERROR(__xludf.DUMMYFUNCTION("""COMPUTED_VALUE"""),2020)</f>
        <v>2020</v>
      </c>
      <c r="N1807" s="77">
        <f ca="1">IFERROR(__xludf.DUMMYFUNCTION("""COMPUTED_VALUE"""),2021)</f>
        <v>2021</v>
      </c>
      <c r="O1807" s="77">
        <f ca="1">IFERROR(__xludf.DUMMYFUNCTION("""COMPUTED_VALUE"""),2022)</f>
        <v>2022</v>
      </c>
      <c r="P1807" s="77">
        <f ca="1">IFERROR(__xludf.DUMMYFUNCTION("""COMPUTED_VALUE"""),2023)</f>
        <v>2023</v>
      </c>
      <c r="Q1807" s="77">
        <f ca="1">IFERROR(__xludf.DUMMYFUNCTION("""COMPUTED_VALUE"""),2024)</f>
        <v>2024</v>
      </c>
    </row>
    <row r="1808" spans="1:18" ht="13.2" hidden="1" outlineLevel="2" x14ac:dyDescent="0.25">
      <c r="A1808" s="76"/>
      <c r="B1808" s="78" t="str">
        <f ca="1">IFERROR(__xludf.DUMMYFUNCTION("""COMPUTED_VALUE"""),"Energía solar")</f>
        <v>Energía solar</v>
      </c>
      <c r="C1808" s="77">
        <f ca="1">IFERROR(__xludf.DUMMYFUNCTION("""COMPUTED_VALUE"""),0)</f>
        <v>0</v>
      </c>
      <c r="D1808" s="77">
        <f ca="1">IFERROR(__xludf.DUMMYFUNCTION("""COMPUTED_VALUE"""),0)</f>
        <v>0</v>
      </c>
      <c r="E1808" s="77">
        <f ca="1">IFERROR(__xludf.DUMMYFUNCTION("""COMPUTED_VALUE"""),0)</f>
        <v>0</v>
      </c>
      <c r="F1808" s="77">
        <f ca="1">IFERROR(__xludf.DUMMYFUNCTION("""COMPUTED_VALUE"""),0)</f>
        <v>0</v>
      </c>
      <c r="G1808" s="77">
        <f ca="1">IFERROR(__xludf.DUMMYFUNCTION("""COMPUTED_VALUE"""),0)</f>
        <v>0</v>
      </c>
      <c r="H1808" s="77">
        <f ca="1">IFERROR(__xludf.DUMMYFUNCTION("""COMPUTED_VALUE"""),0)</f>
        <v>0</v>
      </c>
      <c r="I1808" s="77">
        <f ca="1">IFERROR(__xludf.DUMMYFUNCTION("""COMPUTED_VALUE"""),0)</f>
        <v>0</v>
      </c>
      <c r="J1808" s="77">
        <f ca="1">IFERROR(__xludf.DUMMYFUNCTION("""COMPUTED_VALUE"""),0)</f>
        <v>0</v>
      </c>
      <c r="K1808" s="77">
        <f ca="1">IFERROR(__xludf.DUMMYFUNCTION("""COMPUTED_VALUE"""),0)</f>
        <v>0</v>
      </c>
      <c r="L1808" s="77">
        <f ca="1">IFERROR(__xludf.DUMMYFUNCTION("""COMPUTED_VALUE"""),0)</f>
        <v>0</v>
      </c>
      <c r="M1808" s="77">
        <f ca="1">IFERROR(__xludf.DUMMYFUNCTION("""COMPUTED_VALUE"""),0)</f>
        <v>0</v>
      </c>
      <c r="N1808" s="77">
        <f ca="1">IFERROR(__xludf.DUMMYFUNCTION("""COMPUTED_VALUE"""),0)</f>
        <v>0</v>
      </c>
      <c r="O1808" s="77">
        <f ca="1">IFERROR(__xludf.DUMMYFUNCTION("""COMPUTED_VALUE"""),0)</f>
        <v>0</v>
      </c>
      <c r="P1808" s="77">
        <f ca="1">IFERROR(__xludf.DUMMYFUNCTION("""COMPUTED_VALUE"""),0)</f>
        <v>0</v>
      </c>
      <c r="Q1808" s="77">
        <f ca="1">IFERROR(__xludf.DUMMYFUNCTION("""COMPUTED_VALUE"""),0)</f>
        <v>0</v>
      </c>
    </row>
    <row r="1809" spans="1:18" ht="13.2" hidden="1" outlineLevel="2" x14ac:dyDescent="0.25">
      <c r="A1809" s="76"/>
      <c r="B1809" s="78" t="str">
        <f ca="1">IFERROR(__xludf.DUMMYFUNCTION("""COMPUTED_VALUE"""),"Leña")</f>
        <v>Leña</v>
      </c>
      <c r="C1809" s="77">
        <f ca="1">IFERROR(__xludf.DUMMYFUNCTION("""COMPUTED_VALUE"""),0)</f>
        <v>0</v>
      </c>
      <c r="D1809" s="77">
        <f ca="1">IFERROR(__xludf.DUMMYFUNCTION("""COMPUTED_VALUE"""),0)</f>
        <v>0</v>
      </c>
      <c r="E1809" s="77">
        <f ca="1">IFERROR(__xludf.DUMMYFUNCTION("""COMPUTED_VALUE"""),0)</f>
        <v>0</v>
      </c>
      <c r="F1809" s="77">
        <f ca="1">IFERROR(__xludf.DUMMYFUNCTION("""COMPUTED_VALUE"""),0)</f>
        <v>0</v>
      </c>
      <c r="G1809" s="77">
        <f ca="1">IFERROR(__xludf.DUMMYFUNCTION("""COMPUTED_VALUE"""),0)</f>
        <v>0</v>
      </c>
      <c r="H1809" s="77">
        <f ca="1">IFERROR(__xludf.DUMMYFUNCTION("""COMPUTED_VALUE"""),0)</f>
        <v>0</v>
      </c>
      <c r="I1809" s="77">
        <f ca="1">IFERROR(__xludf.DUMMYFUNCTION("""COMPUTED_VALUE"""),0)</f>
        <v>0</v>
      </c>
      <c r="J1809" s="77">
        <f ca="1">IFERROR(__xludf.DUMMYFUNCTION("""COMPUTED_VALUE"""),0)</f>
        <v>0</v>
      </c>
      <c r="K1809" s="77">
        <f ca="1">IFERROR(__xludf.DUMMYFUNCTION("""COMPUTED_VALUE"""),0)</f>
        <v>0</v>
      </c>
      <c r="L1809" s="77">
        <f ca="1">IFERROR(__xludf.DUMMYFUNCTION("""COMPUTED_VALUE"""),0)</f>
        <v>0</v>
      </c>
      <c r="M1809" s="77">
        <f ca="1">IFERROR(__xludf.DUMMYFUNCTION("""COMPUTED_VALUE"""),0)</f>
        <v>0</v>
      </c>
      <c r="N1809" s="77">
        <f ca="1">IFERROR(__xludf.DUMMYFUNCTION("""COMPUTED_VALUE"""),0)</f>
        <v>0</v>
      </c>
      <c r="O1809" s="77">
        <f ca="1">IFERROR(__xludf.DUMMYFUNCTION("""COMPUTED_VALUE"""),0)</f>
        <v>0</v>
      </c>
      <c r="P1809" s="77">
        <f ca="1">IFERROR(__xludf.DUMMYFUNCTION("""COMPUTED_VALUE"""),0)</f>
        <v>0</v>
      </c>
      <c r="Q1809" s="77">
        <f ca="1">IFERROR(__xludf.DUMMYFUNCTION("""COMPUTED_VALUE"""),0)</f>
        <v>0</v>
      </c>
    </row>
    <row r="1810" spans="1:18" ht="13.2" hidden="1" outlineLevel="2" x14ac:dyDescent="0.25">
      <c r="A1810" s="76"/>
      <c r="B1810" s="78" t="str">
        <f ca="1">IFERROR(__xludf.DUMMYFUNCTION("""COMPUTED_VALUE"""),"Gas licuado de petróleo")</f>
        <v>Gas licuado de petróleo</v>
      </c>
      <c r="C1810" s="77">
        <f ca="1">IFERROR(__xludf.DUMMYFUNCTION("""COMPUTED_VALUE"""),0)</f>
        <v>0</v>
      </c>
      <c r="D1810" s="77">
        <f ca="1">IFERROR(__xludf.DUMMYFUNCTION("""COMPUTED_VALUE"""),0)</f>
        <v>0</v>
      </c>
      <c r="E1810" s="77">
        <f ca="1">IFERROR(__xludf.DUMMYFUNCTION("""COMPUTED_VALUE"""),0)</f>
        <v>0</v>
      </c>
      <c r="F1810" s="77">
        <f ca="1">IFERROR(__xludf.DUMMYFUNCTION("""COMPUTED_VALUE"""),0)</f>
        <v>0</v>
      </c>
      <c r="G1810" s="77">
        <f ca="1">IFERROR(__xludf.DUMMYFUNCTION("""COMPUTED_VALUE"""),0)</f>
        <v>0</v>
      </c>
      <c r="H1810" s="77">
        <f ca="1">IFERROR(__xludf.DUMMYFUNCTION("""COMPUTED_VALUE"""),0)</f>
        <v>0</v>
      </c>
      <c r="I1810" s="77">
        <f ca="1">IFERROR(__xludf.DUMMYFUNCTION("""COMPUTED_VALUE"""),0)</f>
        <v>0</v>
      </c>
      <c r="J1810" s="77">
        <f ca="1">IFERROR(__xludf.DUMMYFUNCTION("""COMPUTED_VALUE"""),0)</f>
        <v>0</v>
      </c>
      <c r="K1810" s="77">
        <f ca="1">IFERROR(__xludf.DUMMYFUNCTION("""COMPUTED_VALUE"""),0)</f>
        <v>0</v>
      </c>
      <c r="L1810" s="77">
        <f ca="1">IFERROR(__xludf.DUMMYFUNCTION("""COMPUTED_VALUE"""),0)</f>
        <v>0</v>
      </c>
      <c r="M1810" s="77">
        <f ca="1">IFERROR(__xludf.DUMMYFUNCTION("""COMPUTED_VALUE"""),0)</f>
        <v>0</v>
      </c>
      <c r="N1810" s="77">
        <f ca="1">IFERROR(__xludf.DUMMYFUNCTION("""COMPUTED_VALUE"""),0)</f>
        <v>0</v>
      </c>
      <c r="O1810" s="77">
        <f ca="1">IFERROR(__xludf.DUMMYFUNCTION("""COMPUTED_VALUE"""),0)</f>
        <v>0</v>
      </c>
      <c r="P1810" s="77">
        <f ca="1">IFERROR(__xludf.DUMMYFUNCTION("""COMPUTED_VALUE"""),0)</f>
        <v>0</v>
      </c>
      <c r="Q1810" s="77">
        <f ca="1">IFERROR(__xludf.DUMMYFUNCTION("""COMPUTED_VALUE"""),0)</f>
        <v>0</v>
      </c>
    </row>
    <row r="1811" spans="1:18" ht="13.2" hidden="1" outlineLevel="2" x14ac:dyDescent="0.25">
      <c r="A1811" s="76"/>
      <c r="B1811" s="78" t="str">
        <f ca="1">IFERROR(__xludf.DUMMYFUNCTION("""COMPUTED_VALUE"""),"Diesel")</f>
        <v>Diesel</v>
      </c>
      <c r="C1811" s="77">
        <f ca="1">IFERROR(__xludf.DUMMYFUNCTION("""COMPUTED_VALUE"""),0)</f>
        <v>0</v>
      </c>
      <c r="D1811" s="77">
        <f ca="1">IFERROR(__xludf.DUMMYFUNCTION("""COMPUTED_VALUE"""),0)</f>
        <v>0</v>
      </c>
      <c r="E1811" s="77">
        <f ca="1">IFERROR(__xludf.DUMMYFUNCTION("""COMPUTED_VALUE"""),0)</f>
        <v>0</v>
      </c>
      <c r="F1811" s="77">
        <f ca="1">IFERROR(__xludf.DUMMYFUNCTION("""COMPUTED_VALUE"""),0)</f>
        <v>0</v>
      </c>
      <c r="G1811" s="77">
        <f ca="1">IFERROR(__xludf.DUMMYFUNCTION("""COMPUTED_VALUE"""),0)</f>
        <v>0</v>
      </c>
      <c r="H1811" s="77">
        <f ca="1">IFERROR(__xludf.DUMMYFUNCTION("""COMPUTED_VALUE"""),0)</f>
        <v>0</v>
      </c>
      <c r="I1811" s="77">
        <f ca="1">IFERROR(__xludf.DUMMYFUNCTION("""COMPUTED_VALUE"""),0)</f>
        <v>0</v>
      </c>
      <c r="J1811" s="77">
        <f ca="1">IFERROR(__xludf.DUMMYFUNCTION("""COMPUTED_VALUE"""),0)</f>
        <v>0</v>
      </c>
      <c r="K1811" s="77">
        <f ca="1">IFERROR(__xludf.DUMMYFUNCTION("""COMPUTED_VALUE"""),0)</f>
        <v>0</v>
      </c>
      <c r="L1811" s="77">
        <f ca="1">IFERROR(__xludf.DUMMYFUNCTION("""COMPUTED_VALUE"""),0)</f>
        <v>0</v>
      </c>
      <c r="M1811" s="77">
        <f ca="1">IFERROR(__xludf.DUMMYFUNCTION("""COMPUTED_VALUE"""),0)</f>
        <v>0</v>
      </c>
      <c r="N1811" s="77">
        <f ca="1">IFERROR(__xludf.DUMMYFUNCTION("""COMPUTED_VALUE"""),0)</f>
        <v>0</v>
      </c>
      <c r="O1811" s="77">
        <f ca="1">IFERROR(__xludf.DUMMYFUNCTION("""COMPUTED_VALUE"""),0)</f>
        <v>0</v>
      </c>
      <c r="P1811" s="77">
        <f ca="1">IFERROR(__xludf.DUMMYFUNCTION("""COMPUTED_VALUE"""),0)</f>
        <v>0</v>
      </c>
      <c r="Q1811" s="77">
        <f ca="1">IFERROR(__xludf.DUMMYFUNCTION("""COMPUTED_VALUE"""),0)</f>
        <v>0</v>
      </c>
    </row>
    <row r="1812" spans="1:18" ht="13.2" hidden="1" outlineLevel="2" x14ac:dyDescent="0.25">
      <c r="A1812" s="76"/>
      <c r="B1812" s="77" t="str">
        <f ca="1">IFERROR(__xludf.DUMMYFUNCTION("""COMPUTED_VALUE"""),"Gas natural seco")</f>
        <v>Gas natural seco</v>
      </c>
      <c r="C1812" s="77">
        <f ca="1">IFERROR(__xludf.DUMMYFUNCTION("""COMPUTED_VALUE"""),0)</f>
        <v>0</v>
      </c>
      <c r="D1812" s="77">
        <f ca="1">IFERROR(__xludf.DUMMYFUNCTION("""COMPUTED_VALUE"""),0)</f>
        <v>0</v>
      </c>
      <c r="E1812" s="77">
        <f ca="1">IFERROR(__xludf.DUMMYFUNCTION("""COMPUTED_VALUE"""),0)</f>
        <v>0</v>
      </c>
      <c r="F1812" s="77">
        <f ca="1">IFERROR(__xludf.DUMMYFUNCTION("""COMPUTED_VALUE"""),0)</f>
        <v>0</v>
      </c>
      <c r="G1812" s="77">
        <f ca="1">IFERROR(__xludf.DUMMYFUNCTION("""COMPUTED_VALUE"""),0)</f>
        <v>0</v>
      </c>
      <c r="H1812" s="77">
        <f ca="1">IFERROR(__xludf.DUMMYFUNCTION("""COMPUTED_VALUE"""),0)</f>
        <v>0</v>
      </c>
      <c r="I1812" s="77">
        <f ca="1">IFERROR(__xludf.DUMMYFUNCTION("""COMPUTED_VALUE"""),0)</f>
        <v>0</v>
      </c>
      <c r="J1812" s="77">
        <f ca="1">IFERROR(__xludf.DUMMYFUNCTION("""COMPUTED_VALUE"""),0)</f>
        <v>0</v>
      </c>
      <c r="K1812" s="77">
        <f ca="1">IFERROR(__xludf.DUMMYFUNCTION("""COMPUTED_VALUE"""),0)</f>
        <v>0</v>
      </c>
      <c r="L1812" s="77">
        <f ca="1">IFERROR(__xludf.DUMMYFUNCTION("""COMPUTED_VALUE"""),0)</f>
        <v>0</v>
      </c>
      <c r="M1812" s="77">
        <f ca="1">IFERROR(__xludf.DUMMYFUNCTION("""COMPUTED_VALUE"""),0)</f>
        <v>0</v>
      </c>
      <c r="N1812" s="77">
        <f ca="1">IFERROR(__xludf.DUMMYFUNCTION("""COMPUTED_VALUE"""),0)</f>
        <v>0</v>
      </c>
      <c r="O1812" s="77">
        <f ca="1">IFERROR(__xludf.DUMMYFUNCTION("""COMPUTED_VALUE"""),0)</f>
        <v>0</v>
      </c>
      <c r="P1812" s="77">
        <f ca="1">IFERROR(__xludf.DUMMYFUNCTION("""COMPUTED_VALUE"""),0)</f>
        <v>0</v>
      </c>
      <c r="Q1812" s="77">
        <f ca="1">IFERROR(__xludf.DUMMYFUNCTION("""COMPUTED_VALUE"""),0)</f>
        <v>0</v>
      </c>
    </row>
    <row r="1813" spans="1:18" ht="13.2" hidden="1" outlineLevel="2" x14ac:dyDescent="0.25">
      <c r="A1813" s="76"/>
      <c r="B1813" s="78" t="str">
        <f ca="1">IFERROR(__xludf.DUMMYFUNCTION("""COMPUTED_VALUE"""),"Energía eléctrica")</f>
        <v>Energía eléctrica</v>
      </c>
      <c r="C1813" s="77">
        <f ca="1">IFERROR(__xludf.DUMMYFUNCTION("""COMPUTED_VALUE"""),16.8132283107779)</f>
        <v>16.813228310777902</v>
      </c>
      <c r="D1813" s="77">
        <f ca="1">IFERROR(__xludf.DUMMYFUNCTION("""COMPUTED_VALUE"""),17.1336285842674)</f>
        <v>17.133628584267399</v>
      </c>
      <c r="E1813" s="77">
        <f ca="1">IFERROR(__xludf.DUMMYFUNCTION("""COMPUTED_VALUE"""),18.1081559081626)</f>
        <v>18.108155908162601</v>
      </c>
      <c r="F1813" s="77">
        <f ca="1">IFERROR(__xludf.DUMMYFUNCTION("""COMPUTED_VALUE"""),18.3916940371166)</f>
        <v>18.391694037116601</v>
      </c>
      <c r="G1813" s="77">
        <f ca="1">IFERROR(__xludf.DUMMYFUNCTION("""COMPUTED_VALUE"""),19.1736957957141)</f>
        <v>19.173695795714099</v>
      </c>
      <c r="H1813" s="77">
        <f ca="1">IFERROR(__xludf.DUMMYFUNCTION("""COMPUTED_VALUE"""),19.6422329005448)</f>
        <v>19.642232900544801</v>
      </c>
      <c r="I1813" s="77">
        <f ca="1">IFERROR(__xludf.DUMMYFUNCTION("""COMPUTED_VALUE"""),20.2166229695706)</f>
        <v>20.216622969570601</v>
      </c>
      <c r="J1813" s="77">
        <f ca="1">IFERROR(__xludf.DUMMYFUNCTION("""COMPUTED_VALUE"""),20.933814356426)</f>
        <v>20.933814356426002</v>
      </c>
      <c r="K1813" s="77">
        <f ca="1">IFERROR(__xludf.DUMMYFUNCTION("""COMPUTED_VALUE"""),20.2307216402075)</f>
        <v>20.230721640207499</v>
      </c>
      <c r="L1813" s="77">
        <f ca="1">IFERROR(__xludf.DUMMYFUNCTION("""COMPUTED_VALUE"""),20.9693095134037)</f>
        <v>20.969309513403701</v>
      </c>
      <c r="M1813" s="77">
        <f ca="1">IFERROR(__xludf.DUMMYFUNCTION("""COMPUTED_VALUE"""),20.1855259165297)</f>
        <v>20.185525916529699</v>
      </c>
      <c r="N1813" s="77">
        <f ca="1">IFERROR(__xludf.DUMMYFUNCTION("""COMPUTED_VALUE"""),21.9178425490951)</f>
        <v>21.917842549095099</v>
      </c>
      <c r="O1813" s="77">
        <f ca="1">IFERROR(__xludf.DUMMYFUNCTION("""COMPUTED_VALUE"""),22.2911944638033)</f>
        <v>22.291194463803301</v>
      </c>
      <c r="P1813" s="77">
        <f ca="1">IFERROR(__xludf.DUMMYFUNCTION("""COMPUTED_VALUE"""),23.0519450272432)</f>
        <v>23.0519450272432</v>
      </c>
      <c r="Q1813" s="77">
        <f ca="1">IFERROR(__xludf.DUMMYFUNCTION("""COMPUTED_VALUE"""),24.0367616538036)</f>
        <v>24.036761653803602</v>
      </c>
    </row>
    <row r="1814" spans="1:18" ht="13.2" outlineLevel="1" collapsed="1" x14ac:dyDescent="0.25">
      <c r="A1814" s="71"/>
      <c r="B1814" s="72" t="str">
        <f ca="1">IFERROR(__xludf.DUMMYFUNCTION("""COMPUTED_VALUE"""),"Climatización")</f>
        <v>Climatización</v>
      </c>
      <c r="C1814" s="73"/>
      <c r="D1814" s="73"/>
      <c r="E1814" s="73"/>
      <c r="F1814" s="73"/>
      <c r="G1814" s="73"/>
      <c r="H1814" s="73"/>
      <c r="I1814" s="73"/>
      <c r="J1814" s="73"/>
      <c r="K1814" s="73"/>
      <c r="L1814" s="73"/>
      <c r="M1814" s="73"/>
      <c r="N1814" s="73"/>
      <c r="O1814" s="73"/>
      <c r="P1814" s="73"/>
      <c r="Q1814" s="74"/>
      <c r="R1814" s="75"/>
    </row>
    <row r="1815" spans="1:18" ht="13.2" hidden="1" outlineLevel="2" x14ac:dyDescent="0.25">
      <c r="A1815" s="76"/>
      <c r="B1815" s="78"/>
      <c r="C1815" s="77">
        <f ca="1">IFERROR(__xludf.DUMMYFUNCTION("""COMPUTED_VALUE"""),2010)</f>
        <v>2010</v>
      </c>
      <c r="D1815" s="77">
        <f ca="1">IFERROR(__xludf.DUMMYFUNCTION("""COMPUTED_VALUE"""),2011)</f>
        <v>2011</v>
      </c>
      <c r="E1815" s="77">
        <f ca="1">IFERROR(__xludf.DUMMYFUNCTION("""COMPUTED_VALUE"""),2012)</f>
        <v>2012</v>
      </c>
      <c r="F1815" s="77">
        <f ca="1">IFERROR(__xludf.DUMMYFUNCTION("""COMPUTED_VALUE"""),2013)</f>
        <v>2013</v>
      </c>
      <c r="G1815" s="77">
        <f ca="1">IFERROR(__xludf.DUMMYFUNCTION("""COMPUTED_VALUE"""),2014)</f>
        <v>2014</v>
      </c>
      <c r="H1815" s="77">
        <f ca="1">IFERROR(__xludf.DUMMYFUNCTION("""COMPUTED_VALUE"""),2015)</f>
        <v>2015</v>
      </c>
      <c r="I1815" s="77">
        <f ca="1">IFERROR(__xludf.DUMMYFUNCTION("""COMPUTED_VALUE"""),2016)</f>
        <v>2016</v>
      </c>
      <c r="J1815" s="77">
        <f ca="1">IFERROR(__xludf.DUMMYFUNCTION("""COMPUTED_VALUE"""),2017)</f>
        <v>2017</v>
      </c>
      <c r="K1815" s="77">
        <f ca="1">IFERROR(__xludf.DUMMYFUNCTION("""COMPUTED_VALUE"""),2018)</f>
        <v>2018</v>
      </c>
      <c r="L1815" s="77">
        <f ca="1">IFERROR(__xludf.DUMMYFUNCTION("""COMPUTED_VALUE"""),2019)</f>
        <v>2019</v>
      </c>
      <c r="M1815" s="77">
        <f ca="1">IFERROR(__xludf.DUMMYFUNCTION("""COMPUTED_VALUE"""),2020)</f>
        <v>2020</v>
      </c>
      <c r="N1815" s="77">
        <f ca="1">IFERROR(__xludf.DUMMYFUNCTION("""COMPUTED_VALUE"""),2021)</f>
        <v>2021</v>
      </c>
      <c r="O1815" s="77">
        <f ca="1">IFERROR(__xludf.DUMMYFUNCTION("""COMPUTED_VALUE"""),2022)</f>
        <v>2022</v>
      </c>
      <c r="P1815" s="77">
        <f ca="1">IFERROR(__xludf.DUMMYFUNCTION("""COMPUTED_VALUE"""),2023)</f>
        <v>2023</v>
      </c>
      <c r="Q1815" s="77">
        <f ca="1">IFERROR(__xludf.DUMMYFUNCTION("""COMPUTED_VALUE"""),2024)</f>
        <v>2024</v>
      </c>
    </row>
    <row r="1816" spans="1:18" ht="13.2" hidden="1" outlineLevel="2" x14ac:dyDescent="0.25">
      <c r="A1816" s="76"/>
      <c r="B1816" s="78" t="str">
        <f ca="1">IFERROR(__xludf.DUMMYFUNCTION("""COMPUTED_VALUE"""),"Energía solar")</f>
        <v>Energía solar</v>
      </c>
      <c r="C1816" s="77">
        <f ca="1">IFERROR(__xludf.DUMMYFUNCTION("""COMPUTED_VALUE"""),0)</f>
        <v>0</v>
      </c>
      <c r="D1816" s="77">
        <f ca="1">IFERROR(__xludf.DUMMYFUNCTION("""COMPUTED_VALUE"""),0)</f>
        <v>0</v>
      </c>
      <c r="E1816" s="77">
        <f ca="1">IFERROR(__xludf.DUMMYFUNCTION("""COMPUTED_VALUE"""),0)</f>
        <v>0</v>
      </c>
      <c r="F1816" s="77">
        <f ca="1">IFERROR(__xludf.DUMMYFUNCTION("""COMPUTED_VALUE"""),0)</f>
        <v>0</v>
      </c>
      <c r="G1816" s="77">
        <f ca="1">IFERROR(__xludf.DUMMYFUNCTION("""COMPUTED_VALUE"""),0)</f>
        <v>0</v>
      </c>
      <c r="H1816" s="77">
        <f ca="1">IFERROR(__xludf.DUMMYFUNCTION("""COMPUTED_VALUE"""),0)</f>
        <v>0</v>
      </c>
      <c r="I1816" s="77">
        <f ca="1">IFERROR(__xludf.DUMMYFUNCTION("""COMPUTED_VALUE"""),0)</f>
        <v>0</v>
      </c>
      <c r="J1816" s="77">
        <f ca="1">IFERROR(__xludf.DUMMYFUNCTION("""COMPUTED_VALUE"""),0)</f>
        <v>0</v>
      </c>
      <c r="K1816" s="77">
        <f ca="1">IFERROR(__xludf.DUMMYFUNCTION("""COMPUTED_VALUE"""),0)</f>
        <v>0</v>
      </c>
      <c r="L1816" s="77">
        <f ca="1">IFERROR(__xludf.DUMMYFUNCTION("""COMPUTED_VALUE"""),0)</f>
        <v>0</v>
      </c>
      <c r="M1816" s="77">
        <f ca="1">IFERROR(__xludf.DUMMYFUNCTION("""COMPUTED_VALUE"""),0)</f>
        <v>0</v>
      </c>
      <c r="N1816" s="77">
        <f ca="1">IFERROR(__xludf.DUMMYFUNCTION("""COMPUTED_VALUE"""),0)</f>
        <v>0</v>
      </c>
      <c r="O1816" s="77">
        <f ca="1">IFERROR(__xludf.DUMMYFUNCTION("""COMPUTED_VALUE"""),0)</f>
        <v>0</v>
      </c>
      <c r="P1816" s="77">
        <f ca="1">IFERROR(__xludf.DUMMYFUNCTION("""COMPUTED_VALUE"""),0)</f>
        <v>0</v>
      </c>
      <c r="Q1816" s="77">
        <f ca="1">IFERROR(__xludf.DUMMYFUNCTION("""COMPUTED_VALUE"""),0)</f>
        <v>0</v>
      </c>
    </row>
    <row r="1817" spans="1:18" ht="13.2" hidden="1" outlineLevel="2" x14ac:dyDescent="0.25">
      <c r="A1817" s="76"/>
      <c r="B1817" s="78" t="str">
        <f ca="1">IFERROR(__xludf.DUMMYFUNCTION("""COMPUTED_VALUE"""),"Leña")</f>
        <v>Leña</v>
      </c>
      <c r="C1817" s="77">
        <f ca="1">IFERROR(__xludf.DUMMYFUNCTION("""COMPUTED_VALUE"""),0)</f>
        <v>0</v>
      </c>
      <c r="D1817" s="77">
        <f ca="1">IFERROR(__xludf.DUMMYFUNCTION("""COMPUTED_VALUE"""),0)</f>
        <v>0</v>
      </c>
      <c r="E1817" s="77">
        <f ca="1">IFERROR(__xludf.DUMMYFUNCTION("""COMPUTED_VALUE"""),0)</f>
        <v>0</v>
      </c>
      <c r="F1817" s="77">
        <f ca="1">IFERROR(__xludf.DUMMYFUNCTION("""COMPUTED_VALUE"""),0)</f>
        <v>0</v>
      </c>
      <c r="G1817" s="77">
        <f ca="1">IFERROR(__xludf.DUMMYFUNCTION("""COMPUTED_VALUE"""),0)</f>
        <v>0</v>
      </c>
      <c r="H1817" s="77">
        <f ca="1">IFERROR(__xludf.DUMMYFUNCTION("""COMPUTED_VALUE"""),0)</f>
        <v>0</v>
      </c>
      <c r="I1817" s="77">
        <f ca="1">IFERROR(__xludf.DUMMYFUNCTION("""COMPUTED_VALUE"""),0)</f>
        <v>0</v>
      </c>
      <c r="J1817" s="77">
        <f ca="1">IFERROR(__xludf.DUMMYFUNCTION("""COMPUTED_VALUE"""),0)</f>
        <v>0</v>
      </c>
      <c r="K1817" s="77">
        <f ca="1">IFERROR(__xludf.DUMMYFUNCTION("""COMPUTED_VALUE"""),0)</f>
        <v>0</v>
      </c>
      <c r="L1817" s="77">
        <f ca="1">IFERROR(__xludf.DUMMYFUNCTION("""COMPUTED_VALUE"""),0)</f>
        <v>0</v>
      </c>
      <c r="M1817" s="77">
        <f ca="1">IFERROR(__xludf.DUMMYFUNCTION("""COMPUTED_VALUE"""),0)</f>
        <v>0</v>
      </c>
      <c r="N1817" s="77">
        <f ca="1">IFERROR(__xludf.DUMMYFUNCTION("""COMPUTED_VALUE"""),0)</f>
        <v>0</v>
      </c>
      <c r="O1817" s="77">
        <f ca="1">IFERROR(__xludf.DUMMYFUNCTION("""COMPUTED_VALUE"""),0)</f>
        <v>0</v>
      </c>
      <c r="P1817" s="77">
        <f ca="1">IFERROR(__xludf.DUMMYFUNCTION("""COMPUTED_VALUE"""),0)</f>
        <v>0</v>
      </c>
      <c r="Q1817" s="77">
        <f ca="1">IFERROR(__xludf.DUMMYFUNCTION("""COMPUTED_VALUE"""),0)</f>
        <v>0</v>
      </c>
    </row>
    <row r="1818" spans="1:18" ht="13.2" hidden="1" outlineLevel="2" x14ac:dyDescent="0.25">
      <c r="A1818" s="76"/>
      <c r="B1818" s="78" t="str">
        <f ca="1">IFERROR(__xludf.DUMMYFUNCTION("""COMPUTED_VALUE"""),"Gas licuado de petróleo")</f>
        <v>Gas licuado de petróleo</v>
      </c>
      <c r="C1818" s="77">
        <f ca="1">IFERROR(__xludf.DUMMYFUNCTION("""COMPUTED_VALUE"""),0)</f>
        <v>0</v>
      </c>
      <c r="D1818" s="77">
        <f ca="1">IFERROR(__xludf.DUMMYFUNCTION("""COMPUTED_VALUE"""),0)</f>
        <v>0</v>
      </c>
      <c r="E1818" s="77">
        <f ca="1">IFERROR(__xludf.DUMMYFUNCTION("""COMPUTED_VALUE"""),0)</f>
        <v>0</v>
      </c>
      <c r="F1818" s="77">
        <f ca="1">IFERROR(__xludf.DUMMYFUNCTION("""COMPUTED_VALUE"""),0)</f>
        <v>0</v>
      </c>
      <c r="G1818" s="77">
        <f ca="1">IFERROR(__xludf.DUMMYFUNCTION("""COMPUTED_VALUE"""),0)</f>
        <v>0</v>
      </c>
      <c r="H1818" s="77">
        <f ca="1">IFERROR(__xludf.DUMMYFUNCTION("""COMPUTED_VALUE"""),0)</f>
        <v>0</v>
      </c>
      <c r="I1818" s="77">
        <f ca="1">IFERROR(__xludf.DUMMYFUNCTION("""COMPUTED_VALUE"""),0)</f>
        <v>0</v>
      </c>
      <c r="J1818" s="77">
        <f ca="1">IFERROR(__xludf.DUMMYFUNCTION("""COMPUTED_VALUE"""),0)</f>
        <v>0</v>
      </c>
      <c r="K1818" s="77">
        <f ca="1">IFERROR(__xludf.DUMMYFUNCTION("""COMPUTED_VALUE"""),0)</f>
        <v>0</v>
      </c>
      <c r="L1818" s="77">
        <f ca="1">IFERROR(__xludf.DUMMYFUNCTION("""COMPUTED_VALUE"""),0)</f>
        <v>0</v>
      </c>
      <c r="M1818" s="77">
        <f ca="1">IFERROR(__xludf.DUMMYFUNCTION("""COMPUTED_VALUE"""),0)</f>
        <v>0</v>
      </c>
      <c r="N1818" s="77">
        <f ca="1">IFERROR(__xludf.DUMMYFUNCTION("""COMPUTED_VALUE"""),0)</f>
        <v>0</v>
      </c>
      <c r="O1818" s="77">
        <f ca="1">IFERROR(__xludf.DUMMYFUNCTION("""COMPUTED_VALUE"""),0)</f>
        <v>0</v>
      </c>
      <c r="P1818" s="77">
        <f ca="1">IFERROR(__xludf.DUMMYFUNCTION("""COMPUTED_VALUE"""),0)</f>
        <v>0</v>
      </c>
      <c r="Q1818" s="77">
        <f ca="1">IFERROR(__xludf.DUMMYFUNCTION("""COMPUTED_VALUE"""),0)</f>
        <v>0</v>
      </c>
    </row>
    <row r="1819" spans="1:18" ht="13.2" hidden="1" outlineLevel="2" x14ac:dyDescent="0.25">
      <c r="A1819" s="76"/>
      <c r="B1819" s="78" t="str">
        <f ca="1">IFERROR(__xludf.DUMMYFUNCTION("""COMPUTED_VALUE"""),"Diesel")</f>
        <v>Diesel</v>
      </c>
      <c r="C1819" s="77">
        <f ca="1">IFERROR(__xludf.DUMMYFUNCTION("""COMPUTED_VALUE"""),0)</f>
        <v>0</v>
      </c>
      <c r="D1819" s="77">
        <f ca="1">IFERROR(__xludf.DUMMYFUNCTION("""COMPUTED_VALUE"""),0)</f>
        <v>0</v>
      </c>
      <c r="E1819" s="77">
        <f ca="1">IFERROR(__xludf.DUMMYFUNCTION("""COMPUTED_VALUE"""),0)</f>
        <v>0</v>
      </c>
      <c r="F1819" s="77">
        <f ca="1">IFERROR(__xludf.DUMMYFUNCTION("""COMPUTED_VALUE"""),0)</f>
        <v>0</v>
      </c>
      <c r="G1819" s="77">
        <f ca="1">IFERROR(__xludf.DUMMYFUNCTION("""COMPUTED_VALUE"""),0)</f>
        <v>0</v>
      </c>
      <c r="H1819" s="77">
        <f ca="1">IFERROR(__xludf.DUMMYFUNCTION("""COMPUTED_VALUE"""),0)</f>
        <v>0</v>
      </c>
      <c r="I1819" s="77">
        <f ca="1">IFERROR(__xludf.DUMMYFUNCTION("""COMPUTED_VALUE"""),0)</f>
        <v>0</v>
      </c>
      <c r="J1819" s="77">
        <f ca="1">IFERROR(__xludf.DUMMYFUNCTION("""COMPUTED_VALUE"""),0)</f>
        <v>0</v>
      </c>
      <c r="K1819" s="77">
        <f ca="1">IFERROR(__xludf.DUMMYFUNCTION("""COMPUTED_VALUE"""),0)</f>
        <v>0</v>
      </c>
      <c r="L1819" s="77">
        <f ca="1">IFERROR(__xludf.DUMMYFUNCTION("""COMPUTED_VALUE"""),0)</f>
        <v>0</v>
      </c>
      <c r="M1819" s="77">
        <f ca="1">IFERROR(__xludf.DUMMYFUNCTION("""COMPUTED_VALUE"""),0)</f>
        <v>0</v>
      </c>
      <c r="N1819" s="77">
        <f ca="1">IFERROR(__xludf.DUMMYFUNCTION("""COMPUTED_VALUE"""),0)</f>
        <v>0</v>
      </c>
      <c r="O1819" s="77">
        <f ca="1">IFERROR(__xludf.DUMMYFUNCTION("""COMPUTED_VALUE"""),0)</f>
        <v>0</v>
      </c>
      <c r="P1819" s="77">
        <f ca="1">IFERROR(__xludf.DUMMYFUNCTION("""COMPUTED_VALUE"""),0)</f>
        <v>0</v>
      </c>
      <c r="Q1819" s="77">
        <f ca="1">IFERROR(__xludf.DUMMYFUNCTION("""COMPUTED_VALUE"""),0)</f>
        <v>0</v>
      </c>
    </row>
    <row r="1820" spans="1:18" ht="13.2" hidden="1" outlineLevel="2" x14ac:dyDescent="0.25">
      <c r="A1820" s="76"/>
      <c r="B1820" s="77" t="str">
        <f ca="1">IFERROR(__xludf.DUMMYFUNCTION("""COMPUTED_VALUE"""),"Gas natural seco")</f>
        <v>Gas natural seco</v>
      </c>
      <c r="C1820" s="77">
        <f ca="1">IFERROR(__xludf.DUMMYFUNCTION("""COMPUTED_VALUE"""),0)</f>
        <v>0</v>
      </c>
      <c r="D1820" s="77">
        <f ca="1">IFERROR(__xludf.DUMMYFUNCTION("""COMPUTED_VALUE"""),0)</f>
        <v>0</v>
      </c>
      <c r="E1820" s="77">
        <f ca="1">IFERROR(__xludf.DUMMYFUNCTION("""COMPUTED_VALUE"""),0)</f>
        <v>0</v>
      </c>
      <c r="F1820" s="77">
        <f ca="1">IFERROR(__xludf.DUMMYFUNCTION("""COMPUTED_VALUE"""),0)</f>
        <v>0</v>
      </c>
      <c r="G1820" s="77">
        <f ca="1">IFERROR(__xludf.DUMMYFUNCTION("""COMPUTED_VALUE"""),0)</f>
        <v>0</v>
      </c>
      <c r="H1820" s="77">
        <f ca="1">IFERROR(__xludf.DUMMYFUNCTION("""COMPUTED_VALUE"""),0)</f>
        <v>0</v>
      </c>
      <c r="I1820" s="77">
        <f ca="1">IFERROR(__xludf.DUMMYFUNCTION("""COMPUTED_VALUE"""),0)</f>
        <v>0</v>
      </c>
      <c r="J1820" s="77">
        <f ca="1">IFERROR(__xludf.DUMMYFUNCTION("""COMPUTED_VALUE"""),0)</f>
        <v>0</v>
      </c>
      <c r="K1820" s="77">
        <f ca="1">IFERROR(__xludf.DUMMYFUNCTION("""COMPUTED_VALUE"""),0)</f>
        <v>0</v>
      </c>
      <c r="L1820" s="77">
        <f ca="1">IFERROR(__xludf.DUMMYFUNCTION("""COMPUTED_VALUE"""),0)</f>
        <v>0</v>
      </c>
      <c r="M1820" s="77">
        <f ca="1">IFERROR(__xludf.DUMMYFUNCTION("""COMPUTED_VALUE"""),0)</f>
        <v>0</v>
      </c>
      <c r="N1820" s="77">
        <f ca="1">IFERROR(__xludf.DUMMYFUNCTION("""COMPUTED_VALUE"""),0)</f>
        <v>0</v>
      </c>
      <c r="O1820" s="77">
        <f ca="1">IFERROR(__xludf.DUMMYFUNCTION("""COMPUTED_VALUE"""),0)</f>
        <v>0</v>
      </c>
      <c r="P1820" s="77">
        <f ca="1">IFERROR(__xludf.DUMMYFUNCTION("""COMPUTED_VALUE"""),0)</f>
        <v>0</v>
      </c>
      <c r="Q1820" s="77">
        <f ca="1">IFERROR(__xludf.DUMMYFUNCTION("""COMPUTED_VALUE"""),0)</f>
        <v>0</v>
      </c>
    </row>
    <row r="1821" spans="1:18" ht="13.2" hidden="1" outlineLevel="2" x14ac:dyDescent="0.25">
      <c r="A1821" s="76"/>
      <c r="B1821" s="78" t="str">
        <f ca="1">IFERROR(__xludf.DUMMYFUNCTION("""COMPUTED_VALUE"""),"Energía eléctrica")</f>
        <v>Energía eléctrica</v>
      </c>
      <c r="C1821" s="77">
        <f ca="1">IFERROR(__xludf.DUMMYFUNCTION("""COMPUTED_VALUE"""),27.6929747176917)</f>
        <v>27.692974717691701</v>
      </c>
      <c r="D1821" s="77">
        <f ca="1">IFERROR(__xludf.DUMMYFUNCTION("""COMPUTED_VALUE"""),28.2200941387935)</f>
        <v>28.220094138793499</v>
      </c>
      <c r="E1821" s="77">
        <f ca="1">IFERROR(__xludf.DUMMYFUNCTION("""COMPUTED_VALUE"""),29.8240004558271)</f>
        <v>29.8240004558271</v>
      </c>
      <c r="F1821" s="77">
        <f ca="1">IFERROR(__xludf.DUMMYFUNCTION("""COMPUTED_VALUE"""),30.2892034280895)</f>
        <v>30.2892034280895</v>
      </c>
      <c r="G1821" s="77">
        <f ca="1">IFERROR(__xludf.DUMMYFUNCTION("""COMPUTED_VALUE"""),31.5808070100257)</f>
        <v>31.580807010025701</v>
      </c>
      <c r="H1821" s="77">
        <f ca="1">IFERROR(__xludf.DUMMYFUNCTION("""COMPUTED_VALUE"""),32.3621380167748)</f>
        <v>32.3621380167748</v>
      </c>
      <c r="I1821" s="77">
        <f ca="1">IFERROR(__xludf.DUMMYFUNCTION("""COMPUTED_VALUE"""),33.2931256638832)</f>
        <v>33.293125663883202</v>
      </c>
      <c r="J1821" s="77">
        <f ca="1">IFERROR(__xludf.DUMMYFUNCTION("""COMPUTED_VALUE"""),34.482904963799)</f>
        <v>34.482904963799001</v>
      </c>
      <c r="K1821" s="77">
        <f ca="1">IFERROR(__xludf.DUMMYFUNCTION("""COMPUTED_VALUE"""),33.3303474534152)</f>
        <v>33.3303474534152</v>
      </c>
      <c r="L1821" s="77">
        <f ca="1">IFERROR(__xludf.DUMMYFUNCTION("""COMPUTED_VALUE"""),34.5481395522429)</f>
        <v>34.548139552242901</v>
      </c>
      <c r="M1821" s="77">
        <f ca="1">IFERROR(__xludf.DUMMYFUNCTION("""COMPUTED_VALUE"""),33.2571642164496)</f>
        <v>33.257164216449603</v>
      </c>
      <c r="N1821" s="77">
        <f ca="1">IFERROR(__xludf.DUMMYFUNCTION("""COMPUTED_VALUE"""),36.1060546282595)</f>
        <v>36.1060546282595</v>
      </c>
      <c r="O1821" s="77">
        <f ca="1">IFERROR(__xludf.DUMMYFUNCTION("""COMPUTED_VALUE"""),36.1760071252387)</f>
        <v>36.176007125238698</v>
      </c>
      <c r="P1821" s="77">
        <f ca="1">IFERROR(__xludf.DUMMYFUNCTION("""COMPUTED_VALUE"""),37.4165969487671)</f>
        <v>37.416596948767101</v>
      </c>
      <c r="Q1821" s="77">
        <f ca="1">IFERROR(__xludf.DUMMYFUNCTION("""COMPUTED_VALUE"""),39.0211319005478)</f>
        <v>39.0211319005478</v>
      </c>
    </row>
    <row r="1822" spans="1:18" ht="13.2" outlineLevel="1" collapsed="1" x14ac:dyDescent="0.25">
      <c r="A1822" s="71"/>
      <c r="B1822" s="72" t="str">
        <f ca="1">IFERROR(__xludf.DUMMYFUNCTION("""COMPUTED_VALUE"""),"Refrigeración")</f>
        <v>Refrigeración</v>
      </c>
      <c r="C1822" s="73"/>
      <c r="D1822" s="73"/>
      <c r="E1822" s="73"/>
      <c r="F1822" s="73"/>
      <c r="G1822" s="73"/>
      <c r="H1822" s="73"/>
      <c r="I1822" s="73"/>
      <c r="J1822" s="73"/>
      <c r="K1822" s="73"/>
      <c r="L1822" s="73"/>
      <c r="M1822" s="73"/>
      <c r="N1822" s="73"/>
      <c r="O1822" s="73"/>
      <c r="P1822" s="73"/>
      <c r="Q1822" s="74"/>
      <c r="R1822" s="75"/>
    </row>
    <row r="1823" spans="1:18" ht="13.2" hidden="1" outlineLevel="2" x14ac:dyDescent="0.25">
      <c r="A1823" s="76"/>
      <c r="B1823" s="78"/>
      <c r="C1823" s="77">
        <f ca="1">IFERROR(__xludf.DUMMYFUNCTION("""COMPUTED_VALUE"""),2010)</f>
        <v>2010</v>
      </c>
      <c r="D1823" s="77">
        <f ca="1">IFERROR(__xludf.DUMMYFUNCTION("""COMPUTED_VALUE"""),2011)</f>
        <v>2011</v>
      </c>
      <c r="E1823" s="77">
        <f ca="1">IFERROR(__xludf.DUMMYFUNCTION("""COMPUTED_VALUE"""),2012)</f>
        <v>2012</v>
      </c>
      <c r="F1823" s="77">
        <f ca="1">IFERROR(__xludf.DUMMYFUNCTION("""COMPUTED_VALUE"""),2013)</f>
        <v>2013</v>
      </c>
      <c r="G1823" s="77">
        <f ca="1">IFERROR(__xludf.DUMMYFUNCTION("""COMPUTED_VALUE"""),2014)</f>
        <v>2014</v>
      </c>
      <c r="H1823" s="77">
        <f ca="1">IFERROR(__xludf.DUMMYFUNCTION("""COMPUTED_VALUE"""),2015)</f>
        <v>2015</v>
      </c>
      <c r="I1823" s="77">
        <f ca="1">IFERROR(__xludf.DUMMYFUNCTION("""COMPUTED_VALUE"""),2016)</f>
        <v>2016</v>
      </c>
      <c r="J1823" s="77">
        <f ca="1">IFERROR(__xludf.DUMMYFUNCTION("""COMPUTED_VALUE"""),2017)</f>
        <v>2017</v>
      </c>
      <c r="K1823" s="77">
        <f ca="1">IFERROR(__xludf.DUMMYFUNCTION("""COMPUTED_VALUE"""),2018)</f>
        <v>2018</v>
      </c>
      <c r="L1823" s="77">
        <f ca="1">IFERROR(__xludf.DUMMYFUNCTION("""COMPUTED_VALUE"""),2019)</f>
        <v>2019</v>
      </c>
      <c r="M1823" s="77">
        <f ca="1">IFERROR(__xludf.DUMMYFUNCTION("""COMPUTED_VALUE"""),2020)</f>
        <v>2020</v>
      </c>
      <c r="N1823" s="77">
        <f ca="1">IFERROR(__xludf.DUMMYFUNCTION("""COMPUTED_VALUE"""),2021)</f>
        <v>2021</v>
      </c>
      <c r="O1823" s="77">
        <f ca="1">IFERROR(__xludf.DUMMYFUNCTION("""COMPUTED_VALUE"""),2022)</f>
        <v>2022</v>
      </c>
      <c r="P1823" s="77">
        <f ca="1">IFERROR(__xludf.DUMMYFUNCTION("""COMPUTED_VALUE"""),2023)</f>
        <v>2023</v>
      </c>
      <c r="Q1823" s="77">
        <f ca="1">IFERROR(__xludf.DUMMYFUNCTION("""COMPUTED_VALUE"""),2024)</f>
        <v>2024</v>
      </c>
    </row>
    <row r="1824" spans="1:18" ht="13.2" hidden="1" outlineLevel="2" x14ac:dyDescent="0.25">
      <c r="A1824" s="76"/>
      <c r="B1824" s="78" t="str">
        <f ca="1">IFERROR(__xludf.DUMMYFUNCTION("""COMPUTED_VALUE"""),"Energía solar")</f>
        <v>Energía solar</v>
      </c>
      <c r="C1824" s="77">
        <f ca="1">IFERROR(__xludf.DUMMYFUNCTION("""COMPUTED_VALUE"""),0)</f>
        <v>0</v>
      </c>
      <c r="D1824" s="77">
        <f ca="1">IFERROR(__xludf.DUMMYFUNCTION("""COMPUTED_VALUE"""),0)</f>
        <v>0</v>
      </c>
      <c r="E1824" s="77">
        <f ca="1">IFERROR(__xludf.DUMMYFUNCTION("""COMPUTED_VALUE"""),0)</f>
        <v>0</v>
      </c>
      <c r="F1824" s="77">
        <f ca="1">IFERROR(__xludf.DUMMYFUNCTION("""COMPUTED_VALUE"""),0)</f>
        <v>0</v>
      </c>
      <c r="G1824" s="77">
        <f ca="1">IFERROR(__xludf.DUMMYFUNCTION("""COMPUTED_VALUE"""),0)</f>
        <v>0</v>
      </c>
      <c r="H1824" s="77">
        <f ca="1">IFERROR(__xludf.DUMMYFUNCTION("""COMPUTED_VALUE"""),0)</f>
        <v>0</v>
      </c>
      <c r="I1824" s="77">
        <f ca="1">IFERROR(__xludf.DUMMYFUNCTION("""COMPUTED_VALUE"""),0)</f>
        <v>0</v>
      </c>
      <c r="J1824" s="77">
        <f ca="1">IFERROR(__xludf.DUMMYFUNCTION("""COMPUTED_VALUE"""),0)</f>
        <v>0</v>
      </c>
      <c r="K1824" s="77">
        <f ca="1">IFERROR(__xludf.DUMMYFUNCTION("""COMPUTED_VALUE"""),0)</f>
        <v>0</v>
      </c>
      <c r="L1824" s="77">
        <f ca="1">IFERROR(__xludf.DUMMYFUNCTION("""COMPUTED_VALUE"""),0)</f>
        <v>0</v>
      </c>
      <c r="M1824" s="77">
        <f ca="1">IFERROR(__xludf.DUMMYFUNCTION("""COMPUTED_VALUE"""),0)</f>
        <v>0</v>
      </c>
      <c r="N1824" s="77">
        <f ca="1">IFERROR(__xludf.DUMMYFUNCTION("""COMPUTED_VALUE"""),0)</f>
        <v>0</v>
      </c>
      <c r="O1824" s="77">
        <f ca="1">IFERROR(__xludf.DUMMYFUNCTION("""COMPUTED_VALUE"""),0)</f>
        <v>0</v>
      </c>
      <c r="P1824" s="77">
        <f ca="1">IFERROR(__xludf.DUMMYFUNCTION("""COMPUTED_VALUE"""),0)</f>
        <v>0</v>
      </c>
      <c r="Q1824" s="77">
        <f ca="1">IFERROR(__xludf.DUMMYFUNCTION("""COMPUTED_VALUE"""),0)</f>
        <v>0</v>
      </c>
    </row>
    <row r="1825" spans="1:18" ht="13.2" hidden="1" outlineLevel="2" x14ac:dyDescent="0.25">
      <c r="A1825" s="76"/>
      <c r="B1825" s="78" t="str">
        <f ca="1">IFERROR(__xludf.DUMMYFUNCTION("""COMPUTED_VALUE"""),"Leña")</f>
        <v>Leña</v>
      </c>
      <c r="C1825" s="77">
        <f ca="1">IFERROR(__xludf.DUMMYFUNCTION("""COMPUTED_VALUE"""),0)</f>
        <v>0</v>
      </c>
      <c r="D1825" s="77">
        <f ca="1">IFERROR(__xludf.DUMMYFUNCTION("""COMPUTED_VALUE"""),0)</f>
        <v>0</v>
      </c>
      <c r="E1825" s="77">
        <f ca="1">IFERROR(__xludf.DUMMYFUNCTION("""COMPUTED_VALUE"""),0)</f>
        <v>0</v>
      </c>
      <c r="F1825" s="77">
        <f ca="1">IFERROR(__xludf.DUMMYFUNCTION("""COMPUTED_VALUE"""),0)</f>
        <v>0</v>
      </c>
      <c r="G1825" s="77">
        <f ca="1">IFERROR(__xludf.DUMMYFUNCTION("""COMPUTED_VALUE"""),0)</f>
        <v>0</v>
      </c>
      <c r="H1825" s="77">
        <f ca="1">IFERROR(__xludf.DUMMYFUNCTION("""COMPUTED_VALUE"""),0)</f>
        <v>0</v>
      </c>
      <c r="I1825" s="77">
        <f ca="1">IFERROR(__xludf.DUMMYFUNCTION("""COMPUTED_VALUE"""),0)</f>
        <v>0</v>
      </c>
      <c r="J1825" s="77">
        <f ca="1">IFERROR(__xludf.DUMMYFUNCTION("""COMPUTED_VALUE"""),0)</f>
        <v>0</v>
      </c>
      <c r="K1825" s="77">
        <f ca="1">IFERROR(__xludf.DUMMYFUNCTION("""COMPUTED_VALUE"""),0)</f>
        <v>0</v>
      </c>
      <c r="L1825" s="77">
        <f ca="1">IFERROR(__xludf.DUMMYFUNCTION("""COMPUTED_VALUE"""),0)</f>
        <v>0</v>
      </c>
      <c r="M1825" s="77">
        <f ca="1">IFERROR(__xludf.DUMMYFUNCTION("""COMPUTED_VALUE"""),0)</f>
        <v>0</v>
      </c>
      <c r="N1825" s="77">
        <f ca="1">IFERROR(__xludf.DUMMYFUNCTION("""COMPUTED_VALUE"""),0)</f>
        <v>0</v>
      </c>
      <c r="O1825" s="77">
        <f ca="1">IFERROR(__xludf.DUMMYFUNCTION("""COMPUTED_VALUE"""),0)</f>
        <v>0</v>
      </c>
      <c r="P1825" s="77">
        <f ca="1">IFERROR(__xludf.DUMMYFUNCTION("""COMPUTED_VALUE"""),0)</f>
        <v>0</v>
      </c>
      <c r="Q1825" s="77">
        <f ca="1">IFERROR(__xludf.DUMMYFUNCTION("""COMPUTED_VALUE"""),0)</f>
        <v>0</v>
      </c>
    </row>
    <row r="1826" spans="1:18" ht="13.2" hidden="1" outlineLevel="2" x14ac:dyDescent="0.25">
      <c r="A1826" s="76"/>
      <c r="B1826" s="78" t="str">
        <f ca="1">IFERROR(__xludf.DUMMYFUNCTION("""COMPUTED_VALUE"""),"Gas licuado de petróleo")</f>
        <v>Gas licuado de petróleo</v>
      </c>
      <c r="C1826" s="77">
        <f ca="1">IFERROR(__xludf.DUMMYFUNCTION("""COMPUTED_VALUE"""),0)</f>
        <v>0</v>
      </c>
      <c r="D1826" s="77">
        <f ca="1">IFERROR(__xludf.DUMMYFUNCTION("""COMPUTED_VALUE"""),0)</f>
        <v>0</v>
      </c>
      <c r="E1826" s="77">
        <f ca="1">IFERROR(__xludf.DUMMYFUNCTION("""COMPUTED_VALUE"""),0)</f>
        <v>0</v>
      </c>
      <c r="F1826" s="77">
        <f ca="1">IFERROR(__xludf.DUMMYFUNCTION("""COMPUTED_VALUE"""),0)</f>
        <v>0</v>
      </c>
      <c r="G1826" s="77">
        <f ca="1">IFERROR(__xludf.DUMMYFUNCTION("""COMPUTED_VALUE"""),0)</f>
        <v>0</v>
      </c>
      <c r="H1826" s="77">
        <f ca="1">IFERROR(__xludf.DUMMYFUNCTION("""COMPUTED_VALUE"""),0)</f>
        <v>0</v>
      </c>
      <c r="I1826" s="77">
        <f ca="1">IFERROR(__xludf.DUMMYFUNCTION("""COMPUTED_VALUE"""),0)</f>
        <v>0</v>
      </c>
      <c r="J1826" s="77">
        <f ca="1">IFERROR(__xludf.DUMMYFUNCTION("""COMPUTED_VALUE"""),0)</f>
        <v>0</v>
      </c>
      <c r="K1826" s="77">
        <f ca="1">IFERROR(__xludf.DUMMYFUNCTION("""COMPUTED_VALUE"""),0)</f>
        <v>0</v>
      </c>
      <c r="L1826" s="77">
        <f ca="1">IFERROR(__xludf.DUMMYFUNCTION("""COMPUTED_VALUE"""),0)</f>
        <v>0</v>
      </c>
      <c r="M1826" s="77">
        <f ca="1">IFERROR(__xludf.DUMMYFUNCTION("""COMPUTED_VALUE"""),0)</f>
        <v>0</v>
      </c>
      <c r="N1826" s="77">
        <f ca="1">IFERROR(__xludf.DUMMYFUNCTION("""COMPUTED_VALUE"""),0)</f>
        <v>0</v>
      </c>
      <c r="O1826" s="77">
        <f ca="1">IFERROR(__xludf.DUMMYFUNCTION("""COMPUTED_VALUE"""),0)</f>
        <v>0</v>
      </c>
      <c r="P1826" s="77">
        <f ca="1">IFERROR(__xludf.DUMMYFUNCTION("""COMPUTED_VALUE"""),0)</f>
        <v>0</v>
      </c>
      <c r="Q1826" s="77">
        <f ca="1">IFERROR(__xludf.DUMMYFUNCTION("""COMPUTED_VALUE"""),0)</f>
        <v>0</v>
      </c>
    </row>
    <row r="1827" spans="1:18" ht="13.2" hidden="1" outlineLevel="2" x14ac:dyDescent="0.25">
      <c r="A1827" s="76"/>
      <c r="B1827" s="78" t="str">
        <f ca="1">IFERROR(__xludf.DUMMYFUNCTION("""COMPUTED_VALUE"""),"Diesel")</f>
        <v>Diesel</v>
      </c>
      <c r="C1827" s="77">
        <f ca="1">IFERROR(__xludf.DUMMYFUNCTION("""COMPUTED_VALUE"""),0)</f>
        <v>0</v>
      </c>
      <c r="D1827" s="77">
        <f ca="1">IFERROR(__xludf.DUMMYFUNCTION("""COMPUTED_VALUE"""),0)</f>
        <v>0</v>
      </c>
      <c r="E1827" s="77">
        <f ca="1">IFERROR(__xludf.DUMMYFUNCTION("""COMPUTED_VALUE"""),0)</f>
        <v>0</v>
      </c>
      <c r="F1827" s="77">
        <f ca="1">IFERROR(__xludf.DUMMYFUNCTION("""COMPUTED_VALUE"""),0)</f>
        <v>0</v>
      </c>
      <c r="G1827" s="77">
        <f ca="1">IFERROR(__xludf.DUMMYFUNCTION("""COMPUTED_VALUE"""),0)</f>
        <v>0</v>
      </c>
      <c r="H1827" s="77">
        <f ca="1">IFERROR(__xludf.DUMMYFUNCTION("""COMPUTED_VALUE"""),0)</f>
        <v>0</v>
      </c>
      <c r="I1827" s="77">
        <f ca="1">IFERROR(__xludf.DUMMYFUNCTION("""COMPUTED_VALUE"""),0)</f>
        <v>0</v>
      </c>
      <c r="J1827" s="77">
        <f ca="1">IFERROR(__xludf.DUMMYFUNCTION("""COMPUTED_VALUE"""),0)</f>
        <v>0</v>
      </c>
      <c r="K1827" s="77">
        <f ca="1">IFERROR(__xludf.DUMMYFUNCTION("""COMPUTED_VALUE"""),0)</f>
        <v>0</v>
      </c>
      <c r="L1827" s="77">
        <f ca="1">IFERROR(__xludf.DUMMYFUNCTION("""COMPUTED_VALUE"""),0)</f>
        <v>0</v>
      </c>
      <c r="M1827" s="77">
        <f ca="1">IFERROR(__xludf.DUMMYFUNCTION("""COMPUTED_VALUE"""),0)</f>
        <v>0</v>
      </c>
      <c r="N1827" s="77">
        <f ca="1">IFERROR(__xludf.DUMMYFUNCTION("""COMPUTED_VALUE"""),0)</f>
        <v>0</v>
      </c>
      <c r="O1827" s="77">
        <f ca="1">IFERROR(__xludf.DUMMYFUNCTION("""COMPUTED_VALUE"""),0)</f>
        <v>0</v>
      </c>
      <c r="P1827" s="77">
        <f ca="1">IFERROR(__xludf.DUMMYFUNCTION("""COMPUTED_VALUE"""),0)</f>
        <v>0</v>
      </c>
      <c r="Q1827" s="77">
        <f ca="1">IFERROR(__xludf.DUMMYFUNCTION("""COMPUTED_VALUE"""),0)</f>
        <v>0</v>
      </c>
    </row>
    <row r="1828" spans="1:18" ht="13.2" hidden="1" outlineLevel="2" x14ac:dyDescent="0.25">
      <c r="A1828" s="76"/>
      <c r="B1828" s="77" t="str">
        <f ca="1">IFERROR(__xludf.DUMMYFUNCTION("""COMPUTED_VALUE"""),"Gas natural seco")</f>
        <v>Gas natural seco</v>
      </c>
      <c r="C1828" s="77">
        <f ca="1">IFERROR(__xludf.DUMMYFUNCTION("""COMPUTED_VALUE"""),0)</f>
        <v>0</v>
      </c>
      <c r="D1828" s="77">
        <f ca="1">IFERROR(__xludf.DUMMYFUNCTION("""COMPUTED_VALUE"""),0)</f>
        <v>0</v>
      </c>
      <c r="E1828" s="77">
        <f ca="1">IFERROR(__xludf.DUMMYFUNCTION("""COMPUTED_VALUE"""),0)</f>
        <v>0</v>
      </c>
      <c r="F1828" s="77">
        <f ca="1">IFERROR(__xludf.DUMMYFUNCTION("""COMPUTED_VALUE"""),0)</f>
        <v>0</v>
      </c>
      <c r="G1828" s="77">
        <f ca="1">IFERROR(__xludf.DUMMYFUNCTION("""COMPUTED_VALUE"""),0)</f>
        <v>0</v>
      </c>
      <c r="H1828" s="77">
        <f ca="1">IFERROR(__xludf.DUMMYFUNCTION("""COMPUTED_VALUE"""),0)</f>
        <v>0</v>
      </c>
      <c r="I1828" s="77">
        <f ca="1">IFERROR(__xludf.DUMMYFUNCTION("""COMPUTED_VALUE"""),0)</f>
        <v>0</v>
      </c>
      <c r="J1828" s="77">
        <f ca="1">IFERROR(__xludf.DUMMYFUNCTION("""COMPUTED_VALUE"""),0)</f>
        <v>0</v>
      </c>
      <c r="K1828" s="77">
        <f ca="1">IFERROR(__xludf.DUMMYFUNCTION("""COMPUTED_VALUE"""),0)</f>
        <v>0</v>
      </c>
      <c r="L1828" s="77">
        <f ca="1">IFERROR(__xludf.DUMMYFUNCTION("""COMPUTED_VALUE"""),0)</f>
        <v>0</v>
      </c>
      <c r="M1828" s="77">
        <f ca="1">IFERROR(__xludf.DUMMYFUNCTION("""COMPUTED_VALUE"""),0)</f>
        <v>0</v>
      </c>
      <c r="N1828" s="77">
        <f ca="1">IFERROR(__xludf.DUMMYFUNCTION("""COMPUTED_VALUE"""),0)</f>
        <v>0</v>
      </c>
      <c r="O1828" s="77">
        <f ca="1">IFERROR(__xludf.DUMMYFUNCTION("""COMPUTED_VALUE"""),0)</f>
        <v>0</v>
      </c>
      <c r="P1828" s="77">
        <f ca="1">IFERROR(__xludf.DUMMYFUNCTION("""COMPUTED_VALUE"""),0)</f>
        <v>0</v>
      </c>
      <c r="Q1828" s="77">
        <f ca="1">IFERROR(__xludf.DUMMYFUNCTION("""COMPUTED_VALUE"""),0)</f>
        <v>0</v>
      </c>
    </row>
    <row r="1829" spans="1:18" ht="13.2" hidden="1" outlineLevel="2" x14ac:dyDescent="0.25">
      <c r="A1829" s="76"/>
      <c r="B1829" s="78" t="str">
        <f ca="1">IFERROR(__xludf.DUMMYFUNCTION("""COMPUTED_VALUE"""),"Energía eléctrica")</f>
        <v>Energía eléctrica</v>
      </c>
      <c r="C1829" s="77">
        <f ca="1">IFERROR(__xludf.DUMMYFUNCTION("""COMPUTED_VALUE"""),5.14981448259904)</f>
        <v>5.14981448259904</v>
      </c>
      <c r="D1829" s="77">
        <f ca="1">IFERROR(__xludf.DUMMYFUNCTION("""COMPUTED_VALUE"""),5.24291070760413)</f>
        <v>5.2429107076041301</v>
      </c>
      <c r="E1829" s="77">
        <f ca="1">IFERROR(__xludf.DUMMYFUNCTION("""COMPUTED_VALUE"""),5.54746766157877)</f>
        <v>5.5474676615787697</v>
      </c>
      <c r="F1829" s="77">
        <f ca="1">IFERROR(__xludf.DUMMYFUNCTION("""COMPUTED_VALUE"""),5.62761369650132)</f>
        <v>5.6276136965013199</v>
      </c>
      <c r="G1829" s="77">
        <f ca="1">IFERROR(__xludf.DUMMYFUNCTION("""COMPUTED_VALUE"""),5.8657382226077)</f>
        <v>5.8657382226076997</v>
      </c>
      <c r="H1829" s="77">
        <f ca="1">IFERROR(__xludf.DUMMYFUNCTION("""COMPUTED_VALUE"""),6.01230241828234)</f>
        <v>6.0123024182823404</v>
      </c>
      <c r="I1829" s="77">
        <f ca="1">IFERROR(__xludf.DUMMYFUNCTION("""COMPUTED_VALUE"""),6.19359136268779)</f>
        <v>6.1935913626877896</v>
      </c>
      <c r="J1829" s="77">
        <f ca="1">IFERROR(__xludf.DUMMYFUNCTION("""COMPUTED_VALUE"""),6.41469647693176)</f>
        <v>6.41469647693176</v>
      </c>
      <c r="K1829" s="77">
        <f ca="1">IFERROR(__xludf.DUMMYFUNCTION("""COMPUTED_VALUE"""),6.19689113350635)</f>
        <v>6.1968911335063499</v>
      </c>
      <c r="L1829" s="77">
        <f ca="1">IFERROR(__xludf.DUMMYFUNCTION("""COMPUTED_VALUE"""),6.41832305146055)</f>
        <v>6.4183230514605496</v>
      </c>
      <c r="M1829" s="77">
        <f ca="1">IFERROR(__xludf.DUMMYFUNCTION("""COMPUTED_VALUE"""),6.1868949403605)</f>
        <v>6.1868949403605003</v>
      </c>
      <c r="N1829" s="77">
        <f ca="1">IFERROR(__xludf.DUMMYFUNCTION("""COMPUTED_VALUE"""),6.70659114302818)</f>
        <v>6.7065911430281799</v>
      </c>
      <c r="O1829" s="77">
        <f ca="1">IFERROR(__xludf.DUMMYFUNCTION("""COMPUTED_VALUE"""),6.75367081695094)</f>
        <v>6.7536708169509403</v>
      </c>
      <c r="P1829" s="77">
        <f ca="1">IFERROR(__xludf.DUMMYFUNCTION("""COMPUTED_VALUE"""),6.98512336935376)</f>
        <v>6.9851233693537598</v>
      </c>
      <c r="Q1829" s="77">
        <f ca="1">IFERROR(__xludf.DUMMYFUNCTION("""COMPUTED_VALUE"""),7.28451261462192)</f>
        <v>7.2845126146219199</v>
      </c>
    </row>
    <row r="1830" spans="1:18" ht="13.2" outlineLevel="1" collapsed="1" x14ac:dyDescent="0.25">
      <c r="A1830" s="71"/>
      <c r="B1830" s="72" t="str">
        <f ca="1">IFERROR(__xludf.DUMMYFUNCTION("""COMPUTED_VALUE"""),"Otros")</f>
        <v>Otros</v>
      </c>
      <c r="C1830" s="73"/>
      <c r="D1830" s="73"/>
      <c r="E1830" s="73"/>
      <c r="F1830" s="73"/>
      <c r="G1830" s="73"/>
      <c r="H1830" s="73"/>
      <c r="I1830" s="73"/>
      <c r="J1830" s="73"/>
      <c r="K1830" s="73"/>
      <c r="L1830" s="73"/>
      <c r="M1830" s="73"/>
      <c r="N1830" s="73"/>
      <c r="O1830" s="73"/>
      <c r="P1830" s="73"/>
      <c r="Q1830" s="74"/>
      <c r="R1830" s="75"/>
    </row>
    <row r="1831" spans="1:18" ht="13.2" hidden="1" outlineLevel="2" x14ac:dyDescent="0.25">
      <c r="A1831" s="76"/>
      <c r="B1831" s="78"/>
      <c r="C1831" s="77">
        <f ca="1">IFERROR(__xludf.DUMMYFUNCTION("""COMPUTED_VALUE"""),2010)</f>
        <v>2010</v>
      </c>
      <c r="D1831" s="77">
        <f ca="1">IFERROR(__xludf.DUMMYFUNCTION("""COMPUTED_VALUE"""),2011)</f>
        <v>2011</v>
      </c>
      <c r="E1831" s="77">
        <f ca="1">IFERROR(__xludf.DUMMYFUNCTION("""COMPUTED_VALUE"""),2012)</f>
        <v>2012</v>
      </c>
      <c r="F1831" s="77">
        <f ca="1">IFERROR(__xludf.DUMMYFUNCTION("""COMPUTED_VALUE"""),2013)</f>
        <v>2013</v>
      </c>
      <c r="G1831" s="77">
        <f ca="1">IFERROR(__xludf.DUMMYFUNCTION("""COMPUTED_VALUE"""),2014)</f>
        <v>2014</v>
      </c>
      <c r="H1831" s="77">
        <f ca="1">IFERROR(__xludf.DUMMYFUNCTION("""COMPUTED_VALUE"""),2015)</f>
        <v>2015</v>
      </c>
      <c r="I1831" s="77">
        <f ca="1">IFERROR(__xludf.DUMMYFUNCTION("""COMPUTED_VALUE"""),2016)</f>
        <v>2016</v>
      </c>
      <c r="J1831" s="77">
        <f ca="1">IFERROR(__xludf.DUMMYFUNCTION("""COMPUTED_VALUE"""),2017)</f>
        <v>2017</v>
      </c>
      <c r="K1831" s="77">
        <f ca="1">IFERROR(__xludf.DUMMYFUNCTION("""COMPUTED_VALUE"""),2018)</f>
        <v>2018</v>
      </c>
      <c r="L1831" s="77">
        <f ca="1">IFERROR(__xludf.DUMMYFUNCTION("""COMPUTED_VALUE"""),2019)</f>
        <v>2019</v>
      </c>
      <c r="M1831" s="77">
        <f ca="1">IFERROR(__xludf.DUMMYFUNCTION("""COMPUTED_VALUE"""),2020)</f>
        <v>2020</v>
      </c>
      <c r="N1831" s="77">
        <f ca="1">IFERROR(__xludf.DUMMYFUNCTION("""COMPUTED_VALUE"""),2021)</f>
        <v>2021</v>
      </c>
      <c r="O1831" s="77">
        <f ca="1">IFERROR(__xludf.DUMMYFUNCTION("""COMPUTED_VALUE"""),2022)</f>
        <v>2022</v>
      </c>
      <c r="P1831" s="77">
        <f ca="1">IFERROR(__xludf.DUMMYFUNCTION("""COMPUTED_VALUE"""),2023)</f>
        <v>2023</v>
      </c>
      <c r="Q1831" s="77">
        <f ca="1">IFERROR(__xludf.DUMMYFUNCTION("""COMPUTED_VALUE"""),2024)</f>
        <v>2024</v>
      </c>
    </row>
    <row r="1832" spans="1:18" ht="13.2" hidden="1" outlineLevel="2" x14ac:dyDescent="0.25">
      <c r="A1832" s="76"/>
      <c r="B1832" s="78" t="str">
        <f ca="1">IFERROR(__xludf.DUMMYFUNCTION("""COMPUTED_VALUE"""),"Energía solar")</f>
        <v>Energía solar</v>
      </c>
      <c r="C1832" s="77">
        <f ca="1">IFERROR(__xludf.DUMMYFUNCTION("""COMPUTED_VALUE"""),0)</f>
        <v>0</v>
      </c>
      <c r="D1832" s="77">
        <f ca="1">IFERROR(__xludf.DUMMYFUNCTION("""COMPUTED_VALUE"""),0)</f>
        <v>0</v>
      </c>
      <c r="E1832" s="77">
        <f ca="1">IFERROR(__xludf.DUMMYFUNCTION("""COMPUTED_VALUE"""),0)</f>
        <v>0</v>
      </c>
      <c r="F1832" s="77">
        <f ca="1">IFERROR(__xludf.DUMMYFUNCTION("""COMPUTED_VALUE"""),0)</f>
        <v>0</v>
      </c>
      <c r="G1832" s="77">
        <f ca="1">IFERROR(__xludf.DUMMYFUNCTION("""COMPUTED_VALUE"""),0)</f>
        <v>0</v>
      </c>
      <c r="H1832" s="77">
        <f ca="1">IFERROR(__xludf.DUMMYFUNCTION("""COMPUTED_VALUE"""),0)</f>
        <v>0</v>
      </c>
      <c r="I1832" s="77">
        <f ca="1">IFERROR(__xludf.DUMMYFUNCTION("""COMPUTED_VALUE"""),0)</f>
        <v>0</v>
      </c>
      <c r="J1832" s="77">
        <f ca="1">IFERROR(__xludf.DUMMYFUNCTION("""COMPUTED_VALUE"""),0)</f>
        <v>0</v>
      </c>
      <c r="K1832" s="77">
        <f ca="1">IFERROR(__xludf.DUMMYFUNCTION("""COMPUTED_VALUE"""),0)</f>
        <v>0</v>
      </c>
      <c r="L1832" s="77">
        <f ca="1">IFERROR(__xludf.DUMMYFUNCTION("""COMPUTED_VALUE"""),0)</f>
        <v>0</v>
      </c>
      <c r="M1832" s="77">
        <f ca="1">IFERROR(__xludf.DUMMYFUNCTION("""COMPUTED_VALUE"""),0)</f>
        <v>0</v>
      </c>
      <c r="N1832" s="77">
        <f ca="1">IFERROR(__xludf.DUMMYFUNCTION("""COMPUTED_VALUE"""),0)</f>
        <v>0</v>
      </c>
      <c r="O1832" s="77">
        <f ca="1">IFERROR(__xludf.DUMMYFUNCTION("""COMPUTED_VALUE"""),0)</f>
        <v>0</v>
      </c>
      <c r="P1832" s="77">
        <f ca="1">IFERROR(__xludf.DUMMYFUNCTION("""COMPUTED_VALUE"""),0)</f>
        <v>0</v>
      </c>
      <c r="Q1832" s="77">
        <f ca="1">IFERROR(__xludf.DUMMYFUNCTION("""COMPUTED_VALUE"""),0)</f>
        <v>0</v>
      </c>
    </row>
    <row r="1833" spans="1:18" ht="13.2" hidden="1" outlineLevel="2" x14ac:dyDescent="0.25">
      <c r="A1833" s="76"/>
      <c r="B1833" s="78" t="str">
        <f ca="1">IFERROR(__xludf.DUMMYFUNCTION("""COMPUTED_VALUE"""),"Leña")</f>
        <v>Leña</v>
      </c>
      <c r="C1833" s="77">
        <f ca="1">IFERROR(__xludf.DUMMYFUNCTION("""COMPUTED_VALUE"""),0.646614634371289)</f>
        <v>0.64661463437128897</v>
      </c>
      <c r="D1833" s="77">
        <f ca="1">IFERROR(__xludf.DUMMYFUNCTION("""COMPUTED_VALUE"""),0.642498662349142)</f>
        <v>0.64249866234914199</v>
      </c>
      <c r="E1833" s="77">
        <f ca="1">IFERROR(__xludf.DUMMYFUNCTION("""COMPUTED_VALUE"""),0.639626059127012)</f>
        <v>0.63962605912701198</v>
      </c>
      <c r="F1833" s="77">
        <f ca="1">IFERROR(__xludf.DUMMYFUNCTION("""COMPUTED_VALUE"""),0.636735947327732)</f>
        <v>0.63673594732773198</v>
      </c>
      <c r="G1833" s="77">
        <f ca="1">IFERROR(__xludf.DUMMYFUNCTION("""COMPUTED_VALUE"""),0.633583332832203)</f>
        <v>0.63358333283220303</v>
      </c>
      <c r="H1833" s="77">
        <f ca="1">IFERROR(__xludf.DUMMYFUNCTION("""COMPUTED_VALUE"""),0.63069349054183)</f>
        <v>0.63069349054182999</v>
      </c>
      <c r="I1833" s="77">
        <f ca="1">IFERROR(__xludf.DUMMYFUNCTION("""COMPUTED_VALUE"""),0.62827661273901)</f>
        <v>0.62827661273901003</v>
      </c>
      <c r="J1833" s="77">
        <f ca="1">IFERROR(__xludf.DUMMYFUNCTION("""COMPUTED_VALUE"""),0.623705123056957)</f>
        <v>0.62370512305695702</v>
      </c>
      <c r="K1833" s="77">
        <f ca="1">IFERROR(__xludf.DUMMYFUNCTION("""COMPUTED_VALUE"""),0.620832173970958)</f>
        <v>0.62083217397095802</v>
      </c>
      <c r="L1833" s="77">
        <f ca="1">IFERROR(__xludf.DUMMYFUNCTION("""COMPUTED_VALUE"""),0.617645095375524)</f>
        <v>0.61764509537552403</v>
      </c>
      <c r="M1833" s="77">
        <f ca="1">IFERROR(__xludf.DUMMYFUNCTION("""COMPUTED_VALUE"""),0.614772421739965)</f>
        <v>0.61477242173996505</v>
      </c>
      <c r="N1833" s="77">
        <f ca="1">IFERROR(__xludf.DUMMYFUNCTION("""COMPUTED_VALUE"""),0.611865547819768)</f>
        <v>0.61186554781976799</v>
      </c>
      <c r="O1833" s="77">
        <f ca="1">IFERROR(__xludf.DUMMYFUNCTION("""COMPUTED_VALUE"""),0.60967779608468)</f>
        <v>0.60967779608467998</v>
      </c>
      <c r="P1833" s="77">
        <f ca="1">IFERROR(__xludf.DUMMYFUNCTION("""COMPUTED_VALUE"""),0.607490506449633)</f>
        <v>0.60749050644963298</v>
      </c>
      <c r="Q1833" s="77">
        <f ca="1">IFERROR(__xludf.DUMMYFUNCTION("""COMPUTED_VALUE"""),0.603619792531209)</f>
        <v>0.60361979253120901</v>
      </c>
    </row>
    <row r="1834" spans="1:18" ht="13.2" hidden="1" outlineLevel="2" x14ac:dyDescent="0.25">
      <c r="A1834" s="76"/>
      <c r="B1834" s="78" t="str">
        <f ca="1">IFERROR(__xludf.DUMMYFUNCTION("""COMPUTED_VALUE"""),"Gas licuado de petróleo")</f>
        <v>Gas licuado de petróleo</v>
      </c>
      <c r="C1834" s="77">
        <f ca="1">IFERROR(__xludf.DUMMYFUNCTION("""COMPUTED_VALUE"""),1.80613994922579)</f>
        <v>1.8061399492257899</v>
      </c>
      <c r="D1834" s="77">
        <f ca="1">IFERROR(__xludf.DUMMYFUNCTION("""COMPUTED_VALUE"""),1.85717338591563)</f>
        <v>1.8571733859156301</v>
      </c>
      <c r="E1834" s="77">
        <f ca="1">IFERROR(__xludf.DUMMYFUNCTION("""COMPUTED_VALUE"""),1.87176520763514)</f>
        <v>1.8717652076351401</v>
      </c>
      <c r="F1834" s="77">
        <f ca="1">IFERROR(__xludf.DUMMYFUNCTION("""COMPUTED_VALUE"""),1.90053646882337)</f>
        <v>1.9005364688233699</v>
      </c>
      <c r="G1834" s="77">
        <f ca="1">IFERROR(__xludf.DUMMYFUNCTION("""COMPUTED_VALUE"""),1.99941770799748)</f>
        <v>1.99941770799748</v>
      </c>
      <c r="H1834" s="77">
        <f ca="1">IFERROR(__xludf.DUMMYFUNCTION("""COMPUTED_VALUE"""),1.90589025742005)</f>
        <v>1.90589025742005</v>
      </c>
      <c r="I1834" s="77">
        <f ca="1">IFERROR(__xludf.DUMMYFUNCTION("""COMPUTED_VALUE"""),1.98448677548576)</f>
        <v>1.98448677548576</v>
      </c>
      <c r="J1834" s="77">
        <f ca="1">IFERROR(__xludf.DUMMYFUNCTION("""COMPUTED_VALUE"""),1.84352657895408)</f>
        <v>1.84352657895408</v>
      </c>
      <c r="K1834" s="77">
        <f ca="1">IFERROR(__xludf.DUMMYFUNCTION("""COMPUTED_VALUE"""),1.93188516045759)</f>
        <v>1.93188516045759</v>
      </c>
      <c r="L1834" s="77">
        <f ca="1">IFERROR(__xludf.DUMMYFUNCTION("""COMPUTED_VALUE"""),1.51115570377757)</f>
        <v>1.51115570377757</v>
      </c>
      <c r="M1834" s="77">
        <f ca="1">IFERROR(__xludf.DUMMYFUNCTION("""COMPUTED_VALUE"""),1.55738878570506)</f>
        <v>1.5573887857050599</v>
      </c>
      <c r="N1834" s="77">
        <f ca="1">IFERROR(__xludf.DUMMYFUNCTION("""COMPUTED_VALUE"""),2.20065524461225)</f>
        <v>2.2006552446122498</v>
      </c>
      <c r="O1834" s="77">
        <f ca="1">IFERROR(__xludf.DUMMYFUNCTION("""COMPUTED_VALUE"""),2.0770675762884)</f>
        <v>2.0770675762884001</v>
      </c>
      <c r="P1834" s="77">
        <f ca="1">IFERROR(__xludf.DUMMYFUNCTION("""COMPUTED_VALUE"""),2.14522489113042)</f>
        <v>2.1452248911304199</v>
      </c>
      <c r="Q1834" s="77">
        <f ca="1">IFERROR(__xludf.DUMMYFUNCTION("""COMPUTED_VALUE"""),1.94925138809058)</f>
        <v>1.94925138809058</v>
      </c>
    </row>
    <row r="1835" spans="1:18" ht="13.2" hidden="1" outlineLevel="2" x14ac:dyDescent="0.25">
      <c r="A1835" s="76"/>
      <c r="B1835" s="78" t="str">
        <f ca="1">IFERROR(__xludf.DUMMYFUNCTION("""COMPUTED_VALUE"""),"Diesel")</f>
        <v>Diesel</v>
      </c>
      <c r="C1835" s="77">
        <f ca="1">IFERROR(__xludf.DUMMYFUNCTION("""COMPUTED_VALUE"""),3.78471913608255)</f>
        <v>3.7847191360825501</v>
      </c>
      <c r="D1835" s="77">
        <f ca="1">IFERROR(__xludf.DUMMYFUNCTION("""COMPUTED_VALUE"""),4.07630817124437)</f>
        <v>4.0763081712443698</v>
      </c>
      <c r="E1835" s="77">
        <f ca="1">IFERROR(__xludf.DUMMYFUNCTION("""COMPUTED_VALUE"""),4.35059938426015)</f>
        <v>4.3505993842601498</v>
      </c>
      <c r="F1835" s="77">
        <f ca="1">IFERROR(__xludf.DUMMYFUNCTION("""COMPUTED_VALUE"""),4.46006200296535)</f>
        <v>4.4600620029653504</v>
      </c>
      <c r="G1835" s="77">
        <f ca="1">IFERROR(__xludf.DUMMYFUNCTION("""COMPUTED_VALUE"""),4.51584792973651)</f>
        <v>4.5158479297365099</v>
      </c>
      <c r="H1835" s="77">
        <f ca="1">IFERROR(__xludf.DUMMYFUNCTION("""COMPUTED_VALUE"""),5.22856709270562)</f>
        <v>5.22856709270562</v>
      </c>
      <c r="I1835" s="77">
        <f ca="1">IFERROR(__xludf.DUMMYFUNCTION("""COMPUTED_VALUE"""),1.88185483142004)</f>
        <v>1.8818548314200401</v>
      </c>
      <c r="J1835" s="77">
        <f ca="1">IFERROR(__xludf.DUMMYFUNCTION("""COMPUTED_VALUE"""),2.14535902970745)</f>
        <v>2.1453590297074498</v>
      </c>
      <c r="K1835" s="77">
        <f ca="1">IFERROR(__xludf.DUMMYFUNCTION("""COMPUTED_VALUE"""),1.25171675314273)</f>
        <v>1.25171675314273</v>
      </c>
      <c r="L1835" s="77">
        <f ca="1">IFERROR(__xludf.DUMMYFUNCTION("""COMPUTED_VALUE"""),0.682570896748056)</f>
        <v>0.68257089674805604</v>
      </c>
      <c r="M1835" s="77">
        <f ca="1">IFERROR(__xludf.DUMMYFUNCTION("""COMPUTED_VALUE"""),0)</f>
        <v>0</v>
      </c>
      <c r="N1835" s="77">
        <f ca="1">IFERROR(__xludf.DUMMYFUNCTION("""COMPUTED_VALUE"""),0)</f>
        <v>0</v>
      </c>
      <c r="O1835" s="77">
        <f ca="1">IFERROR(__xludf.DUMMYFUNCTION("""COMPUTED_VALUE"""),0)</f>
        <v>0</v>
      </c>
      <c r="P1835" s="77">
        <f ca="1">IFERROR(__xludf.DUMMYFUNCTION("""COMPUTED_VALUE"""),0)</f>
        <v>0</v>
      </c>
      <c r="Q1835" s="77">
        <f ca="1">IFERROR(__xludf.DUMMYFUNCTION("""COMPUTED_VALUE"""),0)</f>
        <v>0</v>
      </c>
    </row>
    <row r="1836" spans="1:18" ht="13.2" hidden="1" outlineLevel="2" x14ac:dyDescent="0.25">
      <c r="A1836" s="76"/>
      <c r="B1836" s="77" t="str">
        <f ca="1">IFERROR(__xludf.DUMMYFUNCTION("""COMPUTED_VALUE"""),"Gas natural seco")</f>
        <v>Gas natural seco</v>
      </c>
      <c r="C1836" s="77">
        <f ca="1">IFERROR(__xludf.DUMMYFUNCTION("""COMPUTED_VALUE"""),0.36808166545965)</f>
        <v>0.36808166545964999</v>
      </c>
      <c r="D1836" s="77">
        <f ca="1">IFERROR(__xludf.DUMMYFUNCTION("""COMPUTED_VALUE"""),0.362858181437091)</f>
        <v>0.36285818143709098</v>
      </c>
      <c r="E1836" s="77">
        <f ca="1">IFERROR(__xludf.DUMMYFUNCTION("""COMPUTED_VALUE"""),0.39888374235735)</f>
        <v>0.39888374235735002</v>
      </c>
      <c r="F1836" s="77">
        <f ca="1">IFERROR(__xludf.DUMMYFUNCTION("""COMPUTED_VALUE"""),0.468430446516641)</f>
        <v>0.46843044651664101</v>
      </c>
      <c r="G1836" s="77">
        <f ca="1">IFERROR(__xludf.DUMMYFUNCTION("""COMPUTED_VALUE"""),0.640018742351989)</f>
        <v>0.64001874235198897</v>
      </c>
      <c r="H1836" s="77">
        <f ca="1">IFERROR(__xludf.DUMMYFUNCTION("""COMPUTED_VALUE"""),0.627980438278755)</f>
        <v>0.62798043827875505</v>
      </c>
      <c r="I1836" s="77">
        <f ca="1">IFERROR(__xludf.DUMMYFUNCTION("""COMPUTED_VALUE"""),0.684778704114736)</f>
        <v>0.68477870411473596</v>
      </c>
      <c r="J1836" s="77">
        <f ca="1">IFERROR(__xludf.DUMMYFUNCTION("""COMPUTED_VALUE"""),0.648683236401317)</f>
        <v>0.64868323640131698</v>
      </c>
      <c r="K1836" s="77">
        <f ca="1">IFERROR(__xludf.DUMMYFUNCTION("""COMPUTED_VALUE"""),0.641403232702364)</f>
        <v>0.64140323270236399</v>
      </c>
      <c r="L1836" s="77">
        <f ca="1">IFERROR(__xludf.DUMMYFUNCTION("""COMPUTED_VALUE"""),0.631965533214055)</f>
        <v>0.63196553321405502</v>
      </c>
      <c r="M1836" s="77">
        <f ca="1">IFERROR(__xludf.DUMMYFUNCTION("""COMPUTED_VALUE"""),0.46236096)</f>
        <v>0.46236095999999999</v>
      </c>
      <c r="N1836" s="77">
        <f ca="1">IFERROR(__xludf.DUMMYFUNCTION("""COMPUTED_VALUE"""),0.731250744319043)</f>
        <v>0.73125074431904302</v>
      </c>
      <c r="O1836" s="77">
        <f ca="1">IFERROR(__xludf.DUMMYFUNCTION("""COMPUTED_VALUE"""),0.85263752469427)</f>
        <v>0.85263752469427001</v>
      </c>
      <c r="P1836" s="77">
        <f ca="1">IFERROR(__xludf.DUMMYFUNCTION("""COMPUTED_VALUE"""),0.91641053674154)</f>
        <v>0.91641053674154005</v>
      </c>
      <c r="Q1836" s="77">
        <f ca="1">IFERROR(__xludf.DUMMYFUNCTION("""COMPUTED_VALUE"""),0.842085821227459)</f>
        <v>0.84208582122745901</v>
      </c>
    </row>
    <row r="1837" spans="1:18" ht="13.2" hidden="1" outlineLevel="2" x14ac:dyDescent="0.25">
      <c r="A1837" s="76"/>
      <c r="B1837" s="78" t="str">
        <f ca="1">IFERROR(__xludf.DUMMYFUNCTION("""COMPUTED_VALUE"""),"Energía eléctrica")</f>
        <v>Energía eléctrica</v>
      </c>
      <c r="C1837" s="77">
        <f ca="1">IFERROR(__xludf.DUMMYFUNCTION("""COMPUTED_VALUE"""),6.67643932921932)</f>
        <v>6.6764393292193196</v>
      </c>
      <c r="D1837" s="77">
        <f ca="1">IFERROR(__xludf.DUMMYFUNCTION("""COMPUTED_VALUE"""),6.79033289703292)</f>
        <v>6.7903328970329202</v>
      </c>
      <c r="E1837" s="77">
        <f ca="1">IFERROR(__xludf.DUMMYFUNCTION("""COMPUTED_VALUE"""),7.17608202094135)</f>
        <v>7.1760820209413501</v>
      </c>
      <c r="F1837" s="77">
        <f ca="1">IFERROR(__xludf.DUMMYFUNCTION("""COMPUTED_VALUE"""),7.29958588169374)</f>
        <v>7.2995858816937398</v>
      </c>
      <c r="G1837" s="77">
        <f ca="1">IFERROR(__xludf.DUMMYFUNCTION("""COMPUTED_VALUE"""),7.60600959755239)</f>
        <v>7.60600959755239</v>
      </c>
      <c r="H1837" s="77">
        <f ca="1">IFERROR(__xludf.DUMMYFUNCTION("""COMPUTED_VALUE"""),7.80167813800923)</f>
        <v>7.8016781380092297</v>
      </c>
      <c r="I1837" s="77">
        <f ca="1">IFERROR(__xludf.DUMMYFUNCTION("""COMPUTED_VALUE"""),8.02491904135628)</f>
        <v>8.0249190413562808</v>
      </c>
      <c r="J1837" s="77">
        <f ca="1">IFERROR(__xludf.DUMMYFUNCTION("""COMPUTED_VALUE"""),8.30259901729704)</f>
        <v>8.3025990172970392</v>
      </c>
      <c r="K1837" s="77">
        <f ca="1">IFERROR(__xludf.DUMMYFUNCTION("""COMPUTED_VALUE"""),8.03416036404341)</f>
        <v>8.0341603640434105</v>
      </c>
      <c r="L1837" s="77">
        <f ca="1">IFERROR(__xludf.DUMMYFUNCTION("""COMPUTED_VALUE"""),8.32082271818013)</f>
        <v>8.3208227181801302</v>
      </c>
      <c r="M1837" s="77">
        <f ca="1">IFERROR(__xludf.DUMMYFUNCTION("""COMPUTED_VALUE"""),8.00963334871587)</f>
        <v>8.0096333487158695</v>
      </c>
      <c r="N1837" s="77">
        <f ca="1">IFERROR(__xludf.DUMMYFUNCTION("""COMPUTED_VALUE"""),8.70100114395951)</f>
        <v>8.7010011439595107</v>
      </c>
      <c r="O1837" s="77">
        <f ca="1">IFERROR(__xludf.DUMMYFUNCTION("""COMPUTED_VALUE"""),7.71265126527932)</f>
        <v>7.7126512652793204</v>
      </c>
      <c r="P1837" s="77">
        <f ca="1">IFERROR(__xludf.DUMMYFUNCTION("""COMPUTED_VALUE"""),7.57673114357837)</f>
        <v>7.5767311435783702</v>
      </c>
      <c r="Q1837" s="77">
        <f ca="1">IFERROR(__xludf.DUMMYFUNCTION("""COMPUTED_VALUE"""),7.47621031500671)</f>
        <v>7.4762103150067096</v>
      </c>
    </row>
    <row r="1838" spans="1:18" ht="13.2" outlineLevel="1" collapsed="1" x14ac:dyDescent="0.25">
      <c r="A1838" s="71"/>
      <c r="B1838" s="72" t="str">
        <f ca="1">IFERROR(__xludf.DUMMYFUNCTION("""COMPUTED_VALUE"""),"Calentamiento de agua")</f>
        <v>Calentamiento de agua</v>
      </c>
      <c r="C1838" s="73"/>
      <c r="D1838" s="73"/>
      <c r="E1838" s="73"/>
      <c r="F1838" s="73"/>
      <c r="G1838" s="73"/>
      <c r="H1838" s="73"/>
      <c r="I1838" s="73"/>
      <c r="J1838" s="73"/>
      <c r="K1838" s="73"/>
      <c r="L1838" s="73"/>
      <c r="M1838" s="73"/>
      <c r="N1838" s="73"/>
      <c r="O1838" s="73"/>
      <c r="P1838" s="73"/>
      <c r="Q1838" s="74"/>
      <c r="R1838" s="75"/>
    </row>
    <row r="1839" spans="1:18" ht="13.2" hidden="1" outlineLevel="2" x14ac:dyDescent="0.25">
      <c r="A1839" s="76"/>
      <c r="B1839" s="78"/>
      <c r="C1839" s="77">
        <f ca="1">IFERROR(__xludf.DUMMYFUNCTION("""COMPUTED_VALUE"""),2010)</f>
        <v>2010</v>
      </c>
      <c r="D1839" s="77">
        <f ca="1">IFERROR(__xludf.DUMMYFUNCTION("""COMPUTED_VALUE"""),2011)</f>
        <v>2011</v>
      </c>
      <c r="E1839" s="77">
        <f ca="1">IFERROR(__xludf.DUMMYFUNCTION("""COMPUTED_VALUE"""),2012)</f>
        <v>2012</v>
      </c>
      <c r="F1839" s="77">
        <f ca="1">IFERROR(__xludf.DUMMYFUNCTION("""COMPUTED_VALUE"""),2013)</f>
        <v>2013</v>
      </c>
      <c r="G1839" s="77">
        <f ca="1">IFERROR(__xludf.DUMMYFUNCTION("""COMPUTED_VALUE"""),2014)</f>
        <v>2014</v>
      </c>
      <c r="H1839" s="77">
        <f ca="1">IFERROR(__xludf.DUMMYFUNCTION("""COMPUTED_VALUE"""),2015)</f>
        <v>2015</v>
      </c>
      <c r="I1839" s="77">
        <f ca="1">IFERROR(__xludf.DUMMYFUNCTION("""COMPUTED_VALUE"""),2016)</f>
        <v>2016</v>
      </c>
      <c r="J1839" s="77">
        <f ca="1">IFERROR(__xludf.DUMMYFUNCTION("""COMPUTED_VALUE"""),2017)</f>
        <v>2017</v>
      </c>
      <c r="K1839" s="77">
        <f ca="1">IFERROR(__xludf.DUMMYFUNCTION("""COMPUTED_VALUE"""),2018)</f>
        <v>2018</v>
      </c>
      <c r="L1839" s="77">
        <f ca="1">IFERROR(__xludf.DUMMYFUNCTION("""COMPUTED_VALUE"""),2019)</f>
        <v>2019</v>
      </c>
      <c r="M1839" s="77">
        <f ca="1">IFERROR(__xludf.DUMMYFUNCTION("""COMPUTED_VALUE"""),2020)</f>
        <v>2020</v>
      </c>
      <c r="N1839" s="77">
        <f ca="1">IFERROR(__xludf.DUMMYFUNCTION("""COMPUTED_VALUE"""),2021)</f>
        <v>2021</v>
      </c>
      <c r="O1839" s="77">
        <f ca="1">IFERROR(__xludf.DUMMYFUNCTION("""COMPUTED_VALUE"""),2022)</f>
        <v>2022</v>
      </c>
      <c r="P1839" s="77">
        <f ca="1">IFERROR(__xludf.DUMMYFUNCTION("""COMPUTED_VALUE"""),2023)</f>
        <v>2023</v>
      </c>
      <c r="Q1839" s="77">
        <f ca="1">IFERROR(__xludf.DUMMYFUNCTION("""COMPUTED_VALUE"""),2024)</f>
        <v>2024</v>
      </c>
    </row>
    <row r="1840" spans="1:18" ht="13.2" hidden="1" outlineLevel="2" x14ac:dyDescent="0.25">
      <c r="A1840" s="76"/>
      <c r="B1840" s="78" t="str">
        <f ca="1">IFERROR(__xludf.DUMMYFUNCTION("""COMPUTED_VALUE"""),"Energía solar")</f>
        <v>Energía solar</v>
      </c>
      <c r="C1840" s="77">
        <f ca="1">IFERROR(__xludf.DUMMYFUNCTION("""COMPUTED_VALUE"""),2.8)</f>
        <v>2.8</v>
      </c>
      <c r="D1840" s="77">
        <f ca="1">IFERROR(__xludf.DUMMYFUNCTION("""COMPUTED_VALUE"""),3.14)</f>
        <v>3.14</v>
      </c>
      <c r="E1840" s="77">
        <f ca="1">IFERROR(__xludf.DUMMYFUNCTION("""COMPUTED_VALUE"""),3.27)</f>
        <v>3.27</v>
      </c>
      <c r="F1840" s="77">
        <f ca="1">IFERROR(__xludf.DUMMYFUNCTION("""COMPUTED_VALUE"""),3.36)</f>
        <v>3.36</v>
      </c>
      <c r="G1840" s="77">
        <f ca="1">IFERROR(__xludf.DUMMYFUNCTION("""COMPUTED_VALUE"""),3.81)</f>
        <v>3.81</v>
      </c>
      <c r="H1840" s="77">
        <f ca="1">IFERROR(__xludf.DUMMYFUNCTION("""COMPUTED_VALUE"""),4.13)</f>
        <v>4.13</v>
      </c>
      <c r="I1840" s="77">
        <f ca="1">IFERROR(__xludf.DUMMYFUNCTION("""COMPUTED_VALUE"""),4.29)</f>
        <v>4.29</v>
      </c>
      <c r="J1840" s="77">
        <f ca="1">IFERROR(__xludf.DUMMYFUNCTION("""COMPUTED_VALUE"""),4.63)</f>
        <v>4.63</v>
      </c>
      <c r="K1840" s="77">
        <f ca="1">IFERROR(__xludf.DUMMYFUNCTION("""COMPUTED_VALUE"""),4.89)</f>
        <v>4.8899999999999997</v>
      </c>
      <c r="L1840" s="77">
        <f ca="1">IFERROR(__xludf.DUMMYFUNCTION("""COMPUTED_VALUE"""),4.87)</f>
        <v>4.87</v>
      </c>
      <c r="M1840" s="77">
        <f ca="1">IFERROR(__xludf.DUMMYFUNCTION("""COMPUTED_VALUE"""),4.3)</f>
        <v>4.3</v>
      </c>
      <c r="N1840" s="77">
        <f ca="1">IFERROR(__xludf.DUMMYFUNCTION("""COMPUTED_VALUE"""),4.47)</f>
        <v>4.47</v>
      </c>
      <c r="O1840" s="77">
        <f ca="1">IFERROR(__xludf.DUMMYFUNCTION("""COMPUTED_VALUE"""),4.34)</f>
        <v>4.34</v>
      </c>
      <c r="P1840" s="77">
        <f ca="1">IFERROR(__xludf.DUMMYFUNCTION("""COMPUTED_VALUE"""),4.49)</f>
        <v>4.49</v>
      </c>
      <c r="Q1840" s="77">
        <f ca="1">IFERROR(__xludf.DUMMYFUNCTION("""COMPUTED_VALUE"""),4.41)</f>
        <v>4.41</v>
      </c>
    </row>
    <row r="1841" spans="1:18" ht="13.2" hidden="1" outlineLevel="2" x14ac:dyDescent="0.25">
      <c r="A1841" s="76"/>
      <c r="B1841" s="78" t="str">
        <f ca="1">IFERROR(__xludf.DUMMYFUNCTION("""COMPUTED_VALUE"""),"Leña")</f>
        <v>Leña</v>
      </c>
      <c r="C1841" s="77">
        <f ca="1">IFERROR(__xludf.DUMMYFUNCTION("""COMPUTED_VALUE"""),1.79527559055118)</f>
        <v>1.7952755905511799</v>
      </c>
      <c r="D1841" s="77">
        <f ca="1">IFERROR(__xludf.DUMMYFUNCTION("""COMPUTED_VALUE"""),1.78559444198872)</f>
        <v>1.78559444198872</v>
      </c>
      <c r="E1841" s="77">
        <f ca="1">IFERROR(__xludf.DUMMYFUNCTION("""COMPUTED_VALUE"""),1.77703091991549)</f>
        <v>1.7770309199154899</v>
      </c>
      <c r="F1841" s="77">
        <f ca="1">IFERROR(__xludf.DUMMYFUNCTION("""COMPUTED_VALUE"""),1.76841921866073)</f>
        <v>1.7684192186607299</v>
      </c>
      <c r="G1841" s="77">
        <f ca="1">IFERROR(__xludf.DUMMYFUNCTION("""COMPUTED_VALUE"""),1.76009975656083)</f>
        <v>1.7600997565608301</v>
      </c>
      <c r="H1841" s="77">
        <f ca="1">IFERROR(__xludf.DUMMYFUNCTION("""COMPUTED_VALUE"""),1.75148838102554)</f>
        <v>1.7514883810255399</v>
      </c>
      <c r="I1841" s="77">
        <f ca="1">IFERROR(__xludf.DUMMYFUNCTION("""COMPUTED_VALUE"""),1.74419051277126)</f>
        <v>1.74419051277126</v>
      </c>
      <c r="J1841" s="77">
        <f ca="1">IFERROR(__xludf.DUMMYFUNCTION("""COMPUTED_VALUE"""),1.73324371038985)</f>
        <v>1.7332437103898499</v>
      </c>
      <c r="K1841" s="77">
        <f ca="1">IFERROR(__xludf.DUMMYFUNCTION("""COMPUTED_VALUE"""),1.72467965454088)</f>
        <v>1.72467965454088</v>
      </c>
      <c r="L1841" s="77">
        <f ca="1">IFERROR(__xludf.DUMMYFUNCTION("""COMPUTED_VALUE"""),1.71626488204347)</f>
        <v>1.7162648820434701</v>
      </c>
      <c r="M1841" s="77">
        <f ca="1">IFERROR(__xludf.DUMMYFUNCTION("""COMPUTED_VALUE"""),1.7077011714999)</f>
        <v>1.7077011714999</v>
      </c>
      <c r="N1841" s="77">
        <f ca="1">IFERROR(__xludf.DUMMYFUNCTION("""COMPUTED_VALUE"""),1.70035597516437)</f>
        <v>1.70035597516437</v>
      </c>
      <c r="O1841" s="77">
        <f ca="1">IFERROR(__xludf.DUMMYFUNCTION("""COMPUTED_VALUE"""),1.69369542920938)</f>
        <v>1.69369542920938</v>
      </c>
      <c r="P1841" s="77">
        <f ca="1">IFERROR(__xludf.DUMMYFUNCTION("""COMPUTED_VALUE"""),1.68703532418805)</f>
        <v>1.68703532418805</v>
      </c>
      <c r="Q1841" s="77">
        <f ca="1">IFERROR(__xludf.DUMMYFUNCTION("""COMPUTED_VALUE"""),1.67803672172074)</f>
        <v>1.6780367217207399</v>
      </c>
    </row>
    <row r="1842" spans="1:18" ht="13.2" hidden="1" outlineLevel="2" x14ac:dyDescent="0.25">
      <c r="A1842" s="76"/>
      <c r="B1842" s="78" t="str">
        <f ca="1">IFERROR(__xludf.DUMMYFUNCTION("""COMPUTED_VALUE"""),"Gas licuado de petróleo")</f>
        <v>Gas licuado de petróleo</v>
      </c>
      <c r="C1842" s="77">
        <f ca="1">IFERROR(__xludf.DUMMYFUNCTION("""COMPUTED_VALUE"""),18.7083688264552)</f>
        <v>18.708368826455199</v>
      </c>
      <c r="D1842" s="77">
        <f ca="1">IFERROR(__xludf.DUMMYFUNCTION("""COMPUTED_VALUE"""),19.1475779487898)</f>
        <v>19.147577948789799</v>
      </c>
      <c r="E1842" s="77">
        <f ca="1">IFERROR(__xludf.DUMMYFUNCTION("""COMPUTED_VALUE"""),19.14617156812)</f>
        <v>19.14617156812</v>
      </c>
      <c r="F1842" s="77">
        <f ca="1">IFERROR(__xludf.DUMMYFUNCTION("""COMPUTED_VALUE"""),19.3715960299072)</f>
        <v>19.371596029907199</v>
      </c>
      <c r="G1842" s="77">
        <f ca="1">IFERROR(__xludf.DUMMYFUNCTION("""COMPUTED_VALUE"""),20.2835585334375)</f>
        <v>20.2835585334375</v>
      </c>
      <c r="H1842" s="77">
        <f ca="1">IFERROR(__xludf.DUMMYFUNCTION("""COMPUTED_VALUE"""),19.3888746423081)</f>
        <v>19.3888746423081</v>
      </c>
      <c r="I1842" s="77">
        <f ca="1">IFERROR(__xludf.DUMMYFUNCTION("""COMPUTED_VALUE"""),20.2590479187793)</f>
        <v>20.259047918779299</v>
      </c>
      <c r="J1842" s="77">
        <f ca="1">IFERROR(__xludf.DUMMYFUNCTION("""COMPUTED_VALUE"""),18.7391606207566)</f>
        <v>18.7391606207566</v>
      </c>
      <c r="K1842" s="77">
        <f ca="1">IFERROR(__xludf.DUMMYFUNCTION("""COMPUTED_VALUE"""),19.7470927836607)</f>
        <v>19.747092783660701</v>
      </c>
      <c r="L1842" s="77">
        <f ca="1">IFERROR(__xludf.DUMMYFUNCTION("""COMPUTED_VALUE"""),15.5847383895793)</f>
        <v>15.5847383895793</v>
      </c>
      <c r="M1842" s="77">
        <f ca="1">IFERROR(__xludf.DUMMYFUNCTION("""COMPUTED_VALUE"""),16.2747841612078)</f>
        <v>16.274784161207801</v>
      </c>
      <c r="N1842" s="77">
        <f ca="1">IFERROR(__xludf.DUMMYFUNCTION("""COMPUTED_VALUE"""),22.6814500641322)</f>
        <v>22.6814500641322</v>
      </c>
      <c r="O1842" s="77">
        <f ca="1">IFERROR(__xludf.DUMMYFUNCTION("""COMPUTED_VALUE"""),23.2849688124464)</f>
        <v>23.284968812446401</v>
      </c>
      <c r="P1842" s="77">
        <f ca="1">IFERROR(__xludf.DUMMYFUNCTION("""COMPUTED_VALUE"""),24.1052897096395)</f>
        <v>24.1052897096395</v>
      </c>
      <c r="Q1842" s="77">
        <f ca="1">IFERROR(__xludf.DUMMYFUNCTION("""COMPUTED_VALUE"""),21.9551394975842)</f>
        <v>21.955139497584199</v>
      </c>
    </row>
    <row r="1843" spans="1:18" ht="13.2" hidden="1" outlineLevel="2" x14ac:dyDescent="0.25">
      <c r="A1843" s="76"/>
      <c r="B1843" s="78" t="str">
        <f ca="1">IFERROR(__xludf.DUMMYFUNCTION("""COMPUTED_VALUE"""),"Diesel")</f>
        <v>Diesel</v>
      </c>
      <c r="C1843" s="77">
        <f ca="1">IFERROR(__xludf.DUMMYFUNCTION("""COMPUTED_VALUE"""),0)</f>
        <v>0</v>
      </c>
      <c r="D1843" s="77">
        <f ca="1">IFERROR(__xludf.DUMMYFUNCTION("""COMPUTED_VALUE"""),0)</f>
        <v>0</v>
      </c>
      <c r="E1843" s="77">
        <f ca="1">IFERROR(__xludf.DUMMYFUNCTION("""COMPUTED_VALUE"""),0)</f>
        <v>0</v>
      </c>
      <c r="F1843" s="77">
        <f ca="1">IFERROR(__xludf.DUMMYFUNCTION("""COMPUTED_VALUE"""),0)</f>
        <v>0</v>
      </c>
      <c r="G1843" s="77">
        <f ca="1">IFERROR(__xludf.DUMMYFUNCTION("""COMPUTED_VALUE"""),0)</f>
        <v>0</v>
      </c>
      <c r="H1843" s="77">
        <f ca="1">IFERROR(__xludf.DUMMYFUNCTION("""COMPUTED_VALUE"""),0)</f>
        <v>0</v>
      </c>
      <c r="I1843" s="77">
        <f ca="1">IFERROR(__xludf.DUMMYFUNCTION("""COMPUTED_VALUE"""),0)</f>
        <v>0</v>
      </c>
      <c r="J1843" s="77">
        <f ca="1">IFERROR(__xludf.DUMMYFUNCTION("""COMPUTED_VALUE"""),0)</f>
        <v>0</v>
      </c>
      <c r="K1843" s="77">
        <f ca="1">IFERROR(__xludf.DUMMYFUNCTION("""COMPUTED_VALUE"""),0)</f>
        <v>0</v>
      </c>
      <c r="L1843" s="77">
        <f ca="1">IFERROR(__xludf.DUMMYFUNCTION("""COMPUTED_VALUE"""),0)</f>
        <v>0</v>
      </c>
      <c r="M1843" s="77">
        <f ca="1">IFERROR(__xludf.DUMMYFUNCTION("""COMPUTED_VALUE"""),0)</f>
        <v>0</v>
      </c>
      <c r="N1843" s="77">
        <f ca="1">IFERROR(__xludf.DUMMYFUNCTION("""COMPUTED_VALUE"""),0)</f>
        <v>0</v>
      </c>
      <c r="O1843" s="77">
        <f ca="1">IFERROR(__xludf.DUMMYFUNCTION("""COMPUTED_VALUE"""),0)</f>
        <v>0</v>
      </c>
      <c r="P1843" s="77">
        <f ca="1">IFERROR(__xludf.DUMMYFUNCTION("""COMPUTED_VALUE"""),0)</f>
        <v>0</v>
      </c>
      <c r="Q1843" s="77">
        <f ca="1">IFERROR(__xludf.DUMMYFUNCTION("""COMPUTED_VALUE"""),0)</f>
        <v>0</v>
      </c>
    </row>
    <row r="1844" spans="1:18" ht="13.2" hidden="1" outlineLevel="2" x14ac:dyDescent="0.25">
      <c r="A1844" s="76"/>
      <c r="B1844" s="77" t="str">
        <f ca="1">IFERROR(__xludf.DUMMYFUNCTION("""COMPUTED_VALUE"""),"Gas natural seco")</f>
        <v>Gas natural seco</v>
      </c>
      <c r="C1844" s="77">
        <f ca="1">IFERROR(__xludf.DUMMYFUNCTION("""COMPUTED_VALUE"""),2.8427115188583)</f>
        <v>2.8427115188582999</v>
      </c>
      <c r="D1844" s="77">
        <f ca="1">IFERROR(__xludf.DUMMYFUNCTION("""COMPUTED_VALUE"""),2.80047717842323)</f>
        <v>2.8004771784232299</v>
      </c>
      <c r="E1844" s="77">
        <f ca="1">IFERROR(__xludf.DUMMYFUNCTION("""COMPUTED_VALUE"""),3.08513119533527)</f>
        <v>3.0851311953352698</v>
      </c>
      <c r="F1844" s="77">
        <f ca="1">IFERROR(__xludf.DUMMYFUNCTION("""COMPUTED_VALUE"""),3.6072072072072)</f>
        <v>3.6072072072072001</v>
      </c>
      <c r="G1844" s="77">
        <f ca="1">IFERROR(__xludf.DUMMYFUNCTION("""COMPUTED_VALUE"""),4.93173648134044)</f>
        <v>4.9317364813404403</v>
      </c>
      <c r="H1844" s="77">
        <f ca="1">IFERROR(__xludf.DUMMYFUNCTION("""COMPUTED_VALUE"""),4.8503748125937)</f>
        <v>4.8503748125937003</v>
      </c>
      <c r="I1844" s="77">
        <f ca="1">IFERROR(__xludf.DUMMYFUNCTION("""COMPUTED_VALUE"""),5.27726008344923)</f>
        <v>5.2772600834492298</v>
      </c>
      <c r="J1844" s="77">
        <f ca="1">IFERROR(__xludf.DUMMYFUNCTION("""COMPUTED_VALUE"""),4.9996223674655)</f>
        <v>4.9996223674655003</v>
      </c>
      <c r="K1844" s="77">
        <f ca="1">IFERROR(__xludf.DUMMYFUNCTION("""COMPUTED_VALUE"""),4.94729950900163)</f>
        <v>4.9472995090016303</v>
      </c>
      <c r="L1844" s="77">
        <f ca="1">IFERROR(__xludf.DUMMYFUNCTION("""COMPUTED_VALUE"""),4.86541970802919)</f>
        <v>4.8654197080291901</v>
      </c>
      <c r="M1844" s="77">
        <f ca="1">IFERROR(__xludf.DUMMYFUNCTION("""COMPUTED_VALUE"""),3.5676)</f>
        <v>3.5676000000000001</v>
      </c>
      <c r="N1844" s="77">
        <f ca="1">IFERROR(__xludf.DUMMYFUNCTION("""COMPUTED_VALUE"""),5.63918850380388)</f>
        <v>5.6391885038038803</v>
      </c>
      <c r="O1844" s="77">
        <f ca="1">IFERROR(__xludf.DUMMYFUNCTION("""COMPUTED_VALUE"""),6.58019769357495)</f>
        <v>6.5801976935749504</v>
      </c>
      <c r="P1844" s="77">
        <f ca="1">IFERROR(__xludf.DUMMYFUNCTION("""COMPUTED_VALUE"""),7.08261827079934)</f>
        <v>7.0826182707993404</v>
      </c>
      <c r="Q1844" s="77">
        <f ca="1">IFERROR(__xludf.DUMMYFUNCTION("""COMPUTED_VALUE"""),6.48825525040387)</f>
        <v>6.4882552504038697</v>
      </c>
    </row>
    <row r="1845" spans="1:18" ht="13.2" hidden="1" outlineLevel="2" x14ac:dyDescent="0.25">
      <c r="A1845" s="76"/>
      <c r="B1845" s="78" t="str">
        <f ca="1">IFERROR(__xludf.DUMMYFUNCTION("""COMPUTED_VALUE"""),"Energía eléctrica")</f>
        <v>Energía eléctrica</v>
      </c>
      <c r="C1845" s="77">
        <f ca="1">IFERROR(__xludf.DUMMYFUNCTION("""COMPUTED_VALUE"""),0.0712424928422793)</f>
        <v>7.1242492842279306E-2</v>
      </c>
      <c r="D1845" s="77">
        <f ca="1">IFERROR(__xludf.DUMMYFUNCTION("""COMPUTED_VALUE"""),0.0712628639868523)</f>
        <v>7.1262863986852304E-2</v>
      </c>
      <c r="E1845" s="77">
        <f ca="1">IFERROR(__xludf.DUMMYFUNCTION("""COMPUTED_VALUE"""),0.0814307179681288)</f>
        <v>8.1430717968128799E-2</v>
      </c>
      <c r="F1845" s="77">
        <f ca="1">IFERROR(__xludf.DUMMYFUNCTION("""COMPUTED_VALUE"""),0.0815596187898742)</f>
        <v>8.1559618789874194E-2</v>
      </c>
      <c r="G1845" s="77">
        <f ca="1">IFERROR(__xludf.DUMMYFUNCTION("""COMPUTED_VALUE"""),0.0818951235268091)</f>
        <v>8.1895123526809097E-2</v>
      </c>
      <c r="H1845" s="77">
        <f ca="1">IFERROR(__xludf.DUMMYFUNCTION("""COMPUTED_VALUE"""),0.0818000329018006)</f>
        <v>8.1800032901800601E-2</v>
      </c>
      <c r="I1845" s="77">
        <f ca="1">IFERROR(__xludf.DUMMYFUNCTION("""COMPUTED_VALUE"""),0.0925952197079571)</f>
        <v>9.2595219707957102E-2</v>
      </c>
      <c r="J1845" s="77">
        <f ca="1">IFERROR(__xludf.DUMMYFUNCTION("""COMPUTED_VALUE"""),0.0938736069794892)</f>
        <v>9.3873606979489196E-2</v>
      </c>
      <c r="K1845" s="77">
        <f ca="1">IFERROR(__xludf.DUMMYFUNCTION("""COMPUTED_VALUE"""),0.093420469349342)</f>
        <v>9.3420469349342006E-2</v>
      </c>
      <c r="L1845" s="77">
        <f ca="1">IFERROR(__xludf.DUMMYFUNCTION("""COMPUTED_VALUE"""),0.0940796538487704)</f>
        <v>9.40796538487704E-2</v>
      </c>
      <c r="M1845" s="77">
        <f ca="1">IFERROR(__xludf.DUMMYFUNCTION("""COMPUTED_VALUE"""),0.0937408324297046)</f>
        <v>9.3740832429704601E-2</v>
      </c>
      <c r="N1845" s="77">
        <f ca="1">IFERROR(__xludf.DUMMYFUNCTION("""COMPUTED_VALUE"""),0.0930035751729639)</f>
        <v>9.3003575172963898E-2</v>
      </c>
      <c r="O1845" s="77">
        <f ca="1">IFERROR(__xludf.DUMMYFUNCTION("""COMPUTED_VALUE"""),0.0816153573045431)</f>
        <v>8.1615357304543099E-2</v>
      </c>
      <c r="P1845" s="77">
        <f ca="1">IFERROR(__xludf.DUMMYFUNCTION("""COMPUTED_VALUE"""),0.0830326700666123)</f>
        <v>8.3032670066612302E-2</v>
      </c>
      <c r="Q1845" s="77">
        <f ca="1">IFERROR(__xludf.DUMMYFUNCTION("""COMPUTED_VALUE"""),0.0851989779487944)</f>
        <v>8.5198977948794399E-2</v>
      </c>
    </row>
    <row r="1846" spans="1:18" ht="13.2" outlineLevel="1" collapsed="1" x14ac:dyDescent="0.25">
      <c r="A1846" s="71"/>
      <c r="B1846" s="72" t="str">
        <f ca="1">IFERROR(__xludf.DUMMYFUNCTION("""COMPUTED_VALUE"""),"Cocción de alimentos")</f>
        <v>Cocción de alimentos</v>
      </c>
      <c r="C1846" s="73"/>
      <c r="D1846" s="73"/>
      <c r="E1846" s="73"/>
      <c r="F1846" s="73"/>
      <c r="G1846" s="73"/>
      <c r="H1846" s="73"/>
      <c r="I1846" s="73"/>
      <c r="J1846" s="73"/>
      <c r="K1846" s="73"/>
      <c r="L1846" s="73"/>
      <c r="M1846" s="73"/>
      <c r="N1846" s="73"/>
      <c r="O1846" s="73"/>
      <c r="P1846" s="73"/>
      <c r="Q1846" s="74"/>
      <c r="R1846" s="75"/>
    </row>
    <row r="1847" spans="1:18" ht="13.2" hidden="1" outlineLevel="2" x14ac:dyDescent="0.25">
      <c r="A1847" s="76"/>
      <c r="B1847" s="78"/>
      <c r="C1847" s="77">
        <f ca="1">IFERROR(__xludf.DUMMYFUNCTION("""COMPUTED_VALUE"""),2010)</f>
        <v>2010</v>
      </c>
      <c r="D1847" s="77">
        <f ca="1">IFERROR(__xludf.DUMMYFUNCTION("""COMPUTED_VALUE"""),2011)</f>
        <v>2011</v>
      </c>
      <c r="E1847" s="77">
        <f ca="1">IFERROR(__xludf.DUMMYFUNCTION("""COMPUTED_VALUE"""),2012)</f>
        <v>2012</v>
      </c>
      <c r="F1847" s="77">
        <f ca="1">IFERROR(__xludf.DUMMYFUNCTION("""COMPUTED_VALUE"""),2013)</f>
        <v>2013</v>
      </c>
      <c r="G1847" s="77">
        <f ca="1">IFERROR(__xludf.DUMMYFUNCTION("""COMPUTED_VALUE"""),2014)</f>
        <v>2014</v>
      </c>
      <c r="H1847" s="77">
        <f ca="1">IFERROR(__xludf.DUMMYFUNCTION("""COMPUTED_VALUE"""),2015)</f>
        <v>2015</v>
      </c>
      <c r="I1847" s="77">
        <f ca="1">IFERROR(__xludf.DUMMYFUNCTION("""COMPUTED_VALUE"""),2016)</f>
        <v>2016</v>
      </c>
      <c r="J1847" s="77">
        <f ca="1">IFERROR(__xludf.DUMMYFUNCTION("""COMPUTED_VALUE"""),2017)</f>
        <v>2017</v>
      </c>
      <c r="K1847" s="77">
        <f ca="1">IFERROR(__xludf.DUMMYFUNCTION("""COMPUTED_VALUE"""),2018)</f>
        <v>2018</v>
      </c>
      <c r="L1847" s="77">
        <f ca="1">IFERROR(__xludf.DUMMYFUNCTION("""COMPUTED_VALUE"""),2019)</f>
        <v>2019</v>
      </c>
      <c r="M1847" s="77">
        <f ca="1">IFERROR(__xludf.DUMMYFUNCTION("""COMPUTED_VALUE"""),2020)</f>
        <v>2020</v>
      </c>
      <c r="N1847" s="77">
        <f ca="1">IFERROR(__xludf.DUMMYFUNCTION("""COMPUTED_VALUE"""),2021)</f>
        <v>2021</v>
      </c>
      <c r="O1847" s="77">
        <f ca="1">IFERROR(__xludf.DUMMYFUNCTION("""COMPUTED_VALUE"""),2022)</f>
        <v>2022</v>
      </c>
      <c r="P1847" s="77">
        <f ca="1">IFERROR(__xludf.DUMMYFUNCTION("""COMPUTED_VALUE"""),2023)</f>
        <v>2023</v>
      </c>
      <c r="Q1847" s="77">
        <f ca="1">IFERROR(__xludf.DUMMYFUNCTION("""COMPUTED_VALUE"""),2024)</f>
        <v>2024</v>
      </c>
    </row>
    <row r="1848" spans="1:18" ht="13.2" hidden="1" outlineLevel="2" x14ac:dyDescent="0.25">
      <c r="A1848" s="76"/>
      <c r="B1848" s="78" t="str">
        <f ca="1">IFERROR(__xludf.DUMMYFUNCTION("""COMPUTED_VALUE"""),"Energía solar")</f>
        <v>Energía solar</v>
      </c>
      <c r="C1848" s="77">
        <f ca="1">IFERROR(__xludf.DUMMYFUNCTION("""COMPUTED_VALUE"""),0)</f>
        <v>0</v>
      </c>
      <c r="D1848" s="77">
        <f ca="1">IFERROR(__xludf.DUMMYFUNCTION("""COMPUTED_VALUE"""),0)</f>
        <v>0</v>
      </c>
      <c r="E1848" s="77">
        <f ca="1">IFERROR(__xludf.DUMMYFUNCTION("""COMPUTED_VALUE"""),0)</f>
        <v>0</v>
      </c>
      <c r="F1848" s="77">
        <f ca="1">IFERROR(__xludf.DUMMYFUNCTION("""COMPUTED_VALUE"""),0)</f>
        <v>0</v>
      </c>
      <c r="G1848" s="77">
        <f ca="1">IFERROR(__xludf.DUMMYFUNCTION("""COMPUTED_VALUE"""),0)</f>
        <v>0</v>
      </c>
      <c r="H1848" s="77">
        <f ca="1">IFERROR(__xludf.DUMMYFUNCTION("""COMPUTED_VALUE"""),0)</f>
        <v>0</v>
      </c>
      <c r="I1848" s="77">
        <f ca="1">IFERROR(__xludf.DUMMYFUNCTION("""COMPUTED_VALUE"""),0)</f>
        <v>0</v>
      </c>
      <c r="J1848" s="77">
        <f ca="1">IFERROR(__xludf.DUMMYFUNCTION("""COMPUTED_VALUE"""),0)</f>
        <v>0</v>
      </c>
      <c r="K1848" s="77">
        <f ca="1">IFERROR(__xludf.DUMMYFUNCTION("""COMPUTED_VALUE"""),0)</f>
        <v>0</v>
      </c>
      <c r="L1848" s="77">
        <f ca="1">IFERROR(__xludf.DUMMYFUNCTION("""COMPUTED_VALUE"""),0)</f>
        <v>0</v>
      </c>
      <c r="M1848" s="77">
        <f ca="1">IFERROR(__xludf.DUMMYFUNCTION("""COMPUTED_VALUE"""),0)</f>
        <v>0</v>
      </c>
      <c r="N1848" s="77">
        <f ca="1">IFERROR(__xludf.DUMMYFUNCTION("""COMPUTED_VALUE"""),0)</f>
        <v>0</v>
      </c>
      <c r="O1848" s="77">
        <f ca="1">IFERROR(__xludf.DUMMYFUNCTION("""COMPUTED_VALUE"""),0)</f>
        <v>0</v>
      </c>
      <c r="P1848" s="77">
        <f ca="1">IFERROR(__xludf.DUMMYFUNCTION("""COMPUTED_VALUE"""),0)</f>
        <v>0</v>
      </c>
      <c r="Q1848" s="77">
        <f ca="1">IFERROR(__xludf.DUMMYFUNCTION("""COMPUTED_VALUE"""),0)</f>
        <v>0</v>
      </c>
    </row>
    <row r="1849" spans="1:18" ht="13.2" hidden="1" outlineLevel="2" x14ac:dyDescent="0.25">
      <c r="A1849" s="76"/>
      <c r="B1849" s="78" t="str">
        <f ca="1">IFERROR(__xludf.DUMMYFUNCTION("""COMPUTED_VALUE"""),"Leña")</f>
        <v>Leña</v>
      </c>
      <c r="C1849" s="77">
        <f ca="1">IFERROR(__xludf.DUMMYFUNCTION("""COMPUTED_VALUE"""),2.54255379274605)</f>
        <v>2.54255379274605</v>
      </c>
      <c r="D1849" s="77">
        <f ca="1">IFERROR(__xludf.DUMMYFUNCTION("""COMPUTED_VALUE"""),2.53432580499275)</f>
        <v>2.5343258049927502</v>
      </c>
      <c r="E1849" s="77">
        <f ca="1">IFERROR(__xludf.DUMMYFUNCTION("""COMPUTED_VALUE"""),2.52035089497323)</f>
        <v>2.5203508949732298</v>
      </c>
      <c r="F1849" s="77">
        <f ca="1">IFERROR(__xludf.DUMMYFUNCTION("""COMPUTED_VALUE"""),2.50631016913732)</f>
        <v>2.5063101691373202</v>
      </c>
      <c r="G1849" s="77">
        <f ca="1">IFERROR(__xludf.DUMMYFUNCTION("""COMPUTED_VALUE"""),2.49588864096993)</f>
        <v>2.4958886409699299</v>
      </c>
      <c r="H1849" s="77">
        <f ca="1">IFERROR(__xludf.DUMMYFUNCTION("""COMPUTED_VALUE"""),2.48184731990564)</f>
        <v>2.4818473199056399</v>
      </c>
      <c r="I1849" s="77">
        <f ca="1">IFERROR(__xludf.DUMMYFUNCTION("""COMPUTED_VALUE"""),2.46966846119991)</f>
        <v>2.4696684611999098</v>
      </c>
      <c r="J1849" s="77">
        <f ca="1">IFERROR(__xludf.DUMMYFUNCTION("""COMPUTED_VALUE"""),2.45964421437342)</f>
        <v>2.4596442143734198</v>
      </c>
      <c r="K1849" s="77">
        <f ca="1">IFERROR(__xludf.DUMMYFUNCTION("""COMPUTED_VALUE"""),2.44567012934592)</f>
        <v>2.44567012934592</v>
      </c>
      <c r="L1849" s="77">
        <f ca="1">IFERROR(__xludf.DUMMYFUNCTION("""COMPUTED_VALUE"""),2.4351154182167)</f>
        <v>2.4351154182167001</v>
      </c>
      <c r="M1849" s="77">
        <f ca="1">IFERROR(__xludf.DUMMYFUNCTION("""COMPUTED_VALUE"""),2.42114077203764)</f>
        <v>2.4211407720376399</v>
      </c>
      <c r="N1849" s="77">
        <f ca="1">IFERROR(__xludf.DUMMYFUNCTION("""COMPUTED_VALUE"""),2.41301664834175)</f>
        <v>2.4130166483417499</v>
      </c>
      <c r="O1849" s="77">
        <f ca="1">IFERROR(__xludf.DUMMYFUNCTION("""COMPUTED_VALUE"""),2.40174187869493)</f>
        <v>2.4017418786949301</v>
      </c>
      <c r="P1849" s="77">
        <f ca="1">IFERROR(__xludf.DUMMYFUNCTION("""COMPUTED_VALUE"""),2.39046620601441)</f>
        <v>2.39046620601441</v>
      </c>
      <c r="Q1849" s="77">
        <f ca="1">IFERROR(__xludf.DUMMYFUNCTION("""COMPUTED_VALUE"""),2.38321245506323)</f>
        <v>2.3832124550632301</v>
      </c>
    </row>
    <row r="1850" spans="1:18" ht="13.2" hidden="1" outlineLevel="2" x14ac:dyDescent="0.25">
      <c r="A1850" s="76"/>
      <c r="B1850" s="78" t="str">
        <f ca="1">IFERROR(__xludf.DUMMYFUNCTION("""COMPUTED_VALUE"""),"Gas licuado de petróleo")</f>
        <v>Gas licuado de petróleo</v>
      </c>
      <c r="C1850" s="77">
        <f ca="1">IFERROR(__xludf.DUMMYFUNCTION("""COMPUTED_VALUE"""),39.6968163861613)</f>
        <v>39.696816386161302</v>
      </c>
      <c r="D1850" s="77">
        <f ca="1">IFERROR(__xludf.DUMMYFUNCTION("""COMPUTED_VALUE"""),40.4767612484032)</f>
        <v>40.4767612484032</v>
      </c>
      <c r="E1850" s="77">
        <f ca="1">IFERROR(__xludf.DUMMYFUNCTION("""COMPUTED_VALUE"""),40.2167124318463)</f>
        <v>40.216712431846297</v>
      </c>
      <c r="F1850" s="77">
        <f ca="1">IFERROR(__xludf.DUMMYFUNCTION("""COMPUTED_VALUE"""),40.573637633748)</f>
        <v>40.573637633748</v>
      </c>
      <c r="G1850" s="77">
        <f ca="1">IFERROR(__xludf.DUMMYFUNCTION("""COMPUTED_VALUE"""),42.3217748277655)</f>
        <v>42.321774827765502</v>
      </c>
      <c r="H1850" s="77">
        <f ca="1">IFERROR(__xludf.DUMMYFUNCTION("""COMPUTED_VALUE"""),40.5467271280058)</f>
        <v>40.546727128005799</v>
      </c>
      <c r="I1850" s="77">
        <f ca="1">IFERROR(__xludf.DUMMYFUNCTION("""COMPUTED_VALUE"""),42.4862918058592)</f>
        <v>42.486291805859203</v>
      </c>
      <c r="J1850" s="77">
        <f ca="1">IFERROR(__xludf.DUMMYFUNCTION("""COMPUTED_VALUE"""),39.1621660735252)</f>
        <v>39.162166073525199</v>
      </c>
      <c r="K1850" s="77">
        <f ca="1">IFERROR(__xludf.DUMMYFUNCTION("""COMPUTED_VALUE"""),41.455137035849)</f>
        <v>41.455137035848999</v>
      </c>
      <c r="L1850" s="77">
        <f ca="1">IFERROR(__xludf.DUMMYFUNCTION("""COMPUTED_VALUE"""),32.9530209538233)</f>
        <v>32.953020953823298</v>
      </c>
      <c r="M1850" s="77">
        <f ca="1">IFERROR(__xludf.DUMMYFUNCTION("""COMPUTED_VALUE"""),34.7785578925834)</f>
        <v>34.7785578925834</v>
      </c>
      <c r="N1850" s="77">
        <f ca="1">IFERROR(__xludf.DUMMYFUNCTION("""COMPUTED_VALUE"""),47.9344648735051)</f>
        <v>47.9344648735051</v>
      </c>
      <c r="O1850" s="77">
        <f ca="1">IFERROR(__xludf.DUMMYFUNCTION("""COMPUTED_VALUE"""),52.6008981580295)</f>
        <v>52.600898158029501</v>
      </c>
      <c r="P1850" s="77">
        <f ca="1">IFERROR(__xludf.DUMMYFUNCTION("""COMPUTED_VALUE"""),54.5533476114668)</f>
        <v>54.553347611466798</v>
      </c>
      <c r="Q1850" s="77">
        <f ca="1">IFERROR(__xludf.DUMMYFUNCTION("""COMPUTED_VALUE"""),49.779130887009)</f>
        <v>49.779130887009003</v>
      </c>
    </row>
    <row r="1851" spans="1:18" ht="13.2" hidden="1" outlineLevel="2" x14ac:dyDescent="0.25">
      <c r="A1851" s="76"/>
      <c r="B1851" s="78" t="str">
        <f ca="1">IFERROR(__xludf.DUMMYFUNCTION("""COMPUTED_VALUE"""),"Diesel")</f>
        <v>Diesel</v>
      </c>
      <c r="C1851" s="77">
        <f ca="1">IFERROR(__xludf.DUMMYFUNCTION("""COMPUTED_VALUE"""),0)</f>
        <v>0</v>
      </c>
      <c r="D1851" s="77">
        <f ca="1">IFERROR(__xludf.DUMMYFUNCTION("""COMPUTED_VALUE"""),0)</f>
        <v>0</v>
      </c>
      <c r="E1851" s="77">
        <f ca="1">IFERROR(__xludf.DUMMYFUNCTION("""COMPUTED_VALUE"""),0)</f>
        <v>0</v>
      </c>
      <c r="F1851" s="77">
        <f ca="1">IFERROR(__xludf.DUMMYFUNCTION("""COMPUTED_VALUE"""),0)</f>
        <v>0</v>
      </c>
      <c r="G1851" s="77">
        <f ca="1">IFERROR(__xludf.DUMMYFUNCTION("""COMPUTED_VALUE"""),0)</f>
        <v>0</v>
      </c>
      <c r="H1851" s="77">
        <f ca="1">IFERROR(__xludf.DUMMYFUNCTION("""COMPUTED_VALUE"""),0)</f>
        <v>0</v>
      </c>
      <c r="I1851" s="77">
        <f ca="1">IFERROR(__xludf.DUMMYFUNCTION("""COMPUTED_VALUE"""),0)</f>
        <v>0</v>
      </c>
      <c r="J1851" s="77">
        <f ca="1">IFERROR(__xludf.DUMMYFUNCTION("""COMPUTED_VALUE"""),0)</f>
        <v>0</v>
      </c>
      <c r="K1851" s="77">
        <f ca="1">IFERROR(__xludf.DUMMYFUNCTION("""COMPUTED_VALUE"""),0)</f>
        <v>0</v>
      </c>
      <c r="L1851" s="77">
        <f ca="1">IFERROR(__xludf.DUMMYFUNCTION("""COMPUTED_VALUE"""),0)</f>
        <v>0</v>
      </c>
      <c r="M1851" s="77">
        <f ca="1">IFERROR(__xludf.DUMMYFUNCTION("""COMPUTED_VALUE"""),0)</f>
        <v>0</v>
      </c>
      <c r="N1851" s="77">
        <f ca="1">IFERROR(__xludf.DUMMYFUNCTION("""COMPUTED_VALUE"""),0)</f>
        <v>0</v>
      </c>
      <c r="O1851" s="77">
        <f ca="1">IFERROR(__xludf.DUMMYFUNCTION("""COMPUTED_VALUE"""),0)</f>
        <v>0</v>
      </c>
      <c r="P1851" s="77">
        <f ca="1">IFERROR(__xludf.DUMMYFUNCTION("""COMPUTED_VALUE"""),0)</f>
        <v>0</v>
      </c>
      <c r="Q1851" s="77">
        <f ca="1">IFERROR(__xludf.DUMMYFUNCTION("""COMPUTED_VALUE"""),0)</f>
        <v>0</v>
      </c>
    </row>
    <row r="1852" spans="1:18" ht="13.2" hidden="1" outlineLevel="2" x14ac:dyDescent="0.25">
      <c r="A1852" s="76"/>
      <c r="B1852" s="77" t="str">
        <f ca="1">IFERROR(__xludf.DUMMYFUNCTION("""COMPUTED_VALUE"""),"Gas natural seco")</f>
        <v>Gas natural seco</v>
      </c>
      <c r="C1852" s="77">
        <f ca="1">IFERROR(__xludf.DUMMYFUNCTION("""COMPUTED_VALUE"""),4.68920681568204)</f>
        <v>4.6892068156820397</v>
      </c>
      <c r="D1852" s="77">
        <f ca="1">IFERROR(__xludf.DUMMYFUNCTION("""COMPUTED_VALUE"""),4.61666464013967)</f>
        <v>4.6166646401396703</v>
      </c>
      <c r="E1852" s="77">
        <f ca="1">IFERROR(__xludf.DUMMYFUNCTION("""COMPUTED_VALUE"""),5.09598506230737)</f>
        <v>5.0959850623073697</v>
      </c>
      <c r="F1852" s="77">
        <f ca="1">IFERROR(__xludf.DUMMYFUNCTION("""COMPUTED_VALUE"""),5.93436234627615)</f>
        <v>5.9343623462761501</v>
      </c>
      <c r="G1852" s="77">
        <f ca="1">IFERROR(__xludf.DUMMYFUNCTION("""COMPUTED_VALUE"""),8.11824477630756)</f>
        <v>8.1182447763075594</v>
      </c>
      <c r="H1852" s="77">
        <f ca="1">IFERROR(__xludf.DUMMYFUNCTION("""COMPUTED_VALUE"""),8.00164474912754)</f>
        <v>8.0016447491275393</v>
      </c>
      <c r="I1852" s="77">
        <f ca="1">IFERROR(__xludf.DUMMYFUNCTION("""COMPUTED_VALUE"""),8.68796121243603)</f>
        <v>8.6879612124360293</v>
      </c>
      <c r="J1852" s="77">
        <f ca="1">IFERROR(__xludf.DUMMYFUNCTION("""COMPUTED_VALUE"""),8.23169439613317)</f>
        <v>8.2316943961331699</v>
      </c>
      <c r="K1852" s="77">
        <f ca="1">IFERROR(__xludf.DUMMYFUNCTION("""COMPUTED_VALUE"""),8.151297258296)</f>
        <v>8.1512972582959993</v>
      </c>
      <c r="L1852" s="77">
        <f ca="1">IFERROR(__xludf.DUMMYFUNCTION("""COMPUTED_VALUE"""),8.00261475875674)</f>
        <v>8.0026147587567404</v>
      </c>
      <c r="M1852" s="77">
        <f ca="1">IFERROR(__xludf.DUMMYFUNCTION("""COMPUTED_VALUE"""),5.88003904)</f>
        <v>5.8800390399999998</v>
      </c>
      <c r="N1852" s="77">
        <f ca="1">IFERROR(__xludf.DUMMYFUNCTION("""COMPUTED_VALUE"""),9.28956075187706)</f>
        <v>9.28956075187706</v>
      </c>
      <c r="O1852" s="77">
        <f ca="1">IFERROR(__xludf.DUMMYFUNCTION("""COMPUTED_VALUE"""),10.8471647817307)</f>
        <v>10.847164781730701</v>
      </c>
      <c r="P1852" s="77">
        <f ca="1">IFERROR(__xludf.DUMMYFUNCTION("""COMPUTED_VALUE"""),11.6909711924591)</f>
        <v>11.6909711924591</v>
      </c>
      <c r="Q1852" s="77">
        <f ca="1">IFERROR(__xludf.DUMMYFUNCTION("""COMPUTED_VALUE"""),10.6796589283686)</f>
        <v>10.6796589283686</v>
      </c>
    </row>
    <row r="1853" spans="1:18" ht="13.2" hidden="1" outlineLevel="2" x14ac:dyDescent="0.25">
      <c r="A1853" s="76"/>
      <c r="B1853" s="78" t="str">
        <f ca="1">IFERROR(__xludf.DUMMYFUNCTION("""COMPUTED_VALUE"""),"Energía eléctrica")</f>
        <v>Energía eléctrica</v>
      </c>
      <c r="C1853" s="77">
        <f ca="1">IFERROR(__xludf.DUMMYFUNCTION("""COMPUTED_VALUE"""),0.671714932512919)</f>
        <v>0.67171493251291903</v>
      </c>
      <c r="D1853" s="77">
        <f ca="1">IFERROR(__xludf.DUMMYFUNCTION("""COMPUTED_VALUE"""),0.682087412445586)</f>
        <v>0.68208741244558602</v>
      </c>
      <c r="E1853" s="77">
        <f ca="1">IFERROR(__xludf.DUMMYFUNCTION("""COMPUTED_VALUE"""),0.722697621967143)</f>
        <v>0.72269762196714304</v>
      </c>
      <c r="F1853" s="77">
        <f ca="1">IFERROR(__xludf.DUMMYFUNCTION("""COMPUTED_VALUE"""),0.734036569108868)</f>
        <v>0.73403656910886805</v>
      </c>
      <c r="G1853" s="77">
        <f ca="1">IFERROR(__xludf.DUMMYFUNCTION("""COMPUTED_VALUE"""),0.757529892622984)</f>
        <v>0.75752989262298398</v>
      </c>
      <c r="H1853" s="77">
        <f ca="1">IFERROR(__xludf.DUMMYFUNCTION("""COMPUTED_VALUE"""),0.777100312567106)</f>
        <v>0.77710031256710599</v>
      </c>
      <c r="I1853" s="77">
        <f ca="1">IFERROR(__xludf.DUMMYFUNCTION("""COMPUTED_VALUE"""),0.802491904135628)</f>
        <v>0.80249190413562799</v>
      </c>
      <c r="J1853" s="77">
        <f ca="1">IFERROR(__xludf.DUMMYFUNCTION("""COMPUTED_VALUE"""),0.834432062039904)</f>
        <v>0.83443206203990405</v>
      </c>
      <c r="K1853" s="77">
        <f ca="1">IFERROR(__xludf.DUMMYFUNCTION("""COMPUTED_VALUE"""),0.79926401554437)</f>
        <v>0.79926401554436999</v>
      </c>
      <c r="L1853" s="77">
        <f ca="1">IFERROR(__xludf.DUMMYFUNCTION("""COMPUTED_VALUE"""),0.836263589766848)</f>
        <v>0.836263589766848</v>
      </c>
      <c r="M1853" s="77">
        <f ca="1">IFERROR(__xludf.DUMMYFUNCTION("""COMPUTED_VALUE"""),0.802004899676361)</f>
        <v>0.80200489967636102</v>
      </c>
      <c r="N1853" s="77">
        <f ca="1">IFERROR(__xludf.DUMMYFUNCTION("""COMPUTED_VALUE"""),0.868033368280997)</f>
        <v>0.86803336828099698</v>
      </c>
      <c r="O1853" s="77">
        <f ca="1">IFERROR(__xludf.DUMMYFUNCTION("""COMPUTED_VALUE"""),0.775345894393159)</f>
        <v>0.77534589439315904</v>
      </c>
      <c r="P1853" s="77">
        <f ca="1">IFERROR(__xludf.DUMMYFUNCTION("""COMPUTED_VALUE"""),0.757673114357837)</f>
        <v>0.75767311435783702</v>
      </c>
      <c r="Q1853" s="77">
        <f ca="1">IFERROR(__xludf.DUMMYFUNCTION("""COMPUTED_VALUE"""),0.745491057051951)</f>
        <v>0.74549105705195096</v>
      </c>
    </row>
    <row r="1854" spans="1:18" ht="13.2" x14ac:dyDescent="0.25">
      <c r="A1854" s="1"/>
      <c r="B1854" s="31" t="str">
        <f ca="1">IFERROR(__xludf.DUMMYFUNCTION("""COMPUTED_VALUE"""),"Residencial")</f>
        <v>Residencial</v>
      </c>
      <c r="C1854" s="41"/>
      <c r="D1854" s="42"/>
      <c r="E1854" s="41"/>
      <c r="F1854" s="41"/>
      <c r="G1854" s="43"/>
      <c r="H1854" s="44"/>
      <c r="I1854" s="45"/>
      <c r="J1854" s="45"/>
      <c r="K1854" s="45"/>
      <c r="L1854" s="45"/>
      <c r="M1854" s="45"/>
      <c r="N1854" s="45"/>
      <c r="O1854" s="45"/>
      <c r="P1854" s="45"/>
      <c r="Q1854" s="45"/>
      <c r="R1854" s="10"/>
    </row>
    <row r="1855" spans="1:18" ht="13.2" outlineLevel="1" collapsed="1" x14ac:dyDescent="0.25">
      <c r="A1855" s="71"/>
      <c r="B1855" s="72" t="str">
        <f ca="1">IFERROR(__xludf.DUMMYFUNCTION("""COMPUTED_VALUE"""),"Iluminación")</f>
        <v>Iluminación</v>
      </c>
      <c r="C1855" s="73"/>
      <c r="D1855" s="73"/>
      <c r="E1855" s="73"/>
      <c r="F1855" s="73"/>
      <c r="G1855" s="73"/>
      <c r="H1855" s="73"/>
      <c r="I1855" s="73"/>
      <c r="J1855" s="73"/>
      <c r="K1855" s="73"/>
      <c r="L1855" s="73"/>
      <c r="M1855" s="73"/>
      <c r="N1855" s="73"/>
      <c r="O1855" s="73"/>
      <c r="P1855" s="73"/>
      <c r="Q1855" s="74"/>
      <c r="R1855" s="75"/>
    </row>
    <row r="1856" spans="1:18" ht="13.2" hidden="1" outlineLevel="2" x14ac:dyDescent="0.25">
      <c r="A1856" s="76"/>
      <c r="B1856" s="78"/>
      <c r="C1856" s="77">
        <f ca="1">IFERROR(__xludf.DUMMYFUNCTION("""COMPUTED_VALUE"""),2010)</f>
        <v>2010</v>
      </c>
      <c r="D1856" s="77">
        <f ca="1">IFERROR(__xludf.DUMMYFUNCTION("""COMPUTED_VALUE"""),2011)</f>
        <v>2011</v>
      </c>
      <c r="E1856" s="77">
        <f ca="1">IFERROR(__xludf.DUMMYFUNCTION("""COMPUTED_VALUE"""),2012)</f>
        <v>2012</v>
      </c>
      <c r="F1856" s="77">
        <f ca="1">IFERROR(__xludf.DUMMYFUNCTION("""COMPUTED_VALUE"""),2013)</f>
        <v>2013</v>
      </c>
      <c r="G1856" s="77">
        <f ca="1">IFERROR(__xludf.DUMMYFUNCTION("""COMPUTED_VALUE"""),2014)</f>
        <v>2014</v>
      </c>
      <c r="H1856" s="77">
        <f ca="1">IFERROR(__xludf.DUMMYFUNCTION("""COMPUTED_VALUE"""),2015)</f>
        <v>2015</v>
      </c>
      <c r="I1856" s="77">
        <f ca="1">IFERROR(__xludf.DUMMYFUNCTION("""COMPUTED_VALUE"""),2016)</f>
        <v>2016</v>
      </c>
      <c r="J1856" s="77">
        <f ca="1">IFERROR(__xludf.DUMMYFUNCTION("""COMPUTED_VALUE"""),2017)</f>
        <v>2017</v>
      </c>
      <c r="K1856" s="77">
        <f ca="1">IFERROR(__xludf.DUMMYFUNCTION("""COMPUTED_VALUE"""),2018)</f>
        <v>2018</v>
      </c>
      <c r="L1856" s="77">
        <f ca="1">IFERROR(__xludf.DUMMYFUNCTION("""COMPUTED_VALUE"""),2019)</f>
        <v>2019</v>
      </c>
      <c r="M1856" s="77">
        <f ca="1">IFERROR(__xludf.DUMMYFUNCTION("""COMPUTED_VALUE"""),2020)</f>
        <v>2020</v>
      </c>
      <c r="N1856" s="77">
        <f ca="1">IFERROR(__xludf.DUMMYFUNCTION("""COMPUTED_VALUE"""),2021)</f>
        <v>2021</v>
      </c>
      <c r="O1856" s="77">
        <f ca="1">IFERROR(__xludf.DUMMYFUNCTION("""COMPUTED_VALUE"""),2022)</f>
        <v>2022</v>
      </c>
      <c r="P1856" s="77">
        <f ca="1">IFERROR(__xludf.DUMMYFUNCTION("""COMPUTED_VALUE"""),2023)</f>
        <v>2023</v>
      </c>
      <c r="Q1856" s="77">
        <f ca="1">IFERROR(__xludf.DUMMYFUNCTION("""COMPUTED_VALUE"""),2024)</f>
        <v>2024</v>
      </c>
    </row>
    <row r="1857" spans="1:18" ht="13.2" hidden="1" outlineLevel="2" x14ac:dyDescent="0.25">
      <c r="A1857" s="76"/>
      <c r="B1857" s="78" t="str">
        <f ca="1">IFERROR(__xludf.DUMMYFUNCTION("""COMPUTED_VALUE"""),"Energía solar")</f>
        <v>Energía solar</v>
      </c>
      <c r="C1857" s="77">
        <f ca="1">IFERROR(__xludf.DUMMYFUNCTION("""COMPUTED_VALUE"""),0)</f>
        <v>0</v>
      </c>
      <c r="D1857" s="77">
        <f ca="1">IFERROR(__xludf.DUMMYFUNCTION("""COMPUTED_VALUE"""),0)</f>
        <v>0</v>
      </c>
      <c r="E1857" s="77">
        <f ca="1">IFERROR(__xludf.DUMMYFUNCTION("""COMPUTED_VALUE"""),0)</f>
        <v>0</v>
      </c>
      <c r="F1857" s="77">
        <f ca="1">IFERROR(__xludf.DUMMYFUNCTION("""COMPUTED_VALUE"""),0)</f>
        <v>0</v>
      </c>
      <c r="G1857" s="77">
        <f ca="1">IFERROR(__xludf.DUMMYFUNCTION("""COMPUTED_VALUE"""),0)</f>
        <v>0</v>
      </c>
      <c r="H1857" s="77">
        <f ca="1">IFERROR(__xludf.DUMMYFUNCTION("""COMPUTED_VALUE"""),0)</f>
        <v>0</v>
      </c>
      <c r="I1857" s="77">
        <f ca="1">IFERROR(__xludf.DUMMYFUNCTION("""COMPUTED_VALUE"""),0)</f>
        <v>0</v>
      </c>
      <c r="J1857" s="77">
        <f ca="1">IFERROR(__xludf.DUMMYFUNCTION("""COMPUTED_VALUE"""),0)</f>
        <v>0</v>
      </c>
      <c r="K1857" s="77">
        <f ca="1">IFERROR(__xludf.DUMMYFUNCTION("""COMPUTED_VALUE"""),0)</f>
        <v>0</v>
      </c>
      <c r="L1857" s="77">
        <f ca="1">IFERROR(__xludf.DUMMYFUNCTION("""COMPUTED_VALUE"""),0)</f>
        <v>0</v>
      </c>
      <c r="M1857" s="77">
        <f ca="1">IFERROR(__xludf.DUMMYFUNCTION("""COMPUTED_VALUE"""),0)</f>
        <v>0</v>
      </c>
      <c r="N1857" s="77">
        <f ca="1">IFERROR(__xludf.DUMMYFUNCTION("""COMPUTED_VALUE"""),0)</f>
        <v>0</v>
      </c>
      <c r="O1857" s="77">
        <f ca="1">IFERROR(__xludf.DUMMYFUNCTION("""COMPUTED_VALUE"""),0)</f>
        <v>0</v>
      </c>
      <c r="P1857" s="77">
        <f ca="1">IFERROR(__xludf.DUMMYFUNCTION("""COMPUTED_VALUE"""),0)</f>
        <v>0</v>
      </c>
      <c r="Q1857" s="77">
        <f ca="1">IFERROR(__xludf.DUMMYFUNCTION("""COMPUTED_VALUE"""),0)</f>
        <v>0</v>
      </c>
    </row>
    <row r="1858" spans="1:18" ht="13.2" hidden="1" outlineLevel="2" x14ac:dyDescent="0.25">
      <c r="A1858" s="76"/>
      <c r="B1858" s="78" t="str">
        <f ca="1">IFERROR(__xludf.DUMMYFUNCTION("""COMPUTED_VALUE"""),"Leña")</f>
        <v>Leña</v>
      </c>
      <c r="C1858" s="77">
        <f ca="1">IFERROR(__xludf.DUMMYFUNCTION("""COMPUTED_VALUE"""),0)</f>
        <v>0</v>
      </c>
      <c r="D1858" s="77">
        <f ca="1">IFERROR(__xludf.DUMMYFUNCTION("""COMPUTED_VALUE"""),0)</f>
        <v>0</v>
      </c>
      <c r="E1858" s="77">
        <f ca="1">IFERROR(__xludf.DUMMYFUNCTION("""COMPUTED_VALUE"""),0)</f>
        <v>0</v>
      </c>
      <c r="F1858" s="77">
        <f ca="1">IFERROR(__xludf.DUMMYFUNCTION("""COMPUTED_VALUE"""),0)</f>
        <v>0</v>
      </c>
      <c r="G1858" s="77">
        <f ca="1">IFERROR(__xludf.DUMMYFUNCTION("""COMPUTED_VALUE"""),0)</f>
        <v>0</v>
      </c>
      <c r="H1858" s="77">
        <f ca="1">IFERROR(__xludf.DUMMYFUNCTION("""COMPUTED_VALUE"""),0)</f>
        <v>0</v>
      </c>
      <c r="I1858" s="77">
        <f ca="1">IFERROR(__xludf.DUMMYFUNCTION("""COMPUTED_VALUE"""),0)</f>
        <v>0</v>
      </c>
      <c r="J1858" s="77">
        <f ca="1">IFERROR(__xludf.DUMMYFUNCTION("""COMPUTED_VALUE"""),0)</f>
        <v>0</v>
      </c>
      <c r="K1858" s="77">
        <f ca="1">IFERROR(__xludf.DUMMYFUNCTION("""COMPUTED_VALUE"""),0)</f>
        <v>0</v>
      </c>
      <c r="L1858" s="77">
        <f ca="1">IFERROR(__xludf.DUMMYFUNCTION("""COMPUTED_VALUE"""),0)</f>
        <v>0</v>
      </c>
      <c r="M1858" s="77">
        <f ca="1">IFERROR(__xludf.DUMMYFUNCTION("""COMPUTED_VALUE"""),0)</f>
        <v>0</v>
      </c>
      <c r="N1858" s="77">
        <f ca="1">IFERROR(__xludf.DUMMYFUNCTION("""COMPUTED_VALUE"""),0)</f>
        <v>0</v>
      </c>
      <c r="O1858" s="77">
        <f ca="1">IFERROR(__xludf.DUMMYFUNCTION("""COMPUTED_VALUE"""),0)</f>
        <v>0</v>
      </c>
      <c r="P1858" s="77">
        <f ca="1">IFERROR(__xludf.DUMMYFUNCTION("""COMPUTED_VALUE"""),0)</f>
        <v>0</v>
      </c>
      <c r="Q1858" s="77">
        <f ca="1">IFERROR(__xludf.DUMMYFUNCTION("""COMPUTED_VALUE"""),0)</f>
        <v>0</v>
      </c>
    </row>
    <row r="1859" spans="1:18" ht="13.2" hidden="1" outlineLevel="2" x14ac:dyDescent="0.25">
      <c r="A1859" s="76"/>
      <c r="B1859" s="78" t="str">
        <f ca="1">IFERROR(__xludf.DUMMYFUNCTION("""COMPUTED_VALUE"""),"Gas licuado de petróleo")</f>
        <v>Gas licuado de petróleo</v>
      </c>
      <c r="C1859" s="77">
        <f ca="1">IFERROR(__xludf.DUMMYFUNCTION("""COMPUTED_VALUE"""),0)</f>
        <v>0</v>
      </c>
      <c r="D1859" s="77">
        <f ca="1">IFERROR(__xludf.DUMMYFUNCTION("""COMPUTED_VALUE"""),0)</f>
        <v>0</v>
      </c>
      <c r="E1859" s="77">
        <f ca="1">IFERROR(__xludf.DUMMYFUNCTION("""COMPUTED_VALUE"""),0)</f>
        <v>0</v>
      </c>
      <c r="F1859" s="77">
        <f ca="1">IFERROR(__xludf.DUMMYFUNCTION("""COMPUTED_VALUE"""),0)</f>
        <v>0</v>
      </c>
      <c r="G1859" s="77">
        <f ca="1">IFERROR(__xludf.DUMMYFUNCTION("""COMPUTED_VALUE"""),0)</f>
        <v>0</v>
      </c>
      <c r="H1859" s="77">
        <f ca="1">IFERROR(__xludf.DUMMYFUNCTION("""COMPUTED_VALUE"""),0)</f>
        <v>0</v>
      </c>
      <c r="I1859" s="77">
        <f ca="1">IFERROR(__xludf.DUMMYFUNCTION("""COMPUTED_VALUE"""),0)</f>
        <v>0</v>
      </c>
      <c r="J1859" s="77">
        <f ca="1">IFERROR(__xludf.DUMMYFUNCTION("""COMPUTED_VALUE"""),0)</f>
        <v>0</v>
      </c>
      <c r="K1859" s="77">
        <f ca="1">IFERROR(__xludf.DUMMYFUNCTION("""COMPUTED_VALUE"""),0)</f>
        <v>0</v>
      </c>
      <c r="L1859" s="77">
        <f ca="1">IFERROR(__xludf.DUMMYFUNCTION("""COMPUTED_VALUE"""),0)</f>
        <v>0</v>
      </c>
      <c r="M1859" s="77">
        <f ca="1">IFERROR(__xludf.DUMMYFUNCTION("""COMPUTED_VALUE"""),0)</f>
        <v>0</v>
      </c>
      <c r="N1859" s="77">
        <f ca="1">IFERROR(__xludf.DUMMYFUNCTION("""COMPUTED_VALUE"""),0)</f>
        <v>0</v>
      </c>
      <c r="O1859" s="77">
        <f ca="1">IFERROR(__xludf.DUMMYFUNCTION("""COMPUTED_VALUE"""),0)</f>
        <v>0</v>
      </c>
      <c r="P1859" s="77">
        <f ca="1">IFERROR(__xludf.DUMMYFUNCTION("""COMPUTED_VALUE"""),0)</f>
        <v>0</v>
      </c>
      <c r="Q1859" s="77">
        <f ca="1">IFERROR(__xludf.DUMMYFUNCTION("""COMPUTED_VALUE"""),0)</f>
        <v>0</v>
      </c>
    </row>
    <row r="1860" spans="1:18" ht="13.2" hidden="1" outlineLevel="2" x14ac:dyDescent="0.25">
      <c r="A1860" s="76"/>
      <c r="B1860" s="78" t="str">
        <f ca="1">IFERROR(__xludf.DUMMYFUNCTION("""COMPUTED_VALUE"""),"Gas natural seco")</f>
        <v>Gas natural seco</v>
      </c>
      <c r="C1860" s="77">
        <f ca="1">IFERROR(__xludf.DUMMYFUNCTION("""COMPUTED_VALUE"""),0)</f>
        <v>0</v>
      </c>
      <c r="D1860" s="77">
        <f ca="1">IFERROR(__xludf.DUMMYFUNCTION("""COMPUTED_VALUE"""),0)</f>
        <v>0</v>
      </c>
      <c r="E1860" s="77">
        <f ca="1">IFERROR(__xludf.DUMMYFUNCTION("""COMPUTED_VALUE"""),0)</f>
        <v>0</v>
      </c>
      <c r="F1860" s="77">
        <f ca="1">IFERROR(__xludf.DUMMYFUNCTION("""COMPUTED_VALUE"""),0)</f>
        <v>0</v>
      </c>
      <c r="G1860" s="77">
        <f ca="1">IFERROR(__xludf.DUMMYFUNCTION("""COMPUTED_VALUE"""),0)</f>
        <v>0</v>
      </c>
      <c r="H1860" s="77">
        <f ca="1">IFERROR(__xludf.DUMMYFUNCTION("""COMPUTED_VALUE"""),0)</f>
        <v>0</v>
      </c>
      <c r="I1860" s="77">
        <f ca="1">IFERROR(__xludf.DUMMYFUNCTION("""COMPUTED_VALUE"""),0)</f>
        <v>0</v>
      </c>
      <c r="J1860" s="77">
        <f ca="1">IFERROR(__xludf.DUMMYFUNCTION("""COMPUTED_VALUE"""),0)</f>
        <v>0</v>
      </c>
      <c r="K1860" s="77">
        <f ca="1">IFERROR(__xludf.DUMMYFUNCTION("""COMPUTED_VALUE"""),0)</f>
        <v>0</v>
      </c>
      <c r="L1860" s="77">
        <f ca="1">IFERROR(__xludf.DUMMYFUNCTION("""COMPUTED_VALUE"""),0)</f>
        <v>0</v>
      </c>
      <c r="M1860" s="77">
        <f ca="1">IFERROR(__xludf.DUMMYFUNCTION("""COMPUTED_VALUE"""),0)</f>
        <v>0</v>
      </c>
      <c r="N1860" s="77">
        <f ca="1">IFERROR(__xludf.DUMMYFUNCTION("""COMPUTED_VALUE"""),0)</f>
        <v>0</v>
      </c>
      <c r="O1860" s="77">
        <f ca="1">IFERROR(__xludf.DUMMYFUNCTION("""COMPUTED_VALUE"""),0)</f>
        <v>0</v>
      </c>
      <c r="P1860" s="77">
        <f ca="1">IFERROR(__xludf.DUMMYFUNCTION("""COMPUTED_VALUE"""),0)</f>
        <v>0</v>
      </c>
      <c r="Q1860" s="77">
        <f ca="1">IFERROR(__xludf.DUMMYFUNCTION("""COMPUTED_VALUE"""),0)</f>
        <v>0</v>
      </c>
    </row>
    <row r="1861" spans="1:18" ht="13.2" hidden="1" outlineLevel="2" x14ac:dyDescent="0.25">
      <c r="A1861" s="76"/>
      <c r="B1861" s="77" t="str">
        <f ca="1">IFERROR(__xludf.DUMMYFUNCTION("""COMPUTED_VALUE"""),"Energía eléctrica")</f>
        <v>Energía eléctrica</v>
      </c>
      <c r="C1861" s="77">
        <f ca="1">IFERROR(__xludf.DUMMYFUNCTION("""COMPUTED_VALUE"""),15.8681509888444)</f>
        <v>15.8681509888444</v>
      </c>
      <c r="D1861" s="77">
        <f ca="1">IFERROR(__xludf.DUMMYFUNCTION("""COMPUTED_VALUE"""),15.9097020495623)</f>
        <v>15.9097020495623</v>
      </c>
      <c r="E1861" s="77">
        <f ca="1">IFERROR(__xludf.DUMMYFUNCTION("""COMPUTED_VALUE"""),15.9025626384338)</f>
        <v>15.9025626384338</v>
      </c>
      <c r="F1861" s="77">
        <f ca="1">IFERROR(__xludf.DUMMYFUNCTION("""COMPUTED_VALUE"""),16.0413528655765)</f>
        <v>16.041352865576499</v>
      </c>
      <c r="G1861" s="77">
        <f ca="1">IFERROR(__xludf.DUMMYFUNCTION("""COMPUTED_VALUE"""),16.4836927885835)</f>
        <v>16.4836927885835</v>
      </c>
      <c r="H1861" s="77">
        <f ca="1">IFERROR(__xludf.DUMMYFUNCTION("""COMPUTED_VALUE"""),16.8938370125104)</f>
        <v>16.893837012510399</v>
      </c>
      <c r="I1861" s="77">
        <f ca="1">IFERROR(__xludf.DUMMYFUNCTION("""COMPUTED_VALUE"""),17.6358384638956)</f>
        <v>17.635838463895599</v>
      </c>
      <c r="J1861" s="77">
        <f ca="1">IFERROR(__xludf.DUMMYFUNCTION("""COMPUTED_VALUE"""),18.1503342711774)</f>
        <v>18.1503342711774</v>
      </c>
      <c r="K1861" s="77">
        <f ca="1">IFERROR(__xludf.DUMMYFUNCTION("""COMPUTED_VALUE"""),18.775616036907)</f>
        <v>18.775616036907</v>
      </c>
      <c r="L1861" s="77">
        <f ca="1">IFERROR(__xludf.DUMMYFUNCTION("""COMPUTED_VALUE"""),20.3551678264007)</f>
        <v>20.355167826400699</v>
      </c>
      <c r="M1861" s="77">
        <f ca="1">IFERROR(__xludf.DUMMYFUNCTION("""COMPUTED_VALUE"""),21.2853577742093)</f>
        <v>21.285357774209299</v>
      </c>
      <c r="N1861" s="77">
        <f ca="1">IFERROR(__xludf.DUMMYFUNCTION("""COMPUTED_VALUE"""),20.8020369059747)</f>
        <v>20.802036905974699</v>
      </c>
      <c r="O1861" s="77">
        <f ca="1">IFERROR(__xludf.DUMMYFUNCTION("""COMPUTED_VALUE"""),20.4256731537707)</f>
        <v>20.425673153770699</v>
      </c>
      <c r="P1861" s="77">
        <f ca="1">IFERROR(__xludf.DUMMYFUNCTION("""COMPUTED_VALUE"""),21.2568563163345)</f>
        <v>21.256856316334499</v>
      </c>
      <c r="Q1861" s="77">
        <f ca="1">IFERROR(__xludf.DUMMYFUNCTION("""COMPUTED_VALUE"""),21.6216897957553)</f>
        <v>21.621689795755302</v>
      </c>
    </row>
    <row r="1862" spans="1:18" ht="13.2" outlineLevel="1" collapsed="1" x14ac:dyDescent="0.25">
      <c r="A1862" s="71"/>
      <c r="B1862" s="72" t="str">
        <f ca="1">IFERROR(__xludf.DUMMYFUNCTION("""COMPUTED_VALUE"""),"Otros")</f>
        <v>Otros</v>
      </c>
      <c r="C1862" s="73"/>
      <c r="D1862" s="73"/>
      <c r="E1862" s="73"/>
      <c r="F1862" s="73"/>
      <c r="G1862" s="73"/>
      <c r="H1862" s="73"/>
      <c r="I1862" s="73"/>
      <c r="J1862" s="73"/>
      <c r="K1862" s="73"/>
      <c r="L1862" s="73"/>
      <c r="M1862" s="73"/>
      <c r="N1862" s="73"/>
      <c r="O1862" s="73"/>
      <c r="P1862" s="73"/>
      <c r="Q1862" s="74"/>
      <c r="R1862" s="75"/>
    </row>
    <row r="1863" spans="1:18" ht="13.2" hidden="1" outlineLevel="2" x14ac:dyDescent="0.25">
      <c r="A1863" s="76"/>
      <c r="B1863" s="78"/>
      <c r="C1863" s="77">
        <f ca="1">IFERROR(__xludf.DUMMYFUNCTION("""COMPUTED_VALUE"""),2010)</f>
        <v>2010</v>
      </c>
      <c r="D1863" s="77">
        <f ca="1">IFERROR(__xludf.DUMMYFUNCTION("""COMPUTED_VALUE"""),2011)</f>
        <v>2011</v>
      </c>
      <c r="E1863" s="77">
        <f ca="1">IFERROR(__xludf.DUMMYFUNCTION("""COMPUTED_VALUE"""),2012)</f>
        <v>2012</v>
      </c>
      <c r="F1863" s="77">
        <f ca="1">IFERROR(__xludf.DUMMYFUNCTION("""COMPUTED_VALUE"""),2013)</f>
        <v>2013</v>
      </c>
      <c r="G1863" s="77">
        <f ca="1">IFERROR(__xludf.DUMMYFUNCTION("""COMPUTED_VALUE"""),2014)</f>
        <v>2014</v>
      </c>
      <c r="H1863" s="77">
        <f ca="1">IFERROR(__xludf.DUMMYFUNCTION("""COMPUTED_VALUE"""),2015)</f>
        <v>2015</v>
      </c>
      <c r="I1863" s="77">
        <f ca="1">IFERROR(__xludf.DUMMYFUNCTION("""COMPUTED_VALUE"""),2016)</f>
        <v>2016</v>
      </c>
      <c r="J1863" s="77">
        <f ca="1">IFERROR(__xludf.DUMMYFUNCTION("""COMPUTED_VALUE"""),2017)</f>
        <v>2017</v>
      </c>
      <c r="K1863" s="77">
        <f ca="1">IFERROR(__xludf.DUMMYFUNCTION("""COMPUTED_VALUE"""),2018)</f>
        <v>2018</v>
      </c>
      <c r="L1863" s="77">
        <f ca="1">IFERROR(__xludf.DUMMYFUNCTION("""COMPUTED_VALUE"""),2019)</f>
        <v>2019</v>
      </c>
      <c r="M1863" s="77">
        <f ca="1">IFERROR(__xludf.DUMMYFUNCTION("""COMPUTED_VALUE"""),2020)</f>
        <v>2020</v>
      </c>
      <c r="N1863" s="77">
        <f ca="1">IFERROR(__xludf.DUMMYFUNCTION("""COMPUTED_VALUE"""),2021)</f>
        <v>2021</v>
      </c>
      <c r="O1863" s="77">
        <f ca="1">IFERROR(__xludf.DUMMYFUNCTION("""COMPUTED_VALUE"""),2022)</f>
        <v>2022</v>
      </c>
      <c r="P1863" s="77">
        <f ca="1">IFERROR(__xludf.DUMMYFUNCTION("""COMPUTED_VALUE"""),2023)</f>
        <v>2023</v>
      </c>
      <c r="Q1863" s="77">
        <f ca="1">IFERROR(__xludf.DUMMYFUNCTION("""COMPUTED_VALUE"""),2024)</f>
        <v>2024</v>
      </c>
    </row>
    <row r="1864" spans="1:18" ht="13.2" hidden="1" outlineLevel="2" x14ac:dyDescent="0.25">
      <c r="A1864" s="76"/>
      <c r="B1864" s="78" t="str">
        <f ca="1">IFERROR(__xludf.DUMMYFUNCTION("""COMPUTED_VALUE"""),"Energía solar")</f>
        <v>Energía solar</v>
      </c>
      <c r="C1864" s="77">
        <f ca="1">IFERROR(__xludf.DUMMYFUNCTION("""COMPUTED_VALUE"""),0)</f>
        <v>0</v>
      </c>
      <c r="D1864" s="77">
        <f ca="1">IFERROR(__xludf.DUMMYFUNCTION("""COMPUTED_VALUE"""),0)</f>
        <v>0</v>
      </c>
      <c r="E1864" s="77">
        <f ca="1">IFERROR(__xludf.DUMMYFUNCTION("""COMPUTED_VALUE"""),0)</f>
        <v>0</v>
      </c>
      <c r="F1864" s="77">
        <f ca="1">IFERROR(__xludf.DUMMYFUNCTION("""COMPUTED_VALUE"""),0)</f>
        <v>0</v>
      </c>
      <c r="G1864" s="77">
        <f ca="1">IFERROR(__xludf.DUMMYFUNCTION("""COMPUTED_VALUE"""),0)</f>
        <v>0</v>
      </c>
      <c r="H1864" s="77">
        <f ca="1">IFERROR(__xludf.DUMMYFUNCTION("""COMPUTED_VALUE"""),0)</f>
        <v>0</v>
      </c>
      <c r="I1864" s="77">
        <f ca="1">IFERROR(__xludf.DUMMYFUNCTION("""COMPUTED_VALUE"""),0)</f>
        <v>0</v>
      </c>
      <c r="J1864" s="77">
        <f ca="1">IFERROR(__xludf.DUMMYFUNCTION("""COMPUTED_VALUE"""),0)</f>
        <v>0</v>
      </c>
      <c r="K1864" s="77">
        <f ca="1">IFERROR(__xludf.DUMMYFUNCTION("""COMPUTED_VALUE"""),0)</f>
        <v>0</v>
      </c>
      <c r="L1864" s="77">
        <f ca="1">IFERROR(__xludf.DUMMYFUNCTION("""COMPUTED_VALUE"""),0)</f>
        <v>0</v>
      </c>
      <c r="M1864" s="77">
        <f ca="1">IFERROR(__xludf.DUMMYFUNCTION("""COMPUTED_VALUE"""),0)</f>
        <v>0</v>
      </c>
      <c r="N1864" s="77">
        <f ca="1">IFERROR(__xludf.DUMMYFUNCTION("""COMPUTED_VALUE"""),0)</f>
        <v>0</v>
      </c>
      <c r="O1864" s="77">
        <f ca="1">IFERROR(__xludf.DUMMYFUNCTION("""COMPUTED_VALUE"""),0)</f>
        <v>0</v>
      </c>
      <c r="P1864" s="77">
        <f ca="1">IFERROR(__xludf.DUMMYFUNCTION("""COMPUTED_VALUE"""),0)</f>
        <v>0</v>
      </c>
      <c r="Q1864" s="77">
        <f ca="1">IFERROR(__xludf.DUMMYFUNCTION("""COMPUTED_VALUE"""),0)</f>
        <v>0</v>
      </c>
    </row>
    <row r="1865" spans="1:18" ht="13.2" hidden="1" outlineLevel="2" x14ac:dyDescent="0.25">
      <c r="A1865" s="76"/>
      <c r="B1865" s="78" t="str">
        <f ca="1">IFERROR(__xludf.DUMMYFUNCTION("""COMPUTED_VALUE"""),"Leña")</f>
        <v>Leña</v>
      </c>
      <c r="C1865" s="77">
        <f ca="1">IFERROR(__xludf.DUMMYFUNCTION("""COMPUTED_VALUE"""),0)</f>
        <v>0</v>
      </c>
      <c r="D1865" s="77">
        <f ca="1">IFERROR(__xludf.DUMMYFUNCTION("""COMPUTED_VALUE"""),0)</f>
        <v>0</v>
      </c>
      <c r="E1865" s="77">
        <f ca="1">IFERROR(__xludf.DUMMYFUNCTION("""COMPUTED_VALUE"""),0)</f>
        <v>0</v>
      </c>
      <c r="F1865" s="77">
        <f ca="1">IFERROR(__xludf.DUMMYFUNCTION("""COMPUTED_VALUE"""),0)</f>
        <v>0</v>
      </c>
      <c r="G1865" s="77">
        <f ca="1">IFERROR(__xludf.DUMMYFUNCTION("""COMPUTED_VALUE"""),0)</f>
        <v>0</v>
      </c>
      <c r="H1865" s="77">
        <f ca="1">IFERROR(__xludf.DUMMYFUNCTION("""COMPUTED_VALUE"""),0)</f>
        <v>0</v>
      </c>
      <c r="I1865" s="77">
        <f ca="1">IFERROR(__xludf.DUMMYFUNCTION("""COMPUTED_VALUE"""),0)</f>
        <v>0</v>
      </c>
      <c r="J1865" s="77">
        <f ca="1">IFERROR(__xludf.DUMMYFUNCTION("""COMPUTED_VALUE"""),0)</f>
        <v>0</v>
      </c>
      <c r="K1865" s="77">
        <f ca="1">IFERROR(__xludf.DUMMYFUNCTION("""COMPUTED_VALUE"""),0)</f>
        <v>0</v>
      </c>
      <c r="L1865" s="77">
        <f ca="1">IFERROR(__xludf.DUMMYFUNCTION("""COMPUTED_VALUE"""),0)</f>
        <v>0</v>
      </c>
      <c r="M1865" s="77">
        <f ca="1">IFERROR(__xludf.DUMMYFUNCTION("""COMPUTED_VALUE"""),0)</f>
        <v>0</v>
      </c>
      <c r="N1865" s="77">
        <f ca="1">IFERROR(__xludf.DUMMYFUNCTION("""COMPUTED_VALUE"""),0)</f>
        <v>0</v>
      </c>
      <c r="O1865" s="77">
        <f ca="1">IFERROR(__xludf.DUMMYFUNCTION("""COMPUTED_VALUE"""),0)</f>
        <v>0</v>
      </c>
      <c r="P1865" s="77">
        <f ca="1">IFERROR(__xludf.DUMMYFUNCTION("""COMPUTED_VALUE"""),0)</f>
        <v>0</v>
      </c>
      <c r="Q1865" s="77">
        <f ca="1">IFERROR(__xludf.DUMMYFUNCTION("""COMPUTED_VALUE"""),0)</f>
        <v>0</v>
      </c>
    </row>
    <row r="1866" spans="1:18" ht="13.2" hidden="1" outlineLevel="2" x14ac:dyDescent="0.25">
      <c r="A1866" s="76"/>
      <c r="B1866" s="78" t="str">
        <f ca="1">IFERROR(__xludf.DUMMYFUNCTION("""COMPUTED_VALUE"""),"Gas licuado de petróleo")</f>
        <v>Gas licuado de petróleo</v>
      </c>
      <c r="C1866" s="77">
        <f ca="1">IFERROR(__xludf.DUMMYFUNCTION("""COMPUTED_VALUE"""),0)</f>
        <v>0</v>
      </c>
      <c r="D1866" s="77">
        <f ca="1">IFERROR(__xludf.DUMMYFUNCTION("""COMPUTED_VALUE"""),0)</f>
        <v>0</v>
      </c>
      <c r="E1866" s="77">
        <f ca="1">IFERROR(__xludf.DUMMYFUNCTION("""COMPUTED_VALUE"""),0)</f>
        <v>0</v>
      </c>
      <c r="F1866" s="77">
        <f ca="1">IFERROR(__xludf.DUMMYFUNCTION("""COMPUTED_VALUE"""),0)</f>
        <v>0</v>
      </c>
      <c r="G1866" s="77">
        <f ca="1">IFERROR(__xludf.DUMMYFUNCTION("""COMPUTED_VALUE"""),0)</f>
        <v>0</v>
      </c>
      <c r="H1866" s="77">
        <f ca="1">IFERROR(__xludf.DUMMYFUNCTION("""COMPUTED_VALUE"""),0)</f>
        <v>0</v>
      </c>
      <c r="I1866" s="77">
        <f ca="1">IFERROR(__xludf.DUMMYFUNCTION("""COMPUTED_VALUE"""),0)</f>
        <v>0</v>
      </c>
      <c r="J1866" s="77">
        <f ca="1">IFERROR(__xludf.DUMMYFUNCTION("""COMPUTED_VALUE"""),0)</f>
        <v>0</v>
      </c>
      <c r="K1866" s="77">
        <f ca="1">IFERROR(__xludf.DUMMYFUNCTION("""COMPUTED_VALUE"""),0)</f>
        <v>0</v>
      </c>
      <c r="L1866" s="77">
        <f ca="1">IFERROR(__xludf.DUMMYFUNCTION("""COMPUTED_VALUE"""),0)</f>
        <v>0</v>
      </c>
      <c r="M1866" s="77">
        <f ca="1">IFERROR(__xludf.DUMMYFUNCTION("""COMPUTED_VALUE"""),0)</f>
        <v>0</v>
      </c>
      <c r="N1866" s="77">
        <f ca="1">IFERROR(__xludf.DUMMYFUNCTION("""COMPUTED_VALUE"""),0)</f>
        <v>0</v>
      </c>
      <c r="O1866" s="77">
        <f ca="1">IFERROR(__xludf.DUMMYFUNCTION("""COMPUTED_VALUE"""),0)</f>
        <v>0</v>
      </c>
      <c r="P1866" s="77">
        <f ca="1">IFERROR(__xludf.DUMMYFUNCTION("""COMPUTED_VALUE"""),0)</f>
        <v>0</v>
      </c>
      <c r="Q1866" s="77">
        <f ca="1">IFERROR(__xludf.DUMMYFUNCTION("""COMPUTED_VALUE"""),0)</f>
        <v>0</v>
      </c>
    </row>
    <row r="1867" spans="1:18" ht="13.2" hidden="1" outlineLevel="2" x14ac:dyDescent="0.25">
      <c r="A1867" s="76"/>
      <c r="B1867" s="78" t="str">
        <f ca="1">IFERROR(__xludf.DUMMYFUNCTION("""COMPUTED_VALUE"""),"Gas natural seco")</f>
        <v>Gas natural seco</v>
      </c>
      <c r="C1867" s="77">
        <f ca="1">IFERROR(__xludf.DUMMYFUNCTION("""COMPUTED_VALUE"""),0)</f>
        <v>0</v>
      </c>
      <c r="D1867" s="77">
        <f ca="1">IFERROR(__xludf.DUMMYFUNCTION("""COMPUTED_VALUE"""),0)</f>
        <v>0</v>
      </c>
      <c r="E1867" s="77">
        <f ca="1">IFERROR(__xludf.DUMMYFUNCTION("""COMPUTED_VALUE"""),0)</f>
        <v>0</v>
      </c>
      <c r="F1867" s="77">
        <f ca="1">IFERROR(__xludf.DUMMYFUNCTION("""COMPUTED_VALUE"""),0)</f>
        <v>0</v>
      </c>
      <c r="G1867" s="77">
        <f ca="1">IFERROR(__xludf.DUMMYFUNCTION("""COMPUTED_VALUE"""),0)</f>
        <v>0</v>
      </c>
      <c r="H1867" s="77">
        <f ca="1">IFERROR(__xludf.DUMMYFUNCTION("""COMPUTED_VALUE"""),0)</f>
        <v>0</v>
      </c>
      <c r="I1867" s="77">
        <f ca="1">IFERROR(__xludf.DUMMYFUNCTION("""COMPUTED_VALUE"""),0)</f>
        <v>0</v>
      </c>
      <c r="J1867" s="77">
        <f ca="1">IFERROR(__xludf.DUMMYFUNCTION("""COMPUTED_VALUE"""),0)</f>
        <v>0</v>
      </c>
      <c r="K1867" s="77">
        <f ca="1">IFERROR(__xludf.DUMMYFUNCTION("""COMPUTED_VALUE"""),0)</f>
        <v>0</v>
      </c>
      <c r="L1867" s="77">
        <f ca="1">IFERROR(__xludf.DUMMYFUNCTION("""COMPUTED_VALUE"""),0)</f>
        <v>0</v>
      </c>
      <c r="M1867" s="77">
        <f ca="1">IFERROR(__xludf.DUMMYFUNCTION("""COMPUTED_VALUE"""),0)</f>
        <v>0</v>
      </c>
      <c r="N1867" s="77">
        <f ca="1">IFERROR(__xludf.DUMMYFUNCTION("""COMPUTED_VALUE"""),0)</f>
        <v>0</v>
      </c>
      <c r="O1867" s="77">
        <f ca="1">IFERROR(__xludf.DUMMYFUNCTION("""COMPUTED_VALUE"""),0)</f>
        <v>0</v>
      </c>
      <c r="P1867" s="77">
        <f ca="1">IFERROR(__xludf.DUMMYFUNCTION("""COMPUTED_VALUE"""),0)</f>
        <v>0</v>
      </c>
      <c r="Q1867" s="77">
        <f ca="1">IFERROR(__xludf.DUMMYFUNCTION("""COMPUTED_VALUE"""),0)</f>
        <v>0</v>
      </c>
    </row>
    <row r="1868" spans="1:18" ht="13.2" hidden="1" outlineLevel="2" x14ac:dyDescent="0.25">
      <c r="A1868" s="76"/>
      <c r="B1868" s="77" t="str">
        <f ca="1">IFERROR(__xludf.DUMMYFUNCTION("""COMPUTED_VALUE"""),"Energía eléctrica")</f>
        <v>Energía eléctrica</v>
      </c>
      <c r="C1868" s="77">
        <f ca="1">IFERROR(__xludf.DUMMYFUNCTION("""COMPUTED_VALUE"""),34.1543853567363)</f>
        <v>34.154385356736299</v>
      </c>
      <c r="D1868" s="77">
        <f ca="1">IFERROR(__xludf.DUMMYFUNCTION("""COMPUTED_VALUE"""),34.0012514407108)</f>
        <v>34.001251440710803</v>
      </c>
      <c r="E1868" s="77">
        <f ca="1">IFERROR(__xludf.DUMMYFUNCTION("""COMPUTED_VALUE"""),34.905015510248)</f>
        <v>34.905015510247999</v>
      </c>
      <c r="F1868" s="77">
        <f ca="1">IFERROR(__xludf.DUMMYFUNCTION("""COMPUTED_VALUE"""),34.8349617994938)</f>
        <v>34.834961799493797</v>
      </c>
      <c r="G1868" s="77">
        <f ca="1">IFERROR(__xludf.DUMMYFUNCTION("""COMPUTED_VALUE"""),36.4803922313282)</f>
        <v>36.480392231328203</v>
      </c>
      <c r="H1868" s="77">
        <f ca="1">IFERROR(__xludf.DUMMYFUNCTION("""COMPUTED_VALUE"""),36.9656199612183)</f>
        <v>36.965619961218302</v>
      </c>
      <c r="I1868" s="77">
        <f ca="1">IFERROR(__xludf.DUMMYFUNCTION("""COMPUTED_VALUE"""),38.9450928219101)</f>
        <v>38.945092821910102</v>
      </c>
      <c r="J1868" s="77">
        <f ca="1">IFERROR(__xludf.DUMMYFUNCTION("""COMPUTED_VALUE"""),40.0743360038982)</f>
        <v>40.074336003898203</v>
      </c>
      <c r="K1868" s="77">
        <f ca="1">IFERROR(__xludf.DUMMYFUNCTION("""COMPUTED_VALUE"""),42.3972707513454)</f>
        <v>42.397270751345403</v>
      </c>
      <c r="L1868" s="77">
        <f ca="1">IFERROR(__xludf.DUMMYFUNCTION("""COMPUTED_VALUE"""),45.7481886489809)</f>
        <v>45.7481886489809</v>
      </c>
      <c r="M1868" s="77">
        <f ca="1">IFERROR(__xludf.DUMMYFUNCTION("""COMPUTED_VALUE"""),48.5166737087958)</f>
        <v>48.5166737087958</v>
      </c>
      <c r="N1868" s="77">
        <f ca="1">IFERROR(__xludf.DUMMYFUNCTION("""COMPUTED_VALUE"""),47.31616801584)</f>
        <v>47.316168015839999</v>
      </c>
      <c r="O1868" s="77">
        <f ca="1">IFERROR(__xludf.DUMMYFUNCTION("""COMPUTED_VALUE"""),49.9154976053759)</f>
        <v>49.915497605375897</v>
      </c>
      <c r="P1868" s="77">
        <f ca="1">IFERROR(__xludf.DUMMYFUNCTION("""COMPUTED_VALUE"""),52.1563696952366)</f>
        <v>52.156369695236599</v>
      </c>
      <c r="Q1868" s="77">
        <f ca="1">IFERROR(__xludf.DUMMYFUNCTION("""COMPUTED_VALUE"""),52.4693682206597)</f>
        <v>52.469368220659703</v>
      </c>
    </row>
    <row r="1869" spans="1:18" ht="13.2" outlineLevel="1" collapsed="1" x14ac:dyDescent="0.25">
      <c r="A1869" s="71"/>
      <c r="B1869" s="72" t="str">
        <f ca="1">IFERROR(__xludf.DUMMYFUNCTION("""COMPUTED_VALUE"""),"Stand by")</f>
        <v>Stand by</v>
      </c>
      <c r="C1869" s="73"/>
      <c r="D1869" s="73"/>
      <c r="E1869" s="73"/>
      <c r="F1869" s="73"/>
      <c r="G1869" s="73"/>
      <c r="H1869" s="73"/>
      <c r="I1869" s="73"/>
      <c r="J1869" s="73"/>
      <c r="K1869" s="73"/>
      <c r="L1869" s="73"/>
      <c r="M1869" s="73"/>
      <c r="N1869" s="73"/>
      <c r="O1869" s="73"/>
      <c r="P1869" s="73"/>
      <c r="Q1869" s="74"/>
      <c r="R1869" s="75"/>
    </row>
    <row r="1870" spans="1:18" ht="13.2" hidden="1" outlineLevel="2" x14ac:dyDescent="0.25">
      <c r="A1870" s="76"/>
      <c r="B1870" s="78"/>
      <c r="C1870" s="77">
        <f ca="1">IFERROR(__xludf.DUMMYFUNCTION("""COMPUTED_VALUE"""),2010)</f>
        <v>2010</v>
      </c>
      <c r="D1870" s="77">
        <f ca="1">IFERROR(__xludf.DUMMYFUNCTION("""COMPUTED_VALUE"""),2011)</f>
        <v>2011</v>
      </c>
      <c r="E1870" s="77">
        <f ca="1">IFERROR(__xludf.DUMMYFUNCTION("""COMPUTED_VALUE"""),2012)</f>
        <v>2012</v>
      </c>
      <c r="F1870" s="77">
        <f ca="1">IFERROR(__xludf.DUMMYFUNCTION("""COMPUTED_VALUE"""),2013)</f>
        <v>2013</v>
      </c>
      <c r="G1870" s="77">
        <f ca="1">IFERROR(__xludf.DUMMYFUNCTION("""COMPUTED_VALUE"""),2014)</f>
        <v>2014</v>
      </c>
      <c r="H1870" s="77">
        <f ca="1">IFERROR(__xludf.DUMMYFUNCTION("""COMPUTED_VALUE"""),2015)</f>
        <v>2015</v>
      </c>
      <c r="I1870" s="77">
        <f ca="1">IFERROR(__xludf.DUMMYFUNCTION("""COMPUTED_VALUE"""),2016)</f>
        <v>2016</v>
      </c>
      <c r="J1870" s="77">
        <f ca="1">IFERROR(__xludf.DUMMYFUNCTION("""COMPUTED_VALUE"""),2017)</f>
        <v>2017</v>
      </c>
      <c r="K1870" s="77">
        <f ca="1">IFERROR(__xludf.DUMMYFUNCTION("""COMPUTED_VALUE"""),2018)</f>
        <v>2018</v>
      </c>
      <c r="L1870" s="77">
        <f ca="1">IFERROR(__xludf.DUMMYFUNCTION("""COMPUTED_VALUE"""),2019)</f>
        <v>2019</v>
      </c>
      <c r="M1870" s="77">
        <f ca="1">IFERROR(__xludf.DUMMYFUNCTION("""COMPUTED_VALUE"""),2020)</f>
        <v>2020</v>
      </c>
      <c r="N1870" s="77">
        <f ca="1">IFERROR(__xludf.DUMMYFUNCTION("""COMPUTED_VALUE"""),2021)</f>
        <v>2021</v>
      </c>
      <c r="O1870" s="77">
        <f ca="1">IFERROR(__xludf.DUMMYFUNCTION("""COMPUTED_VALUE"""),2022)</f>
        <v>2022</v>
      </c>
      <c r="P1870" s="77">
        <f ca="1">IFERROR(__xludf.DUMMYFUNCTION("""COMPUTED_VALUE"""),2023)</f>
        <v>2023</v>
      </c>
      <c r="Q1870" s="77">
        <f ca="1">IFERROR(__xludf.DUMMYFUNCTION("""COMPUTED_VALUE"""),2024)</f>
        <v>2024</v>
      </c>
    </row>
    <row r="1871" spans="1:18" ht="13.2" hidden="1" outlineLevel="2" x14ac:dyDescent="0.25">
      <c r="A1871" s="76"/>
      <c r="B1871" s="78" t="str">
        <f ca="1">IFERROR(__xludf.DUMMYFUNCTION("""COMPUTED_VALUE"""),"Energía solar")</f>
        <v>Energía solar</v>
      </c>
      <c r="C1871" s="77">
        <f ca="1">IFERROR(__xludf.DUMMYFUNCTION("""COMPUTED_VALUE"""),0)</f>
        <v>0</v>
      </c>
      <c r="D1871" s="77">
        <f ca="1">IFERROR(__xludf.DUMMYFUNCTION("""COMPUTED_VALUE"""),0)</f>
        <v>0</v>
      </c>
      <c r="E1871" s="77">
        <f ca="1">IFERROR(__xludf.DUMMYFUNCTION("""COMPUTED_VALUE"""),0)</f>
        <v>0</v>
      </c>
      <c r="F1871" s="77">
        <f ca="1">IFERROR(__xludf.DUMMYFUNCTION("""COMPUTED_VALUE"""),0)</f>
        <v>0</v>
      </c>
      <c r="G1871" s="77">
        <f ca="1">IFERROR(__xludf.DUMMYFUNCTION("""COMPUTED_VALUE"""),0)</f>
        <v>0</v>
      </c>
      <c r="H1871" s="77">
        <f ca="1">IFERROR(__xludf.DUMMYFUNCTION("""COMPUTED_VALUE"""),0)</f>
        <v>0</v>
      </c>
      <c r="I1871" s="77">
        <f ca="1">IFERROR(__xludf.DUMMYFUNCTION("""COMPUTED_VALUE"""),0)</f>
        <v>0</v>
      </c>
      <c r="J1871" s="77">
        <f ca="1">IFERROR(__xludf.DUMMYFUNCTION("""COMPUTED_VALUE"""),0)</f>
        <v>0</v>
      </c>
      <c r="K1871" s="77">
        <f ca="1">IFERROR(__xludf.DUMMYFUNCTION("""COMPUTED_VALUE"""),0)</f>
        <v>0</v>
      </c>
      <c r="L1871" s="77">
        <f ca="1">IFERROR(__xludf.DUMMYFUNCTION("""COMPUTED_VALUE"""),0)</f>
        <v>0</v>
      </c>
      <c r="M1871" s="77">
        <f ca="1">IFERROR(__xludf.DUMMYFUNCTION("""COMPUTED_VALUE"""),0)</f>
        <v>0</v>
      </c>
      <c r="N1871" s="77">
        <f ca="1">IFERROR(__xludf.DUMMYFUNCTION("""COMPUTED_VALUE"""),0)</f>
        <v>0</v>
      </c>
      <c r="O1871" s="77">
        <f ca="1">IFERROR(__xludf.DUMMYFUNCTION("""COMPUTED_VALUE"""),0)</f>
        <v>0</v>
      </c>
      <c r="P1871" s="77">
        <f ca="1">IFERROR(__xludf.DUMMYFUNCTION("""COMPUTED_VALUE"""),0)</f>
        <v>0</v>
      </c>
      <c r="Q1871" s="77">
        <f ca="1">IFERROR(__xludf.DUMMYFUNCTION("""COMPUTED_VALUE"""),0)</f>
        <v>0</v>
      </c>
    </row>
    <row r="1872" spans="1:18" ht="13.2" hidden="1" outlineLevel="2" x14ac:dyDescent="0.25">
      <c r="A1872" s="76"/>
      <c r="B1872" s="78" t="str">
        <f ca="1">IFERROR(__xludf.DUMMYFUNCTION("""COMPUTED_VALUE"""),"Leña")</f>
        <v>Leña</v>
      </c>
      <c r="C1872" s="77">
        <f ca="1">IFERROR(__xludf.DUMMYFUNCTION("""COMPUTED_VALUE"""),0)</f>
        <v>0</v>
      </c>
      <c r="D1872" s="77">
        <f ca="1">IFERROR(__xludf.DUMMYFUNCTION("""COMPUTED_VALUE"""),0)</f>
        <v>0</v>
      </c>
      <c r="E1872" s="77">
        <f ca="1">IFERROR(__xludf.DUMMYFUNCTION("""COMPUTED_VALUE"""),0)</f>
        <v>0</v>
      </c>
      <c r="F1872" s="77">
        <f ca="1">IFERROR(__xludf.DUMMYFUNCTION("""COMPUTED_VALUE"""),0)</f>
        <v>0</v>
      </c>
      <c r="G1872" s="77">
        <f ca="1">IFERROR(__xludf.DUMMYFUNCTION("""COMPUTED_VALUE"""),0)</f>
        <v>0</v>
      </c>
      <c r="H1872" s="77">
        <f ca="1">IFERROR(__xludf.DUMMYFUNCTION("""COMPUTED_VALUE"""),0)</f>
        <v>0</v>
      </c>
      <c r="I1872" s="77">
        <f ca="1">IFERROR(__xludf.DUMMYFUNCTION("""COMPUTED_VALUE"""),0)</f>
        <v>0</v>
      </c>
      <c r="J1872" s="77">
        <f ca="1">IFERROR(__xludf.DUMMYFUNCTION("""COMPUTED_VALUE"""),0)</f>
        <v>0</v>
      </c>
      <c r="K1872" s="77">
        <f ca="1">IFERROR(__xludf.DUMMYFUNCTION("""COMPUTED_VALUE"""),0)</f>
        <v>0</v>
      </c>
      <c r="L1872" s="77">
        <f ca="1">IFERROR(__xludf.DUMMYFUNCTION("""COMPUTED_VALUE"""),0)</f>
        <v>0</v>
      </c>
      <c r="M1872" s="77">
        <f ca="1">IFERROR(__xludf.DUMMYFUNCTION("""COMPUTED_VALUE"""),0)</f>
        <v>0</v>
      </c>
      <c r="N1872" s="77">
        <f ca="1">IFERROR(__xludf.DUMMYFUNCTION("""COMPUTED_VALUE"""),0)</f>
        <v>0</v>
      </c>
      <c r="O1872" s="77">
        <f ca="1">IFERROR(__xludf.DUMMYFUNCTION("""COMPUTED_VALUE"""),0)</f>
        <v>0</v>
      </c>
      <c r="P1872" s="77">
        <f ca="1">IFERROR(__xludf.DUMMYFUNCTION("""COMPUTED_VALUE"""),0)</f>
        <v>0</v>
      </c>
      <c r="Q1872" s="77">
        <f ca="1">IFERROR(__xludf.DUMMYFUNCTION("""COMPUTED_VALUE"""),0)</f>
        <v>0</v>
      </c>
    </row>
    <row r="1873" spans="1:18" ht="13.2" hidden="1" outlineLevel="2" x14ac:dyDescent="0.25">
      <c r="A1873" s="76"/>
      <c r="B1873" s="78" t="str">
        <f ca="1">IFERROR(__xludf.DUMMYFUNCTION("""COMPUTED_VALUE"""),"Gas licuado de petróleo")</f>
        <v>Gas licuado de petróleo</v>
      </c>
      <c r="C1873" s="77">
        <f ca="1">IFERROR(__xludf.DUMMYFUNCTION("""COMPUTED_VALUE"""),0)</f>
        <v>0</v>
      </c>
      <c r="D1873" s="77">
        <f ca="1">IFERROR(__xludf.DUMMYFUNCTION("""COMPUTED_VALUE"""),0)</f>
        <v>0</v>
      </c>
      <c r="E1873" s="77">
        <f ca="1">IFERROR(__xludf.DUMMYFUNCTION("""COMPUTED_VALUE"""),0)</f>
        <v>0</v>
      </c>
      <c r="F1873" s="77">
        <f ca="1">IFERROR(__xludf.DUMMYFUNCTION("""COMPUTED_VALUE"""),0)</f>
        <v>0</v>
      </c>
      <c r="G1873" s="77">
        <f ca="1">IFERROR(__xludf.DUMMYFUNCTION("""COMPUTED_VALUE"""),0)</f>
        <v>0</v>
      </c>
      <c r="H1873" s="77">
        <f ca="1">IFERROR(__xludf.DUMMYFUNCTION("""COMPUTED_VALUE"""),0)</f>
        <v>0</v>
      </c>
      <c r="I1873" s="77">
        <f ca="1">IFERROR(__xludf.DUMMYFUNCTION("""COMPUTED_VALUE"""),0)</f>
        <v>0</v>
      </c>
      <c r="J1873" s="77">
        <f ca="1">IFERROR(__xludf.DUMMYFUNCTION("""COMPUTED_VALUE"""),0)</f>
        <v>0</v>
      </c>
      <c r="K1873" s="77">
        <f ca="1">IFERROR(__xludf.DUMMYFUNCTION("""COMPUTED_VALUE"""),0)</f>
        <v>0</v>
      </c>
      <c r="L1873" s="77">
        <f ca="1">IFERROR(__xludf.DUMMYFUNCTION("""COMPUTED_VALUE"""),0)</f>
        <v>0</v>
      </c>
      <c r="M1873" s="77">
        <f ca="1">IFERROR(__xludf.DUMMYFUNCTION("""COMPUTED_VALUE"""),0)</f>
        <v>0</v>
      </c>
      <c r="N1873" s="77">
        <f ca="1">IFERROR(__xludf.DUMMYFUNCTION("""COMPUTED_VALUE"""),0)</f>
        <v>0</v>
      </c>
      <c r="O1873" s="77">
        <f ca="1">IFERROR(__xludf.DUMMYFUNCTION("""COMPUTED_VALUE"""),0)</f>
        <v>0</v>
      </c>
      <c r="P1873" s="77">
        <f ca="1">IFERROR(__xludf.DUMMYFUNCTION("""COMPUTED_VALUE"""),0)</f>
        <v>0</v>
      </c>
      <c r="Q1873" s="77">
        <f ca="1">IFERROR(__xludf.DUMMYFUNCTION("""COMPUTED_VALUE"""),0)</f>
        <v>0</v>
      </c>
    </row>
    <row r="1874" spans="1:18" ht="13.2" hidden="1" outlineLevel="2" x14ac:dyDescent="0.25">
      <c r="A1874" s="76"/>
      <c r="B1874" s="78" t="str">
        <f ca="1">IFERROR(__xludf.DUMMYFUNCTION("""COMPUTED_VALUE"""),"Gas natural seco")</f>
        <v>Gas natural seco</v>
      </c>
      <c r="C1874" s="77">
        <f ca="1">IFERROR(__xludf.DUMMYFUNCTION("""COMPUTED_VALUE"""),0)</f>
        <v>0</v>
      </c>
      <c r="D1874" s="77">
        <f ca="1">IFERROR(__xludf.DUMMYFUNCTION("""COMPUTED_VALUE"""),0)</f>
        <v>0</v>
      </c>
      <c r="E1874" s="77">
        <f ca="1">IFERROR(__xludf.DUMMYFUNCTION("""COMPUTED_VALUE"""),0)</f>
        <v>0</v>
      </c>
      <c r="F1874" s="77">
        <f ca="1">IFERROR(__xludf.DUMMYFUNCTION("""COMPUTED_VALUE"""),0)</f>
        <v>0</v>
      </c>
      <c r="G1874" s="77">
        <f ca="1">IFERROR(__xludf.DUMMYFUNCTION("""COMPUTED_VALUE"""),0)</f>
        <v>0</v>
      </c>
      <c r="H1874" s="77">
        <f ca="1">IFERROR(__xludf.DUMMYFUNCTION("""COMPUTED_VALUE"""),0)</f>
        <v>0</v>
      </c>
      <c r="I1874" s="77">
        <f ca="1">IFERROR(__xludf.DUMMYFUNCTION("""COMPUTED_VALUE"""),0)</f>
        <v>0</v>
      </c>
      <c r="J1874" s="77">
        <f ca="1">IFERROR(__xludf.DUMMYFUNCTION("""COMPUTED_VALUE"""),0)</f>
        <v>0</v>
      </c>
      <c r="K1874" s="77">
        <f ca="1">IFERROR(__xludf.DUMMYFUNCTION("""COMPUTED_VALUE"""),0)</f>
        <v>0</v>
      </c>
      <c r="L1874" s="77">
        <f ca="1">IFERROR(__xludf.DUMMYFUNCTION("""COMPUTED_VALUE"""),0)</f>
        <v>0</v>
      </c>
      <c r="M1874" s="77">
        <f ca="1">IFERROR(__xludf.DUMMYFUNCTION("""COMPUTED_VALUE"""),0)</f>
        <v>0</v>
      </c>
      <c r="N1874" s="77">
        <f ca="1">IFERROR(__xludf.DUMMYFUNCTION("""COMPUTED_VALUE"""),0)</f>
        <v>0</v>
      </c>
      <c r="O1874" s="77">
        <f ca="1">IFERROR(__xludf.DUMMYFUNCTION("""COMPUTED_VALUE"""),0)</f>
        <v>0</v>
      </c>
      <c r="P1874" s="77">
        <f ca="1">IFERROR(__xludf.DUMMYFUNCTION("""COMPUTED_VALUE"""),0)</f>
        <v>0</v>
      </c>
      <c r="Q1874" s="77">
        <f ca="1">IFERROR(__xludf.DUMMYFUNCTION("""COMPUTED_VALUE"""),0)</f>
        <v>0</v>
      </c>
    </row>
    <row r="1875" spans="1:18" ht="13.2" hidden="1" outlineLevel="2" x14ac:dyDescent="0.25">
      <c r="A1875" s="76"/>
      <c r="B1875" s="77" t="str">
        <f ca="1">IFERROR(__xludf.DUMMYFUNCTION("""COMPUTED_VALUE"""),"Energía eléctrica")</f>
        <v>Energía eléctrica</v>
      </c>
      <c r="C1875" s="77">
        <f ca="1">IFERROR(__xludf.DUMMYFUNCTION("""COMPUTED_VALUE"""),10.8066979442163)</f>
        <v>10.8066979442163</v>
      </c>
      <c r="D1875" s="77">
        <f ca="1">IFERROR(__xludf.DUMMYFUNCTION("""COMPUTED_VALUE"""),10.9432189587259)</f>
        <v>10.9432189587259</v>
      </c>
      <c r="E1875" s="77">
        <f ca="1">IFERROR(__xludf.DUMMYFUNCTION("""COMPUTED_VALUE"""),10.8388538500222)</f>
        <v>10.8388538500222</v>
      </c>
      <c r="F1875" s="77">
        <f ca="1">IFERROR(__xludf.DUMMYFUNCTION("""COMPUTED_VALUE"""),11.0827143141974)</f>
        <v>11.0827143141974</v>
      </c>
      <c r="G1875" s="77">
        <f ca="1">IFERROR(__xludf.DUMMYFUNCTION("""COMPUTED_VALUE"""),11.4454228655091)</f>
        <v>11.4454228655091</v>
      </c>
      <c r="H1875" s="77">
        <f ca="1">IFERROR(__xludf.DUMMYFUNCTION("""COMPUTED_VALUE"""),11.6849566590616)</f>
        <v>11.6849566590616</v>
      </c>
      <c r="I1875" s="77">
        <f ca="1">IFERROR(__xludf.DUMMYFUNCTION("""COMPUTED_VALUE"""),12.2795173672568)</f>
        <v>12.279517367256799</v>
      </c>
      <c r="J1875" s="77">
        <f ca="1">IFERROR(__xludf.DUMMYFUNCTION("""COMPUTED_VALUE"""),12.5582004772615)</f>
        <v>12.558200477261501</v>
      </c>
      <c r="K1875" s="77">
        <f ca="1">IFERROR(__xludf.DUMMYFUNCTION("""COMPUTED_VALUE"""),13.0367538432612)</f>
        <v>13.0367538432612</v>
      </c>
      <c r="L1875" s="77">
        <f ca="1">IFERROR(__xludf.DUMMYFUNCTION("""COMPUTED_VALUE"""),14.2808960701723)</f>
        <v>14.2808960701723</v>
      </c>
      <c r="M1875" s="77">
        <f ca="1">IFERROR(__xludf.DUMMYFUNCTION("""COMPUTED_VALUE"""),14.883075957888)</f>
        <v>14.883075957888</v>
      </c>
      <c r="N1875" s="77">
        <f ca="1">IFERROR(__xludf.DUMMYFUNCTION("""COMPUTED_VALUE"""),14.6538255795088)</f>
        <v>14.653825579508799</v>
      </c>
      <c r="O1875" s="77">
        <f ca="1">IFERROR(__xludf.DUMMYFUNCTION("""COMPUTED_VALUE"""),15.1081492845119)</f>
        <v>15.108149284511899</v>
      </c>
      <c r="P1875" s="77">
        <f ca="1">IFERROR(__xludf.DUMMYFUNCTION("""COMPUTED_VALUE"""),15.6639278711389)</f>
        <v>15.663927871138901</v>
      </c>
      <c r="Q1875" s="77">
        <f ca="1">IFERROR(__xludf.DUMMYFUNCTION("""COMPUTED_VALUE"""),16.073592637041)</f>
        <v>16.073592637040999</v>
      </c>
    </row>
    <row r="1876" spans="1:18" ht="13.2" outlineLevel="1" collapsed="1" x14ac:dyDescent="0.25">
      <c r="A1876" s="71"/>
      <c r="B1876" s="72" t="str">
        <f ca="1">IFERROR(__xludf.DUMMYFUNCTION("""COMPUTED_VALUE"""),"Climatización")</f>
        <v>Climatización</v>
      </c>
      <c r="C1876" s="73"/>
      <c r="D1876" s="73"/>
      <c r="E1876" s="73"/>
      <c r="F1876" s="73"/>
      <c r="G1876" s="73"/>
      <c r="H1876" s="73"/>
      <c r="I1876" s="73"/>
      <c r="J1876" s="73"/>
      <c r="K1876" s="73"/>
      <c r="L1876" s="73"/>
      <c r="M1876" s="73"/>
      <c r="N1876" s="73"/>
      <c r="O1876" s="73"/>
      <c r="P1876" s="73"/>
      <c r="Q1876" s="74"/>
      <c r="R1876" s="75"/>
    </row>
    <row r="1877" spans="1:18" ht="13.2" hidden="1" outlineLevel="2" x14ac:dyDescent="0.25">
      <c r="A1877" s="76"/>
      <c r="B1877" s="78"/>
      <c r="C1877" s="77">
        <f ca="1">IFERROR(__xludf.DUMMYFUNCTION("""COMPUTED_VALUE"""),2010)</f>
        <v>2010</v>
      </c>
      <c r="D1877" s="77">
        <f ca="1">IFERROR(__xludf.DUMMYFUNCTION("""COMPUTED_VALUE"""),2011)</f>
        <v>2011</v>
      </c>
      <c r="E1877" s="77">
        <f ca="1">IFERROR(__xludf.DUMMYFUNCTION("""COMPUTED_VALUE"""),2012)</f>
        <v>2012</v>
      </c>
      <c r="F1877" s="77">
        <f ca="1">IFERROR(__xludf.DUMMYFUNCTION("""COMPUTED_VALUE"""),2013)</f>
        <v>2013</v>
      </c>
      <c r="G1877" s="77">
        <f ca="1">IFERROR(__xludf.DUMMYFUNCTION("""COMPUTED_VALUE"""),2014)</f>
        <v>2014</v>
      </c>
      <c r="H1877" s="77">
        <f ca="1">IFERROR(__xludf.DUMMYFUNCTION("""COMPUTED_VALUE"""),2015)</f>
        <v>2015</v>
      </c>
      <c r="I1877" s="77">
        <f ca="1">IFERROR(__xludf.DUMMYFUNCTION("""COMPUTED_VALUE"""),2016)</f>
        <v>2016</v>
      </c>
      <c r="J1877" s="77">
        <f ca="1">IFERROR(__xludf.DUMMYFUNCTION("""COMPUTED_VALUE"""),2017)</f>
        <v>2017</v>
      </c>
      <c r="K1877" s="77">
        <f ca="1">IFERROR(__xludf.DUMMYFUNCTION("""COMPUTED_VALUE"""),2018)</f>
        <v>2018</v>
      </c>
      <c r="L1877" s="77">
        <f ca="1">IFERROR(__xludf.DUMMYFUNCTION("""COMPUTED_VALUE"""),2019)</f>
        <v>2019</v>
      </c>
      <c r="M1877" s="77">
        <f ca="1">IFERROR(__xludf.DUMMYFUNCTION("""COMPUTED_VALUE"""),2020)</f>
        <v>2020</v>
      </c>
      <c r="N1877" s="77">
        <f ca="1">IFERROR(__xludf.DUMMYFUNCTION("""COMPUTED_VALUE"""),2021)</f>
        <v>2021</v>
      </c>
      <c r="O1877" s="77">
        <f ca="1">IFERROR(__xludf.DUMMYFUNCTION("""COMPUTED_VALUE"""),2022)</f>
        <v>2022</v>
      </c>
      <c r="P1877" s="77">
        <f ca="1">IFERROR(__xludf.DUMMYFUNCTION("""COMPUTED_VALUE"""),2023)</f>
        <v>2023</v>
      </c>
      <c r="Q1877" s="77">
        <f ca="1">IFERROR(__xludf.DUMMYFUNCTION("""COMPUTED_VALUE"""),2024)</f>
        <v>2024</v>
      </c>
    </row>
    <row r="1878" spans="1:18" ht="13.2" hidden="1" outlineLevel="2" x14ac:dyDescent="0.25">
      <c r="A1878" s="76"/>
      <c r="B1878" s="78" t="str">
        <f ca="1">IFERROR(__xludf.DUMMYFUNCTION("""COMPUTED_VALUE"""),"Energía solar")</f>
        <v>Energía solar</v>
      </c>
      <c r="C1878" s="77">
        <f ca="1">IFERROR(__xludf.DUMMYFUNCTION("""COMPUTED_VALUE"""),0)</f>
        <v>0</v>
      </c>
      <c r="D1878" s="77">
        <f ca="1">IFERROR(__xludf.DUMMYFUNCTION("""COMPUTED_VALUE"""),0)</f>
        <v>0</v>
      </c>
      <c r="E1878" s="77">
        <f ca="1">IFERROR(__xludf.DUMMYFUNCTION("""COMPUTED_VALUE"""),0)</f>
        <v>0</v>
      </c>
      <c r="F1878" s="77">
        <f ca="1">IFERROR(__xludf.DUMMYFUNCTION("""COMPUTED_VALUE"""),0)</f>
        <v>0</v>
      </c>
      <c r="G1878" s="77">
        <f ca="1">IFERROR(__xludf.DUMMYFUNCTION("""COMPUTED_VALUE"""),0)</f>
        <v>0</v>
      </c>
      <c r="H1878" s="77">
        <f ca="1">IFERROR(__xludf.DUMMYFUNCTION("""COMPUTED_VALUE"""),0)</f>
        <v>0</v>
      </c>
      <c r="I1878" s="77">
        <f ca="1">IFERROR(__xludf.DUMMYFUNCTION("""COMPUTED_VALUE"""),0)</f>
        <v>0</v>
      </c>
      <c r="J1878" s="77">
        <f ca="1">IFERROR(__xludf.DUMMYFUNCTION("""COMPUTED_VALUE"""),0)</f>
        <v>0</v>
      </c>
      <c r="K1878" s="77">
        <f ca="1">IFERROR(__xludf.DUMMYFUNCTION("""COMPUTED_VALUE"""),0)</f>
        <v>0</v>
      </c>
      <c r="L1878" s="77">
        <f ca="1">IFERROR(__xludf.DUMMYFUNCTION("""COMPUTED_VALUE"""),0)</f>
        <v>0</v>
      </c>
      <c r="M1878" s="77">
        <f ca="1">IFERROR(__xludf.DUMMYFUNCTION("""COMPUTED_VALUE"""),0)</f>
        <v>0</v>
      </c>
      <c r="N1878" s="77">
        <f ca="1">IFERROR(__xludf.DUMMYFUNCTION("""COMPUTED_VALUE"""),0)</f>
        <v>0</v>
      </c>
      <c r="O1878" s="77">
        <f ca="1">IFERROR(__xludf.DUMMYFUNCTION("""COMPUTED_VALUE"""),0)</f>
        <v>0</v>
      </c>
      <c r="P1878" s="77">
        <f ca="1">IFERROR(__xludf.DUMMYFUNCTION("""COMPUTED_VALUE"""),0)</f>
        <v>0</v>
      </c>
      <c r="Q1878" s="77">
        <f ca="1">IFERROR(__xludf.DUMMYFUNCTION("""COMPUTED_VALUE"""),0)</f>
        <v>0</v>
      </c>
    </row>
    <row r="1879" spans="1:18" ht="13.2" hidden="1" outlineLevel="2" x14ac:dyDescent="0.25">
      <c r="A1879" s="76"/>
      <c r="B1879" s="78" t="str">
        <f ca="1">IFERROR(__xludf.DUMMYFUNCTION("""COMPUTED_VALUE"""),"Leña")</f>
        <v>Leña</v>
      </c>
      <c r="C1879" s="77">
        <f ca="1">IFERROR(__xludf.DUMMYFUNCTION("""COMPUTED_VALUE"""),0)</f>
        <v>0</v>
      </c>
      <c r="D1879" s="77">
        <f ca="1">IFERROR(__xludf.DUMMYFUNCTION("""COMPUTED_VALUE"""),0)</f>
        <v>0</v>
      </c>
      <c r="E1879" s="77">
        <f ca="1">IFERROR(__xludf.DUMMYFUNCTION("""COMPUTED_VALUE"""),0)</f>
        <v>0</v>
      </c>
      <c r="F1879" s="77">
        <f ca="1">IFERROR(__xludf.DUMMYFUNCTION("""COMPUTED_VALUE"""),0)</f>
        <v>0</v>
      </c>
      <c r="G1879" s="77">
        <f ca="1">IFERROR(__xludf.DUMMYFUNCTION("""COMPUTED_VALUE"""),0)</f>
        <v>0</v>
      </c>
      <c r="H1879" s="77">
        <f ca="1">IFERROR(__xludf.DUMMYFUNCTION("""COMPUTED_VALUE"""),0)</f>
        <v>0</v>
      </c>
      <c r="I1879" s="77">
        <f ca="1">IFERROR(__xludf.DUMMYFUNCTION("""COMPUTED_VALUE"""),0)</f>
        <v>0</v>
      </c>
      <c r="J1879" s="77">
        <f ca="1">IFERROR(__xludf.DUMMYFUNCTION("""COMPUTED_VALUE"""),0)</f>
        <v>0</v>
      </c>
      <c r="K1879" s="77">
        <f ca="1">IFERROR(__xludf.DUMMYFUNCTION("""COMPUTED_VALUE"""),0)</f>
        <v>0</v>
      </c>
      <c r="L1879" s="77">
        <f ca="1">IFERROR(__xludf.DUMMYFUNCTION("""COMPUTED_VALUE"""),0)</f>
        <v>0</v>
      </c>
      <c r="M1879" s="77">
        <f ca="1">IFERROR(__xludf.DUMMYFUNCTION("""COMPUTED_VALUE"""),0)</f>
        <v>0</v>
      </c>
      <c r="N1879" s="77">
        <f ca="1">IFERROR(__xludf.DUMMYFUNCTION("""COMPUTED_VALUE"""),0)</f>
        <v>0</v>
      </c>
      <c r="O1879" s="77">
        <f ca="1">IFERROR(__xludf.DUMMYFUNCTION("""COMPUTED_VALUE"""),0)</f>
        <v>0</v>
      </c>
      <c r="P1879" s="77">
        <f ca="1">IFERROR(__xludf.DUMMYFUNCTION("""COMPUTED_VALUE"""),0)</f>
        <v>0</v>
      </c>
      <c r="Q1879" s="77">
        <f ca="1">IFERROR(__xludf.DUMMYFUNCTION("""COMPUTED_VALUE"""),0)</f>
        <v>0</v>
      </c>
    </row>
    <row r="1880" spans="1:18" ht="13.2" hidden="1" outlineLevel="2" x14ac:dyDescent="0.25">
      <c r="A1880" s="76"/>
      <c r="B1880" s="78" t="str">
        <f ca="1">IFERROR(__xludf.DUMMYFUNCTION("""COMPUTED_VALUE"""),"Gas licuado de petróleo")</f>
        <v>Gas licuado de petróleo</v>
      </c>
      <c r="C1880" s="77">
        <f ca="1">IFERROR(__xludf.DUMMYFUNCTION("""COMPUTED_VALUE"""),0)</f>
        <v>0</v>
      </c>
      <c r="D1880" s="77">
        <f ca="1">IFERROR(__xludf.DUMMYFUNCTION("""COMPUTED_VALUE"""),0)</f>
        <v>0</v>
      </c>
      <c r="E1880" s="77">
        <f ca="1">IFERROR(__xludf.DUMMYFUNCTION("""COMPUTED_VALUE"""),0)</f>
        <v>0</v>
      </c>
      <c r="F1880" s="77">
        <f ca="1">IFERROR(__xludf.DUMMYFUNCTION("""COMPUTED_VALUE"""),0)</f>
        <v>0</v>
      </c>
      <c r="G1880" s="77">
        <f ca="1">IFERROR(__xludf.DUMMYFUNCTION("""COMPUTED_VALUE"""),0)</f>
        <v>0</v>
      </c>
      <c r="H1880" s="77">
        <f ca="1">IFERROR(__xludf.DUMMYFUNCTION("""COMPUTED_VALUE"""),0)</f>
        <v>0</v>
      </c>
      <c r="I1880" s="77">
        <f ca="1">IFERROR(__xludf.DUMMYFUNCTION("""COMPUTED_VALUE"""),0)</f>
        <v>0</v>
      </c>
      <c r="J1880" s="77">
        <f ca="1">IFERROR(__xludf.DUMMYFUNCTION("""COMPUTED_VALUE"""),0)</f>
        <v>0</v>
      </c>
      <c r="K1880" s="77">
        <f ca="1">IFERROR(__xludf.DUMMYFUNCTION("""COMPUTED_VALUE"""),0)</f>
        <v>0</v>
      </c>
      <c r="L1880" s="77">
        <f ca="1">IFERROR(__xludf.DUMMYFUNCTION("""COMPUTED_VALUE"""),0)</f>
        <v>0</v>
      </c>
      <c r="M1880" s="77">
        <f ca="1">IFERROR(__xludf.DUMMYFUNCTION("""COMPUTED_VALUE"""),0)</f>
        <v>0</v>
      </c>
      <c r="N1880" s="77">
        <f ca="1">IFERROR(__xludf.DUMMYFUNCTION("""COMPUTED_VALUE"""),0)</f>
        <v>0</v>
      </c>
      <c r="O1880" s="77">
        <f ca="1">IFERROR(__xludf.DUMMYFUNCTION("""COMPUTED_VALUE"""),0)</f>
        <v>0</v>
      </c>
      <c r="P1880" s="77">
        <f ca="1">IFERROR(__xludf.DUMMYFUNCTION("""COMPUTED_VALUE"""),0)</f>
        <v>0</v>
      </c>
      <c r="Q1880" s="77">
        <f ca="1">IFERROR(__xludf.DUMMYFUNCTION("""COMPUTED_VALUE"""),0)</f>
        <v>0</v>
      </c>
    </row>
    <row r="1881" spans="1:18" ht="13.2" hidden="1" outlineLevel="2" x14ac:dyDescent="0.25">
      <c r="A1881" s="76"/>
      <c r="B1881" s="78" t="str">
        <f ca="1">IFERROR(__xludf.DUMMYFUNCTION("""COMPUTED_VALUE"""),"Gas natural seco")</f>
        <v>Gas natural seco</v>
      </c>
      <c r="C1881" s="77">
        <f ca="1">IFERROR(__xludf.DUMMYFUNCTION("""COMPUTED_VALUE"""),0)</f>
        <v>0</v>
      </c>
      <c r="D1881" s="77">
        <f ca="1">IFERROR(__xludf.DUMMYFUNCTION("""COMPUTED_VALUE"""),0)</f>
        <v>0</v>
      </c>
      <c r="E1881" s="77">
        <f ca="1">IFERROR(__xludf.DUMMYFUNCTION("""COMPUTED_VALUE"""),0)</f>
        <v>0</v>
      </c>
      <c r="F1881" s="77">
        <f ca="1">IFERROR(__xludf.DUMMYFUNCTION("""COMPUTED_VALUE"""),0)</f>
        <v>0</v>
      </c>
      <c r="G1881" s="77">
        <f ca="1">IFERROR(__xludf.DUMMYFUNCTION("""COMPUTED_VALUE"""),0)</f>
        <v>0</v>
      </c>
      <c r="H1881" s="77">
        <f ca="1">IFERROR(__xludf.DUMMYFUNCTION("""COMPUTED_VALUE"""),0)</f>
        <v>0</v>
      </c>
      <c r="I1881" s="77">
        <f ca="1">IFERROR(__xludf.DUMMYFUNCTION("""COMPUTED_VALUE"""),0)</f>
        <v>0</v>
      </c>
      <c r="J1881" s="77">
        <f ca="1">IFERROR(__xludf.DUMMYFUNCTION("""COMPUTED_VALUE"""),0)</f>
        <v>0</v>
      </c>
      <c r="K1881" s="77">
        <f ca="1">IFERROR(__xludf.DUMMYFUNCTION("""COMPUTED_VALUE"""),0)</f>
        <v>0</v>
      </c>
      <c r="L1881" s="77">
        <f ca="1">IFERROR(__xludf.DUMMYFUNCTION("""COMPUTED_VALUE"""),0)</f>
        <v>0</v>
      </c>
      <c r="M1881" s="77">
        <f ca="1">IFERROR(__xludf.DUMMYFUNCTION("""COMPUTED_VALUE"""),0)</f>
        <v>0</v>
      </c>
      <c r="N1881" s="77">
        <f ca="1">IFERROR(__xludf.DUMMYFUNCTION("""COMPUTED_VALUE"""),0)</f>
        <v>0</v>
      </c>
      <c r="O1881" s="77">
        <f ca="1">IFERROR(__xludf.DUMMYFUNCTION("""COMPUTED_VALUE"""),0)</f>
        <v>0</v>
      </c>
      <c r="P1881" s="77">
        <f ca="1">IFERROR(__xludf.DUMMYFUNCTION("""COMPUTED_VALUE"""),0)</f>
        <v>0</v>
      </c>
      <c r="Q1881" s="77">
        <f ca="1">IFERROR(__xludf.DUMMYFUNCTION("""COMPUTED_VALUE"""),0)</f>
        <v>0</v>
      </c>
    </row>
    <row r="1882" spans="1:18" ht="13.2" hidden="1" outlineLevel="2" x14ac:dyDescent="0.25">
      <c r="A1882" s="76"/>
      <c r="B1882" s="77" t="str">
        <f ca="1">IFERROR(__xludf.DUMMYFUNCTION("""COMPUTED_VALUE"""),"Energía eléctrica")</f>
        <v>Energía eléctrica</v>
      </c>
      <c r="C1882" s="77">
        <f ca="1">IFERROR(__xludf.DUMMYFUNCTION("""COMPUTED_VALUE"""),41.2773548930547)</f>
        <v>41.277354893054699</v>
      </c>
      <c r="D1882" s="77">
        <f ca="1">IFERROR(__xludf.DUMMYFUNCTION("""COMPUTED_VALUE"""),42.0201769216448)</f>
        <v>42.020176921644797</v>
      </c>
      <c r="E1882" s="77">
        <f ca="1">IFERROR(__xludf.DUMMYFUNCTION("""COMPUTED_VALUE"""),41.9901619062275)</f>
        <v>41.990161906227499</v>
      </c>
      <c r="F1882" s="77">
        <f ca="1">IFERROR(__xludf.DUMMYFUNCTION("""COMPUTED_VALUE"""),42.4377874915416)</f>
        <v>42.437787491541599</v>
      </c>
      <c r="G1882" s="77">
        <f ca="1">IFERROR(__xludf.DUMMYFUNCTION("""COMPUTED_VALUE"""),43.5977515072716)</f>
        <v>43.597751507271603</v>
      </c>
      <c r="H1882" s="77">
        <f ca="1">IFERROR(__xludf.DUMMYFUNCTION("""COMPUTED_VALUE"""),45.0129552572084)</f>
        <v>45.012955257208397</v>
      </c>
      <c r="I1882" s="77">
        <f ca="1">IFERROR(__xludf.DUMMYFUNCTION("""COMPUTED_VALUE"""),47.3691843786089)</f>
        <v>47.3691843786089</v>
      </c>
      <c r="J1882" s="77">
        <f ca="1">IFERROR(__xludf.DUMMYFUNCTION("""COMPUTED_VALUE"""),48.519618221269)</f>
        <v>48.519618221268999</v>
      </c>
      <c r="K1882" s="77">
        <f ca="1">IFERROR(__xludf.DUMMYFUNCTION("""COMPUTED_VALUE"""),50.6287795992197)</f>
        <v>50.628779599219698</v>
      </c>
      <c r="L1882" s="77">
        <f ca="1">IFERROR(__xludf.DUMMYFUNCTION("""COMPUTED_VALUE"""),54.6808577894692)</f>
        <v>54.680857789469201</v>
      </c>
      <c r="M1882" s="77">
        <f ca="1">IFERROR(__xludf.DUMMYFUNCTION("""COMPUTED_VALUE"""),58.5359203309523)</f>
        <v>58.535920330952301</v>
      </c>
      <c r="N1882" s="77">
        <f ca="1">IFERROR(__xludf.DUMMYFUNCTION("""COMPUTED_VALUE"""),56.7878675642604)</f>
        <v>56.787867564260402</v>
      </c>
      <c r="O1882" s="77">
        <f ca="1">IFERROR(__xludf.DUMMYFUNCTION("""COMPUTED_VALUE"""),59.2403529393516)</f>
        <v>59.240352939351602</v>
      </c>
      <c r="P1882" s="77">
        <f ca="1">IFERROR(__xludf.DUMMYFUNCTION("""COMPUTED_VALUE"""),60.7968046565089)</f>
        <v>60.796804656508897</v>
      </c>
      <c r="Q1882" s="77">
        <f ca="1">IFERROR(__xludf.DUMMYFUNCTION("""COMPUTED_VALUE"""),62.295840788529)</f>
        <v>62.295840788528999</v>
      </c>
    </row>
    <row r="1883" spans="1:18" ht="13.2" outlineLevel="1" collapsed="1" x14ac:dyDescent="0.25">
      <c r="A1883" s="71"/>
      <c r="B1883" s="72" t="str">
        <f ca="1">IFERROR(__xludf.DUMMYFUNCTION("""COMPUTED_VALUE"""),"Lavadoras")</f>
        <v>Lavadoras</v>
      </c>
      <c r="C1883" s="73"/>
      <c r="D1883" s="73"/>
      <c r="E1883" s="73"/>
      <c r="F1883" s="73"/>
      <c r="G1883" s="73"/>
      <c r="H1883" s="73"/>
      <c r="I1883" s="73"/>
      <c r="J1883" s="73"/>
      <c r="K1883" s="73"/>
      <c r="L1883" s="73"/>
      <c r="M1883" s="73"/>
      <c r="N1883" s="73"/>
      <c r="O1883" s="73"/>
      <c r="P1883" s="73"/>
      <c r="Q1883" s="74"/>
      <c r="R1883" s="75"/>
    </row>
    <row r="1884" spans="1:18" ht="13.2" hidden="1" outlineLevel="2" x14ac:dyDescent="0.25">
      <c r="A1884" s="76"/>
      <c r="B1884" s="78"/>
      <c r="C1884" s="77">
        <f ca="1">IFERROR(__xludf.DUMMYFUNCTION("""COMPUTED_VALUE"""),2010)</f>
        <v>2010</v>
      </c>
      <c r="D1884" s="77">
        <f ca="1">IFERROR(__xludf.DUMMYFUNCTION("""COMPUTED_VALUE"""),2011)</f>
        <v>2011</v>
      </c>
      <c r="E1884" s="77">
        <f ca="1">IFERROR(__xludf.DUMMYFUNCTION("""COMPUTED_VALUE"""),2012)</f>
        <v>2012</v>
      </c>
      <c r="F1884" s="77">
        <f ca="1">IFERROR(__xludf.DUMMYFUNCTION("""COMPUTED_VALUE"""),2013)</f>
        <v>2013</v>
      </c>
      <c r="G1884" s="77">
        <f ca="1">IFERROR(__xludf.DUMMYFUNCTION("""COMPUTED_VALUE"""),2014)</f>
        <v>2014</v>
      </c>
      <c r="H1884" s="77">
        <f ca="1">IFERROR(__xludf.DUMMYFUNCTION("""COMPUTED_VALUE"""),2015)</f>
        <v>2015</v>
      </c>
      <c r="I1884" s="77">
        <f ca="1">IFERROR(__xludf.DUMMYFUNCTION("""COMPUTED_VALUE"""),2016)</f>
        <v>2016</v>
      </c>
      <c r="J1884" s="77">
        <f ca="1">IFERROR(__xludf.DUMMYFUNCTION("""COMPUTED_VALUE"""),2017)</f>
        <v>2017</v>
      </c>
      <c r="K1884" s="77">
        <f ca="1">IFERROR(__xludf.DUMMYFUNCTION("""COMPUTED_VALUE"""),2018)</f>
        <v>2018</v>
      </c>
      <c r="L1884" s="77">
        <f ca="1">IFERROR(__xludf.DUMMYFUNCTION("""COMPUTED_VALUE"""),2019)</f>
        <v>2019</v>
      </c>
      <c r="M1884" s="77">
        <f ca="1">IFERROR(__xludf.DUMMYFUNCTION("""COMPUTED_VALUE"""),2020)</f>
        <v>2020</v>
      </c>
      <c r="N1884" s="77">
        <f ca="1">IFERROR(__xludf.DUMMYFUNCTION("""COMPUTED_VALUE"""),2021)</f>
        <v>2021</v>
      </c>
      <c r="O1884" s="77">
        <f ca="1">IFERROR(__xludf.DUMMYFUNCTION("""COMPUTED_VALUE"""),2022)</f>
        <v>2022</v>
      </c>
      <c r="P1884" s="77">
        <f ca="1">IFERROR(__xludf.DUMMYFUNCTION("""COMPUTED_VALUE"""),2023)</f>
        <v>2023</v>
      </c>
      <c r="Q1884" s="77">
        <f ca="1">IFERROR(__xludf.DUMMYFUNCTION("""COMPUTED_VALUE"""),2024)</f>
        <v>2024</v>
      </c>
    </row>
    <row r="1885" spans="1:18" ht="13.2" hidden="1" outlineLevel="2" x14ac:dyDescent="0.25">
      <c r="A1885" s="76"/>
      <c r="B1885" s="78" t="str">
        <f ca="1">IFERROR(__xludf.DUMMYFUNCTION("""COMPUTED_VALUE"""),"Energía solar")</f>
        <v>Energía solar</v>
      </c>
      <c r="C1885" s="77">
        <f ca="1">IFERROR(__xludf.DUMMYFUNCTION("""COMPUTED_VALUE"""),0)</f>
        <v>0</v>
      </c>
      <c r="D1885" s="77">
        <f ca="1">IFERROR(__xludf.DUMMYFUNCTION("""COMPUTED_VALUE"""),0)</f>
        <v>0</v>
      </c>
      <c r="E1885" s="77">
        <f ca="1">IFERROR(__xludf.DUMMYFUNCTION("""COMPUTED_VALUE"""),0)</f>
        <v>0</v>
      </c>
      <c r="F1885" s="77">
        <f ca="1">IFERROR(__xludf.DUMMYFUNCTION("""COMPUTED_VALUE"""),0)</f>
        <v>0</v>
      </c>
      <c r="G1885" s="77">
        <f ca="1">IFERROR(__xludf.DUMMYFUNCTION("""COMPUTED_VALUE"""),0)</f>
        <v>0</v>
      </c>
      <c r="H1885" s="77">
        <f ca="1">IFERROR(__xludf.DUMMYFUNCTION("""COMPUTED_VALUE"""),0)</f>
        <v>0</v>
      </c>
      <c r="I1885" s="77">
        <f ca="1">IFERROR(__xludf.DUMMYFUNCTION("""COMPUTED_VALUE"""),0)</f>
        <v>0</v>
      </c>
      <c r="J1885" s="77">
        <f ca="1">IFERROR(__xludf.DUMMYFUNCTION("""COMPUTED_VALUE"""),0)</f>
        <v>0</v>
      </c>
      <c r="K1885" s="77">
        <f ca="1">IFERROR(__xludf.DUMMYFUNCTION("""COMPUTED_VALUE"""),0)</f>
        <v>0</v>
      </c>
      <c r="L1885" s="77">
        <f ca="1">IFERROR(__xludf.DUMMYFUNCTION("""COMPUTED_VALUE"""),0)</f>
        <v>0</v>
      </c>
      <c r="M1885" s="77">
        <f ca="1">IFERROR(__xludf.DUMMYFUNCTION("""COMPUTED_VALUE"""),0)</f>
        <v>0</v>
      </c>
      <c r="N1885" s="77">
        <f ca="1">IFERROR(__xludf.DUMMYFUNCTION("""COMPUTED_VALUE"""),0)</f>
        <v>0</v>
      </c>
      <c r="O1885" s="77">
        <f ca="1">IFERROR(__xludf.DUMMYFUNCTION("""COMPUTED_VALUE"""),0)</f>
        <v>0</v>
      </c>
      <c r="P1885" s="77">
        <f ca="1">IFERROR(__xludf.DUMMYFUNCTION("""COMPUTED_VALUE"""),0)</f>
        <v>0</v>
      </c>
      <c r="Q1885" s="77">
        <f ca="1">IFERROR(__xludf.DUMMYFUNCTION("""COMPUTED_VALUE"""),0)</f>
        <v>0</v>
      </c>
    </row>
    <row r="1886" spans="1:18" ht="13.2" hidden="1" outlineLevel="2" x14ac:dyDescent="0.25">
      <c r="A1886" s="76"/>
      <c r="B1886" s="78" t="str">
        <f ca="1">IFERROR(__xludf.DUMMYFUNCTION("""COMPUTED_VALUE"""),"Leña")</f>
        <v>Leña</v>
      </c>
      <c r="C1886" s="77">
        <f ca="1">IFERROR(__xludf.DUMMYFUNCTION("""COMPUTED_VALUE"""),0)</f>
        <v>0</v>
      </c>
      <c r="D1886" s="77">
        <f ca="1">IFERROR(__xludf.DUMMYFUNCTION("""COMPUTED_VALUE"""),0)</f>
        <v>0</v>
      </c>
      <c r="E1886" s="77">
        <f ca="1">IFERROR(__xludf.DUMMYFUNCTION("""COMPUTED_VALUE"""),0)</f>
        <v>0</v>
      </c>
      <c r="F1886" s="77">
        <f ca="1">IFERROR(__xludf.DUMMYFUNCTION("""COMPUTED_VALUE"""),0)</f>
        <v>0</v>
      </c>
      <c r="G1886" s="77">
        <f ca="1">IFERROR(__xludf.DUMMYFUNCTION("""COMPUTED_VALUE"""),0)</f>
        <v>0</v>
      </c>
      <c r="H1886" s="77">
        <f ca="1">IFERROR(__xludf.DUMMYFUNCTION("""COMPUTED_VALUE"""),0)</f>
        <v>0</v>
      </c>
      <c r="I1886" s="77">
        <f ca="1">IFERROR(__xludf.DUMMYFUNCTION("""COMPUTED_VALUE"""),0)</f>
        <v>0</v>
      </c>
      <c r="J1886" s="77">
        <f ca="1">IFERROR(__xludf.DUMMYFUNCTION("""COMPUTED_VALUE"""),0)</f>
        <v>0</v>
      </c>
      <c r="K1886" s="77">
        <f ca="1">IFERROR(__xludf.DUMMYFUNCTION("""COMPUTED_VALUE"""),0)</f>
        <v>0</v>
      </c>
      <c r="L1886" s="77">
        <f ca="1">IFERROR(__xludf.DUMMYFUNCTION("""COMPUTED_VALUE"""),0)</f>
        <v>0</v>
      </c>
      <c r="M1886" s="77">
        <f ca="1">IFERROR(__xludf.DUMMYFUNCTION("""COMPUTED_VALUE"""),0)</f>
        <v>0</v>
      </c>
      <c r="N1886" s="77">
        <f ca="1">IFERROR(__xludf.DUMMYFUNCTION("""COMPUTED_VALUE"""),0)</f>
        <v>0</v>
      </c>
      <c r="O1886" s="77">
        <f ca="1">IFERROR(__xludf.DUMMYFUNCTION("""COMPUTED_VALUE"""),0)</f>
        <v>0</v>
      </c>
      <c r="P1886" s="77">
        <f ca="1">IFERROR(__xludf.DUMMYFUNCTION("""COMPUTED_VALUE"""),0)</f>
        <v>0</v>
      </c>
      <c r="Q1886" s="77">
        <f ca="1">IFERROR(__xludf.DUMMYFUNCTION("""COMPUTED_VALUE"""),0)</f>
        <v>0</v>
      </c>
    </row>
    <row r="1887" spans="1:18" ht="13.2" hidden="1" outlineLevel="2" x14ac:dyDescent="0.25">
      <c r="A1887" s="76"/>
      <c r="B1887" s="78" t="str">
        <f ca="1">IFERROR(__xludf.DUMMYFUNCTION("""COMPUTED_VALUE"""),"Gas licuado de petróleo")</f>
        <v>Gas licuado de petróleo</v>
      </c>
      <c r="C1887" s="77">
        <f ca="1">IFERROR(__xludf.DUMMYFUNCTION("""COMPUTED_VALUE"""),0)</f>
        <v>0</v>
      </c>
      <c r="D1887" s="77">
        <f ca="1">IFERROR(__xludf.DUMMYFUNCTION("""COMPUTED_VALUE"""),0)</f>
        <v>0</v>
      </c>
      <c r="E1887" s="77">
        <f ca="1">IFERROR(__xludf.DUMMYFUNCTION("""COMPUTED_VALUE"""),0)</f>
        <v>0</v>
      </c>
      <c r="F1887" s="77">
        <f ca="1">IFERROR(__xludf.DUMMYFUNCTION("""COMPUTED_VALUE"""),0)</f>
        <v>0</v>
      </c>
      <c r="G1887" s="77">
        <f ca="1">IFERROR(__xludf.DUMMYFUNCTION("""COMPUTED_VALUE"""),0)</f>
        <v>0</v>
      </c>
      <c r="H1887" s="77">
        <f ca="1">IFERROR(__xludf.DUMMYFUNCTION("""COMPUTED_VALUE"""),0)</f>
        <v>0</v>
      </c>
      <c r="I1887" s="77">
        <f ca="1">IFERROR(__xludf.DUMMYFUNCTION("""COMPUTED_VALUE"""),0)</f>
        <v>0</v>
      </c>
      <c r="J1887" s="77">
        <f ca="1">IFERROR(__xludf.DUMMYFUNCTION("""COMPUTED_VALUE"""),0)</f>
        <v>0</v>
      </c>
      <c r="K1887" s="77">
        <f ca="1">IFERROR(__xludf.DUMMYFUNCTION("""COMPUTED_VALUE"""),0)</f>
        <v>0</v>
      </c>
      <c r="L1887" s="77">
        <f ca="1">IFERROR(__xludf.DUMMYFUNCTION("""COMPUTED_VALUE"""),0)</f>
        <v>0</v>
      </c>
      <c r="M1887" s="77">
        <f ca="1">IFERROR(__xludf.DUMMYFUNCTION("""COMPUTED_VALUE"""),0)</f>
        <v>0</v>
      </c>
      <c r="N1887" s="77">
        <f ca="1">IFERROR(__xludf.DUMMYFUNCTION("""COMPUTED_VALUE"""),0)</f>
        <v>0</v>
      </c>
      <c r="O1887" s="77">
        <f ca="1">IFERROR(__xludf.DUMMYFUNCTION("""COMPUTED_VALUE"""),0)</f>
        <v>0</v>
      </c>
      <c r="P1887" s="77">
        <f ca="1">IFERROR(__xludf.DUMMYFUNCTION("""COMPUTED_VALUE"""),0)</f>
        <v>0</v>
      </c>
      <c r="Q1887" s="77">
        <f ca="1">IFERROR(__xludf.DUMMYFUNCTION("""COMPUTED_VALUE"""),0)</f>
        <v>0</v>
      </c>
    </row>
    <row r="1888" spans="1:18" ht="13.2" hidden="1" outlineLevel="2" x14ac:dyDescent="0.25">
      <c r="A1888" s="76"/>
      <c r="B1888" s="78" t="str">
        <f ca="1">IFERROR(__xludf.DUMMYFUNCTION("""COMPUTED_VALUE"""),"Gas natural seco")</f>
        <v>Gas natural seco</v>
      </c>
      <c r="C1888" s="77">
        <f ca="1">IFERROR(__xludf.DUMMYFUNCTION("""COMPUTED_VALUE"""),0)</f>
        <v>0</v>
      </c>
      <c r="D1888" s="77">
        <f ca="1">IFERROR(__xludf.DUMMYFUNCTION("""COMPUTED_VALUE"""),0)</f>
        <v>0</v>
      </c>
      <c r="E1888" s="77">
        <f ca="1">IFERROR(__xludf.DUMMYFUNCTION("""COMPUTED_VALUE"""),0)</f>
        <v>0</v>
      </c>
      <c r="F1888" s="77">
        <f ca="1">IFERROR(__xludf.DUMMYFUNCTION("""COMPUTED_VALUE"""),0)</f>
        <v>0</v>
      </c>
      <c r="G1888" s="77">
        <f ca="1">IFERROR(__xludf.DUMMYFUNCTION("""COMPUTED_VALUE"""),0)</f>
        <v>0</v>
      </c>
      <c r="H1888" s="77">
        <f ca="1">IFERROR(__xludf.DUMMYFUNCTION("""COMPUTED_VALUE"""),0)</f>
        <v>0</v>
      </c>
      <c r="I1888" s="77">
        <f ca="1">IFERROR(__xludf.DUMMYFUNCTION("""COMPUTED_VALUE"""),0)</f>
        <v>0</v>
      </c>
      <c r="J1888" s="77">
        <f ca="1">IFERROR(__xludf.DUMMYFUNCTION("""COMPUTED_VALUE"""),0)</f>
        <v>0</v>
      </c>
      <c r="K1888" s="77">
        <f ca="1">IFERROR(__xludf.DUMMYFUNCTION("""COMPUTED_VALUE"""),0)</f>
        <v>0</v>
      </c>
      <c r="L1888" s="77">
        <f ca="1">IFERROR(__xludf.DUMMYFUNCTION("""COMPUTED_VALUE"""),0)</f>
        <v>0</v>
      </c>
      <c r="M1888" s="77">
        <f ca="1">IFERROR(__xludf.DUMMYFUNCTION("""COMPUTED_VALUE"""),0)</f>
        <v>0</v>
      </c>
      <c r="N1888" s="77">
        <f ca="1">IFERROR(__xludf.DUMMYFUNCTION("""COMPUTED_VALUE"""),0)</f>
        <v>0</v>
      </c>
      <c r="O1888" s="77">
        <f ca="1">IFERROR(__xludf.DUMMYFUNCTION("""COMPUTED_VALUE"""),0)</f>
        <v>0</v>
      </c>
      <c r="P1888" s="77">
        <f ca="1">IFERROR(__xludf.DUMMYFUNCTION("""COMPUTED_VALUE"""),0)</f>
        <v>0</v>
      </c>
      <c r="Q1888" s="77">
        <f ca="1">IFERROR(__xludf.DUMMYFUNCTION("""COMPUTED_VALUE"""),0)</f>
        <v>0</v>
      </c>
    </row>
    <row r="1889" spans="1:18" ht="13.2" hidden="1" outlineLevel="2" x14ac:dyDescent="0.25">
      <c r="A1889" s="76"/>
      <c r="B1889" s="77" t="str">
        <f ca="1">IFERROR(__xludf.DUMMYFUNCTION("""COMPUTED_VALUE"""),"Energía eléctrica")</f>
        <v>Energía eléctrica</v>
      </c>
      <c r="C1889" s="77">
        <f ca="1">IFERROR(__xludf.DUMMYFUNCTION("""COMPUTED_VALUE"""),11.253032817584)</f>
        <v>11.253032817584</v>
      </c>
      <c r="D1889" s="77">
        <f ca="1">IFERROR(__xludf.DUMMYFUNCTION("""COMPUTED_VALUE"""),11.2816029908642)</f>
        <v>11.281602990864201</v>
      </c>
      <c r="E1889" s="77">
        <f ca="1">IFERROR(__xludf.DUMMYFUNCTION("""COMPUTED_VALUE"""),11.2797246621449)</f>
        <v>11.279724662144901</v>
      </c>
      <c r="F1889" s="77">
        <f ca="1">IFERROR(__xludf.DUMMYFUNCTION("""COMPUTED_VALUE"""),11.3772612173128)</f>
        <v>11.3772612173128</v>
      </c>
      <c r="G1889" s="77">
        <f ca="1">IFERROR(__xludf.DUMMYFUNCTION("""COMPUTED_VALUE"""),11.6877277667129)</f>
        <v>11.6877277667129</v>
      </c>
      <c r="H1889" s="77">
        <f ca="1">IFERROR(__xludf.DUMMYFUNCTION("""COMPUTED_VALUE"""),11.9806841825593)</f>
        <v>11.980684182559299</v>
      </c>
      <c r="I1889" s="77">
        <f ca="1">IFERROR(__xludf.DUMMYFUNCTION("""COMPUTED_VALUE"""),12.5119783678551)</f>
        <v>12.5119783678551</v>
      </c>
      <c r="J1889" s="77">
        <f ca="1">IFERROR(__xludf.DUMMYFUNCTION("""COMPUTED_VALUE"""),12.8767254059309)</f>
        <v>12.8767254059309</v>
      </c>
      <c r="K1889" s="77">
        <f ca="1">IFERROR(__xludf.DUMMYFUNCTION("""COMPUTED_VALUE"""),13.3161091330018)</f>
        <v>13.316109133001801</v>
      </c>
      <c r="L1889" s="77">
        <f ca="1">IFERROR(__xludf.DUMMYFUNCTION("""COMPUTED_VALUE"""),14.4449664071016)</f>
        <v>14.4449664071016</v>
      </c>
      <c r="M1889" s="77">
        <f ca="1">IFERROR(__xludf.DUMMYFUNCTION("""COMPUTED_VALUE"""),15.0953771869221)</f>
        <v>15.0953771869221</v>
      </c>
      <c r="N1889" s="77">
        <f ca="1">IFERROR(__xludf.DUMMYFUNCTION("""COMPUTED_VALUE"""),14.7549331542378)</f>
        <v>14.754933154237801</v>
      </c>
      <c r="O1889" s="77">
        <f ca="1">IFERROR(__xludf.DUMMYFUNCTION("""COMPUTED_VALUE"""),15.2509089226529)</f>
        <v>15.250908922652901</v>
      </c>
      <c r="P1889" s="77">
        <f ca="1">IFERROR(__xludf.DUMMYFUNCTION("""COMPUTED_VALUE"""),15.8535771968193)</f>
        <v>15.8535771968193</v>
      </c>
      <c r="Q1889" s="77">
        <f ca="1">IFERROR(__xludf.DUMMYFUNCTION("""COMPUTED_VALUE"""),16.1058524533974)</f>
        <v>16.1058524533974</v>
      </c>
    </row>
    <row r="1890" spans="1:18" ht="13.2" outlineLevel="1" collapsed="1" x14ac:dyDescent="0.25">
      <c r="A1890" s="71"/>
      <c r="B1890" s="72" t="str">
        <f ca="1">IFERROR(__xludf.DUMMYFUNCTION("""COMPUTED_VALUE"""),"Microondas")</f>
        <v>Microondas</v>
      </c>
      <c r="C1890" s="73"/>
      <c r="D1890" s="73"/>
      <c r="E1890" s="73"/>
      <c r="F1890" s="73"/>
      <c r="G1890" s="73"/>
      <c r="H1890" s="73"/>
      <c r="I1890" s="73"/>
      <c r="J1890" s="73"/>
      <c r="K1890" s="73"/>
      <c r="L1890" s="73"/>
      <c r="M1890" s="73"/>
      <c r="N1890" s="73"/>
      <c r="O1890" s="73"/>
      <c r="P1890" s="73"/>
      <c r="Q1890" s="74"/>
      <c r="R1890" s="75"/>
    </row>
    <row r="1891" spans="1:18" ht="13.2" hidden="1" outlineLevel="2" x14ac:dyDescent="0.25">
      <c r="A1891" s="76"/>
      <c r="B1891" s="78"/>
      <c r="C1891" s="77">
        <f ca="1">IFERROR(__xludf.DUMMYFUNCTION("""COMPUTED_VALUE"""),2010)</f>
        <v>2010</v>
      </c>
      <c r="D1891" s="77">
        <f ca="1">IFERROR(__xludf.DUMMYFUNCTION("""COMPUTED_VALUE"""),2011)</f>
        <v>2011</v>
      </c>
      <c r="E1891" s="77">
        <f ca="1">IFERROR(__xludf.DUMMYFUNCTION("""COMPUTED_VALUE"""),2012)</f>
        <v>2012</v>
      </c>
      <c r="F1891" s="77">
        <f ca="1">IFERROR(__xludf.DUMMYFUNCTION("""COMPUTED_VALUE"""),2013)</f>
        <v>2013</v>
      </c>
      <c r="G1891" s="77">
        <f ca="1">IFERROR(__xludf.DUMMYFUNCTION("""COMPUTED_VALUE"""),2014)</f>
        <v>2014</v>
      </c>
      <c r="H1891" s="77">
        <f ca="1">IFERROR(__xludf.DUMMYFUNCTION("""COMPUTED_VALUE"""),2015)</f>
        <v>2015</v>
      </c>
      <c r="I1891" s="77">
        <f ca="1">IFERROR(__xludf.DUMMYFUNCTION("""COMPUTED_VALUE"""),2016)</f>
        <v>2016</v>
      </c>
      <c r="J1891" s="77">
        <f ca="1">IFERROR(__xludf.DUMMYFUNCTION("""COMPUTED_VALUE"""),2017)</f>
        <v>2017</v>
      </c>
      <c r="K1891" s="77">
        <f ca="1">IFERROR(__xludf.DUMMYFUNCTION("""COMPUTED_VALUE"""),2018)</f>
        <v>2018</v>
      </c>
      <c r="L1891" s="77">
        <f ca="1">IFERROR(__xludf.DUMMYFUNCTION("""COMPUTED_VALUE"""),2019)</f>
        <v>2019</v>
      </c>
      <c r="M1891" s="77">
        <f ca="1">IFERROR(__xludf.DUMMYFUNCTION("""COMPUTED_VALUE"""),2020)</f>
        <v>2020</v>
      </c>
      <c r="N1891" s="77">
        <f ca="1">IFERROR(__xludf.DUMMYFUNCTION("""COMPUTED_VALUE"""),2021)</f>
        <v>2021</v>
      </c>
      <c r="O1891" s="77">
        <f ca="1">IFERROR(__xludf.DUMMYFUNCTION("""COMPUTED_VALUE"""),2022)</f>
        <v>2022</v>
      </c>
      <c r="P1891" s="77">
        <f ca="1">IFERROR(__xludf.DUMMYFUNCTION("""COMPUTED_VALUE"""),2023)</f>
        <v>2023</v>
      </c>
      <c r="Q1891" s="77">
        <f ca="1">IFERROR(__xludf.DUMMYFUNCTION("""COMPUTED_VALUE"""),2024)</f>
        <v>2024</v>
      </c>
    </row>
    <row r="1892" spans="1:18" ht="13.2" hidden="1" outlineLevel="2" x14ac:dyDescent="0.25">
      <c r="A1892" s="76"/>
      <c r="B1892" s="78" t="str">
        <f ca="1">IFERROR(__xludf.DUMMYFUNCTION("""COMPUTED_VALUE"""),"Energía solar")</f>
        <v>Energía solar</v>
      </c>
      <c r="C1892" s="77">
        <f ca="1">IFERROR(__xludf.DUMMYFUNCTION("""COMPUTED_VALUE"""),0)</f>
        <v>0</v>
      </c>
      <c r="D1892" s="77">
        <f ca="1">IFERROR(__xludf.DUMMYFUNCTION("""COMPUTED_VALUE"""),0)</f>
        <v>0</v>
      </c>
      <c r="E1892" s="77">
        <f ca="1">IFERROR(__xludf.DUMMYFUNCTION("""COMPUTED_VALUE"""),0)</f>
        <v>0</v>
      </c>
      <c r="F1892" s="77">
        <f ca="1">IFERROR(__xludf.DUMMYFUNCTION("""COMPUTED_VALUE"""),0)</f>
        <v>0</v>
      </c>
      <c r="G1892" s="77">
        <f ca="1">IFERROR(__xludf.DUMMYFUNCTION("""COMPUTED_VALUE"""),0)</f>
        <v>0</v>
      </c>
      <c r="H1892" s="77">
        <f ca="1">IFERROR(__xludf.DUMMYFUNCTION("""COMPUTED_VALUE"""),0)</f>
        <v>0</v>
      </c>
      <c r="I1892" s="77">
        <f ca="1">IFERROR(__xludf.DUMMYFUNCTION("""COMPUTED_VALUE"""),0)</f>
        <v>0</v>
      </c>
      <c r="J1892" s="77">
        <f ca="1">IFERROR(__xludf.DUMMYFUNCTION("""COMPUTED_VALUE"""),0)</f>
        <v>0</v>
      </c>
      <c r="K1892" s="77">
        <f ca="1">IFERROR(__xludf.DUMMYFUNCTION("""COMPUTED_VALUE"""),0)</f>
        <v>0</v>
      </c>
      <c r="L1892" s="77">
        <f ca="1">IFERROR(__xludf.DUMMYFUNCTION("""COMPUTED_VALUE"""),0)</f>
        <v>0</v>
      </c>
      <c r="M1892" s="77">
        <f ca="1">IFERROR(__xludf.DUMMYFUNCTION("""COMPUTED_VALUE"""),0)</f>
        <v>0</v>
      </c>
      <c r="N1892" s="77">
        <f ca="1">IFERROR(__xludf.DUMMYFUNCTION("""COMPUTED_VALUE"""),0)</f>
        <v>0</v>
      </c>
      <c r="O1892" s="77">
        <f ca="1">IFERROR(__xludf.DUMMYFUNCTION("""COMPUTED_VALUE"""),0)</f>
        <v>0</v>
      </c>
      <c r="P1892" s="77">
        <f ca="1">IFERROR(__xludf.DUMMYFUNCTION("""COMPUTED_VALUE"""),0)</f>
        <v>0</v>
      </c>
      <c r="Q1892" s="77">
        <f ca="1">IFERROR(__xludf.DUMMYFUNCTION("""COMPUTED_VALUE"""),0)</f>
        <v>0</v>
      </c>
    </row>
    <row r="1893" spans="1:18" ht="13.2" hidden="1" outlineLevel="2" x14ac:dyDescent="0.25">
      <c r="A1893" s="76"/>
      <c r="B1893" s="78" t="str">
        <f ca="1">IFERROR(__xludf.DUMMYFUNCTION("""COMPUTED_VALUE"""),"Leña")</f>
        <v>Leña</v>
      </c>
      <c r="C1893" s="77">
        <f ca="1">IFERROR(__xludf.DUMMYFUNCTION("""COMPUTED_VALUE"""),0)</f>
        <v>0</v>
      </c>
      <c r="D1893" s="77">
        <f ca="1">IFERROR(__xludf.DUMMYFUNCTION("""COMPUTED_VALUE"""),0)</f>
        <v>0</v>
      </c>
      <c r="E1893" s="77">
        <f ca="1">IFERROR(__xludf.DUMMYFUNCTION("""COMPUTED_VALUE"""),0)</f>
        <v>0</v>
      </c>
      <c r="F1893" s="77">
        <f ca="1">IFERROR(__xludf.DUMMYFUNCTION("""COMPUTED_VALUE"""),0)</f>
        <v>0</v>
      </c>
      <c r="G1893" s="77">
        <f ca="1">IFERROR(__xludf.DUMMYFUNCTION("""COMPUTED_VALUE"""),0)</f>
        <v>0</v>
      </c>
      <c r="H1893" s="77">
        <f ca="1">IFERROR(__xludf.DUMMYFUNCTION("""COMPUTED_VALUE"""),0)</f>
        <v>0</v>
      </c>
      <c r="I1893" s="77">
        <f ca="1">IFERROR(__xludf.DUMMYFUNCTION("""COMPUTED_VALUE"""),0)</f>
        <v>0</v>
      </c>
      <c r="J1893" s="77">
        <f ca="1">IFERROR(__xludf.DUMMYFUNCTION("""COMPUTED_VALUE"""),0)</f>
        <v>0</v>
      </c>
      <c r="K1893" s="77">
        <f ca="1">IFERROR(__xludf.DUMMYFUNCTION("""COMPUTED_VALUE"""),0)</f>
        <v>0</v>
      </c>
      <c r="L1893" s="77">
        <f ca="1">IFERROR(__xludf.DUMMYFUNCTION("""COMPUTED_VALUE"""),0)</f>
        <v>0</v>
      </c>
      <c r="M1893" s="77">
        <f ca="1">IFERROR(__xludf.DUMMYFUNCTION("""COMPUTED_VALUE"""),0)</f>
        <v>0</v>
      </c>
      <c r="N1893" s="77">
        <f ca="1">IFERROR(__xludf.DUMMYFUNCTION("""COMPUTED_VALUE"""),0)</f>
        <v>0</v>
      </c>
      <c r="O1893" s="77">
        <f ca="1">IFERROR(__xludf.DUMMYFUNCTION("""COMPUTED_VALUE"""),0)</f>
        <v>0</v>
      </c>
      <c r="P1893" s="77">
        <f ca="1">IFERROR(__xludf.DUMMYFUNCTION("""COMPUTED_VALUE"""),0)</f>
        <v>0</v>
      </c>
      <c r="Q1893" s="77">
        <f ca="1">IFERROR(__xludf.DUMMYFUNCTION("""COMPUTED_VALUE"""),0)</f>
        <v>0</v>
      </c>
    </row>
    <row r="1894" spans="1:18" ht="13.2" hidden="1" outlineLevel="2" x14ac:dyDescent="0.25">
      <c r="A1894" s="76"/>
      <c r="B1894" s="78" t="str">
        <f ca="1">IFERROR(__xludf.DUMMYFUNCTION("""COMPUTED_VALUE"""),"Gas licuado de petróleo")</f>
        <v>Gas licuado de petróleo</v>
      </c>
      <c r="C1894" s="77">
        <f ca="1">IFERROR(__xludf.DUMMYFUNCTION("""COMPUTED_VALUE"""),0)</f>
        <v>0</v>
      </c>
      <c r="D1894" s="77">
        <f ca="1">IFERROR(__xludf.DUMMYFUNCTION("""COMPUTED_VALUE"""),0)</f>
        <v>0</v>
      </c>
      <c r="E1894" s="77">
        <f ca="1">IFERROR(__xludf.DUMMYFUNCTION("""COMPUTED_VALUE"""),0)</f>
        <v>0</v>
      </c>
      <c r="F1894" s="77">
        <f ca="1">IFERROR(__xludf.DUMMYFUNCTION("""COMPUTED_VALUE"""),0)</f>
        <v>0</v>
      </c>
      <c r="G1894" s="77">
        <f ca="1">IFERROR(__xludf.DUMMYFUNCTION("""COMPUTED_VALUE"""),0)</f>
        <v>0</v>
      </c>
      <c r="H1894" s="77">
        <f ca="1">IFERROR(__xludf.DUMMYFUNCTION("""COMPUTED_VALUE"""),0)</f>
        <v>0</v>
      </c>
      <c r="I1894" s="77">
        <f ca="1">IFERROR(__xludf.DUMMYFUNCTION("""COMPUTED_VALUE"""),0)</f>
        <v>0</v>
      </c>
      <c r="J1894" s="77">
        <f ca="1">IFERROR(__xludf.DUMMYFUNCTION("""COMPUTED_VALUE"""),0)</f>
        <v>0</v>
      </c>
      <c r="K1894" s="77">
        <f ca="1">IFERROR(__xludf.DUMMYFUNCTION("""COMPUTED_VALUE"""),0)</f>
        <v>0</v>
      </c>
      <c r="L1894" s="77">
        <f ca="1">IFERROR(__xludf.DUMMYFUNCTION("""COMPUTED_VALUE"""),0)</f>
        <v>0</v>
      </c>
      <c r="M1894" s="77">
        <f ca="1">IFERROR(__xludf.DUMMYFUNCTION("""COMPUTED_VALUE"""),0)</f>
        <v>0</v>
      </c>
      <c r="N1894" s="77">
        <f ca="1">IFERROR(__xludf.DUMMYFUNCTION("""COMPUTED_VALUE"""),0)</f>
        <v>0</v>
      </c>
      <c r="O1894" s="77">
        <f ca="1">IFERROR(__xludf.DUMMYFUNCTION("""COMPUTED_VALUE"""),0)</f>
        <v>0</v>
      </c>
      <c r="P1894" s="77">
        <f ca="1">IFERROR(__xludf.DUMMYFUNCTION("""COMPUTED_VALUE"""),0)</f>
        <v>0</v>
      </c>
      <c r="Q1894" s="77">
        <f ca="1">IFERROR(__xludf.DUMMYFUNCTION("""COMPUTED_VALUE"""),0)</f>
        <v>0</v>
      </c>
    </row>
    <row r="1895" spans="1:18" ht="13.2" hidden="1" outlineLevel="2" x14ac:dyDescent="0.25">
      <c r="A1895" s="76"/>
      <c r="B1895" s="78" t="str">
        <f ca="1">IFERROR(__xludf.DUMMYFUNCTION("""COMPUTED_VALUE"""),"Gas natural seco")</f>
        <v>Gas natural seco</v>
      </c>
      <c r="C1895" s="77">
        <f ca="1">IFERROR(__xludf.DUMMYFUNCTION("""COMPUTED_VALUE"""),0)</f>
        <v>0</v>
      </c>
      <c r="D1895" s="77">
        <f ca="1">IFERROR(__xludf.DUMMYFUNCTION("""COMPUTED_VALUE"""),0)</f>
        <v>0</v>
      </c>
      <c r="E1895" s="77">
        <f ca="1">IFERROR(__xludf.DUMMYFUNCTION("""COMPUTED_VALUE"""),0)</f>
        <v>0</v>
      </c>
      <c r="F1895" s="77">
        <f ca="1">IFERROR(__xludf.DUMMYFUNCTION("""COMPUTED_VALUE"""),0)</f>
        <v>0</v>
      </c>
      <c r="G1895" s="77">
        <f ca="1">IFERROR(__xludf.DUMMYFUNCTION("""COMPUTED_VALUE"""),0)</f>
        <v>0</v>
      </c>
      <c r="H1895" s="77">
        <f ca="1">IFERROR(__xludf.DUMMYFUNCTION("""COMPUTED_VALUE"""),0)</f>
        <v>0</v>
      </c>
      <c r="I1895" s="77">
        <f ca="1">IFERROR(__xludf.DUMMYFUNCTION("""COMPUTED_VALUE"""),0)</f>
        <v>0</v>
      </c>
      <c r="J1895" s="77">
        <f ca="1">IFERROR(__xludf.DUMMYFUNCTION("""COMPUTED_VALUE"""),0)</f>
        <v>0</v>
      </c>
      <c r="K1895" s="77">
        <f ca="1">IFERROR(__xludf.DUMMYFUNCTION("""COMPUTED_VALUE"""),0)</f>
        <v>0</v>
      </c>
      <c r="L1895" s="77">
        <f ca="1">IFERROR(__xludf.DUMMYFUNCTION("""COMPUTED_VALUE"""),0)</f>
        <v>0</v>
      </c>
      <c r="M1895" s="77">
        <f ca="1">IFERROR(__xludf.DUMMYFUNCTION("""COMPUTED_VALUE"""),0)</f>
        <v>0</v>
      </c>
      <c r="N1895" s="77">
        <f ca="1">IFERROR(__xludf.DUMMYFUNCTION("""COMPUTED_VALUE"""),0)</f>
        <v>0</v>
      </c>
      <c r="O1895" s="77">
        <f ca="1">IFERROR(__xludf.DUMMYFUNCTION("""COMPUTED_VALUE"""),0)</f>
        <v>0</v>
      </c>
      <c r="P1895" s="77">
        <f ca="1">IFERROR(__xludf.DUMMYFUNCTION("""COMPUTED_VALUE"""),0)</f>
        <v>0</v>
      </c>
      <c r="Q1895" s="77">
        <f ca="1">IFERROR(__xludf.DUMMYFUNCTION("""COMPUTED_VALUE"""),0)</f>
        <v>0</v>
      </c>
    </row>
    <row r="1896" spans="1:18" ht="13.2" hidden="1" outlineLevel="2" x14ac:dyDescent="0.25">
      <c r="A1896" s="76"/>
      <c r="B1896" s="77" t="str">
        <f ca="1">IFERROR(__xludf.DUMMYFUNCTION("""COMPUTED_VALUE"""),"Energía eléctrica")</f>
        <v>Energía eléctrica</v>
      </c>
      <c r="C1896" s="77">
        <f ca="1">IFERROR(__xludf.DUMMYFUNCTION("""COMPUTED_VALUE"""),3.31895732316177)</f>
        <v>3.3189573231617699</v>
      </c>
      <c r="D1896" s="77">
        <f ca="1">IFERROR(__xludf.DUMMYFUNCTION("""COMPUTED_VALUE"""),3.32675196608314)</f>
        <v>3.3267519660831399</v>
      </c>
      <c r="E1896" s="77">
        <f ca="1">IFERROR(__xludf.DUMMYFUNCTION("""COMPUTED_VALUE"""),3.32844334292802)</f>
        <v>3.3284433429280198</v>
      </c>
      <c r="F1896" s="77">
        <f ca="1">IFERROR(__xludf.DUMMYFUNCTION("""COMPUTED_VALUE"""),3.35658478452454)</f>
        <v>3.3565847845245398</v>
      </c>
      <c r="G1896" s="77">
        <f ca="1">IFERROR(__xludf.DUMMYFUNCTION("""COMPUTED_VALUE"""),3.45075532061417)</f>
        <v>3.4507553206141699</v>
      </c>
      <c r="H1896" s="77">
        <f ca="1">IFERROR(__xludf.DUMMYFUNCTION("""COMPUTED_VALUE"""),3.53863983585763)</f>
        <v>3.5386398358576301</v>
      </c>
      <c r="I1896" s="77">
        <f ca="1">IFERROR(__xludf.DUMMYFUNCTION("""COMPUTED_VALUE"""),3.68917926914918)</f>
        <v>3.68917926914918</v>
      </c>
      <c r="J1896" s="77">
        <f ca="1">IFERROR(__xludf.DUMMYFUNCTION("""COMPUTED_VALUE"""),3.79660187103275)</f>
        <v>3.7966018710327498</v>
      </c>
      <c r="K1896" s="77">
        <f ca="1">IFERROR(__xludf.DUMMYFUNCTION("""COMPUTED_VALUE"""),3.93319314582419)</f>
        <v>3.9331931458241902</v>
      </c>
      <c r="L1896" s="77">
        <f ca="1">IFERROR(__xludf.DUMMYFUNCTION("""COMPUTED_VALUE"""),4.2624491037349)</f>
        <v>4.2624491037348999</v>
      </c>
      <c r="M1896" s="77">
        <f ca="1">IFERROR(__xludf.DUMMYFUNCTION("""COMPUTED_VALUE"""),4.45756463675715)</f>
        <v>4.4575646367571498</v>
      </c>
      <c r="N1896" s="77">
        <f ca="1">IFERROR(__xludf.DUMMYFUNCTION("""COMPUTED_VALUE"""),4.35391470125052)</f>
        <v>4.3539147012505204</v>
      </c>
      <c r="O1896" s="77">
        <f ca="1">IFERROR(__xludf.DUMMYFUNCTION("""COMPUTED_VALUE"""),4.44248627388417)</f>
        <v>4.4424862738841702</v>
      </c>
      <c r="P1896" s="77">
        <f ca="1">IFERROR(__xludf.DUMMYFUNCTION("""COMPUTED_VALUE"""),4.62148598683808)</f>
        <v>4.6214859868380804</v>
      </c>
      <c r="Q1896" s="77">
        <f ca="1">IFERROR(__xludf.DUMMYFUNCTION("""COMPUTED_VALUE"""),4.69140613816208)</f>
        <v>4.6914061381620797</v>
      </c>
    </row>
    <row r="1897" spans="1:18" ht="13.2" outlineLevel="1" collapsed="1" x14ac:dyDescent="0.25">
      <c r="A1897" s="71"/>
      <c r="B1897" s="72" t="str">
        <f ca="1">IFERROR(__xludf.DUMMYFUNCTION("""COMPUTED_VALUE"""),"Televisión")</f>
        <v>Televisión</v>
      </c>
      <c r="C1897" s="73"/>
      <c r="D1897" s="73"/>
      <c r="E1897" s="73"/>
      <c r="F1897" s="73"/>
      <c r="G1897" s="73"/>
      <c r="H1897" s="73"/>
      <c r="I1897" s="73"/>
      <c r="J1897" s="73"/>
      <c r="K1897" s="73"/>
      <c r="L1897" s="73"/>
      <c r="M1897" s="73"/>
      <c r="N1897" s="73"/>
      <c r="O1897" s="73"/>
      <c r="P1897" s="73"/>
      <c r="Q1897" s="74"/>
      <c r="R1897" s="75"/>
    </row>
    <row r="1898" spans="1:18" ht="13.2" hidden="1" outlineLevel="2" x14ac:dyDescent="0.25">
      <c r="A1898" s="76"/>
      <c r="B1898" s="78"/>
      <c r="C1898" s="77">
        <f ca="1">IFERROR(__xludf.DUMMYFUNCTION("""COMPUTED_VALUE"""),2010)</f>
        <v>2010</v>
      </c>
      <c r="D1898" s="77">
        <f ca="1">IFERROR(__xludf.DUMMYFUNCTION("""COMPUTED_VALUE"""),2011)</f>
        <v>2011</v>
      </c>
      <c r="E1898" s="77">
        <f ca="1">IFERROR(__xludf.DUMMYFUNCTION("""COMPUTED_VALUE"""),2012)</f>
        <v>2012</v>
      </c>
      <c r="F1898" s="77">
        <f ca="1">IFERROR(__xludf.DUMMYFUNCTION("""COMPUTED_VALUE"""),2013)</f>
        <v>2013</v>
      </c>
      <c r="G1898" s="77">
        <f ca="1">IFERROR(__xludf.DUMMYFUNCTION("""COMPUTED_VALUE"""),2014)</f>
        <v>2014</v>
      </c>
      <c r="H1898" s="77">
        <f ca="1">IFERROR(__xludf.DUMMYFUNCTION("""COMPUTED_VALUE"""),2015)</f>
        <v>2015</v>
      </c>
      <c r="I1898" s="77">
        <f ca="1">IFERROR(__xludf.DUMMYFUNCTION("""COMPUTED_VALUE"""),2016)</f>
        <v>2016</v>
      </c>
      <c r="J1898" s="77">
        <f ca="1">IFERROR(__xludf.DUMMYFUNCTION("""COMPUTED_VALUE"""),2017)</f>
        <v>2017</v>
      </c>
      <c r="K1898" s="77">
        <f ca="1">IFERROR(__xludf.DUMMYFUNCTION("""COMPUTED_VALUE"""),2018)</f>
        <v>2018</v>
      </c>
      <c r="L1898" s="77">
        <f ca="1">IFERROR(__xludf.DUMMYFUNCTION("""COMPUTED_VALUE"""),2019)</f>
        <v>2019</v>
      </c>
      <c r="M1898" s="77">
        <f ca="1">IFERROR(__xludf.DUMMYFUNCTION("""COMPUTED_VALUE"""),2020)</f>
        <v>2020</v>
      </c>
      <c r="N1898" s="77">
        <f ca="1">IFERROR(__xludf.DUMMYFUNCTION("""COMPUTED_VALUE"""),2021)</f>
        <v>2021</v>
      </c>
      <c r="O1898" s="77">
        <f ca="1">IFERROR(__xludf.DUMMYFUNCTION("""COMPUTED_VALUE"""),2022)</f>
        <v>2022</v>
      </c>
      <c r="P1898" s="77">
        <f ca="1">IFERROR(__xludf.DUMMYFUNCTION("""COMPUTED_VALUE"""),2023)</f>
        <v>2023</v>
      </c>
      <c r="Q1898" s="77">
        <f ca="1">IFERROR(__xludf.DUMMYFUNCTION("""COMPUTED_VALUE"""),2024)</f>
        <v>2024</v>
      </c>
    </row>
    <row r="1899" spans="1:18" ht="13.2" hidden="1" outlineLevel="2" x14ac:dyDescent="0.25">
      <c r="A1899" s="76"/>
      <c r="B1899" s="78" t="str">
        <f ca="1">IFERROR(__xludf.DUMMYFUNCTION("""COMPUTED_VALUE"""),"Energía solar")</f>
        <v>Energía solar</v>
      </c>
      <c r="C1899" s="77">
        <f ca="1">IFERROR(__xludf.DUMMYFUNCTION("""COMPUTED_VALUE"""),0)</f>
        <v>0</v>
      </c>
      <c r="D1899" s="77">
        <f ca="1">IFERROR(__xludf.DUMMYFUNCTION("""COMPUTED_VALUE"""),0)</f>
        <v>0</v>
      </c>
      <c r="E1899" s="77">
        <f ca="1">IFERROR(__xludf.DUMMYFUNCTION("""COMPUTED_VALUE"""),0)</f>
        <v>0</v>
      </c>
      <c r="F1899" s="77">
        <f ca="1">IFERROR(__xludf.DUMMYFUNCTION("""COMPUTED_VALUE"""),0)</f>
        <v>0</v>
      </c>
      <c r="G1899" s="77">
        <f ca="1">IFERROR(__xludf.DUMMYFUNCTION("""COMPUTED_VALUE"""),0)</f>
        <v>0</v>
      </c>
      <c r="H1899" s="77">
        <f ca="1">IFERROR(__xludf.DUMMYFUNCTION("""COMPUTED_VALUE"""),0)</f>
        <v>0</v>
      </c>
      <c r="I1899" s="77">
        <f ca="1">IFERROR(__xludf.DUMMYFUNCTION("""COMPUTED_VALUE"""),0)</f>
        <v>0</v>
      </c>
      <c r="J1899" s="77">
        <f ca="1">IFERROR(__xludf.DUMMYFUNCTION("""COMPUTED_VALUE"""),0)</f>
        <v>0</v>
      </c>
      <c r="K1899" s="77">
        <f ca="1">IFERROR(__xludf.DUMMYFUNCTION("""COMPUTED_VALUE"""),0)</f>
        <v>0</v>
      </c>
      <c r="L1899" s="77">
        <f ca="1">IFERROR(__xludf.DUMMYFUNCTION("""COMPUTED_VALUE"""),0)</f>
        <v>0</v>
      </c>
      <c r="M1899" s="77">
        <f ca="1">IFERROR(__xludf.DUMMYFUNCTION("""COMPUTED_VALUE"""),0)</f>
        <v>0</v>
      </c>
      <c r="N1899" s="77">
        <f ca="1">IFERROR(__xludf.DUMMYFUNCTION("""COMPUTED_VALUE"""),0)</f>
        <v>0</v>
      </c>
      <c r="O1899" s="77">
        <f ca="1">IFERROR(__xludf.DUMMYFUNCTION("""COMPUTED_VALUE"""),0)</f>
        <v>0</v>
      </c>
      <c r="P1899" s="77">
        <f ca="1">IFERROR(__xludf.DUMMYFUNCTION("""COMPUTED_VALUE"""),0)</f>
        <v>0</v>
      </c>
      <c r="Q1899" s="77">
        <f ca="1">IFERROR(__xludf.DUMMYFUNCTION("""COMPUTED_VALUE"""),0)</f>
        <v>0</v>
      </c>
    </row>
    <row r="1900" spans="1:18" ht="13.2" hidden="1" outlineLevel="2" x14ac:dyDescent="0.25">
      <c r="A1900" s="76"/>
      <c r="B1900" s="78" t="str">
        <f ca="1">IFERROR(__xludf.DUMMYFUNCTION("""COMPUTED_VALUE"""),"Leña")</f>
        <v>Leña</v>
      </c>
      <c r="C1900" s="77">
        <f ca="1">IFERROR(__xludf.DUMMYFUNCTION("""COMPUTED_VALUE"""),0)</f>
        <v>0</v>
      </c>
      <c r="D1900" s="77">
        <f ca="1">IFERROR(__xludf.DUMMYFUNCTION("""COMPUTED_VALUE"""),0)</f>
        <v>0</v>
      </c>
      <c r="E1900" s="77">
        <f ca="1">IFERROR(__xludf.DUMMYFUNCTION("""COMPUTED_VALUE"""),0)</f>
        <v>0</v>
      </c>
      <c r="F1900" s="77">
        <f ca="1">IFERROR(__xludf.DUMMYFUNCTION("""COMPUTED_VALUE"""),0)</f>
        <v>0</v>
      </c>
      <c r="G1900" s="77">
        <f ca="1">IFERROR(__xludf.DUMMYFUNCTION("""COMPUTED_VALUE"""),0)</f>
        <v>0</v>
      </c>
      <c r="H1900" s="77">
        <f ca="1">IFERROR(__xludf.DUMMYFUNCTION("""COMPUTED_VALUE"""),0)</f>
        <v>0</v>
      </c>
      <c r="I1900" s="77">
        <f ca="1">IFERROR(__xludf.DUMMYFUNCTION("""COMPUTED_VALUE"""),0)</f>
        <v>0</v>
      </c>
      <c r="J1900" s="77">
        <f ca="1">IFERROR(__xludf.DUMMYFUNCTION("""COMPUTED_VALUE"""),0)</f>
        <v>0</v>
      </c>
      <c r="K1900" s="77">
        <f ca="1">IFERROR(__xludf.DUMMYFUNCTION("""COMPUTED_VALUE"""),0)</f>
        <v>0</v>
      </c>
      <c r="L1900" s="77">
        <f ca="1">IFERROR(__xludf.DUMMYFUNCTION("""COMPUTED_VALUE"""),0)</f>
        <v>0</v>
      </c>
      <c r="M1900" s="77">
        <f ca="1">IFERROR(__xludf.DUMMYFUNCTION("""COMPUTED_VALUE"""),0)</f>
        <v>0</v>
      </c>
      <c r="N1900" s="77">
        <f ca="1">IFERROR(__xludf.DUMMYFUNCTION("""COMPUTED_VALUE"""),0)</f>
        <v>0</v>
      </c>
      <c r="O1900" s="77">
        <f ca="1">IFERROR(__xludf.DUMMYFUNCTION("""COMPUTED_VALUE"""),0)</f>
        <v>0</v>
      </c>
      <c r="P1900" s="77">
        <f ca="1">IFERROR(__xludf.DUMMYFUNCTION("""COMPUTED_VALUE"""),0)</f>
        <v>0</v>
      </c>
      <c r="Q1900" s="77">
        <f ca="1">IFERROR(__xludf.DUMMYFUNCTION("""COMPUTED_VALUE"""),0)</f>
        <v>0</v>
      </c>
    </row>
    <row r="1901" spans="1:18" ht="13.2" hidden="1" outlineLevel="2" x14ac:dyDescent="0.25">
      <c r="A1901" s="76"/>
      <c r="B1901" s="78" t="str">
        <f ca="1">IFERROR(__xludf.DUMMYFUNCTION("""COMPUTED_VALUE"""),"Gas licuado de petróleo")</f>
        <v>Gas licuado de petróleo</v>
      </c>
      <c r="C1901" s="77">
        <f ca="1">IFERROR(__xludf.DUMMYFUNCTION("""COMPUTED_VALUE"""),0)</f>
        <v>0</v>
      </c>
      <c r="D1901" s="77">
        <f ca="1">IFERROR(__xludf.DUMMYFUNCTION("""COMPUTED_VALUE"""),0)</f>
        <v>0</v>
      </c>
      <c r="E1901" s="77">
        <f ca="1">IFERROR(__xludf.DUMMYFUNCTION("""COMPUTED_VALUE"""),0)</f>
        <v>0</v>
      </c>
      <c r="F1901" s="77">
        <f ca="1">IFERROR(__xludf.DUMMYFUNCTION("""COMPUTED_VALUE"""),0)</f>
        <v>0</v>
      </c>
      <c r="G1901" s="77">
        <f ca="1">IFERROR(__xludf.DUMMYFUNCTION("""COMPUTED_VALUE"""),0)</f>
        <v>0</v>
      </c>
      <c r="H1901" s="77">
        <f ca="1">IFERROR(__xludf.DUMMYFUNCTION("""COMPUTED_VALUE"""),0)</f>
        <v>0</v>
      </c>
      <c r="I1901" s="77">
        <f ca="1">IFERROR(__xludf.DUMMYFUNCTION("""COMPUTED_VALUE"""),0)</f>
        <v>0</v>
      </c>
      <c r="J1901" s="77">
        <f ca="1">IFERROR(__xludf.DUMMYFUNCTION("""COMPUTED_VALUE"""),0)</f>
        <v>0</v>
      </c>
      <c r="K1901" s="77">
        <f ca="1">IFERROR(__xludf.DUMMYFUNCTION("""COMPUTED_VALUE"""),0)</f>
        <v>0</v>
      </c>
      <c r="L1901" s="77">
        <f ca="1">IFERROR(__xludf.DUMMYFUNCTION("""COMPUTED_VALUE"""),0)</f>
        <v>0</v>
      </c>
      <c r="M1901" s="77">
        <f ca="1">IFERROR(__xludf.DUMMYFUNCTION("""COMPUTED_VALUE"""),0)</f>
        <v>0</v>
      </c>
      <c r="N1901" s="77">
        <f ca="1">IFERROR(__xludf.DUMMYFUNCTION("""COMPUTED_VALUE"""),0)</f>
        <v>0</v>
      </c>
      <c r="O1901" s="77">
        <f ca="1">IFERROR(__xludf.DUMMYFUNCTION("""COMPUTED_VALUE"""),0)</f>
        <v>0</v>
      </c>
      <c r="P1901" s="77">
        <f ca="1">IFERROR(__xludf.DUMMYFUNCTION("""COMPUTED_VALUE"""),0)</f>
        <v>0</v>
      </c>
      <c r="Q1901" s="77">
        <f ca="1">IFERROR(__xludf.DUMMYFUNCTION("""COMPUTED_VALUE"""),0)</f>
        <v>0</v>
      </c>
    </row>
    <row r="1902" spans="1:18" ht="13.2" hidden="1" outlineLevel="2" x14ac:dyDescent="0.25">
      <c r="A1902" s="76"/>
      <c r="B1902" s="78" t="str">
        <f ca="1">IFERROR(__xludf.DUMMYFUNCTION("""COMPUTED_VALUE"""),"Gas natural seco")</f>
        <v>Gas natural seco</v>
      </c>
      <c r="C1902" s="77">
        <f ca="1">IFERROR(__xludf.DUMMYFUNCTION("""COMPUTED_VALUE"""),0)</f>
        <v>0</v>
      </c>
      <c r="D1902" s="77">
        <f ca="1">IFERROR(__xludf.DUMMYFUNCTION("""COMPUTED_VALUE"""),0)</f>
        <v>0</v>
      </c>
      <c r="E1902" s="77">
        <f ca="1">IFERROR(__xludf.DUMMYFUNCTION("""COMPUTED_VALUE"""),0)</f>
        <v>0</v>
      </c>
      <c r="F1902" s="77">
        <f ca="1">IFERROR(__xludf.DUMMYFUNCTION("""COMPUTED_VALUE"""),0)</f>
        <v>0</v>
      </c>
      <c r="G1902" s="77">
        <f ca="1">IFERROR(__xludf.DUMMYFUNCTION("""COMPUTED_VALUE"""),0)</f>
        <v>0</v>
      </c>
      <c r="H1902" s="77">
        <f ca="1">IFERROR(__xludf.DUMMYFUNCTION("""COMPUTED_VALUE"""),0)</f>
        <v>0</v>
      </c>
      <c r="I1902" s="77">
        <f ca="1">IFERROR(__xludf.DUMMYFUNCTION("""COMPUTED_VALUE"""),0)</f>
        <v>0</v>
      </c>
      <c r="J1902" s="77">
        <f ca="1">IFERROR(__xludf.DUMMYFUNCTION("""COMPUTED_VALUE"""),0)</f>
        <v>0</v>
      </c>
      <c r="K1902" s="77">
        <f ca="1">IFERROR(__xludf.DUMMYFUNCTION("""COMPUTED_VALUE"""),0)</f>
        <v>0</v>
      </c>
      <c r="L1902" s="77">
        <f ca="1">IFERROR(__xludf.DUMMYFUNCTION("""COMPUTED_VALUE"""),0)</f>
        <v>0</v>
      </c>
      <c r="M1902" s="77">
        <f ca="1">IFERROR(__xludf.DUMMYFUNCTION("""COMPUTED_VALUE"""),0)</f>
        <v>0</v>
      </c>
      <c r="N1902" s="77">
        <f ca="1">IFERROR(__xludf.DUMMYFUNCTION("""COMPUTED_VALUE"""),0)</f>
        <v>0</v>
      </c>
      <c r="O1902" s="77">
        <f ca="1">IFERROR(__xludf.DUMMYFUNCTION("""COMPUTED_VALUE"""),0)</f>
        <v>0</v>
      </c>
      <c r="P1902" s="77">
        <f ca="1">IFERROR(__xludf.DUMMYFUNCTION("""COMPUTED_VALUE"""),0)</f>
        <v>0</v>
      </c>
      <c r="Q1902" s="77">
        <f ca="1">IFERROR(__xludf.DUMMYFUNCTION("""COMPUTED_VALUE"""),0)</f>
        <v>0</v>
      </c>
    </row>
    <row r="1903" spans="1:18" ht="13.2" hidden="1" outlineLevel="2" x14ac:dyDescent="0.25">
      <c r="A1903" s="76"/>
      <c r="B1903" s="77" t="str">
        <f ca="1">IFERROR(__xludf.DUMMYFUNCTION("""COMPUTED_VALUE"""),"Energía eléctrica")</f>
        <v>Energía eléctrica</v>
      </c>
      <c r="C1903" s="77">
        <f ca="1">IFERROR(__xludf.DUMMYFUNCTION("""COMPUTED_VALUE"""),33.759098452752)</f>
        <v>33.759098452751999</v>
      </c>
      <c r="D1903" s="77">
        <f ca="1">IFERROR(__xludf.DUMMYFUNCTION("""COMPUTED_VALUE"""),33.8448089725929)</f>
        <v>33.844808972592901</v>
      </c>
      <c r="E1903" s="77">
        <f ca="1">IFERROR(__xludf.DUMMYFUNCTION("""COMPUTED_VALUE"""),33.8391739864349)</f>
        <v>33.839173986434901</v>
      </c>
      <c r="F1903" s="77">
        <f ca="1">IFERROR(__xludf.DUMMYFUNCTION("""COMPUTED_VALUE"""),34.1317836519385)</f>
        <v>34.131783651938498</v>
      </c>
      <c r="G1903" s="77">
        <f ca="1">IFERROR(__xludf.DUMMYFUNCTION("""COMPUTED_VALUE"""),35.0729311965248)</f>
        <v>35.072931196524799</v>
      </c>
      <c r="H1903" s="77">
        <f ca="1">IFERROR(__xludf.DUMMYFUNCTION("""COMPUTED_VALUE"""),35.951800866785)</f>
        <v>35.951800866785</v>
      </c>
      <c r="I1903" s="77">
        <f ca="1">IFERROR(__xludf.DUMMYFUNCTION("""COMPUTED_VALUE"""),37.5261753700492)</f>
        <v>37.526175370049202</v>
      </c>
      <c r="J1903" s="77">
        <f ca="1">IFERROR(__xludf.DUMMYFUNCTION("""COMPUTED_VALUE"""),38.6301762177927)</f>
        <v>38.630176217792702</v>
      </c>
      <c r="K1903" s="77">
        <f ca="1">IFERROR(__xludf.DUMMYFUNCTION("""COMPUTED_VALUE"""),39.9581114615572)</f>
        <v>39.958111461557202</v>
      </c>
      <c r="L1903" s="77">
        <f ca="1">IFERROR(__xludf.DUMMYFUNCTION("""COMPUTED_VALUE"""),43.3250324409721)</f>
        <v>43.325032440972102</v>
      </c>
      <c r="M1903" s="77">
        <f ca="1">IFERROR(__xludf.DUMMYFUNCTION("""COMPUTED_VALUE"""),45.2958642346458)</f>
        <v>45.295864234645798</v>
      </c>
      <c r="N1903" s="77">
        <f ca="1">IFERROR(__xludf.DUMMYFUNCTION("""COMPUTED_VALUE"""),44.2647994627136)</f>
        <v>44.264799462713597</v>
      </c>
      <c r="O1903" s="77">
        <f ca="1">IFERROR(__xludf.DUMMYFUNCTION("""COMPUTED_VALUE"""),44.8739932192784)</f>
        <v>44.873993219278397</v>
      </c>
      <c r="P1903" s="77">
        <f ca="1">IFERROR(__xludf.DUMMYFUNCTION("""COMPUTED_VALUE"""),46.6502889549352)</f>
        <v>46.650288954935199</v>
      </c>
      <c r="Q1903" s="77">
        <f ca="1">IFERROR(__xludf.DUMMYFUNCTION("""COMPUTED_VALUE"""),47.4244235556468)</f>
        <v>47.424423555646797</v>
      </c>
    </row>
    <row r="1904" spans="1:18" ht="13.2" outlineLevel="1" collapsed="1" x14ac:dyDescent="0.25">
      <c r="A1904" s="71"/>
      <c r="B1904" s="72" t="str">
        <f ca="1">IFERROR(__xludf.DUMMYFUNCTION("""COMPUTED_VALUE"""),"Refrigeración")</f>
        <v>Refrigeración</v>
      </c>
      <c r="C1904" s="73"/>
      <c r="D1904" s="73"/>
      <c r="E1904" s="73"/>
      <c r="F1904" s="73"/>
      <c r="G1904" s="73"/>
      <c r="H1904" s="73"/>
      <c r="I1904" s="73"/>
      <c r="J1904" s="73"/>
      <c r="K1904" s="73"/>
      <c r="L1904" s="73"/>
      <c r="M1904" s="73"/>
      <c r="N1904" s="73"/>
      <c r="O1904" s="73"/>
      <c r="P1904" s="73"/>
      <c r="Q1904" s="74"/>
      <c r="R1904" s="75"/>
    </row>
    <row r="1905" spans="1:18" ht="13.2" hidden="1" outlineLevel="2" x14ac:dyDescent="0.25">
      <c r="A1905" s="76"/>
      <c r="B1905" s="78"/>
      <c r="C1905" s="77">
        <f ca="1">IFERROR(__xludf.DUMMYFUNCTION("""COMPUTED_VALUE"""),2010)</f>
        <v>2010</v>
      </c>
      <c r="D1905" s="77">
        <f ca="1">IFERROR(__xludf.DUMMYFUNCTION("""COMPUTED_VALUE"""),2011)</f>
        <v>2011</v>
      </c>
      <c r="E1905" s="77">
        <f ca="1">IFERROR(__xludf.DUMMYFUNCTION("""COMPUTED_VALUE"""),2012)</f>
        <v>2012</v>
      </c>
      <c r="F1905" s="77">
        <f ca="1">IFERROR(__xludf.DUMMYFUNCTION("""COMPUTED_VALUE"""),2013)</f>
        <v>2013</v>
      </c>
      <c r="G1905" s="77">
        <f ca="1">IFERROR(__xludf.DUMMYFUNCTION("""COMPUTED_VALUE"""),2014)</f>
        <v>2014</v>
      </c>
      <c r="H1905" s="77">
        <f ca="1">IFERROR(__xludf.DUMMYFUNCTION("""COMPUTED_VALUE"""),2015)</f>
        <v>2015</v>
      </c>
      <c r="I1905" s="77">
        <f ca="1">IFERROR(__xludf.DUMMYFUNCTION("""COMPUTED_VALUE"""),2016)</f>
        <v>2016</v>
      </c>
      <c r="J1905" s="77">
        <f ca="1">IFERROR(__xludf.DUMMYFUNCTION("""COMPUTED_VALUE"""),2017)</f>
        <v>2017</v>
      </c>
      <c r="K1905" s="77">
        <f ca="1">IFERROR(__xludf.DUMMYFUNCTION("""COMPUTED_VALUE"""),2018)</f>
        <v>2018</v>
      </c>
      <c r="L1905" s="77">
        <f ca="1">IFERROR(__xludf.DUMMYFUNCTION("""COMPUTED_VALUE"""),2019)</f>
        <v>2019</v>
      </c>
      <c r="M1905" s="77">
        <f ca="1">IFERROR(__xludf.DUMMYFUNCTION("""COMPUTED_VALUE"""),2020)</f>
        <v>2020</v>
      </c>
      <c r="N1905" s="77">
        <f ca="1">IFERROR(__xludf.DUMMYFUNCTION("""COMPUTED_VALUE"""),2021)</f>
        <v>2021</v>
      </c>
      <c r="O1905" s="77">
        <f ca="1">IFERROR(__xludf.DUMMYFUNCTION("""COMPUTED_VALUE"""),2022)</f>
        <v>2022</v>
      </c>
      <c r="P1905" s="77">
        <f ca="1">IFERROR(__xludf.DUMMYFUNCTION("""COMPUTED_VALUE"""),2023)</f>
        <v>2023</v>
      </c>
      <c r="Q1905" s="77">
        <f ca="1">IFERROR(__xludf.DUMMYFUNCTION("""COMPUTED_VALUE"""),2024)</f>
        <v>2024</v>
      </c>
    </row>
    <row r="1906" spans="1:18" ht="13.2" hidden="1" outlineLevel="2" x14ac:dyDescent="0.25">
      <c r="A1906" s="76"/>
      <c r="B1906" s="78" t="str">
        <f ca="1">IFERROR(__xludf.DUMMYFUNCTION("""COMPUTED_VALUE"""),"Energía solar")</f>
        <v>Energía solar</v>
      </c>
      <c r="C1906" s="77">
        <f ca="1">IFERROR(__xludf.DUMMYFUNCTION("""COMPUTED_VALUE"""),0)</f>
        <v>0</v>
      </c>
      <c r="D1906" s="77">
        <f ca="1">IFERROR(__xludf.DUMMYFUNCTION("""COMPUTED_VALUE"""),0)</f>
        <v>0</v>
      </c>
      <c r="E1906" s="77">
        <f ca="1">IFERROR(__xludf.DUMMYFUNCTION("""COMPUTED_VALUE"""),0)</f>
        <v>0</v>
      </c>
      <c r="F1906" s="77">
        <f ca="1">IFERROR(__xludf.DUMMYFUNCTION("""COMPUTED_VALUE"""),0)</f>
        <v>0</v>
      </c>
      <c r="G1906" s="77">
        <f ca="1">IFERROR(__xludf.DUMMYFUNCTION("""COMPUTED_VALUE"""),0)</f>
        <v>0</v>
      </c>
      <c r="H1906" s="77">
        <f ca="1">IFERROR(__xludf.DUMMYFUNCTION("""COMPUTED_VALUE"""),0)</f>
        <v>0</v>
      </c>
      <c r="I1906" s="77">
        <f ca="1">IFERROR(__xludf.DUMMYFUNCTION("""COMPUTED_VALUE"""),0)</f>
        <v>0</v>
      </c>
      <c r="J1906" s="77">
        <f ca="1">IFERROR(__xludf.DUMMYFUNCTION("""COMPUTED_VALUE"""),0)</f>
        <v>0</v>
      </c>
      <c r="K1906" s="77">
        <f ca="1">IFERROR(__xludf.DUMMYFUNCTION("""COMPUTED_VALUE"""),0)</f>
        <v>0</v>
      </c>
      <c r="L1906" s="77">
        <f ca="1">IFERROR(__xludf.DUMMYFUNCTION("""COMPUTED_VALUE"""),0)</f>
        <v>0</v>
      </c>
      <c r="M1906" s="77">
        <f ca="1">IFERROR(__xludf.DUMMYFUNCTION("""COMPUTED_VALUE"""),0)</f>
        <v>0</v>
      </c>
      <c r="N1906" s="77">
        <f ca="1">IFERROR(__xludf.DUMMYFUNCTION("""COMPUTED_VALUE"""),0)</f>
        <v>0</v>
      </c>
      <c r="O1906" s="77">
        <f ca="1">IFERROR(__xludf.DUMMYFUNCTION("""COMPUTED_VALUE"""),0)</f>
        <v>0</v>
      </c>
      <c r="P1906" s="77">
        <f ca="1">IFERROR(__xludf.DUMMYFUNCTION("""COMPUTED_VALUE"""),0)</f>
        <v>0</v>
      </c>
      <c r="Q1906" s="77">
        <f ca="1">IFERROR(__xludf.DUMMYFUNCTION("""COMPUTED_VALUE"""),0)</f>
        <v>0</v>
      </c>
    </row>
    <row r="1907" spans="1:18" ht="13.2" hidden="1" outlineLevel="2" x14ac:dyDescent="0.25">
      <c r="A1907" s="76"/>
      <c r="B1907" s="78" t="str">
        <f ca="1">IFERROR(__xludf.DUMMYFUNCTION("""COMPUTED_VALUE"""),"Leña")</f>
        <v>Leña</v>
      </c>
      <c r="C1907" s="77">
        <f ca="1">IFERROR(__xludf.DUMMYFUNCTION("""COMPUTED_VALUE"""),0)</f>
        <v>0</v>
      </c>
      <c r="D1907" s="77">
        <f ca="1">IFERROR(__xludf.DUMMYFUNCTION("""COMPUTED_VALUE"""),0)</f>
        <v>0</v>
      </c>
      <c r="E1907" s="77">
        <f ca="1">IFERROR(__xludf.DUMMYFUNCTION("""COMPUTED_VALUE"""),0)</f>
        <v>0</v>
      </c>
      <c r="F1907" s="77">
        <f ca="1">IFERROR(__xludf.DUMMYFUNCTION("""COMPUTED_VALUE"""),0)</f>
        <v>0</v>
      </c>
      <c r="G1907" s="77">
        <f ca="1">IFERROR(__xludf.DUMMYFUNCTION("""COMPUTED_VALUE"""),0)</f>
        <v>0</v>
      </c>
      <c r="H1907" s="77">
        <f ca="1">IFERROR(__xludf.DUMMYFUNCTION("""COMPUTED_VALUE"""),0)</f>
        <v>0</v>
      </c>
      <c r="I1907" s="77">
        <f ca="1">IFERROR(__xludf.DUMMYFUNCTION("""COMPUTED_VALUE"""),0)</f>
        <v>0</v>
      </c>
      <c r="J1907" s="77">
        <f ca="1">IFERROR(__xludf.DUMMYFUNCTION("""COMPUTED_VALUE"""),0)</f>
        <v>0</v>
      </c>
      <c r="K1907" s="77">
        <f ca="1">IFERROR(__xludf.DUMMYFUNCTION("""COMPUTED_VALUE"""),0)</f>
        <v>0</v>
      </c>
      <c r="L1907" s="77">
        <f ca="1">IFERROR(__xludf.DUMMYFUNCTION("""COMPUTED_VALUE"""),0)</f>
        <v>0</v>
      </c>
      <c r="M1907" s="77">
        <f ca="1">IFERROR(__xludf.DUMMYFUNCTION("""COMPUTED_VALUE"""),0)</f>
        <v>0</v>
      </c>
      <c r="N1907" s="77">
        <f ca="1">IFERROR(__xludf.DUMMYFUNCTION("""COMPUTED_VALUE"""),0)</f>
        <v>0</v>
      </c>
      <c r="O1907" s="77">
        <f ca="1">IFERROR(__xludf.DUMMYFUNCTION("""COMPUTED_VALUE"""),0)</f>
        <v>0</v>
      </c>
      <c r="P1907" s="77">
        <f ca="1">IFERROR(__xludf.DUMMYFUNCTION("""COMPUTED_VALUE"""),0)</f>
        <v>0</v>
      </c>
      <c r="Q1907" s="77">
        <f ca="1">IFERROR(__xludf.DUMMYFUNCTION("""COMPUTED_VALUE"""),0)</f>
        <v>0</v>
      </c>
    </row>
    <row r="1908" spans="1:18" ht="13.2" hidden="1" outlineLevel="2" x14ac:dyDescent="0.25">
      <c r="A1908" s="76"/>
      <c r="B1908" s="78" t="str">
        <f ca="1">IFERROR(__xludf.DUMMYFUNCTION("""COMPUTED_VALUE"""),"Gas licuado de petróleo")</f>
        <v>Gas licuado de petróleo</v>
      </c>
      <c r="C1908" s="77">
        <f ca="1">IFERROR(__xludf.DUMMYFUNCTION("""COMPUTED_VALUE"""),0)</f>
        <v>0</v>
      </c>
      <c r="D1908" s="77">
        <f ca="1">IFERROR(__xludf.DUMMYFUNCTION("""COMPUTED_VALUE"""),0)</f>
        <v>0</v>
      </c>
      <c r="E1908" s="77">
        <f ca="1">IFERROR(__xludf.DUMMYFUNCTION("""COMPUTED_VALUE"""),0)</f>
        <v>0</v>
      </c>
      <c r="F1908" s="77">
        <f ca="1">IFERROR(__xludf.DUMMYFUNCTION("""COMPUTED_VALUE"""),0)</f>
        <v>0</v>
      </c>
      <c r="G1908" s="77">
        <f ca="1">IFERROR(__xludf.DUMMYFUNCTION("""COMPUTED_VALUE"""),0)</f>
        <v>0</v>
      </c>
      <c r="H1908" s="77">
        <f ca="1">IFERROR(__xludf.DUMMYFUNCTION("""COMPUTED_VALUE"""),0)</f>
        <v>0</v>
      </c>
      <c r="I1908" s="77">
        <f ca="1">IFERROR(__xludf.DUMMYFUNCTION("""COMPUTED_VALUE"""),0)</f>
        <v>0</v>
      </c>
      <c r="J1908" s="77">
        <f ca="1">IFERROR(__xludf.DUMMYFUNCTION("""COMPUTED_VALUE"""),0)</f>
        <v>0</v>
      </c>
      <c r="K1908" s="77">
        <f ca="1">IFERROR(__xludf.DUMMYFUNCTION("""COMPUTED_VALUE"""),0)</f>
        <v>0</v>
      </c>
      <c r="L1908" s="77">
        <f ca="1">IFERROR(__xludf.DUMMYFUNCTION("""COMPUTED_VALUE"""),0)</f>
        <v>0</v>
      </c>
      <c r="M1908" s="77">
        <f ca="1">IFERROR(__xludf.DUMMYFUNCTION("""COMPUTED_VALUE"""),0)</f>
        <v>0</v>
      </c>
      <c r="N1908" s="77">
        <f ca="1">IFERROR(__xludf.DUMMYFUNCTION("""COMPUTED_VALUE"""),0)</f>
        <v>0</v>
      </c>
      <c r="O1908" s="77">
        <f ca="1">IFERROR(__xludf.DUMMYFUNCTION("""COMPUTED_VALUE"""),0)</f>
        <v>0</v>
      </c>
      <c r="P1908" s="77">
        <f ca="1">IFERROR(__xludf.DUMMYFUNCTION("""COMPUTED_VALUE"""),0)</f>
        <v>0</v>
      </c>
      <c r="Q1908" s="77">
        <f ca="1">IFERROR(__xludf.DUMMYFUNCTION("""COMPUTED_VALUE"""),0)</f>
        <v>0</v>
      </c>
    </row>
    <row r="1909" spans="1:18" ht="13.2" hidden="1" outlineLevel="2" x14ac:dyDescent="0.25">
      <c r="A1909" s="76"/>
      <c r="B1909" s="78" t="str">
        <f ca="1">IFERROR(__xludf.DUMMYFUNCTION("""COMPUTED_VALUE"""),"Gas natural seco")</f>
        <v>Gas natural seco</v>
      </c>
      <c r="C1909" s="77">
        <f ca="1">IFERROR(__xludf.DUMMYFUNCTION("""COMPUTED_VALUE"""),0)</f>
        <v>0</v>
      </c>
      <c r="D1909" s="77">
        <f ca="1">IFERROR(__xludf.DUMMYFUNCTION("""COMPUTED_VALUE"""),0)</f>
        <v>0</v>
      </c>
      <c r="E1909" s="77">
        <f ca="1">IFERROR(__xludf.DUMMYFUNCTION("""COMPUTED_VALUE"""),0)</f>
        <v>0</v>
      </c>
      <c r="F1909" s="77">
        <f ca="1">IFERROR(__xludf.DUMMYFUNCTION("""COMPUTED_VALUE"""),0)</f>
        <v>0</v>
      </c>
      <c r="G1909" s="77">
        <f ca="1">IFERROR(__xludf.DUMMYFUNCTION("""COMPUTED_VALUE"""),0)</f>
        <v>0</v>
      </c>
      <c r="H1909" s="77">
        <f ca="1">IFERROR(__xludf.DUMMYFUNCTION("""COMPUTED_VALUE"""),0)</f>
        <v>0</v>
      </c>
      <c r="I1909" s="77">
        <f ca="1">IFERROR(__xludf.DUMMYFUNCTION("""COMPUTED_VALUE"""),0)</f>
        <v>0</v>
      </c>
      <c r="J1909" s="77">
        <f ca="1">IFERROR(__xludf.DUMMYFUNCTION("""COMPUTED_VALUE"""),0)</f>
        <v>0</v>
      </c>
      <c r="K1909" s="77">
        <f ca="1">IFERROR(__xludf.DUMMYFUNCTION("""COMPUTED_VALUE"""),0)</f>
        <v>0</v>
      </c>
      <c r="L1909" s="77">
        <f ca="1">IFERROR(__xludf.DUMMYFUNCTION("""COMPUTED_VALUE"""),0)</f>
        <v>0</v>
      </c>
      <c r="M1909" s="77">
        <f ca="1">IFERROR(__xludf.DUMMYFUNCTION("""COMPUTED_VALUE"""),0)</f>
        <v>0</v>
      </c>
      <c r="N1909" s="77">
        <f ca="1">IFERROR(__xludf.DUMMYFUNCTION("""COMPUTED_VALUE"""),0)</f>
        <v>0</v>
      </c>
      <c r="O1909" s="77">
        <f ca="1">IFERROR(__xludf.DUMMYFUNCTION("""COMPUTED_VALUE"""),0)</f>
        <v>0</v>
      </c>
      <c r="P1909" s="77">
        <f ca="1">IFERROR(__xludf.DUMMYFUNCTION("""COMPUTED_VALUE"""),0)</f>
        <v>0</v>
      </c>
      <c r="Q1909" s="77">
        <f ca="1">IFERROR(__xludf.DUMMYFUNCTION("""COMPUTED_VALUE"""),0)</f>
        <v>0</v>
      </c>
    </row>
    <row r="1910" spans="1:18" ht="13.2" hidden="1" outlineLevel="2" x14ac:dyDescent="0.25">
      <c r="A1910" s="76"/>
      <c r="B1910" s="77" t="str">
        <f ca="1">IFERROR(__xludf.DUMMYFUNCTION("""COMPUTED_VALUE"""),"Energía eléctrica")</f>
        <v>Energía eléctrica</v>
      </c>
      <c r="C1910" s="77">
        <f ca="1">IFERROR(__xludf.DUMMYFUNCTION("""COMPUTED_VALUE"""),40.8010965786778)</f>
        <v>40.8010965786778</v>
      </c>
      <c r="D1910" s="77">
        <f ca="1">IFERROR(__xludf.DUMMYFUNCTION("""COMPUTED_VALUE"""),41.0688915407252)</f>
        <v>41.068891540725197</v>
      </c>
      <c r="E1910" s="77">
        <f ca="1">IFERROR(__xludf.DUMMYFUNCTION("""COMPUTED_VALUE"""),41.3256936668676)</f>
        <v>41.3256936668676</v>
      </c>
      <c r="F1910" s="77">
        <f ca="1">IFERROR(__xludf.DUMMYFUNCTION("""COMPUTED_VALUE"""),41.6357035688265)</f>
        <v>41.6357035688265</v>
      </c>
      <c r="G1910" s="77">
        <f ca="1">IFERROR(__xludf.DUMMYFUNCTION("""COMPUTED_VALUE"""),43.0274037930141)</f>
        <v>43.027403793014102</v>
      </c>
      <c r="H1910" s="77">
        <f ca="1">IFERROR(__xludf.DUMMYFUNCTION("""COMPUTED_VALUE"""),44.0564641167731)</f>
        <v>44.0564641167731</v>
      </c>
      <c r="I1910" s="77">
        <f ca="1">IFERROR(__xludf.DUMMYFUNCTION("""COMPUTED_VALUE"""),46.2647123070941)</f>
        <v>46.264712307094101</v>
      </c>
      <c r="J1910" s="77">
        <f ca="1">IFERROR(__xludf.DUMMYFUNCTION("""COMPUTED_VALUE"""),47.5093920458842)</f>
        <v>47.509392045884198</v>
      </c>
      <c r="K1910" s="77">
        <f ca="1">IFERROR(__xludf.DUMMYFUNCTION("""COMPUTED_VALUE"""),49.6161699109514)</f>
        <v>49.616169910951399</v>
      </c>
      <c r="L1910" s="77">
        <f ca="1">IFERROR(__xludf.DUMMYFUNCTION("""COMPUTED_VALUE"""),53.6978922842458)</f>
        <v>53.697892284245803</v>
      </c>
      <c r="M1910" s="77">
        <f ca="1">IFERROR(__xludf.DUMMYFUNCTION("""COMPUTED_VALUE"""),56.820927320079)</f>
        <v>56.820927320079001</v>
      </c>
      <c r="N1910" s="77">
        <f ca="1">IFERROR(__xludf.DUMMYFUNCTION("""COMPUTED_VALUE"""),55.3890515244087)</f>
        <v>55.3890515244087</v>
      </c>
      <c r="O1910" s="77">
        <f ca="1">IFERROR(__xludf.DUMMYFUNCTION("""COMPUTED_VALUE"""),57.469611530276)</f>
        <v>57.469611530275998</v>
      </c>
      <c r="P1910" s="77">
        <f ca="1">IFERROR(__xludf.DUMMYFUNCTION("""COMPUTED_VALUE"""),59.5407247891363)</f>
        <v>59.540724789136299</v>
      </c>
      <c r="Q1910" s="77">
        <f ca="1">IFERROR(__xludf.DUMMYFUNCTION("""COMPUTED_VALUE"""),60.5432175396699)</f>
        <v>60.543217539669897</v>
      </c>
    </row>
    <row r="1911" spans="1:18" ht="13.2" outlineLevel="1" collapsed="1" x14ac:dyDescent="0.25">
      <c r="A1911" s="71"/>
      <c r="B1911" s="72" t="str">
        <f ca="1">IFERROR(__xludf.DUMMYFUNCTION("""COMPUTED_VALUE"""),"Calentamiento de agua")</f>
        <v>Calentamiento de agua</v>
      </c>
      <c r="C1911" s="73"/>
      <c r="D1911" s="73"/>
      <c r="E1911" s="73"/>
      <c r="F1911" s="73"/>
      <c r="G1911" s="73"/>
      <c r="H1911" s="73"/>
      <c r="I1911" s="73"/>
      <c r="J1911" s="73"/>
      <c r="K1911" s="73"/>
      <c r="L1911" s="73"/>
      <c r="M1911" s="73"/>
      <c r="N1911" s="73"/>
      <c r="O1911" s="73"/>
      <c r="P1911" s="73"/>
      <c r="Q1911" s="74"/>
      <c r="R1911" s="75"/>
    </row>
    <row r="1912" spans="1:18" ht="13.2" hidden="1" outlineLevel="2" x14ac:dyDescent="0.25">
      <c r="A1912" s="76"/>
      <c r="B1912" s="78"/>
      <c r="C1912" s="77">
        <f ca="1">IFERROR(__xludf.DUMMYFUNCTION("""COMPUTED_VALUE"""),2010)</f>
        <v>2010</v>
      </c>
      <c r="D1912" s="77">
        <f ca="1">IFERROR(__xludf.DUMMYFUNCTION("""COMPUTED_VALUE"""),2011)</f>
        <v>2011</v>
      </c>
      <c r="E1912" s="77">
        <f ca="1">IFERROR(__xludf.DUMMYFUNCTION("""COMPUTED_VALUE"""),2012)</f>
        <v>2012</v>
      </c>
      <c r="F1912" s="77">
        <f ca="1">IFERROR(__xludf.DUMMYFUNCTION("""COMPUTED_VALUE"""),2013)</f>
        <v>2013</v>
      </c>
      <c r="G1912" s="77">
        <f ca="1">IFERROR(__xludf.DUMMYFUNCTION("""COMPUTED_VALUE"""),2014)</f>
        <v>2014</v>
      </c>
      <c r="H1912" s="77">
        <f ca="1">IFERROR(__xludf.DUMMYFUNCTION("""COMPUTED_VALUE"""),2015)</f>
        <v>2015</v>
      </c>
      <c r="I1912" s="77">
        <f ca="1">IFERROR(__xludf.DUMMYFUNCTION("""COMPUTED_VALUE"""),2016)</f>
        <v>2016</v>
      </c>
      <c r="J1912" s="77">
        <f ca="1">IFERROR(__xludf.DUMMYFUNCTION("""COMPUTED_VALUE"""),2017)</f>
        <v>2017</v>
      </c>
      <c r="K1912" s="77">
        <f ca="1">IFERROR(__xludf.DUMMYFUNCTION("""COMPUTED_VALUE"""),2018)</f>
        <v>2018</v>
      </c>
      <c r="L1912" s="77">
        <f ca="1">IFERROR(__xludf.DUMMYFUNCTION("""COMPUTED_VALUE"""),2019)</f>
        <v>2019</v>
      </c>
      <c r="M1912" s="77">
        <f ca="1">IFERROR(__xludf.DUMMYFUNCTION("""COMPUTED_VALUE"""),2020)</f>
        <v>2020</v>
      </c>
      <c r="N1912" s="77">
        <f ca="1">IFERROR(__xludf.DUMMYFUNCTION("""COMPUTED_VALUE"""),2021)</f>
        <v>2021</v>
      </c>
      <c r="O1912" s="77">
        <f ca="1">IFERROR(__xludf.DUMMYFUNCTION("""COMPUTED_VALUE"""),2022)</f>
        <v>2022</v>
      </c>
      <c r="P1912" s="77">
        <f ca="1">IFERROR(__xludf.DUMMYFUNCTION("""COMPUTED_VALUE"""),2023)</f>
        <v>2023</v>
      </c>
      <c r="Q1912" s="77">
        <f ca="1">IFERROR(__xludf.DUMMYFUNCTION("""COMPUTED_VALUE"""),2024)</f>
        <v>2024</v>
      </c>
    </row>
    <row r="1913" spans="1:18" ht="13.2" hidden="1" outlineLevel="2" x14ac:dyDescent="0.25">
      <c r="A1913" s="76"/>
      <c r="B1913" s="78" t="str">
        <f ca="1">IFERROR(__xludf.DUMMYFUNCTION("""COMPUTED_VALUE"""),"Energía solar")</f>
        <v>Energía solar</v>
      </c>
      <c r="C1913" s="77">
        <f ca="1">IFERROR(__xludf.DUMMYFUNCTION("""COMPUTED_VALUE"""),4.19)</f>
        <v>4.1900000000000004</v>
      </c>
      <c r="D1913" s="77">
        <f ca="1">IFERROR(__xludf.DUMMYFUNCTION("""COMPUTED_VALUE"""),5.03)</f>
        <v>5.03</v>
      </c>
      <c r="E1913" s="77">
        <f ca="1">IFERROR(__xludf.DUMMYFUNCTION("""COMPUTED_VALUE"""),5.23)</f>
        <v>5.23</v>
      </c>
      <c r="F1913" s="77">
        <f ca="1">IFERROR(__xludf.DUMMYFUNCTION("""COMPUTED_VALUE"""),4.76)</f>
        <v>4.76</v>
      </c>
      <c r="G1913" s="77">
        <f ca="1">IFERROR(__xludf.DUMMYFUNCTION("""COMPUTED_VALUE"""),5.71)</f>
        <v>5.71</v>
      </c>
      <c r="H1913" s="77">
        <f ca="1">IFERROR(__xludf.DUMMYFUNCTION("""COMPUTED_VALUE"""),6.11)</f>
        <v>6.11</v>
      </c>
      <c r="I1913" s="77">
        <f ca="1">IFERROR(__xludf.DUMMYFUNCTION("""COMPUTED_VALUE"""),6.46)</f>
        <v>6.46</v>
      </c>
      <c r="J1913" s="77">
        <f ca="1">IFERROR(__xludf.DUMMYFUNCTION("""COMPUTED_VALUE"""),6.85)</f>
        <v>6.85</v>
      </c>
      <c r="K1913" s="77">
        <f ca="1">IFERROR(__xludf.DUMMYFUNCTION("""COMPUTED_VALUE"""),6.92)</f>
        <v>6.92</v>
      </c>
      <c r="L1913" s="77">
        <f ca="1">IFERROR(__xludf.DUMMYFUNCTION("""COMPUTED_VALUE"""),6.99)</f>
        <v>6.99</v>
      </c>
      <c r="M1913" s="77">
        <f ca="1">IFERROR(__xludf.DUMMYFUNCTION("""COMPUTED_VALUE"""),6.64)</f>
        <v>6.64</v>
      </c>
      <c r="N1913" s="77">
        <f ca="1">IFERROR(__xludf.DUMMYFUNCTION("""COMPUTED_VALUE"""),7.17)</f>
        <v>7.17</v>
      </c>
      <c r="O1913" s="77">
        <f ca="1">IFERROR(__xludf.DUMMYFUNCTION("""COMPUTED_VALUE"""),7.89)</f>
        <v>7.89</v>
      </c>
      <c r="P1913" s="77">
        <f ca="1">IFERROR(__xludf.DUMMYFUNCTION("""COMPUTED_VALUE"""),8.52)</f>
        <v>8.52</v>
      </c>
      <c r="Q1913" s="77">
        <f ca="1">IFERROR(__xludf.DUMMYFUNCTION("""COMPUTED_VALUE"""),10.58)</f>
        <v>10.58</v>
      </c>
    </row>
    <row r="1914" spans="1:18" ht="13.2" hidden="1" outlineLevel="2" x14ac:dyDescent="0.25">
      <c r="A1914" s="76"/>
      <c r="B1914" s="78" t="str">
        <f ca="1">IFERROR(__xludf.DUMMYFUNCTION("""COMPUTED_VALUE"""),"Leña")</f>
        <v>Leña</v>
      </c>
      <c r="C1914" s="77">
        <f ca="1">IFERROR(__xludf.DUMMYFUNCTION("""COMPUTED_VALUE"""),34.4047781832149)</f>
        <v>34.404778183214901</v>
      </c>
      <c r="D1914" s="77">
        <f ca="1">IFERROR(__xludf.DUMMYFUNCTION("""COMPUTED_VALUE"""),34.2373335439426)</f>
        <v>34.237333543942597</v>
      </c>
      <c r="E1914" s="77">
        <f ca="1">IFERROR(__xludf.DUMMYFUNCTION("""COMPUTED_VALUE"""),34.0706817745342)</f>
        <v>34.070681774534201</v>
      </c>
      <c r="F1914" s="77">
        <f ca="1">IFERROR(__xludf.DUMMYFUNCTION("""COMPUTED_VALUE"""),33.9051661225273)</f>
        <v>33.905166122527298</v>
      </c>
      <c r="G1914" s="77">
        <f ca="1">IFERROR(__xludf.DUMMYFUNCTION("""COMPUTED_VALUE"""),33.7376070674092)</f>
        <v>33.737607067409201</v>
      </c>
      <c r="H1914" s="77">
        <f ca="1">IFERROR(__xludf.DUMMYFUNCTION("""COMPUTED_VALUE"""),33.5700480122911)</f>
        <v>33.570048012291103</v>
      </c>
      <c r="I1914" s="77">
        <f ca="1">IFERROR(__xludf.DUMMYFUNCTION("""COMPUTED_VALUE"""),33.402488957173)</f>
        <v>33.402488957172999</v>
      </c>
      <c r="J1914" s="77">
        <f ca="1">IFERROR(__xludf.DUMMYFUNCTION("""COMPUTED_VALUE"""),33.2359516036105)</f>
        <v>33.235951603610502</v>
      </c>
      <c r="K1914" s="77">
        <f ca="1">IFERROR(__xludf.DUMMYFUNCTION("""COMPUTED_VALUE"""),33.0703215539947)</f>
        <v>33.070321553994702</v>
      </c>
      <c r="L1914" s="77">
        <f ca="1">IFERROR(__xludf.DUMMYFUNCTION("""COMPUTED_VALUE"""),32.9019696063463)</f>
        <v>32.901969606346299</v>
      </c>
      <c r="M1914" s="77">
        <f ca="1">IFERROR(__xludf.DUMMYFUNCTION("""COMPUTED_VALUE"""),32.7353178413673)</f>
        <v>32.735317841367298</v>
      </c>
      <c r="N1914" s="77">
        <f ca="1">IFERROR(__xludf.DUMMYFUNCTION("""COMPUTED_VALUE"""),32.5975025068809)</f>
        <v>32.5975025068809</v>
      </c>
      <c r="O1914" s="77">
        <f ca="1">IFERROR(__xludf.DUMMYFUNCTION("""COMPUTED_VALUE"""),32.4586816233238)</f>
        <v>32.458681623323798</v>
      </c>
      <c r="P1914" s="77">
        <f ca="1">IFERROR(__xludf.DUMMYFUNCTION("""COMPUTED_VALUE"""),32.3198607397668)</f>
        <v>32.319860739766803</v>
      </c>
      <c r="Q1914" s="77">
        <f ca="1">IFERROR(__xludf.DUMMYFUNCTION("""COMPUTED_VALUE"""),32.1810398562098)</f>
        <v>32.1810398562098</v>
      </c>
    </row>
    <row r="1915" spans="1:18" ht="13.2" hidden="1" outlineLevel="2" x14ac:dyDescent="0.25">
      <c r="A1915" s="76"/>
      <c r="B1915" s="78" t="str">
        <f ca="1">IFERROR(__xludf.DUMMYFUNCTION("""COMPUTED_VALUE"""),"Gas licuado de petróleo")</f>
        <v>Gas licuado de petróleo</v>
      </c>
      <c r="C1915" s="77">
        <f ca="1">IFERROR(__xludf.DUMMYFUNCTION("""COMPUTED_VALUE"""),81.1608021932846)</f>
        <v>81.160802193284596</v>
      </c>
      <c r="D1915" s="77">
        <f ca="1">IFERROR(__xludf.DUMMYFUNCTION("""COMPUTED_VALUE"""),77.9465820622682)</f>
        <v>77.946582062268206</v>
      </c>
      <c r="E1915" s="77">
        <f ca="1">IFERROR(__xludf.DUMMYFUNCTION("""COMPUTED_VALUE"""),75.658174696256)</f>
        <v>75.658174696255998</v>
      </c>
      <c r="F1915" s="77">
        <f ca="1">IFERROR(__xludf.DUMMYFUNCTION("""COMPUTED_VALUE"""),70.6560702946626)</f>
        <v>70.656070294662598</v>
      </c>
      <c r="G1915" s="77">
        <f ca="1">IFERROR(__xludf.DUMMYFUNCTION("""COMPUTED_VALUE"""),73.451210567244)</f>
        <v>73.451210567244004</v>
      </c>
      <c r="H1915" s="77">
        <f ca="1">IFERROR(__xludf.DUMMYFUNCTION("""COMPUTED_VALUE"""),66.9788348190507)</f>
        <v>66.978834819050704</v>
      </c>
      <c r="I1915" s="77">
        <f ca="1">IFERROR(__xludf.DUMMYFUNCTION("""COMPUTED_VALUE"""),73.9416165715052)</f>
        <v>73.941616571505193</v>
      </c>
      <c r="J1915" s="77">
        <f ca="1">IFERROR(__xludf.DUMMYFUNCTION("""COMPUTED_VALUE"""),68.9368469336425)</f>
        <v>68.936846933642499</v>
      </c>
      <c r="K1915" s="77">
        <f ca="1">IFERROR(__xludf.DUMMYFUNCTION("""COMPUTED_VALUE"""),72.7048522575884)</f>
        <v>72.704852257588399</v>
      </c>
      <c r="L1915" s="77">
        <f ca="1">IFERROR(__xludf.DUMMYFUNCTION("""COMPUTED_VALUE"""),61.7135880815276)</f>
        <v>61.713588081527597</v>
      </c>
      <c r="M1915" s="77">
        <f ca="1">IFERROR(__xludf.DUMMYFUNCTION("""COMPUTED_VALUE"""),65.8663802453382)</f>
        <v>65.866380245338206</v>
      </c>
      <c r="N1915" s="77">
        <f ca="1">IFERROR(__xludf.DUMMYFUNCTION("""COMPUTED_VALUE"""),74.5312653713201)</f>
        <v>74.531265371320103</v>
      </c>
      <c r="O1915" s="77">
        <f ca="1">IFERROR(__xludf.DUMMYFUNCTION("""COMPUTED_VALUE"""),76.1322401872018)</f>
        <v>76.132240187201802</v>
      </c>
      <c r="P1915" s="77">
        <f ca="1">IFERROR(__xludf.DUMMYFUNCTION("""COMPUTED_VALUE"""),75.4532175803129)</f>
        <v>75.453217580312895</v>
      </c>
      <c r="Q1915" s="77">
        <f ca="1">IFERROR(__xludf.DUMMYFUNCTION("""COMPUTED_VALUE"""),67.3984445847866)</f>
        <v>67.398444584786603</v>
      </c>
    </row>
    <row r="1916" spans="1:18" ht="13.2" hidden="1" outlineLevel="2" x14ac:dyDescent="0.25">
      <c r="A1916" s="76"/>
      <c r="B1916" s="78" t="str">
        <f ca="1">IFERROR(__xludf.DUMMYFUNCTION("""COMPUTED_VALUE"""),"Gas natural seco")</f>
        <v>Gas natural seco</v>
      </c>
      <c r="C1916" s="77">
        <f ca="1">IFERROR(__xludf.DUMMYFUNCTION("""COMPUTED_VALUE"""),8.45284891448826)</f>
        <v>8.4528489144882606</v>
      </c>
      <c r="D1916" s="77">
        <f ca="1">IFERROR(__xludf.DUMMYFUNCTION("""COMPUTED_VALUE"""),8.00092408575031)</f>
        <v>8.0009240857503094</v>
      </c>
      <c r="E1916" s="77">
        <f ca="1">IFERROR(__xludf.DUMMYFUNCTION("""COMPUTED_VALUE"""),8.14944635761589)</f>
        <v>8.14944635761589</v>
      </c>
      <c r="F1916" s="77">
        <f ca="1">IFERROR(__xludf.DUMMYFUNCTION("""COMPUTED_VALUE"""),8.87064816563748)</f>
        <v>8.8706481656374798</v>
      </c>
      <c r="G1916" s="77">
        <f ca="1">IFERROR(__xludf.DUMMYFUNCTION("""COMPUTED_VALUE"""),11.2)</f>
        <v>11.2</v>
      </c>
      <c r="H1916" s="77">
        <f ca="1">IFERROR(__xludf.DUMMYFUNCTION("""COMPUTED_VALUE"""),10.36)</f>
        <v>10.36</v>
      </c>
      <c r="I1916" s="77">
        <f ca="1">IFERROR(__xludf.DUMMYFUNCTION("""COMPUTED_VALUE"""),10.36)</f>
        <v>10.36</v>
      </c>
      <c r="J1916" s="77">
        <f ca="1">IFERROR(__xludf.DUMMYFUNCTION("""COMPUTED_VALUE"""),9.56085585215606)</f>
        <v>9.5608558521560596</v>
      </c>
      <c r="K1916" s="77">
        <f ca="1">IFERROR(__xludf.DUMMYFUNCTION("""COMPUTED_VALUE"""),8.91716113360323)</f>
        <v>8.9171611336032299</v>
      </c>
      <c r="L1916" s="77">
        <f ca="1">IFERROR(__xludf.DUMMYFUNCTION("""COMPUTED_VALUE"""),9.19440098400984)</f>
        <v>9.1944009840098406</v>
      </c>
      <c r="M1916" s="77">
        <f ca="1">IFERROR(__xludf.DUMMYFUNCTION("""COMPUTED_VALUE"""),7.62809236641221)</f>
        <v>7.6280923664122096</v>
      </c>
      <c r="N1916" s="77">
        <f ca="1">IFERROR(__xludf.DUMMYFUNCTION("""COMPUTED_VALUE"""),9.13293061224489)</f>
        <v>9.1329306122448894</v>
      </c>
      <c r="O1916" s="77">
        <f ca="1">IFERROR(__xludf.DUMMYFUNCTION("""COMPUTED_VALUE"""),8.94654596100278)</f>
        <v>8.94654596100278</v>
      </c>
      <c r="P1916" s="77">
        <f ca="1">IFERROR(__xludf.DUMMYFUNCTION("""COMPUTED_VALUE"""),8.82680997229917)</f>
        <v>8.82680997229917</v>
      </c>
      <c r="Q1916" s="77">
        <f ca="1">IFERROR(__xludf.DUMMYFUNCTION("""COMPUTED_VALUE"""),8.24868255813953)</f>
        <v>8.2486825581395298</v>
      </c>
    </row>
    <row r="1917" spans="1:18" ht="13.2" hidden="1" outlineLevel="2" x14ac:dyDescent="0.25">
      <c r="A1917" s="76"/>
      <c r="B1917" s="77" t="str">
        <f ca="1">IFERROR(__xludf.DUMMYFUNCTION("""COMPUTED_VALUE"""),"Energía eléctrica")</f>
        <v>Energía eléctrica</v>
      </c>
      <c r="C1917" s="77">
        <f ca="1">IFERROR(__xludf.DUMMYFUNCTION("""COMPUTED_VALUE"""),0)</f>
        <v>0</v>
      </c>
      <c r="D1917" s="77">
        <f ca="1">IFERROR(__xludf.DUMMYFUNCTION("""COMPUTED_VALUE"""),0)</f>
        <v>0</v>
      </c>
      <c r="E1917" s="77">
        <f ca="1">IFERROR(__xludf.DUMMYFUNCTION("""COMPUTED_VALUE"""),0)</f>
        <v>0</v>
      </c>
      <c r="F1917" s="77">
        <f ca="1">IFERROR(__xludf.DUMMYFUNCTION("""COMPUTED_VALUE"""),0)</f>
        <v>0</v>
      </c>
      <c r="G1917" s="77">
        <f ca="1">IFERROR(__xludf.DUMMYFUNCTION("""COMPUTED_VALUE"""),0)</f>
        <v>0</v>
      </c>
      <c r="H1917" s="77">
        <f ca="1">IFERROR(__xludf.DUMMYFUNCTION("""COMPUTED_VALUE"""),0)</f>
        <v>0</v>
      </c>
      <c r="I1917" s="77">
        <f ca="1">IFERROR(__xludf.DUMMYFUNCTION("""COMPUTED_VALUE"""),0)</f>
        <v>0</v>
      </c>
      <c r="J1917" s="77">
        <f ca="1">IFERROR(__xludf.DUMMYFUNCTION("""COMPUTED_VALUE"""),0)</f>
        <v>0</v>
      </c>
      <c r="K1917" s="77">
        <f ca="1">IFERROR(__xludf.DUMMYFUNCTION("""COMPUTED_VALUE"""),0)</f>
        <v>0</v>
      </c>
      <c r="L1917" s="77">
        <f ca="1">IFERROR(__xludf.DUMMYFUNCTION("""COMPUTED_VALUE"""),0)</f>
        <v>0</v>
      </c>
      <c r="M1917" s="77">
        <f ca="1">IFERROR(__xludf.DUMMYFUNCTION("""COMPUTED_VALUE"""),0)</f>
        <v>0</v>
      </c>
      <c r="N1917" s="77">
        <f ca="1">IFERROR(__xludf.DUMMYFUNCTION("""COMPUTED_VALUE"""),0)</f>
        <v>0</v>
      </c>
      <c r="O1917" s="77">
        <f ca="1">IFERROR(__xludf.DUMMYFUNCTION("""COMPUTED_VALUE"""),0)</f>
        <v>0</v>
      </c>
      <c r="P1917" s="77">
        <f ca="1">IFERROR(__xludf.DUMMYFUNCTION("""COMPUTED_VALUE"""),0)</f>
        <v>0</v>
      </c>
      <c r="Q1917" s="77">
        <f ca="1">IFERROR(__xludf.DUMMYFUNCTION("""COMPUTED_VALUE"""),0)</f>
        <v>0</v>
      </c>
    </row>
    <row r="1918" spans="1:18" ht="13.2" outlineLevel="1" collapsed="1" x14ac:dyDescent="0.25">
      <c r="A1918" s="71"/>
      <c r="B1918" s="72" t="str">
        <f ca="1">IFERROR(__xludf.DUMMYFUNCTION("""COMPUTED_VALUE"""),"Cocción de alimentos")</f>
        <v>Cocción de alimentos</v>
      </c>
      <c r="C1918" s="73"/>
      <c r="D1918" s="73"/>
      <c r="E1918" s="73"/>
      <c r="F1918" s="73"/>
      <c r="G1918" s="73"/>
      <c r="H1918" s="73"/>
      <c r="I1918" s="73"/>
      <c r="J1918" s="73"/>
      <c r="K1918" s="73"/>
      <c r="L1918" s="73"/>
      <c r="M1918" s="73"/>
      <c r="N1918" s="73"/>
      <c r="O1918" s="73"/>
      <c r="P1918" s="73"/>
      <c r="Q1918" s="74"/>
      <c r="R1918" s="75"/>
    </row>
    <row r="1919" spans="1:18" ht="13.2" hidden="1" outlineLevel="2" x14ac:dyDescent="0.25">
      <c r="A1919" s="76"/>
      <c r="B1919" s="78"/>
      <c r="C1919" s="77">
        <f ca="1">IFERROR(__xludf.DUMMYFUNCTION("""COMPUTED_VALUE"""),2010)</f>
        <v>2010</v>
      </c>
      <c r="D1919" s="77">
        <f ca="1">IFERROR(__xludf.DUMMYFUNCTION("""COMPUTED_VALUE"""),2011)</f>
        <v>2011</v>
      </c>
      <c r="E1919" s="77">
        <f ca="1">IFERROR(__xludf.DUMMYFUNCTION("""COMPUTED_VALUE"""),2012)</f>
        <v>2012</v>
      </c>
      <c r="F1919" s="77">
        <f ca="1">IFERROR(__xludf.DUMMYFUNCTION("""COMPUTED_VALUE"""),2013)</f>
        <v>2013</v>
      </c>
      <c r="G1919" s="77">
        <f ca="1">IFERROR(__xludf.DUMMYFUNCTION("""COMPUTED_VALUE"""),2014)</f>
        <v>2014</v>
      </c>
      <c r="H1919" s="77">
        <f ca="1">IFERROR(__xludf.DUMMYFUNCTION("""COMPUTED_VALUE"""),2015)</f>
        <v>2015</v>
      </c>
      <c r="I1919" s="77">
        <f ca="1">IFERROR(__xludf.DUMMYFUNCTION("""COMPUTED_VALUE"""),2016)</f>
        <v>2016</v>
      </c>
      <c r="J1919" s="77">
        <f ca="1">IFERROR(__xludf.DUMMYFUNCTION("""COMPUTED_VALUE"""),2017)</f>
        <v>2017</v>
      </c>
      <c r="K1919" s="77">
        <f ca="1">IFERROR(__xludf.DUMMYFUNCTION("""COMPUTED_VALUE"""),2018)</f>
        <v>2018</v>
      </c>
      <c r="L1919" s="77">
        <f ca="1">IFERROR(__xludf.DUMMYFUNCTION("""COMPUTED_VALUE"""),2019)</f>
        <v>2019</v>
      </c>
      <c r="M1919" s="77">
        <f ca="1">IFERROR(__xludf.DUMMYFUNCTION("""COMPUTED_VALUE"""),2020)</f>
        <v>2020</v>
      </c>
      <c r="N1919" s="77">
        <f ca="1">IFERROR(__xludf.DUMMYFUNCTION("""COMPUTED_VALUE"""),2021)</f>
        <v>2021</v>
      </c>
      <c r="O1919" s="77">
        <f ca="1">IFERROR(__xludf.DUMMYFUNCTION("""COMPUTED_VALUE"""),2022)</f>
        <v>2022</v>
      </c>
      <c r="P1919" s="77">
        <f ca="1">IFERROR(__xludf.DUMMYFUNCTION("""COMPUTED_VALUE"""),2023)</f>
        <v>2023</v>
      </c>
      <c r="Q1919" s="77">
        <f ca="1">IFERROR(__xludf.DUMMYFUNCTION("""COMPUTED_VALUE"""),2024)</f>
        <v>2024</v>
      </c>
    </row>
    <row r="1920" spans="1:18" ht="13.2" hidden="1" outlineLevel="2" x14ac:dyDescent="0.25">
      <c r="A1920" s="76"/>
      <c r="B1920" s="78" t="str">
        <f ca="1">IFERROR(__xludf.DUMMYFUNCTION("""COMPUTED_VALUE"""),"Energía solar")</f>
        <v>Energía solar</v>
      </c>
      <c r="C1920" s="77">
        <f ca="1">IFERROR(__xludf.DUMMYFUNCTION("""COMPUTED_VALUE"""),0)</f>
        <v>0</v>
      </c>
      <c r="D1920" s="77">
        <f ca="1">IFERROR(__xludf.DUMMYFUNCTION("""COMPUTED_VALUE"""),0)</f>
        <v>0</v>
      </c>
      <c r="E1920" s="77">
        <f ca="1">IFERROR(__xludf.DUMMYFUNCTION("""COMPUTED_VALUE"""),0)</f>
        <v>0</v>
      </c>
      <c r="F1920" s="77">
        <f ca="1">IFERROR(__xludf.DUMMYFUNCTION("""COMPUTED_VALUE"""),0)</f>
        <v>0</v>
      </c>
      <c r="G1920" s="77">
        <f ca="1">IFERROR(__xludf.DUMMYFUNCTION("""COMPUTED_VALUE"""),0)</f>
        <v>0</v>
      </c>
      <c r="H1920" s="77">
        <f ca="1">IFERROR(__xludf.DUMMYFUNCTION("""COMPUTED_VALUE"""),0)</f>
        <v>0</v>
      </c>
      <c r="I1920" s="77">
        <f ca="1">IFERROR(__xludf.DUMMYFUNCTION("""COMPUTED_VALUE"""),0)</f>
        <v>0</v>
      </c>
      <c r="J1920" s="77">
        <f ca="1">IFERROR(__xludf.DUMMYFUNCTION("""COMPUTED_VALUE"""),0)</f>
        <v>0</v>
      </c>
      <c r="K1920" s="77">
        <f ca="1">IFERROR(__xludf.DUMMYFUNCTION("""COMPUTED_VALUE"""),0)</f>
        <v>0</v>
      </c>
      <c r="L1920" s="77">
        <f ca="1">IFERROR(__xludf.DUMMYFUNCTION("""COMPUTED_VALUE"""),0)</f>
        <v>0</v>
      </c>
      <c r="M1920" s="77">
        <f ca="1">IFERROR(__xludf.DUMMYFUNCTION("""COMPUTED_VALUE"""),0)</f>
        <v>0</v>
      </c>
      <c r="N1920" s="77">
        <f ca="1">IFERROR(__xludf.DUMMYFUNCTION("""COMPUTED_VALUE"""),0)</f>
        <v>0</v>
      </c>
      <c r="O1920" s="77">
        <f ca="1">IFERROR(__xludf.DUMMYFUNCTION("""COMPUTED_VALUE"""),0)</f>
        <v>0</v>
      </c>
      <c r="P1920" s="77">
        <f ca="1">IFERROR(__xludf.DUMMYFUNCTION("""COMPUTED_VALUE"""),0)</f>
        <v>0</v>
      </c>
      <c r="Q1920" s="77">
        <f ca="1">IFERROR(__xludf.DUMMYFUNCTION("""COMPUTED_VALUE"""),0)</f>
        <v>0</v>
      </c>
    </row>
    <row r="1921" spans="1:18" ht="13.2" hidden="1" outlineLevel="2" x14ac:dyDescent="0.25">
      <c r="A1921" s="76"/>
      <c r="B1921" s="78" t="str">
        <f ca="1">IFERROR(__xludf.DUMMYFUNCTION("""COMPUTED_VALUE"""),"Leña")</f>
        <v>Leña</v>
      </c>
      <c r="C1921" s="77">
        <f ca="1">IFERROR(__xludf.DUMMYFUNCTION("""COMPUTED_VALUE"""),88.4694296139811)</f>
        <v>88.469429613981106</v>
      </c>
      <c r="D1921" s="77">
        <f ca="1">IFERROR(__xludf.DUMMYFUNCTION("""COMPUTED_VALUE"""),88.0388576844238)</f>
        <v>88.038857684423803</v>
      </c>
      <c r="E1921" s="77">
        <f ca="1">IFERROR(__xludf.DUMMYFUNCTION("""COMPUTED_VALUE"""),87.6103245630881)</f>
        <v>87.610324563088099</v>
      </c>
      <c r="F1921" s="77">
        <f ca="1">IFERROR(__xludf.DUMMYFUNCTION("""COMPUTED_VALUE"""),87.1847128864989)</f>
        <v>87.1847128864989</v>
      </c>
      <c r="G1921" s="77">
        <f ca="1">IFERROR(__xludf.DUMMYFUNCTION("""COMPUTED_VALUE"""),86.7538467447666)</f>
        <v>86.753846744766605</v>
      </c>
      <c r="H1921" s="77">
        <f ca="1">IFERROR(__xludf.DUMMYFUNCTION("""COMPUTED_VALUE"""),86.3229806030343)</f>
        <v>86.322980603034296</v>
      </c>
      <c r="I1921" s="77">
        <f ca="1">IFERROR(__xludf.DUMMYFUNCTION("""COMPUTED_VALUE"""),85.892114461302)</f>
        <v>85.892114461302</v>
      </c>
      <c r="J1921" s="77">
        <f ca="1">IFERROR(__xludf.DUMMYFUNCTION("""COMPUTED_VALUE"""),85.4638755521413)</f>
        <v>85.463875552141303</v>
      </c>
      <c r="K1921" s="77">
        <f ca="1">IFERROR(__xludf.DUMMYFUNCTION("""COMPUTED_VALUE"""),85.0379697102721)</f>
        <v>85.037969710272094</v>
      </c>
      <c r="L1921" s="77">
        <f ca="1">IFERROR(__xludf.DUMMYFUNCTION("""COMPUTED_VALUE"""),84.6050647020334)</f>
        <v>84.605064702033403</v>
      </c>
      <c r="M1921" s="77">
        <f ca="1">IFERROR(__xludf.DUMMYFUNCTION("""COMPUTED_VALUE"""),84.1765315920875)</f>
        <v>84.1765315920875</v>
      </c>
      <c r="N1921" s="77">
        <f ca="1">IFERROR(__xludf.DUMMYFUNCTION("""COMPUTED_VALUE"""),83.822149303408)</f>
        <v>83.822149303407997</v>
      </c>
      <c r="O1921" s="77">
        <f ca="1">IFERROR(__xludf.DUMMYFUNCTION("""COMPUTED_VALUE"""),83.4651813171185)</f>
        <v>83.465181317118507</v>
      </c>
      <c r="P1921" s="77">
        <f ca="1">IFERROR(__xludf.DUMMYFUNCTION("""COMPUTED_VALUE"""),83.1082133308291)</f>
        <v>83.108213330829102</v>
      </c>
      <c r="Q1921" s="77">
        <f ca="1">IFERROR(__xludf.DUMMYFUNCTION("""COMPUTED_VALUE"""),82.7512453445396)</f>
        <v>82.751245344539598</v>
      </c>
    </row>
    <row r="1922" spans="1:18" ht="13.2" hidden="1" outlineLevel="2" x14ac:dyDescent="0.25">
      <c r="A1922" s="76"/>
      <c r="B1922" s="78" t="str">
        <f ca="1">IFERROR(__xludf.DUMMYFUNCTION("""COMPUTED_VALUE"""),"Gas licuado de petróleo")</f>
        <v>Gas licuado de petróleo</v>
      </c>
      <c r="C1922" s="77">
        <f ca="1">IFERROR(__xludf.DUMMYFUNCTION("""COMPUTED_VALUE"""),208.699205639874)</f>
        <v>208.69920563987401</v>
      </c>
      <c r="D1922" s="77">
        <f ca="1">IFERROR(__xludf.DUMMYFUNCTION("""COMPUTED_VALUE"""),200.434068160118)</f>
        <v>200.43406816011799</v>
      </c>
      <c r="E1922" s="77">
        <f ca="1">IFERROR(__xludf.DUMMYFUNCTION("""COMPUTED_VALUE"""),194.549592076086)</f>
        <v>194.54959207608599</v>
      </c>
      <c r="F1922" s="77">
        <f ca="1">IFERROR(__xludf.DUMMYFUNCTION("""COMPUTED_VALUE"""),181.687037900561)</f>
        <v>181.68703790056099</v>
      </c>
      <c r="G1922" s="77">
        <f ca="1">IFERROR(__xludf.DUMMYFUNCTION("""COMPUTED_VALUE"""),188.874541458627)</f>
        <v>188.87454145862699</v>
      </c>
      <c r="H1922" s="77">
        <f ca="1">IFERROR(__xludf.DUMMYFUNCTION("""COMPUTED_VALUE"""),172.231289534701)</f>
        <v>172.23128953470101</v>
      </c>
      <c r="I1922" s="77">
        <f ca="1">IFERROR(__xludf.DUMMYFUNCTION("""COMPUTED_VALUE"""),190.135585469584)</f>
        <v>190.13558546958399</v>
      </c>
      <c r="J1922" s="77">
        <f ca="1">IFERROR(__xludf.DUMMYFUNCTION("""COMPUTED_VALUE"""),177.266177829366)</f>
        <v>177.266177829366</v>
      </c>
      <c r="K1922" s="77">
        <f ca="1">IFERROR(__xludf.DUMMYFUNCTION("""COMPUTED_VALUE"""),186.955334376656)</f>
        <v>186.955334376656</v>
      </c>
      <c r="L1922" s="77">
        <f ca="1">IFERROR(__xludf.DUMMYFUNCTION("""COMPUTED_VALUE"""),158.692083638213)</f>
        <v>158.69208363821301</v>
      </c>
      <c r="M1922" s="77">
        <f ca="1">IFERROR(__xludf.DUMMYFUNCTION("""COMPUTED_VALUE"""),169.370692059441)</f>
        <v>169.37069205944101</v>
      </c>
      <c r="N1922" s="77">
        <f ca="1">IFERROR(__xludf.DUMMYFUNCTION("""COMPUTED_VALUE"""),191.651825240537)</f>
        <v>191.65182524053699</v>
      </c>
      <c r="O1922" s="77">
        <f ca="1">IFERROR(__xludf.DUMMYFUNCTION("""COMPUTED_VALUE"""),195.768617624233)</f>
        <v>195.768617624233</v>
      </c>
      <c r="P1922" s="77">
        <f ca="1">IFERROR(__xludf.DUMMYFUNCTION("""COMPUTED_VALUE"""),194.022559492233)</f>
        <v>194.022559492233</v>
      </c>
      <c r="Q1922" s="77">
        <f ca="1">IFERROR(__xludf.DUMMYFUNCTION("""COMPUTED_VALUE"""),173.310286075165)</f>
        <v>173.31028607516501</v>
      </c>
    </row>
    <row r="1923" spans="1:18" ht="13.2" hidden="1" outlineLevel="2" x14ac:dyDescent="0.25">
      <c r="A1923" s="76"/>
      <c r="B1923" s="78" t="str">
        <f ca="1">IFERROR(__xludf.DUMMYFUNCTION("""COMPUTED_VALUE"""),"Gas natural seco")</f>
        <v>Gas natural seco</v>
      </c>
      <c r="C1923" s="77">
        <f ca="1">IFERROR(__xludf.DUMMYFUNCTION("""COMPUTED_VALUE"""),21.735897208684)</f>
        <v>21.735897208684001</v>
      </c>
      <c r="D1923" s="77">
        <f ca="1">IFERROR(__xludf.DUMMYFUNCTION("""COMPUTED_VALUE"""),20.5738047919293)</f>
        <v>20.573804791929302</v>
      </c>
      <c r="E1923" s="77">
        <f ca="1">IFERROR(__xludf.DUMMYFUNCTION("""COMPUTED_VALUE"""),20.955719205298)</f>
        <v>20.955719205297999</v>
      </c>
      <c r="F1923" s="77">
        <f ca="1">IFERROR(__xludf.DUMMYFUNCTION("""COMPUTED_VALUE"""),22.8102381402106)</f>
        <v>22.8102381402106</v>
      </c>
      <c r="G1923" s="77">
        <f ca="1">IFERROR(__xludf.DUMMYFUNCTION("""COMPUTED_VALUE"""),28.7999999999999)</f>
        <v>28.799999999999901</v>
      </c>
      <c r="H1923" s="77">
        <f ca="1">IFERROR(__xludf.DUMMYFUNCTION("""COMPUTED_VALUE"""),26.64)</f>
        <v>26.64</v>
      </c>
      <c r="I1923" s="77">
        <f ca="1">IFERROR(__xludf.DUMMYFUNCTION("""COMPUTED_VALUE"""),26.64)</f>
        <v>26.64</v>
      </c>
      <c r="J1923" s="77">
        <f ca="1">IFERROR(__xludf.DUMMYFUNCTION("""COMPUTED_VALUE"""),24.5850579055441)</f>
        <v>24.585057905544101</v>
      </c>
      <c r="K1923" s="77">
        <f ca="1">IFERROR(__xludf.DUMMYFUNCTION("""COMPUTED_VALUE"""),22.9298429149797)</f>
        <v>22.929842914979702</v>
      </c>
      <c r="L1923" s="77">
        <f ca="1">IFERROR(__xludf.DUMMYFUNCTION("""COMPUTED_VALUE"""),23.6427453874538)</f>
        <v>23.6427453874538</v>
      </c>
      <c r="M1923" s="77">
        <f ca="1">IFERROR(__xludf.DUMMYFUNCTION("""COMPUTED_VALUE"""),19.6150946564885)</f>
        <v>19.615094656488498</v>
      </c>
      <c r="N1923" s="77">
        <f ca="1">IFERROR(__xludf.DUMMYFUNCTION("""COMPUTED_VALUE"""),23.4846787172011)</f>
        <v>23.484678717201099</v>
      </c>
      <c r="O1923" s="77">
        <f ca="1">IFERROR(__xludf.DUMMYFUNCTION("""COMPUTED_VALUE"""),23.0054038997214)</f>
        <v>23.005403899721401</v>
      </c>
      <c r="P1923" s="77">
        <f ca="1">IFERROR(__xludf.DUMMYFUNCTION("""COMPUTED_VALUE"""),22.6975113573407)</f>
        <v>22.697511357340701</v>
      </c>
      <c r="Q1923" s="77">
        <f ca="1">IFERROR(__xludf.DUMMYFUNCTION("""COMPUTED_VALUE"""),21.2108980066445)</f>
        <v>21.210898006644499</v>
      </c>
    </row>
    <row r="1924" spans="1:18" ht="13.2" hidden="1" outlineLevel="2" x14ac:dyDescent="0.25">
      <c r="A1924" s="76"/>
      <c r="B1924" s="77" t="str">
        <f ca="1">IFERROR(__xludf.DUMMYFUNCTION("""COMPUTED_VALUE"""),"Energía eléctrica")</f>
        <v>Energía eléctrica</v>
      </c>
      <c r="C1924" s="77">
        <f ca="1">IFERROR(__xludf.DUMMYFUNCTION("""COMPUTED_VALUE"""),0)</f>
        <v>0</v>
      </c>
      <c r="D1924" s="77">
        <f ca="1">IFERROR(__xludf.DUMMYFUNCTION("""COMPUTED_VALUE"""),0)</f>
        <v>0</v>
      </c>
      <c r="E1924" s="77">
        <f ca="1">IFERROR(__xludf.DUMMYFUNCTION("""COMPUTED_VALUE"""),0)</f>
        <v>0</v>
      </c>
      <c r="F1924" s="77">
        <f ca="1">IFERROR(__xludf.DUMMYFUNCTION("""COMPUTED_VALUE"""),0)</f>
        <v>0</v>
      </c>
      <c r="G1924" s="77">
        <f ca="1">IFERROR(__xludf.DUMMYFUNCTION("""COMPUTED_VALUE"""),0)</f>
        <v>0</v>
      </c>
      <c r="H1924" s="77">
        <f ca="1">IFERROR(__xludf.DUMMYFUNCTION("""COMPUTED_VALUE"""),0)</f>
        <v>0</v>
      </c>
      <c r="I1924" s="77">
        <f ca="1">IFERROR(__xludf.DUMMYFUNCTION("""COMPUTED_VALUE"""),0)</f>
        <v>0</v>
      </c>
      <c r="J1924" s="77">
        <f ca="1">IFERROR(__xludf.DUMMYFUNCTION("""COMPUTED_VALUE"""),0)</f>
        <v>0</v>
      </c>
      <c r="K1924" s="77">
        <f ca="1">IFERROR(__xludf.DUMMYFUNCTION("""COMPUTED_VALUE"""),0)</f>
        <v>0</v>
      </c>
      <c r="L1924" s="77">
        <f ca="1">IFERROR(__xludf.DUMMYFUNCTION("""COMPUTED_VALUE"""),0)</f>
        <v>0</v>
      </c>
      <c r="M1924" s="77">
        <f ca="1">IFERROR(__xludf.DUMMYFUNCTION("""COMPUTED_VALUE"""),0)</f>
        <v>0</v>
      </c>
      <c r="N1924" s="77">
        <f ca="1">IFERROR(__xludf.DUMMYFUNCTION("""COMPUTED_VALUE"""),0)</f>
        <v>0</v>
      </c>
      <c r="O1924" s="77">
        <f ca="1">IFERROR(__xludf.DUMMYFUNCTION("""COMPUTED_VALUE"""),0)</f>
        <v>0</v>
      </c>
      <c r="P1924" s="77">
        <f ca="1">IFERROR(__xludf.DUMMYFUNCTION("""COMPUTED_VALUE"""),0)</f>
        <v>0</v>
      </c>
      <c r="Q1924" s="77">
        <f ca="1">IFERROR(__xludf.DUMMYFUNCTION("""COMPUTED_VALUE"""),0)</f>
        <v>0</v>
      </c>
    </row>
    <row r="1925" spans="1:18" ht="13.2" x14ac:dyDescent="0.25">
      <c r="A1925" s="1"/>
      <c r="B1925" s="31" t="str">
        <f ca="1">IFERROR(__xludf.DUMMYFUNCTION("""COMPUTED_VALUE"""),"Público")</f>
        <v>Público</v>
      </c>
      <c r="C1925" s="41"/>
      <c r="D1925" s="42"/>
      <c r="E1925" s="41"/>
      <c r="F1925" s="41"/>
      <c r="G1925" s="43"/>
      <c r="H1925" s="44"/>
      <c r="I1925" s="45"/>
      <c r="J1925" s="45"/>
      <c r="K1925" s="45"/>
      <c r="L1925" s="45"/>
      <c r="M1925" s="45"/>
      <c r="N1925" s="45"/>
      <c r="O1925" s="45"/>
      <c r="P1925" s="45"/>
      <c r="Q1925" s="45"/>
      <c r="R1925" s="10"/>
    </row>
    <row r="1926" spans="1:18" ht="13.2" outlineLevel="1" x14ac:dyDescent="0.25">
      <c r="A1926" s="76"/>
      <c r="B1926" s="76"/>
      <c r="C1926" s="77">
        <f ca="1">IFERROR(__xludf.DUMMYFUNCTION("""COMPUTED_VALUE"""),2010)</f>
        <v>2010</v>
      </c>
      <c r="D1926" s="77">
        <f ca="1">IFERROR(__xludf.DUMMYFUNCTION("""COMPUTED_VALUE"""),2011)</f>
        <v>2011</v>
      </c>
      <c r="E1926" s="77">
        <f ca="1">IFERROR(__xludf.DUMMYFUNCTION("""COMPUTED_VALUE"""),2012)</f>
        <v>2012</v>
      </c>
      <c r="F1926" s="77">
        <f ca="1">IFERROR(__xludf.DUMMYFUNCTION("""COMPUTED_VALUE"""),2013)</f>
        <v>2013</v>
      </c>
      <c r="G1926" s="77">
        <f ca="1">IFERROR(__xludf.DUMMYFUNCTION("""COMPUTED_VALUE"""),2014)</f>
        <v>2014</v>
      </c>
      <c r="H1926" s="77">
        <f ca="1">IFERROR(__xludf.DUMMYFUNCTION("""COMPUTED_VALUE"""),2015)</f>
        <v>2015</v>
      </c>
      <c r="I1926" s="77">
        <f ca="1">IFERROR(__xludf.DUMMYFUNCTION("""COMPUTED_VALUE"""),2016)</f>
        <v>2016</v>
      </c>
      <c r="J1926" s="77">
        <f ca="1">IFERROR(__xludf.DUMMYFUNCTION("""COMPUTED_VALUE"""),2017)</f>
        <v>2017</v>
      </c>
      <c r="K1926" s="77">
        <f ca="1">IFERROR(__xludf.DUMMYFUNCTION("""COMPUTED_VALUE"""),2018)</f>
        <v>2018</v>
      </c>
      <c r="L1926" s="77">
        <f ca="1">IFERROR(__xludf.DUMMYFUNCTION("""COMPUTED_VALUE"""),2019)</f>
        <v>2019</v>
      </c>
      <c r="M1926" s="77">
        <f ca="1">IFERROR(__xludf.DUMMYFUNCTION("""COMPUTED_VALUE"""),2020)</f>
        <v>2020</v>
      </c>
      <c r="N1926" s="77">
        <f ca="1">IFERROR(__xludf.DUMMYFUNCTION("""COMPUTED_VALUE"""),2021)</f>
        <v>2021</v>
      </c>
      <c r="O1926" s="77">
        <f ca="1">IFERROR(__xludf.DUMMYFUNCTION("""COMPUTED_VALUE"""),2022)</f>
        <v>2022</v>
      </c>
      <c r="P1926" s="77">
        <f ca="1">IFERROR(__xludf.DUMMYFUNCTION("""COMPUTED_VALUE"""),2023)</f>
        <v>2023</v>
      </c>
      <c r="Q1926" s="77">
        <f ca="1">IFERROR(__xludf.DUMMYFUNCTION("""COMPUTED_VALUE"""),2024)</f>
        <v>2024</v>
      </c>
    </row>
    <row r="1927" spans="1:18" ht="13.2" outlineLevel="1" x14ac:dyDescent="0.25">
      <c r="A1927" s="76"/>
      <c r="B1927" s="77" t="str">
        <f ca="1">IFERROR(__xludf.DUMMYFUNCTION("""COMPUTED_VALUE"""),"Bombeo de agua")</f>
        <v>Bombeo de agua</v>
      </c>
      <c r="C1927" s="77"/>
      <c r="D1927" s="77"/>
      <c r="E1927" s="77"/>
      <c r="F1927" s="77"/>
      <c r="G1927" s="77"/>
      <c r="H1927" s="77"/>
      <c r="I1927" s="77"/>
      <c r="J1927" s="77"/>
      <c r="K1927" s="77"/>
      <c r="L1927" s="77"/>
      <c r="M1927" s="77"/>
      <c r="N1927" s="77"/>
      <c r="O1927" s="77"/>
      <c r="P1927" s="77"/>
      <c r="Q1927" s="77"/>
    </row>
    <row r="1928" spans="1:18" ht="13.2" outlineLevel="1" x14ac:dyDescent="0.25">
      <c r="A1928" s="76"/>
      <c r="B1928" s="78" t="str">
        <f ca="1">IFERROR(__xludf.DUMMYFUNCTION("""COMPUTED_VALUE"""),"Energía eléctrica")</f>
        <v>Energía eléctrica</v>
      </c>
      <c r="C1928" s="77">
        <f ca="1">IFERROR(__xludf.DUMMYFUNCTION("""COMPUTED_VALUE"""),17.4066271436151)</f>
        <v>17.406627143615101</v>
      </c>
      <c r="D1928" s="77">
        <f ca="1">IFERROR(__xludf.DUMMYFUNCTION("""COMPUTED_VALUE"""),17.5683099542593)</f>
        <v>17.568309954259298</v>
      </c>
      <c r="E1928" s="77">
        <f ca="1">IFERROR(__xludf.DUMMYFUNCTION("""COMPUTED_VALUE"""),18.1213359628743)</f>
        <v>18.121335962874301</v>
      </c>
      <c r="F1928" s="77">
        <f ca="1">IFERROR(__xludf.DUMMYFUNCTION("""COMPUTED_VALUE"""),19.8834044104924)</f>
        <v>19.8834044104924</v>
      </c>
      <c r="G1928" s="77">
        <f ca="1">IFERROR(__xludf.DUMMYFUNCTION("""COMPUTED_VALUE"""),19.7643258871792)</f>
        <v>19.764325887179201</v>
      </c>
      <c r="H1928" s="77">
        <f ca="1">IFERROR(__xludf.DUMMYFUNCTION("""COMPUTED_VALUE"""),20.0001080444902)</f>
        <v>20.000108044490201</v>
      </c>
      <c r="I1928" s="77">
        <f ca="1">IFERROR(__xludf.DUMMYFUNCTION("""COMPUTED_VALUE"""),19.550810872177)</f>
        <v>19.550810872176999</v>
      </c>
      <c r="J1928" s="77">
        <f ca="1">IFERROR(__xludf.DUMMYFUNCTION("""COMPUTED_VALUE"""),18.9207470067548)</f>
        <v>18.920747006754802</v>
      </c>
      <c r="K1928" s="77">
        <f ca="1">IFERROR(__xludf.DUMMYFUNCTION("""COMPUTED_VALUE"""),19.5041179897126)</f>
        <v>19.504117989712601</v>
      </c>
      <c r="L1928" s="77">
        <f ca="1">IFERROR(__xludf.DUMMYFUNCTION("""COMPUTED_VALUE"""),19.3490488082304)</f>
        <v>19.3490488082304</v>
      </c>
      <c r="M1928" s="77">
        <f ca="1">IFERROR(__xludf.DUMMYFUNCTION("""COMPUTED_VALUE"""),18.7273351898454)</f>
        <v>18.727335189845402</v>
      </c>
      <c r="N1928" s="77">
        <f ca="1">IFERROR(__xludf.DUMMYFUNCTION("""COMPUTED_VALUE"""),17.6810130134379)</f>
        <v>17.681013013437902</v>
      </c>
      <c r="O1928" s="77">
        <f ca="1">IFERROR(__xludf.DUMMYFUNCTION("""COMPUTED_VALUE"""),19.2515955949486)</f>
        <v>19.251595594948601</v>
      </c>
      <c r="P1928" s="77">
        <f ca="1">IFERROR(__xludf.DUMMYFUNCTION("""COMPUTED_VALUE"""),19.4985882146269)</f>
        <v>19.498588214626899</v>
      </c>
      <c r="Q1928" s="77">
        <f ca="1">IFERROR(__xludf.DUMMYFUNCTION("""COMPUTED_VALUE"""),19.8547109361214)</f>
        <v>19.8547109361214</v>
      </c>
    </row>
    <row r="1929" spans="1:18" ht="13.2" outlineLevel="1" x14ac:dyDescent="0.25">
      <c r="A1929" s="76"/>
      <c r="B1929" s="76"/>
      <c r="C1929" s="77"/>
      <c r="D1929" s="77"/>
      <c r="E1929" s="77"/>
      <c r="F1929" s="77"/>
      <c r="G1929" s="77"/>
      <c r="H1929" s="77"/>
      <c r="I1929" s="77"/>
      <c r="J1929" s="77"/>
      <c r="K1929" s="77"/>
      <c r="L1929" s="77"/>
      <c r="M1929" s="77"/>
      <c r="N1929" s="77"/>
      <c r="O1929" s="77"/>
      <c r="P1929" s="77"/>
      <c r="Q1929" s="77"/>
    </row>
    <row r="1930" spans="1:18" ht="13.2" outlineLevel="1" x14ac:dyDescent="0.25">
      <c r="A1930" s="76"/>
      <c r="B1930" s="77" t="str">
        <f ca="1">IFERROR(__xludf.DUMMYFUNCTION("""COMPUTED_VALUE"""),"Alumbrado público")</f>
        <v>Alumbrado público</v>
      </c>
      <c r="C1930" s="77"/>
      <c r="D1930" s="77"/>
      <c r="E1930" s="77"/>
      <c r="F1930" s="77"/>
      <c r="G1930" s="77"/>
      <c r="H1930" s="77"/>
      <c r="I1930" s="77"/>
      <c r="J1930" s="77"/>
      <c r="K1930" s="77"/>
      <c r="L1930" s="77"/>
      <c r="M1930" s="77"/>
      <c r="N1930" s="77"/>
      <c r="O1930" s="77"/>
      <c r="P1930" s="77"/>
      <c r="Q1930" s="77"/>
    </row>
    <row r="1931" spans="1:18" ht="13.2" outlineLevel="1" x14ac:dyDescent="0.25">
      <c r="A1931" s="76"/>
      <c r="B1931" s="78" t="str">
        <f ca="1">IFERROR(__xludf.DUMMYFUNCTION("""COMPUTED_VALUE"""),"Energía eléctrica")</f>
        <v>Energía eléctrica</v>
      </c>
      <c r="C1931" s="77">
        <f ca="1">IFERROR(__xludf.DUMMYFUNCTION("""COMPUTED_VALUE"""),6.0668712149676)</f>
        <v>6.0668712149676001</v>
      </c>
      <c r="D1931" s="77">
        <f ca="1">IFERROR(__xludf.DUMMYFUNCTION("""COMPUTED_VALUE"""),6.02574709902753)</f>
        <v>6.0257470990275301</v>
      </c>
      <c r="E1931" s="77">
        <f ca="1">IFERROR(__xludf.DUMMYFUNCTION("""COMPUTED_VALUE"""),6.68860546494856)</f>
        <v>6.6886054649485596</v>
      </c>
      <c r="F1931" s="77">
        <f ca="1">IFERROR(__xludf.DUMMYFUNCTION("""COMPUTED_VALUE"""),7.10704249954526)</f>
        <v>7.1070424995452601</v>
      </c>
      <c r="G1931" s="77">
        <f ca="1">IFERROR(__xludf.DUMMYFUNCTION("""COMPUTED_VALUE"""),5.98763886276532)</f>
        <v>5.9876388627653201</v>
      </c>
      <c r="H1931" s="77">
        <f ca="1">IFERROR(__xludf.DUMMYFUNCTION("""COMPUTED_VALUE"""),6.25770251698775)</f>
        <v>6.2577025169877496</v>
      </c>
      <c r="I1931" s="77">
        <f ca="1">IFERROR(__xludf.DUMMYFUNCTION("""COMPUTED_VALUE"""),6.01959176853873)</f>
        <v>6.0195917685387297</v>
      </c>
      <c r="J1931" s="77">
        <f ca="1">IFERROR(__xludf.DUMMYFUNCTION("""COMPUTED_VALUE"""),6.29996206840127)</f>
        <v>6.2999620684012703</v>
      </c>
      <c r="K1931" s="77">
        <f ca="1">IFERROR(__xludf.DUMMYFUNCTION("""COMPUTED_VALUE"""),6.26955149855584)</f>
        <v>6.26955149855584</v>
      </c>
      <c r="L1931" s="77">
        <f ca="1">IFERROR(__xludf.DUMMYFUNCTION("""COMPUTED_VALUE"""),6.5333092950535)</f>
        <v>6.5333092950534999</v>
      </c>
      <c r="M1931" s="77">
        <f ca="1">IFERROR(__xludf.DUMMYFUNCTION("""COMPUTED_VALUE"""),5.9785819794056)</f>
        <v>5.9785819794056003</v>
      </c>
      <c r="N1931" s="77">
        <f ca="1">IFERROR(__xludf.DUMMYFUNCTION("""COMPUTED_VALUE"""),5.69388554670035)</f>
        <v>5.6938855467003497</v>
      </c>
      <c r="O1931" s="77">
        <f ca="1">IFERROR(__xludf.DUMMYFUNCTION("""COMPUTED_VALUE"""),6.23047482140558)</f>
        <v>6.2304748214055801</v>
      </c>
      <c r="P1931" s="77">
        <f ca="1">IFERROR(__xludf.DUMMYFUNCTION("""COMPUTED_VALUE"""),6.24509942817233)</f>
        <v>6.2450994281723302</v>
      </c>
      <c r="Q1931" s="77">
        <f ca="1">IFERROR(__xludf.DUMMYFUNCTION("""COMPUTED_VALUE"""),6.30831361100243)</f>
        <v>6.30831361100243</v>
      </c>
    </row>
    <row r="1932" spans="1:18" ht="13.2" x14ac:dyDescent="0.25">
      <c r="A1932" s="76"/>
      <c r="B1932" s="76"/>
      <c r="C1932" s="77"/>
      <c r="D1932" s="77"/>
      <c r="E1932" s="77"/>
      <c r="F1932" s="77"/>
      <c r="G1932" s="77"/>
      <c r="H1932" s="77"/>
      <c r="I1932" s="77"/>
      <c r="J1932" s="77"/>
      <c r="K1932" s="77"/>
      <c r="L1932" s="77"/>
      <c r="M1932" s="77"/>
      <c r="N1932" s="77"/>
      <c r="O1932" s="77"/>
      <c r="P1932" s="77"/>
      <c r="Q1932" s="77"/>
    </row>
    <row r="1933" spans="1:18" ht="13.2" x14ac:dyDescent="0.25">
      <c r="A1933" s="76"/>
      <c r="B1933" s="76"/>
      <c r="C1933" s="77"/>
      <c r="D1933" s="77"/>
      <c r="E1933" s="77"/>
      <c r="F1933" s="77"/>
      <c r="G1933" s="77"/>
      <c r="H1933" s="77"/>
      <c r="I1933" s="77"/>
      <c r="J1933" s="77"/>
      <c r="K1933" s="77"/>
      <c r="L1933" s="77"/>
      <c r="M1933" s="77"/>
      <c r="N1933" s="77"/>
      <c r="O1933" s="77"/>
      <c r="P1933" s="77"/>
      <c r="Q1933" s="77"/>
    </row>
    <row r="1934" spans="1:18" ht="13.2" x14ac:dyDescent="0.25">
      <c r="A1934" s="76"/>
      <c r="B1934" s="76"/>
      <c r="C1934" s="77"/>
      <c r="D1934" s="77"/>
      <c r="E1934" s="77"/>
      <c r="F1934" s="77"/>
      <c r="G1934" s="77"/>
      <c r="H1934" s="77"/>
      <c r="I1934" s="77"/>
      <c r="J1934" s="77"/>
      <c r="K1934" s="77"/>
      <c r="L1934" s="77"/>
      <c r="M1934" s="77"/>
      <c r="N1934" s="77"/>
      <c r="O1934" s="77"/>
      <c r="P1934" s="77"/>
      <c r="Q1934" s="77"/>
    </row>
    <row r="1935" spans="1:18" ht="13.2" x14ac:dyDescent="0.25">
      <c r="A1935" s="76"/>
      <c r="B1935" s="76"/>
      <c r="C1935" s="77"/>
      <c r="D1935" s="77"/>
      <c r="E1935" s="77"/>
      <c r="F1935" s="77"/>
      <c r="G1935" s="77"/>
      <c r="H1935" s="77"/>
      <c r="I1935" s="77"/>
      <c r="J1935" s="77"/>
      <c r="K1935" s="77"/>
      <c r="L1935" s="77"/>
      <c r="M1935" s="77"/>
      <c r="N1935" s="77"/>
      <c r="O1935" s="77"/>
      <c r="P1935" s="77"/>
      <c r="Q1935" s="77"/>
    </row>
    <row r="1936" spans="1:18" ht="13.2" x14ac:dyDescent="0.25">
      <c r="A1936" s="76"/>
      <c r="B1936" s="76"/>
      <c r="C1936" s="77"/>
      <c r="D1936" s="77"/>
      <c r="E1936" s="77"/>
      <c r="F1936" s="77"/>
      <c r="G1936" s="77"/>
      <c r="H1936" s="77"/>
      <c r="I1936" s="77"/>
      <c r="J1936" s="77"/>
      <c r="K1936" s="77"/>
      <c r="L1936" s="77"/>
      <c r="M1936" s="77"/>
      <c r="N1936" s="77"/>
      <c r="O1936" s="77"/>
      <c r="P1936" s="77"/>
      <c r="Q1936" s="77"/>
    </row>
    <row r="1937" spans="1:17" ht="13.2" x14ac:dyDescent="0.25">
      <c r="A1937" s="76"/>
      <c r="B1937" s="76"/>
      <c r="C1937" s="77"/>
      <c r="D1937" s="77"/>
      <c r="E1937" s="77"/>
      <c r="F1937" s="77"/>
      <c r="G1937" s="77"/>
      <c r="H1937" s="77"/>
      <c r="I1937" s="77"/>
      <c r="J1937" s="77"/>
      <c r="K1937" s="77"/>
      <c r="L1937" s="77"/>
      <c r="M1937" s="77"/>
      <c r="N1937" s="77"/>
      <c r="O1937" s="77"/>
      <c r="P1937" s="77"/>
      <c r="Q1937" s="77"/>
    </row>
    <row r="1938" spans="1:17" ht="13.2" x14ac:dyDescent="0.25">
      <c r="A1938" s="76"/>
      <c r="B1938" s="76"/>
      <c r="C1938" s="77"/>
      <c r="D1938" s="77"/>
      <c r="E1938" s="77"/>
      <c r="F1938" s="77"/>
      <c r="G1938" s="77"/>
      <c r="H1938" s="77"/>
      <c r="I1938" s="77"/>
      <c r="J1938" s="77"/>
      <c r="K1938" s="77"/>
      <c r="L1938" s="77"/>
      <c r="M1938" s="77"/>
      <c r="N1938" s="77"/>
      <c r="O1938" s="77"/>
      <c r="P1938" s="77"/>
      <c r="Q1938" s="77"/>
    </row>
    <row r="1939" spans="1:17" ht="13.2" x14ac:dyDescent="0.25">
      <c r="A1939" s="76"/>
      <c r="B1939" s="76"/>
      <c r="C1939" s="77"/>
      <c r="D1939" s="77"/>
      <c r="E1939" s="77"/>
      <c r="F1939" s="77"/>
      <c r="G1939" s="77"/>
      <c r="H1939" s="77"/>
      <c r="I1939" s="77"/>
      <c r="J1939" s="77"/>
      <c r="K1939" s="77"/>
      <c r="L1939" s="77"/>
      <c r="M1939" s="77"/>
      <c r="N1939" s="77"/>
      <c r="O1939" s="77"/>
      <c r="P1939" s="77"/>
      <c r="Q1939" s="77"/>
    </row>
    <row r="1940" spans="1:17" ht="13.2" x14ac:dyDescent="0.25">
      <c r="A1940" s="76"/>
      <c r="B1940" s="76"/>
      <c r="C1940" s="77"/>
      <c r="D1940" s="77"/>
      <c r="E1940" s="77"/>
      <c r="F1940" s="77"/>
      <c r="G1940" s="77"/>
      <c r="H1940" s="77"/>
      <c r="I1940" s="77"/>
      <c r="J1940" s="77"/>
      <c r="K1940" s="77"/>
      <c r="L1940" s="77"/>
      <c r="M1940" s="77"/>
      <c r="N1940" s="77"/>
      <c r="O1940" s="77"/>
      <c r="P1940" s="77"/>
      <c r="Q1940" s="77"/>
    </row>
    <row r="1941" spans="1:17" ht="13.2" x14ac:dyDescent="0.25">
      <c r="A1941" s="76"/>
      <c r="B1941" s="76"/>
      <c r="C1941" s="77"/>
      <c r="D1941" s="77"/>
      <c r="E1941" s="77"/>
      <c r="F1941" s="77"/>
      <c r="G1941" s="77"/>
      <c r="H1941" s="77"/>
      <c r="I1941" s="77"/>
      <c r="J1941" s="77"/>
      <c r="K1941" s="77"/>
      <c r="L1941" s="77"/>
      <c r="M1941" s="77"/>
      <c r="N1941" s="77"/>
      <c r="O1941" s="77"/>
      <c r="P1941" s="77"/>
      <c r="Q1941" s="77"/>
    </row>
    <row r="1942" spans="1:17" ht="13.2" x14ac:dyDescent="0.25">
      <c r="A1942" s="76"/>
      <c r="B1942" s="76"/>
      <c r="C1942" s="77"/>
      <c r="D1942" s="77"/>
      <c r="E1942" s="77"/>
      <c r="F1942" s="77"/>
      <c r="G1942" s="77"/>
      <c r="H1942" s="77"/>
      <c r="I1942" s="77"/>
      <c r="J1942" s="77"/>
      <c r="K1942" s="77"/>
      <c r="L1942" s="77"/>
      <c r="M1942" s="77"/>
      <c r="N1942" s="77"/>
      <c r="O1942" s="77"/>
      <c r="P1942" s="77"/>
      <c r="Q1942" s="77"/>
    </row>
    <row r="1943" spans="1:17" ht="13.2" x14ac:dyDescent="0.25">
      <c r="A1943" s="76"/>
      <c r="B1943" s="76"/>
      <c r="C1943" s="77"/>
      <c r="D1943" s="77"/>
      <c r="E1943" s="77"/>
      <c r="F1943" s="77"/>
      <c r="G1943" s="77"/>
      <c r="H1943" s="77"/>
      <c r="I1943" s="77"/>
      <c r="J1943" s="77"/>
      <c r="K1943" s="77"/>
      <c r="L1943" s="77"/>
      <c r="M1943" s="77"/>
      <c r="N1943" s="77"/>
      <c r="O1943" s="77"/>
      <c r="P1943" s="77"/>
      <c r="Q1943" s="77"/>
    </row>
    <row r="1944" spans="1:17" ht="13.2" x14ac:dyDescent="0.25">
      <c r="A1944" s="76"/>
      <c r="B1944" s="76"/>
      <c r="C1944" s="77"/>
      <c r="D1944" s="77"/>
      <c r="E1944" s="77"/>
      <c r="F1944" s="77"/>
      <c r="G1944" s="77"/>
      <c r="H1944" s="77"/>
      <c r="I1944" s="77"/>
      <c r="J1944" s="77"/>
      <c r="K1944" s="77"/>
      <c r="L1944" s="77"/>
      <c r="M1944" s="77"/>
      <c r="N1944" s="77"/>
      <c r="O1944" s="77"/>
      <c r="P1944" s="77"/>
      <c r="Q1944" s="77"/>
    </row>
    <row r="1945" spans="1:17" ht="13.2" x14ac:dyDescent="0.25">
      <c r="A1945" s="76"/>
      <c r="B1945" s="76"/>
      <c r="C1945" s="77"/>
      <c r="D1945" s="77"/>
      <c r="E1945" s="77"/>
      <c r="F1945" s="77"/>
      <c r="G1945" s="77"/>
      <c r="H1945" s="77"/>
      <c r="I1945" s="77"/>
      <c r="J1945" s="77"/>
      <c r="K1945" s="77"/>
      <c r="L1945" s="77"/>
      <c r="M1945" s="77"/>
      <c r="N1945" s="77"/>
      <c r="O1945" s="77"/>
      <c r="P1945" s="77"/>
      <c r="Q1945" s="77"/>
    </row>
    <row r="1946" spans="1:17" ht="13.2" x14ac:dyDescent="0.25">
      <c r="A1946" s="76"/>
      <c r="B1946" s="76"/>
      <c r="C1946" s="77"/>
      <c r="D1946" s="77"/>
      <c r="E1946" s="77"/>
      <c r="F1946" s="77"/>
      <c r="G1946" s="77"/>
      <c r="H1946" s="77"/>
      <c r="I1946" s="77"/>
      <c r="J1946" s="77"/>
      <c r="K1946" s="77"/>
      <c r="L1946" s="77"/>
      <c r="M1946" s="77"/>
      <c r="N1946" s="77"/>
      <c r="O1946" s="77"/>
      <c r="P1946" s="77"/>
      <c r="Q1946" s="77"/>
    </row>
    <row r="1947" spans="1:17" ht="13.2" x14ac:dyDescent="0.25">
      <c r="A1947" s="76"/>
      <c r="B1947" s="76"/>
      <c r="C1947" s="77"/>
      <c r="D1947" s="77"/>
      <c r="E1947" s="77"/>
      <c r="F1947" s="77"/>
      <c r="G1947" s="77"/>
      <c r="H1947" s="77"/>
      <c r="I1947" s="77"/>
      <c r="J1947" s="77"/>
      <c r="K1947" s="77"/>
      <c r="L1947" s="77"/>
      <c r="M1947" s="77"/>
      <c r="N1947" s="77"/>
      <c r="O1947" s="77"/>
      <c r="P1947" s="77"/>
      <c r="Q1947" s="77"/>
    </row>
    <row r="1948" spans="1:17" ht="13.2" x14ac:dyDescent="0.25">
      <c r="A1948" s="76"/>
      <c r="B1948" s="76"/>
      <c r="C1948" s="77"/>
      <c r="D1948" s="77"/>
      <c r="E1948" s="77"/>
      <c r="F1948" s="77"/>
      <c r="G1948" s="77"/>
      <c r="H1948" s="77"/>
      <c r="I1948" s="77"/>
      <c r="J1948" s="77"/>
      <c r="K1948" s="77"/>
      <c r="L1948" s="77"/>
      <c r="M1948" s="77"/>
      <c r="N1948" s="77"/>
      <c r="O1948" s="77"/>
      <c r="P1948" s="77"/>
      <c r="Q1948" s="77"/>
    </row>
    <row r="1949" spans="1:17" ht="13.2" x14ac:dyDescent="0.25">
      <c r="A1949" s="76"/>
      <c r="B1949" s="76"/>
      <c r="C1949" s="77"/>
      <c r="D1949" s="77"/>
      <c r="E1949" s="77"/>
      <c r="F1949" s="77"/>
      <c r="G1949" s="77"/>
      <c r="H1949" s="77"/>
      <c r="I1949" s="77"/>
      <c r="J1949" s="77"/>
      <c r="K1949" s="77"/>
      <c r="L1949" s="77"/>
      <c r="M1949" s="77"/>
      <c r="N1949" s="77"/>
      <c r="O1949" s="77"/>
      <c r="P1949" s="77"/>
      <c r="Q1949" s="77"/>
    </row>
    <row r="1950" spans="1:17" ht="13.2" x14ac:dyDescent="0.25">
      <c r="A1950" s="76"/>
      <c r="B1950" s="76"/>
      <c r="C1950" s="77"/>
      <c r="D1950" s="77"/>
      <c r="E1950" s="77"/>
      <c r="F1950" s="77"/>
      <c r="G1950" s="77"/>
      <c r="H1950" s="77"/>
      <c r="I1950" s="77"/>
      <c r="J1950" s="77"/>
      <c r="K1950" s="77"/>
      <c r="L1950" s="77"/>
      <c r="M1950" s="77"/>
      <c r="N1950" s="77"/>
      <c r="O1950" s="77"/>
      <c r="P1950" s="77"/>
      <c r="Q1950" s="77"/>
    </row>
    <row r="1951" spans="1:17" ht="13.2" x14ac:dyDescent="0.25">
      <c r="A1951" s="76"/>
      <c r="B1951" s="76"/>
      <c r="C1951" s="77"/>
      <c r="D1951" s="77"/>
      <c r="E1951" s="77"/>
      <c r="F1951" s="77"/>
      <c r="G1951" s="77"/>
      <c r="H1951" s="77"/>
      <c r="I1951" s="77"/>
      <c r="J1951" s="77"/>
      <c r="K1951" s="77"/>
      <c r="L1951" s="77"/>
      <c r="M1951" s="77"/>
      <c r="N1951" s="77"/>
      <c r="O1951" s="77"/>
      <c r="P1951" s="77"/>
      <c r="Q1951" s="77"/>
    </row>
    <row r="1952" spans="1:17" ht="13.2" x14ac:dyDescent="0.25">
      <c r="A1952" s="76"/>
      <c r="B1952" s="76"/>
      <c r="C1952" s="77"/>
      <c r="D1952" s="77"/>
      <c r="E1952" s="77"/>
      <c r="F1952" s="77"/>
      <c r="G1952" s="77"/>
      <c r="H1952" s="77"/>
      <c r="I1952" s="77"/>
      <c r="J1952" s="77"/>
      <c r="K1952" s="77"/>
      <c r="L1952" s="77"/>
      <c r="M1952" s="77"/>
      <c r="N1952" s="77"/>
      <c r="O1952" s="77"/>
      <c r="P1952" s="77"/>
      <c r="Q1952" s="77"/>
    </row>
    <row r="1953" spans="1:17" ht="13.2" x14ac:dyDescent="0.25">
      <c r="A1953" s="76"/>
      <c r="B1953" s="76"/>
      <c r="C1953" s="77"/>
      <c r="D1953" s="77"/>
      <c r="E1953" s="77"/>
      <c r="F1953" s="77"/>
      <c r="G1953" s="77"/>
      <c r="H1953" s="77"/>
      <c r="I1953" s="77"/>
      <c r="J1953" s="77"/>
      <c r="K1953" s="77"/>
      <c r="L1953" s="77"/>
      <c r="M1953" s="77"/>
      <c r="N1953" s="77"/>
      <c r="O1953" s="77"/>
      <c r="P1953" s="77"/>
      <c r="Q1953" s="77"/>
    </row>
    <row r="1954" spans="1:17" ht="13.2" x14ac:dyDescent="0.25">
      <c r="A1954" s="76"/>
      <c r="B1954" s="76"/>
      <c r="C1954" s="77"/>
      <c r="D1954" s="77"/>
      <c r="E1954" s="77"/>
      <c r="F1954" s="77"/>
      <c r="G1954" s="77"/>
      <c r="H1954" s="77"/>
      <c r="I1954" s="77"/>
      <c r="J1954" s="77"/>
      <c r="K1954" s="77"/>
      <c r="L1954" s="77"/>
      <c r="M1954" s="77"/>
      <c r="N1954" s="77"/>
      <c r="O1954" s="77"/>
      <c r="P1954" s="77"/>
      <c r="Q1954" s="77"/>
    </row>
    <row r="1955" spans="1:17" ht="13.2" x14ac:dyDescent="0.25">
      <c r="A1955" s="76"/>
      <c r="B1955" s="76"/>
      <c r="C1955" s="77"/>
      <c r="D1955" s="77"/>
      <c r="E1955" s="77"/>
      <c r="F1955" s="77"/>
      <c r="G1955" s="77"/>
      <c r="H1955" s="77"/>
      <c r="I1955" s="77"/>
      <c r="J1955" s="77"/>
      <c r="K1955" s="77"/>
      <c r="L1955" s="77"/>
      <c r="M1955" s="77"/>
      <c r="N1955" s="77"/>
      <c r="O1955" s="77"/>
      <c r="P1955" s="77"/>
      <c r="Q1955" s="77"/>
    </row>
    <row r="1956" spans="1:17" ht="13.2" x14ac:dyDescent="0.25">
      <c r="A1956" s="76"/>
      <c r="B1956" s="76"/>
      <c r="C1956" s="77"/>
      <c r="D1956" s="77"/>
      <c r="E1956" s="77"/>
      <c r="F1956" s="77"/>
      <c r="G1956" s="77"/>
      <c r="H1956" s="77"/>
      <c r="I1956" s="77"/>
      <c r="J1956" s="77"/>
      <c r="K1956" s="77"/>
      <c r="L1956" s="77"/>
      <c r="M1956" s="77"/>
      <c r="N1956" s="77"/>
      <c r="O1956" s="77"/>
      <c r="P1956" s="77"/>
      <c r="Q1956" s="77"/>
    </row>
    <row r="1957" spans="1:17" ht="13.2" x14ac:dyDescent="0.25">
      <c r="A1957" s="76"/>
      <c r="B1957" s="76"/>
      <c r="C1957" s="77"/>
      <c r="D1957" s="77"/>
      <c r="E1957" s="77"/>
      <c r="F1957" s="77"/>
      <c r="G1957" s="77"/>
      <c r="H1957" s="77"/>
      <c r="I1957" s="77"/>
      <c r="J1957" s="77"/>
      <c r="K1957" s="77"/>
      <c r="L1957" s="77"/>
      <c r="M1957" s="77"/>
      <c r="N1957" s="77"/>
      <c r="O1957" s="77"/>
      <c r="P1957" s="77"/>
      <c r="Q1957" s="77"/>
    </row>
    <row r="1958" spans="1:17" ht="13.2" x14ac:dyDescent="0.25">
      <c r="A1958" s="76"/>
      <c r="B1958" s="76"/>
      <c r="C1958" s="77"/>
      <c r="D1958" s="77"/>
      <c r="E1958" s="77"/>
      <c r="F1958" s="77"/>
      <c r="G1958" s="77"/>
      <c r="H1958" s="77"/>
      <c r="I1958" s="77"/>
      <c r="J1958" s="77"/>
      <c r="K1958" s="77"/>
      <c r="L1958" s="77"/>
      <c r="M1958" s="77"/>
      <c r="N1958" s="77"/>
      <c r="O1958" s="77"/>
      <c r="P1958" s="77"/>
      <c r="Q1958" s="77"/>
    </row>
    <row r="1959" spans="1:17" ht="13.2" x14ac:dyDescent="0.25">
      <c r="A1959" s="76"/>
      <c r="B1959" s="76"/>
      <c r="C1959" s="77"/>
      <c r="D1959" s="77"/>
      <c r="E1959" s="77"/>
      <c r="F1959" s="77"/>
      <c r="G1959" s="77"/>
      <c r="H1959" s="77"/>
      <c r="I1959" s="77"/>
      <c r="J1959" s="77"/>
      <c r="K1959" s="77"/>
      <c r="L1959" s="77"/>
      <c r="M1959" s="77"/>
      <c r="N1959" s="77"/>
      <c r="O1959" s="77"/>
      <c r="P1959" s="77"/>
      <c r="Q1959" s="77"/>
    </row>
    <row r="1960" spans="1:17" ht="13.2" x14ac:dyDescent="0.25">
      <c r="A1960" s="76"/>
      <c r="B1960" s="76"/>
      <c r="C1960" s="77"/>
      <c r="D1960" s="77"/>
      <c r="E1960" s="77"/>
      <c r="F1960" s="77"/>
      <c r="G1960" s="77"/>
      <c r="H1960" s="77"/>
      <c r="I1960" s="77"/>
      <c r="J1960" s="77"/>
      <c r="K1960" s="77"/>
      <c r="L1960" s="77"/>
      <c r="M1960" s="77"/>
      <c r="N1960" s="77"/>
      <c r="O1960" s="77"/>
      <c r="P1960" s="77"/>
      <c r="Q1960" s="77"/>
    </row>
    <row r="1961" spans="1:17" ht="13.2" x14ac:dyDescent="0.25">
      <c r="A1961" s="76"/>
      <c r="B1961" s="76"/>
      <c r="C1961" s="77"/>
      <c r="D1961" s="77"/>
      <c r="E1961" s="77"/>
      <c r="F1961" s="77"/>
      <c r="G1961" s="77"/>
      <c r="H1961" s="77"/>
      <c r="I1961" s="77"/>
      <c r="J1961" s="77"/>
      <c r="K1961" s="77"/>
      <c r="L1961" s="77"/>
      <c r="M1961" s="77"/>
      <c r="N1961" s="77"/>
      <c r="O1961" s="77"/>
      <c r="P1961" s="77"/>
      <c r="Q1961" s="77"/>
    </row>
    <row r="1962" spans="1:17" ht="13.2" x14ac:dyDescent="0.25">
      <c r="A1962" s="76"/>
      <c r="B1962" s="76"/>
      <c r="C1962" s="77"/>
      <c r="D1962" s="77"/>
      <c r="E1962" s="77"/>
      <c r="F1962" s="77"/>
      <c r="G1962" s="77"/>
      <c r="H1962" s="77"/>
      <c r="I1962" s="77"/>
      <c r="J1962" s="77"/>
      <c r="K1962" s="77"/>
      <c r="L1962" s="77"/>
      <c r="M1962" s="77"/>
      <c r="N1962" s="77"/>
      <c r="O1962" s="77"/>
      <c r="P1962" s="77"/>
      <c r="Q1962" s="77"/>
    </row>
    <row r="1963" spans="1:17" ht="13.2" x14ac:dyDescent="0.25">
      <c r="A1963" s="76"/>
      <c r="B1963" s="76"/>
      <c r="C1963" s="77"/>
      <c r="D1963" s="77"/>
      <c r="E1963" s="77"/>
      <c r="F1963" s="77"/>
      <c r="G1963" s="77"/>
      <c r="H1963" s="77"/>
      <c r="I1963" s="77"/>
      <c r="J1963" s="77"/>
      <c r="K1963" s="77"/>
      <c r="L1963" s="77"/>
      <c r="M1963" s="77"/>
      <c r="N1963" s="77"/>
      <c r="O1963" s="77"/>
      <c r="P1963" s="77"/>
      <c r="Q1963" s="77"/>
    </row>
    <row r="1964" spans="1:17" ht="13.2" x14ac:dyDescent="0.25">
      <c r="A1964" s="76"/>
      <c r="B1964" s="76"/>
      <c r="C1964" s="77"/>
      <c r="D1964" s="77"/>
      <c r="E1964" s="77"/>
      <c r="F1964" s="77"/>
      <c r="G1964" s="77"/>
      <c r="H1964" s="77"/>
      <c r="I1964" s="77"/>
      <c r="J1964" s="77"/>
      <c r="K1964" s="77"/>
      <c r="L1964" s="77"/>
      <c r="M1964" s="77"/>
      <c r="N1964" s="77"/>
      <c r="O1964" s="77"/>
      <c r="P1964" s="77"/>
      <c r="Q1964" s="77"/>
    </row>
    <row r="1965" spans="1:17" ht="13.2" x14ac:dyDescent="0.25">
      <c r="A1965" s="76"/>
      <c r="B1965" s="76"/>
      <c r="C1965" s="77"/>
      <c r="D1965" s="77"/>
      <c r="E1965" s="77"/>
      <c r="F1965" s="77"/>
      <c r="G1965" s="77"/>
      <c r="H1965" s="77"/>
      <c r="I1965" s="77"/>
      <c r="J1965" s="77"/>
      <c r="K1965" s="77"/>
      <c r="L1965" s="77"/>
      <c r="M1965" s="77"/>
      <c r="N1965" s="77"/>
      <c r="O1965" s="77"/>
      <c r="P1965" s="77"/>
      <c r="Q1965" s="77"/>
    </row>
    <row r="1966" spans="1:17" ht="13.2" x14ac:dyDescent="0.25">
      <c r="A1966" s="76"/>
      <c r="B1966" s="76"/>
      <c r="C1966" s="77"/>
      <c r="D1966" s="77"/>
      <c r="E1966" s="77"/>
      <c r="F1966" s="77"/>
      <c r="G1966" s="77"/>
      <c r="H1966" s="77"/>
      <c r="I1966" s="77"/>
      <c r="J1966" s="77"/>
      <c r="K1966" s="77"/>
      <c r="L1966" s="77"/>
      <c r="M1966" s="77"/>
      <c r="N1966" s="77"/>
      <c r="O1966" s="77"/>
      <c r="P1966" s="77"/>
      <c r="Q1966" s="77"/>
    </row>
    <row r="1967" spans="1:17" ht="13.2" x14ac:dyDescent="0.25">
      <c r="A1967" s="76"/>
      <c r="B1967" s="76"/>
      <c r="C1967" s="77"/>
      <c r="D1967" s="77"/>
      <c r="E1967" s="77"/>
      <c r="F1967" s="77"/>
      <c r="G1967" s="77"/>
      <c r="H1967" s="77"/>
      <c r="I1967" s="77"/>
      <c r="J1967" s="77"/>
      <c r="K1967" s="77"/>
      <c r="L1967" s="77"/>
      <c r="M1967" s="77"/>
      <c r="N1967" s="77"/>
      <c r="O1967" s="77"/>
      <c r="P1967" s="77"/>
      <c r="Q1967" s="77"/>
    </row>
    <row r="1968" spans="1:17" ht="13.2" x14ac:dyDescent="0.25">
      <c r="A1968" s="76"/>
      <c r="B1968" s="76"/>
      <c r="C1968" s="77"/>
      <c r="D1968" s="77"/>
      <c r="E1968" s="77"/>
      <c r="F1968" s="77"/>
      <c r="G1968" s="77"/>
      <c r="H1968" s="77"/>
      <c r="I1968" s="77"/>
      <c r="J1968" s="77"/>
      <c r="K1968" s="77"/>
      <c r="L1968" s="77"/>
      <c r="M1968" s="77"/>
      <c r="N1968" s="77"/>
      <c r="O1968" s="77"/>
      <c r="P1968" s="77"/>
      <c r="Q1968" s="77"/>
    </row>
    <row r="1969" spans="1:17" ht="13.2" x14ac:dyDescent="0.25">
      <c r="A1969" s="76"/>
      <c r="B1969" s="76"/>
      <c r="C1969" s="77"/>
      <c r="D1969" s="77"/>
      <c r="E1969" s="77"/>
      <c r="F1969" s="77"/>
      <c r="G1969" s="77"/>
      <c r="H1969" s="77"/>
      <c r="I1969" s="77"/>
      <c r="J1969" s="77"/>
      <c r="K1969" s="77"/>
      <c r="L1969" s="77"/>
      <c r="M1969" s="77"/>
      <c r="N1969" s="77"/>
      <c r="O1969" s="77"/>
      <c r="P1969" s="77"/>
      <c r="Q1969" s="77"/>
    </row>
    <row r="1970" spans="1:17" ht="13.2" x14ac:dyDescent="0.25">
      <c r="A1970" s="76"/>
      <c r="B1970" s="76"/>
      <c r="C1970" s="77"/>
      <c r="D1970" s="77"/>
      <c r="E1970" s="77"/>
      <c r="F1970" s="77"/>
      <c r="G1970" s="77"/>
      <c r="H1970" s="77"/>
      <c r="I1970" s="77"/>
      <c r="J1970" s="77"/>
      <c r="K1970" s="77"/>
      <c r="L1970" s="77"/>
      <c r="M1970" s="77"/>
      <c r="N1970" s="77"/>
      <c r="O1970" s="77"/>
      <c r="P1970" s="77"/>
      <c r="Q1970" s="77"/>
    </row>
    <row r="1971" spans="1:17" ht="13.2" x14ac:dyDescent="0.25">
      <c r="A1971" s="76"/>
      <c r="B1971" s="76"/>
      <c r="C1971" s="77"/>
      <c r="D1971" s="77"/>
      <c r="E1971" s="77"/>
      <c r="F1971" s="77"/>
      <c r="G1971" s="77"/>
      <c r="H1971" s="77"/>
      <c r="I1971" s="77"/>
      <c r="J1971" s="77"/>
      <c r="K1971" s="77"/>
      <c r="L1971" s="77"/>
      <c r="M1971" s="77"/>
      <c r="N1971" s="77"/>
      <c r="O1971" s="77"/>
      <c r="P1971" s="77"/>
      <c r="Q1971" s="77"/>
    </row>
    <row r="1972" spans="1:17" ht="13.2" x14ac:dyDescent="0.25">
      <c r="A1972" s="76"/>
      <c r="B1972" s="76"/>
      <c r="C1972" s="77"/>
      <c r="D1972" s="77"/>
      <c r="E1972" s="77"/>
      <c r="F1972" s="77"/>
      <c r="G1972" s="77"/>
      <c r="H1972" s="77"/>
      <c r="I1972" s="77"/>
      <c r="J1972" s="77"/>
      <c r="K1972" s="77"/>
      <c r="L1972" s="77"/>
      <c r="M1972" s="77"/>
      <c r="N1972" s="77"/>
      <c r="O1972" s="77"/>
      <c r="P1972" s="77"/>
      <c r="Q1972" s="77"/>
    </row>
    <row r="1973" spans="1:17" ht="13.2" x14ac:dyDescent="0.25">
      <c r="A1973" s="76"/>
      <c r="B1973" s="76"/>
      <c r="C1973" s="77"/>
      <c r="D1973" s="77"/>
      <c r="E1973" s="77"/>
      <c r="F1973" s="77"/>
      <c r="G1973" s="77"/>
      <c r="H1973" s="77"/>
      <c r="I1973" s="77"/>
      <c r="J1973" s="77"/>
      <c r="K1973" s="77"/>
      <c r="L1973" s="77"/>
      <c r="M1973" s="77"/>
      <c r="N1973" s="77"/>
      <c r="O1973" s="77"/>
      <c r="P1973" s="77"/>
      <c r="Q1973" s="77"/>
    </row>
    <row r="1974" spans="1:17" ht="13.2" x14ac:dyDescent="0.25">
      <c r="A1974" s="76"/>
      <c r="B1974" s="76"/>
      <c r="C1974" s="77"/>
      <c r="D1974" s="77"/>
      <c r="E1974" s="77"/>
      <c r="F1974" s="77"/>
      <c r="G1974" s="77"/>
      <c r="H1974" s="77"/>
      <c r="I1974" s="77"/>
      <c r="J1974" s="77"/>
      <c r="K1974" s="77"/>
      <c r="L1974" s="77"/>
      <c r="M1974" s="77"/>
      <c r="N1974" s="77"/>
      <c r="O1974" s="77"/>
      <c r="P1974" s="77"/>
      <c r="Q1974" s="77"/>
    </row>
    <row r="1975" spans="1:17" ht="13.2" x14ac:dyDescent="0.25">
      <c r="A1975" s="76"/>
      <c r="B1975" s="76"/>
      <c r="C1975" s="77"/>
      <c r="D1975" s="77"/>
      <c r="E1975" s="77"/>
      <c r="F1975" s="77"/>
      <c r="G1975" s="77"/>
      <c r="H1975" s="77"/>
      <c r="I1975" s="77"/>
      <c r="J1975" s="77"/>
      <c r="K1975" s="77"/>
      <c r="L1975" s="77"/>
      <c r="M1975" s="77"/>
      <c r="N1975" s="77"/>
      <c r="O1975" s="77"/>
      <c r="P1975" s="77"/>
      <c r="Q1975" s="77"/>
    </row>
    <row r="1976" spans="1:17" ht="13.2" x14ac:dyDescent="0.25">
      <c r="A1976" s="76"/>
      <c r="B1976" s="76"/>
      <c r="C1976" s="77"/>
      <c r="D1976" s="77"/>
      <c r="E1976" s="77"/>
      <c r="F1976" s="77"/>
      <c r="G1976" s="77"/>
      <c r="H1976" s="77"/>
      <c r="I1976" s="77"/>
      <c r="J1976" s="77"/>
      <c r="K1976" s="77"/>
      <c r="L1976" s="77"/>
      <c r="M1976" s="77"/>
      <c r="N1976" s="77"/>
      <c r="O1976" s="77"/>
      <c r="P1976" s="77"/>
      <c r="Q1976" s="77"/>
    </row>
    <row r="1977" spans="1:17" ht="13.2" x14ac:dyDescent="0.25">
      <c r="A1977" s="76"/>
      <c r="B1977" s="76"/>
      <c r="C1977" s="77"/>
      <c r="D1977" s="77"/>
      <c r="E1977" s="77"/>
      <c r="F1977" s="77"/>
      <c r="G1977" s="77"/>
      <c r="H1977" s="77"/>
      <c r="I1977" s="77"/>
      <c r="J1977" s="77"/>
      <c r="K1977" s="77"/>
      <c r="L1977" s="77"/>
      <c r="M1977" s="77"/>
      <c r="N1977" s="77"/>
      <c r="O1977" s="77"/>
      <c r="P1977" s="77"/>
      <c r="Q1977" s="77"/>
    </row>
    <row r="1978" spans="1:17" ht="13.2" x14ac:dyDescent="0.25">
      <c r="A1978" s="76"/>
      <c r="B1978" s="76"/>
      <c r="C1978" s="77"/>
      <c r="D1978" s="77"/>
      <c r="E1978" s="77"/>
      <c r="F1978" s="77"/>
      <c r="G1978" s="77"/>
      <c r="H1978" s="77"/>
      <c r="I1978" s="77"/>
      <c r="J1978" s="77"/>
      <c r="K1978" s="77"/>
      <c r="L1978" s="77"/>
      <c r="M1978" s="77"/>
      <c r="N1978" s="77"/>
      <c r="O1978" s="77"/>
      <c r="P1978" s="77"/>
      <c r="Q1978" s="77"/>
    </row>
    <row r="1979" spans="1:17" ht="13.2" x14ac:dyDescent="0.25">
      <c r="A1979" s="76"/>
      <c r="B1979" s="76"/>
      <c r="C1979" s="77"/>
      <c r="D1979" s="77"/>
      <c r="E1979" s="77"/>
      <c r="F1979" s="77"/>
      <c r="G1979" s="77"/>
      <c r="H1979" s="77"/>
      <c r="I1979" s="77"/>
      <c r="J1979" s="77"/>
      <c r="K1979" s="77"/>
      <c r="L1979" s="77"/>
      <c r="M1979" s="77"/>
      <c r="N1979" s="77"/>
      <c r="O1979" s="77"/>
      <c r="P1979" s="77"/>
      <c r="Q1979" s="77"/>
    </row>
    <row r="1980" spans="1:17" ht="13.2" x14ac:dyDescent="0.25">
      <c r="A1980" s="76"/>
      <c r="B1980" s="76"/>
      <c r="C1980" s="77"/>
      <c r="D1980" s="77"/>
      <c r="E1980" s="77"/>
      <c r="F1980" s="77"/>
      <c r="G1980" s="77"/>
      <c r="H1980" s="77"/>
      <c r="I1980" s="77"/>
      <c r="J1980" s="77"/>
      <c r="K1980" s="77"/>
      <c r="L1980" s="77"/>
      <c r="M1980" s="77"/>
      <c r="N1980" s="77"/>
      <c r="O1980" s="77"/>
      <c r="P1980" s="77"/>
      <c r="Q1980" s="77"/>
    </row>
    <row r="1981" spans="1:17" ht="13.2" x14ac:dyDescent="0.25">
      <c r="A1981" s="76"/>
      <c r="B1981" s="76"/>
      <c r="C1981" s="77"/>
      <c r="D1981" s="77"/>
      <c r="E1981" s="77"/>
      <c r="F1981" s="77"/>
      <c r="G1981" s="77"/>
      <c r="H1981" s="77"/>
      <c r="I1981" s="77"/>
      <c r="J1981" s="77"/>
      <c r="K1981" s="77"/>
      <c r="L1981" s="77"/>
      <c r="M1981" s="77"/>
      <c r="N1981" s="77"/>
      <c r="O1981" s="77"/>
      <c r="P1981" s="77"/>
      <c r="Q1981" s="77"/>
    </row>
    <row r="1982" spans="1:17" ht="13.2" x14ac:dyDescent="0.25">
      <c r="A1982" s="76"/>
      <c r="B1982" s="76"/>
      <c r="C1982" s="77"/>
      <c r="D1982" s="77"/>
      <c r="E1982" s="77"/>
      <c r="F1982" s="77"/>
      <c r="G1982" s="77"/>
      <c r="H1982" s="77"/>
      <c r="I1982" s="77"/>
      <c r="J1982" s="77"/>
      <c r="K1982" s="77"/>
      <c r="L1982" s="77"/>
      <c r="M1982" s="77"/>
      <c r="N1982" s="77"/>
      <c r="O1982" s="77"/>
      <c r="P1982" s="77"/>
      <c r="Q1982" s="77"/>
    </row>
    <row r="1983" spans="1:17" ht="13.2" x14ac:dyDescent="0.25">
      <c r="A1983" s="76"/>
      <c r="B1983" s="76"/>
      <c r="C1983" s="77"/>
      <c r="D1983" s="77"/>
      <c r="E1983" s="77"/>
      <c r="F1983" s="77"/>
      <c r="G1983" s="77"/>
      <c r="H1983" s="77"/>
      <c r="I1983" s="77"/>
      <c r="J1983" s="77"/>
      <c r="K1983" s="77"/>
      <c r="L1983" s="77"/>
      <c r="M1983" s="77"/>
      <c r="N1983" s="77"/>
      <c r="O1983" s="77"/>
      <c r="P1983" s="77"/>
      <c r="Q1983" s="77"/>
    </row>
    <row r="1984" spans="1:17" ht="13.2" x14ac:dyDescent="0.25">
      <c r="A1984" s="76"/>
      <c r="B1984" s="76"/>
      <c r="C1984" s="77"/>
      <c r="D1984" s="77"/>
      <c r="E1984" s="77"/>
      <c r="F1984" s="77"/>
      <c r="G1984" s="77"/>
      <c r="H1984" s="77"/>
      <c r="I1984" s="77"/>
      <c r="J1984" s="77"/>
      <c r="K1984" s="77"/>
      <c r="L1984" s="77"/>
      <c r="M1984" s="77"/>
      <c r="N1984" s="77"/>
      <c r="O1984" s="77"/>
      <c r="P1984" s="77"/>
      <c r="Q1984" s="77"/>
    </row>
    <row r="1985" spans="1:17" ht="13.2" x14ac:dyDescent="0.25">
      <c r="A1985" s="76"/>
      <c r="B1985" s="76"/>
      <c r="C1985" s="77"/>
      <c r="D1985" s="77"/>
      <c r="E1985" s="77"/>
      <c r="F1985" s="77"/>
      <c r="G1985" s="77"/>
      <c r="H1985" s="77"/>
      <c r="I1985" s="77"/>
      <c r="J1985" s="77"/>
      <c r="K1985" s="77"/>
      <c r="L1985" s="77"/>
      <c r="M1985" s="77"/>
      <c r="N1985" s="77"/>
      <c r="O1985" s="77"/>
      <c r="P1985" s="77"/>
      <c r="Q1985" s="77"/>
    </row>
    <row r="1986" spans="1:17" ht="13.2" x14ac:dyDescent="0.25">
      <c r="A1986" s="76"/>
      <c r="B1986" s="76"/>
      <c r="C1986" s="77"/>
      <c r="D1986" s="77"/>
      <c r="E1986" s="77"/>
      <c r="F1986" s="77"/>
      <c r="G1986" s="77"/>
      <c r="H1986" s="77"/>
      <c r="I1986" s="77"/>
      <c r="J1986" s="77"/>
      <c r="K1986" s="77"/>
      <c r="L1986" s="77"/>
      <c r="M1986" s="77"/>
      <c r="N1986" s="77"/>
      <c r="O1986" s="77"/>
      <c r="P1986" s="77"/>
      <c r="Q1986" s="77"/>
    </row>
    <row r="1987" spans="1:17" ht="13.2" x14ac:dyDescent="0.25">
      <c r="A1987" s="76"/>
      <c r="B1987" s="76"/>
      <c r="C1987" s="77"/>
      <c r="D1987" s="77"/>
      <c r="E1987" s="77"/>
      <c r="F1987" s="77"/>
      <c r="G1987" s="77"/>
      <c r="H1987" s="77"/>
      <c r="I1987" s="77"/>
      <c r="J1987" s="77"/>
      <c r="K1987" s="77"/>
      <c r="L1987" s="77"/>
      <c r="M1987" s="77"/>
      <c r="N1987" s="77"/>
      <c r="O1987" s="77"/>
      <c r="P1987" s="77"/>
      <c r="Q1987" s="77"/>
    </row>
    <row r="1988" spans="1:17" ht="13.2" x14ac:dyDescent="0.25">
      <c r="A1988" s="76"/>
      <c r="B1988" s="76"/>
      <c r="C1988" s="77"/>
      <c r="D1988" s="77"/>
      <c r="E1988" s="77"/>
      <c r="F1988" s="77"/>
      <c r="G1988" s="77"/>
      <c r="H1988" s="77"/>
      <c r="I1988" s="77"/>
      <c r="J1988" s="77"/>
      <c r="K1988" s="77"/>
      <c r="L1988" s="77"/>
      <c r="M1988" s="77"/>
      <c r="N1988" s="77"/>
      <c r="O1988" s="77"/>
      <c r="P1988" s="77"/>
      <c r="Q1988" s="77"/>
    </row>
    <row r="1989" spans="1:17" ht="13.2" x14ac:dyDescent="0.25">
      <c r="A1989" s="76"/>
      <c r="B1989" s="76"/>
      <c r="C1989" s="77"/>
      <c r="D1989" s="77"/>
      <c r="E1989" s="77"/>
      <c r="F1989" s="77"/>
      <c r="G1989" s="77"/>
      <c r="H1989" s="77"/>
      <c r="I1989" s="77"/>
      <c r="J1989" s="77"/>
      <c r="K1989" s="77"/>
      <c r="L1989" s="77"/>
      <c r="M1989" s="77"/>
      <c r="N1989" s="77"/>
      <c r="O1989" s="77"/>
      <c r="P1989" s="77"/>
      <c r="Q1989" s="77"/>
    </row>
    <row r="1990" spans="1:17" ht="13.2" x14ac:dyDescent="0.25">
      <c r="A1990" s="76"/>
      <c r="B1990" s="76"/>
      <c r="C1990" s="77"/>
      <c r="D1990" s="77"/>
      <c r="E1990" s="77"/>
      <c r="F1990" s="77"/>
      <c r="G1990" s="77"/>
      <c r="H1990" s="77"/>
      <c r="I1990" s="77"/>
      <c r="J1990" s="77"/>
      <c r="K1990" s="77"/>
      <c r="L1990" s="77"/>
      <c r="M1990" s="77"/>
      <c r="N1990" s="77"/>
      <c r="O1990" s="77"/>
      <c r="P1990" s="77"/>
      <c r="Q1990" s="77"/>
    </row>
    <row r="1991" spans="1:17" ht="13.2" x14ac:dyDescent="0.25">
      <c r="A1991" s="76"/>
      <c r="B1991" s="76"/>
      <c r="C1991" s="77"/>
      <c r="D1991" s="77"/>
      <c r="E1991" s="77"/>
      <c r="F1991" s="77"/>
      <c r="G1991" s="77"/>
      <c r="H1991" s="77"/>
      <c r="I1991" s="77"/>
      <c r="J1991" s="77"/>
      <c r="K1991" s="77"/>
      <c r="L1991" s="77"/>
      <c r="M1991" s="77"/>
      <c r="N1991" s="77"/>
      <c r="O1991" s="77"/>
      <c r="P1991" s="77"/>
      <c r="Q1991" s="77"/>
    </row>
    <row r="1992" spans="1:17" ht="13.2" x14ac:dyDescent="0.25">
      <c r="A1992" s="76"/>
      <c r="B1992" s="76"/>
      <c r="C1992" s="77"/>
      <c r="D1992" s="77"/>
      <c r="E1992" s="77"/>
      <c r="F1992" s="77"/>
      <c r="G1992" s="77"/>
      <c r="H1992" s="77"/>
      <c r="I1992" s="77"/>
      <c r="J1992" s="77"/>
      <c r="K1992" s="77"/>
      <c r="L1992" s="77"/>
      <c r="M1992" s="77"/>
      <c r="N1992" s="77"/>
      <c r="O1992" s="77"/>
      <c r="P1992" s="77"/>
      <c r="Q1992" s="77"/>
    </row>
    <row r="1993" spans="1:17" ht="13.2" x14ac:dyDescent="0.25">
      <c r="A1993" s="76"/>
      <c r="B1993" s="76"/>
      <c r="C1993" s="77"/>
      <c r="D1993" s="77"/>
      <c r="E1993" s="77"/>
      <c r="F1993" s="77"/>
      <c r="G1993" s="77"/>
      <c r="H1993" s="77"/>
      <c r="I1993" s="77"/>
      <c r="J1993" s="77"/>
      <c r="K1993" s="77"/>
      <c r="L1993" s="77"/>
      <c r="M1993" s="77"/>
      <c r="N1993" s="77"/>
      <c r="O1993" s="77"/>
      <c r="P1993" s="77"/>
      <c r="Q1993" s="77"/>
    </row>
    <row r="1994" spans="1:17" ht="13.2" x14ac:dyDescent="0.25">
      <c r="A1994" s="76"/>
      <c r="B1994" s="76"/>
      <c r="C1994" s="77"/>
      <c r="D1994" s="77"/>
      <c r="E1994" s="77"/>
      <c r="F1994" s="77"/>
      <c r="G1994" s="77"/>
      <c r="H1994" s="77"/>
      <c r="I1994" s="77"/>
      <c r="J1994" s="77"/>
      <c r="K1994" s="77"/>
      <c r="L1994" s="77"/>
      <c r="M1994" s="77"/>
      <c r="N1994" s="77"/>
      <c r="O1994" s="77"/>
      <c r="P1994" s="77"/>
      <c r="Q1994" s="77"/>
    </row>
    <row r="1995" spans="1:17" ht="13.2" x14ac:dyDescent="0.25">
      <c r="A1995" s="76"/>
      <c r="B1995" s="76"/>
      <c r="C1995" s="77"/>
      <c r="D1995" s="77"/>
      <c r="E1995" s="77"/>
      <c r="F1995" s="77"/>
      <c r="G1995" s="77"/>
      <c r="H1995" s="77"/>
      <c r="I1995" s="77"/>
      <c r="J1995" s="77"/>
      <c r="K1995" s="77"/>
      <c r="L1995" s="77"/>
      <c r="M1995" s="77"/>
      <c r="N1995" s="77"/>
      <c r="O1995" s="77"/>
      <c r="P1995" s="77"/>
      <c r="Q1995" s="77"/>
    </row>
    <row r="1996" spans="1:17" ht="13.2" x14ac:dyDescent="0.25">
      <c r="A1996" s="76"/>
      <c r="B1996" s="76"/>
      <c r="C1996" s="77"/>
      <c r="D1996" s="77"/>
      <c r="E1996" s="77"/>
      <c r="F1996" s="77"/>
      <c r="G1996" s="77"/>
      <c r="H1996" s="77"/>
      <c r="I1996" s="77"/>
      <c r="J1996" s="77"/>
      <c r="K1996" s="77"/>
      <c r="L1996" s="77"/>
      <c r="M1996" s="77"/>
      <c r="N1996" s="77"/>
      <c r="O1996" s="77"/>
      <c r="P1996" s="77"/>
      <c r="Q1996" s="77"/>
    </row>
    <row r="1997" spans="1:17" ht="13.2" x14ac:dyDescent="0.25">
      <c r="A1997" s="76"/>
      <c r="B1997" s="76"/>
      <c r="C1997" s="77"/>
      <c r="D1997" s="77"/>
      <c r="E1997" s="77"/>
      <c r="F1997" s="77"/>
      <c r="G1997" s="77"/>
      <c r="H1997" s="77"/>
      <c r="I1997" s="77"/>
      <c r="J1997" s="77"/>
      <c r="K1997" s="77"/>
      <c r="L1997" s="77"/>
      <c r="M1997" s="77"/>
      <c r="N1997" s="77"/>
      <c r="O1997" s="77"/>
      <c r="P1997" s="77"/>
      <c r="Q1997" s="77"/>
    </row>
    <row r="1998" spans="1:17" ht="13.2" x14ac:dyDescent="0.25">
      <c r="A1998" s="76"/>
      <c r="B1998" s="76"/>
      <c r="C1998" s="77"/>
      <c r="D1998" s="77"/>
      <c r="E1998" s="77"/>
      <c r="F1998" s="77"/>
      <c r="G1998" s="77"/>
      <c r="H1998" s="77"/>
      <c r="I1998" s="77"/>
      <c r="J1998" s="77"/>
      <c r="K1998" s="77"/>
      <c r="L1998" s="77"/>
      <c r="M1998" s="77"/>
      <c r="N1998" s="77"/>
      <c r="O1998" s="77"/>
      <c r="P1998" s="77"/>
      <c r="Q1998" s="77"/>
    </row>
    <row r="1999" spans="1:17" ht="13.2" x14ac:dyDescent="0.25">
      <c r="A1999" s="76"/>
      <c r="B1999" s="76"/>
      <c r="C1999" s="77"/>
      <c r="D1999" s="77"/>
      <c r="E1999" s="77"/>
      <c r="F1999" s="77"/>
      <c r="G1999" s="77"/>
      <c r="H1999" s="77"/>
      <c r="I1999" s="77"/>
      <c r="J1999" s="77"/>
      <c r="K1999" s="77"/>
      <c r="L1999" s="77"/>
      <c r="M1999" s="77"/>
      <c r="N1999" s="77"/>
      <c r="O1999" s="77"/>
      <c r="P1999" s="77"/>
      <c r="Q1999" s="77"/>
    </row>
    <row r="2000" spans="1:17" ht="13.2" x14ac:dyDescent="0.25">
      <c r="A2000" s="76"/>
      <c r="B2000" s="76"/>
      <c r="C2000" s="77"/>
      <c r="D2000" s="77"/>
      <c r="E2000" s="77"/>
      <c r="F2000" s="77"/>
      <c r="G2000" s="77"/>
      <c r="H2000" s="77"/>
      <c r="I2000" s="77"/>
      <c r="J2000" s="77"/>
      <c r="K2000" s="77"/>
      <c r="L2000" s="77"/>
      <c r="M2000" s="77"/>
      <c r="N2000" s="77"/>
      <c r="O2000" s="77"/>
      <c r="P2000" s="77"/>
      <c r="Q2000" s="77"/>
    </row>
    <row r="2001" spans="3:17" ht="13.2" x14ac:dyDescent="0.25">
      <c r="C2001" s="77"/>
      <c r="D2001" s="77"/>
      <c r="E2001" s="77"/>
      <c r="F2001" s="77"/>
      <c r="G2001" s="77"/>
      <c r="H2001" s="77"/>
      <c r="I2001" s="77"/>
      <c r="J2001" s="77"/>
      <c r="K2001" s="77"/>
      <c r="L2001" s="77"/>
      <c r="M2001" s="77"/>
      <c r="N2001" s="77"/>
      <c r="O2001" s="77"/>
      <c r="P2001" s="77"/>
      <c r="Q2001" s="77"/>
    </row>
    <row r="2002" spans="3:17" ht="13.2" x14ac:dyDescent="0.25">
      <c r="C2002" s="77"/>
      <c r="D2002" s="77"/>
      <c r="E2002" s="77"/>
      <c r="F2002" s="77"/>
      <c r="G2002" s="77"/>
      <c r="H2002" s="77"/>
      <c r="I2002" s="77"/>
      <c r="J2002" s="77"/>
      <c r="K2002" s="77"/>
      <c r="L2002" s="77"/>
      <c r="M2002" s="77"/>
      <c r="N2002" s="77"/>
      <c r="O2002" s="77"/>
      <c r="P2002" s="77"/>
      <c r="Q2002" s="77"/>
    </row>
    <row r="2003" spans="3:17" ht="13.2" x14ac:dyDescent="0.25">
      <c r="C2003" s="77"/>
      <c r="D2003" s="77"/>
      <c r="E2003" s="77"/>
      <c r="F2003" s="77"/>
      <c r="G2003" s="77"/>
      <c r="H2003" s="77"/>
      <c r="I2003" s="77"/>
      <c r="J2003" s="77"/>
      <c r="K2003" s="77"/>
      <c r="L2003" s="77"/>
      <c r="M2003" s="77"/>
      <c r="N2003" s="77"/>
      <c r="O2003" s="77"/>
      <c r="P2003" s="77"/>
      <c r="Q2003" s="77"/>
    </row>
    <row r="2004" spans="3:17" ht="13.2" x14ac:dyDescent="0.25">
      <c r="C2004" s="77"/>
      <c r="D2004" s="77"/>
      <c r="E2004" s="77"/>
      <c r="F2004" s="77"/>
      <c r="G2004" s="77"/>
      <c r="H2004" s="77"/>
      <c r="I2004" s="77"/>
      <c r="J2004" s="77"/>
      <c r="K2004" s="77"/>
      <c r="L2004" s="77"/>
      <c r="M2004" s="77"/>
      <c r="N2004" s="77"/>
      <c r="O2004" s="77"/>
      <c r="P2004" s="77"/>
      <c r="Q2004" s="77"/>
    </row>
    <row r="2005" spans="3:17" ht="13.2" x14ac:dyDescent="0.25">
      <c r="C2005" s="77"/>
      <c r="D2005" s="77"/>
      <c r="E2005" s="77"/>
      <c r="F2005" s="77"/>
      <c r="G2005" s="77"/>
      <c r="H2005" s="77"/>
      <c r="I2005" s="77"/>
      <c r="J2005" s="77"/>
      <c r="K2005" s="77"/>
      <c r="L2005" s="77"/>
      <c r="M2005" s="77"/>
      <c r="N2005" s="77"/>
      <c r="O2005" s="77"/>
      <c r="P2005" s="77"/>
      <c r="Q2005" s="77"/>
    </row>
    <row r="2006" spans="3:17" ht="13.2" x14ac:dyDescent="0.25">
      <c r="C2006" s="77"/>
      <c r="D2006" s="77"/>
      <c r="E2006" s="77"/>
      <c r="F2006" s="77"/>
      <c r="G2006" s="77"/>
      <c r="H2006" s="77"/>
      <c r="I2006" s="77"/>
      <c r="J2006" s="77"/>
      <c r="K2006" s="77"/>
      <c r="L2006" s="77"/>
      <c r="M2006" s="77"/>
      <c r="N2006" s="77"/>
      <c r="O2006" s="77"/>
      <c r="P2006" s="77"/>
      <c r="Q2006" s="77"/>
    </row>
    <row r="2007" spans="3:17" ht="13.2" x14ac:dyDescent="0.25">
      <c r="C2007" s="77"/>
      <c r="D2007" s="77"/>
      <c r="E2007" s="77"/>
      <c r="F2007" s="77"/>
      <c r="G2007" s="77"/>
      <c r="H2007" s="77"/>
      <c r="I2007" s="77"/>
      <c r="J2007" s="77"/>
      <c r="K2007" s="77"/>
      <c r="L2007" s="77"/>
      <c r="M2007" s="77"/>
      <c r="N2007" s="77"/>
      <c r="O2007" s="77"/>
      <c r="P2007" s="77"/>
      <c r="Q2007" s="77"/>
    </row>
    <row r="2008" spans="3:17" ht="13.2" x14ac:dyDescent="0.25">
      <c r="C2008" s="77"/>
      <c r="D2008" s="77"/>
      <c r="E2008" s="77"/>
      <c r="F2008" s="77"/>
      <c r="G2008" s="77"/>
      <c r="H2008" s="77"/>
      <c r="I2008" s="77"/>
      <c r="J2008" s="77"/>
      <c r="K2008" s="77"/>
      <c r="L2008" s="77"/>
      <c r="M2008" s="77"/>
      <c r="N2008" s="77"/>
      <c r="O2008" s="77"/>
      <c r="P2008" s="77"/>
      <c r="Q2008" s="77"/>
    </row>
    <row r="2009" spans="3:17" ht="13.2" x14ac:dyDescent="0.25">
      <c r="C2009" s="77"/>
      <c r="D2009" s="77"/>
      <c r="E2009" s="77"/>
      <c r="F2009" s="77"/>
      <c r="G2009" s="77"/>
      <c r="H2009" s="77"/>
      <c r="I2009" s="77"/>
      <c r="J2009" s="77"/>
      <c r="K2009" s="77"/>
      <c r="L2009" s="77"/>
      <c r="M2009" s="77"/>
      <c r="N2009" s="77"/>
      <c r="O2009" s="77"/>
      <c r="P2009" s="77"/>
      <c r="Q2009" s="77"/>
    </row>
    <row r="2010" spans="3:17" ht="13.2" x14ac:dyDescent="0.25">
      <c r="C2010" s="77"/>
      <c r="D2010" s="77"/>
      <c r="E2010" s="77"/>
      <c r="F2010" s="77"/>
      <c r="G2010" s="77"/>
      <c r="H2010" s="77"/>
      <c r="I2010" s="77"/>
      <c r="J2010" s="77"/>
      <c r="K2010" s="77"/>
      <c r="L2010" s="77"/>
      <c r="M2010" s="77"/>
      <c r="N2010" s="77"/>
      <c r="O2010" s="77"/>
      <c r="P2010" s="77"/>
      <c r="Q2010" s="77"/>
    </row>
    <row r="2011" spans="3:17" ht="13.2" x14ac:dyDescent="0.25">
      <c r="C2011" s="77"/>
      <c r="D2011" s="77"/>
      <c r="E2011" s="77"/>
      <c r="F2011" s="77"/>
      <c r="G2011" s="77"/>
      <c r="H2011" s="77"/>
      <c r="I2011" s="77"/>
      <c r="J2011" s="77"/>
      <c r="K2011" s="77"/>
      <c r="L2011" s="77"/>
      <c r="M2011" s="77"/>
      <c r="N2011" s="77"/>
      <c r="O2011" s="77"/>
      <c r="P2011" s="77"/>
      <c r="Q2011" s="77"/>
    </row>
    <row r="2012" spans="3:17" ht="13.2" x14ac:dyDescent="0.25">
      <c r="C2012" s="77"/>
      <c r="D2012" s="77"/>
      <c r="E2012" s="77"/>
      <c r="F2012" s="77"/>
      <c r="G2012" s="77"/>
      <c r="H2012" s="77"/>
      <c r="I2012" s="77"/>
      <c r="J2012" s="77"/>
      <c r="K2012" s="77"/>
      <c r="L2012" s="77"/>
      <c r="M2012" s="77"/>
      <c r="N2012" s="77"/>
      <c r="O2012" s="77"/>
      <c r="P2012" s="77"/>
      <c r="Q2012" s="77"/>
    </row>
    <row r="2013" spans="3:17" ht="13.2" x14ac:dyDescent="0.25">
      <c r="C2013" s="77"/>
      <c r="D2013" s="77"/>
      <c r="E2013" s="77"/>
      <c r="F2013" s="77"/>
      <c r="G2013" s="77"/>
      <c r="H2013" s="77"/>
      <c r="I2013" s="77"/>
      <c r="J2013" s="77"/>
      <c r="K2013" s="77"/>
      <c r="L2013" s="77"/>
      <c r="M2013" s="77"/>
      <c r="N2013" s="77"/>
      <c r="O2013" s="77"/>
      <c r="P2013" s="77"/>
      <c r="Q2013" s="77"/>
    </row>
    <row r="2014" spans="3:17" ht="13.2" x14ac:dyDescent="0.25">
      <c r="C2014" s="77"/>
      <c r="D2014" s="77"/>
      <c r="E2014" s="77"/>
      <c r="F2014" s="77"/>
      <c r="G2014" s="77"/>
      <c r="H2014" s="77"/>
      <c r="I2014" s="77"/>
      <c r="J2014" s="77"/>
      <c r="K2014" s="77"/>
      <c r="L2014" s="77"/>
      <c r="M2014" s="77"/>
      <c r="N2014" s="77"/>
      <c r="O2014" s="77"/>
      <c r="P2014" s="77"/>
      <c r="Q2014" s="77"/>
    </row>
    <row r="2015" spans="3:17" ht="13.2" x14ac:dyDescent="0.25">
      <c r="C2015" s="77"/>
      <c r="D2015" s="77"/>
      <c r="E2015" s="77"/>
      <c r="F2015" s="77"/>
      <c r="G2015" s="77"/>
      <c r="H2015" s="77"/>
      <c r="I2015" s="77"/>
      <c r="J2015" s="77"/>
      <c r="K2015" s="77"/>
      <c r="L2015" s="77"/>
      <c r="M2015" s="77"/>
      <c r="N2015" s="77"/>
      <c r="O2015" s="77"/>
      <c r="P2015" s="77"/>
      <c r="Q2015" s="77"/>
    </row>
    <row r="2016" spans="3:17" ht="13.2" x14ac:dyDescent="0.25">
      <c r="C2016" s="77"/>
      <c r="D2016" s="77"/>
      <c r="E2016" s="77"/>
      <c r="F2016" s="77"/>
      <c r="G2016" s="77"/>
      <c r="H2016" s="77"/>
      <c r="I2016" s="77"/>
      <c r="J2016" s="77"/>
      <c r="K2016" s="77"/>
      <c r="L2016" s="77"/>
      <c r="M2016" s="77"/>
      <c r="N2016" s="77"/>
      <c r="O2016" s="77"/>
      <c r="P2016" s="77"/>
      <c r="Q2016" s="77"/>
    </row>
    <row r="2017" spans="3:17" ht="13.2" x14ac:dyDescent="0.25">
      <c r="C2017" s="77"/>
      <c r="D2017" s="77"/>
      <c r="E2017" s="77"/>
      <c r="F2017" s="77"/>
      <c r="G2017" s="77"/>
      <c r="H2017" s="77"/>
      <c r="I2017" s="77"/>
      <c r="J2017" s="77"/>
      <c r="K2017" s="77"/>
      <c r="L2017" s="77"/>
      <c r="M2017" s="77"/>
      <c r="N2017" s="77"/>
      <c r="O2017" s="77"/>
      <c r="P2017" s="77"/>
      <c r="Q2017" s="77"/>
    </row>
    <row r="2018" spans="3:17" ht="13.2" x14ac:dyDescent="0.25">
      <c r="C2018" s="77"/>
      <c r="D2018" s="77"/>
      <c r="E2018" s="77"/>
      <c r="F2018" s="77"/>
      <c r="G2018" s="77"/>
      <c r="H2018" s="77"/>
      <c r="I2018" s="77"/>
      <c r="J2018" s="77"/>
      <c r="K2018" s="77"/>
      <c r="L2018" s="77"/>
      <c r="M2018" s="77"/>
      <c r="N2018" s="77"/>
      <c r="O2018" s="77"/>
      <c r="P2018" s="77"/>
      <c r="Q2018" s="77"/>
    </row>
    <row r="2019" spans="3:17" ht="13.2" x14ac:dyDescent="0.25">
      <c r="C2019" s="77"/>
      <c r="D2019" s="77"/>
      <c r="E2019" s="77"/>
      <c r="F2019" s="77"/>
      <c r="G2019" s="77"/>
      <c r="H2019" s="77"/>
      <c r="I2019" s="77"/>
      <c r="J2019" s="77"/>
      <c r="K2019" s="77"/>
      <c r="L2019" s="77"/>
      <c r="M2019" s="77"/>
      <c r="N2019" s="77"/>
      <c r="O2019" s="77"/>
      <c r="P2019" s="77"/>
      <c r="Q2019" s="77"/>
    </row>
    <row r="2020" spans="3:17" ht="13.2" x14ac:dyDescent="0.25">
      <c r="C2020" s="77"/>
      <c r="D2020" s="77"/>
      <c r="E2020" s="77"/>
      <c r="F2020" s="77"/>
      <c r="G2020" s="77"/>
      <c r="H2020" s="77"/>
      <c r="I2020" s="77"/>
      <c r="J2020" s="77"/>
      <c r="K2020" s="77"/>
      <c r="L2020" s="77"/>
      <c r="M2020" s="77"/>
      <c r="N2020" s="77"/>
      <c r="O2020" s="77"/>
      <c r="P2020" s="77"/>
      <c r="Q2020" s="77"/>
    </row>
    <row r="2021" spans="3:17" ht="13.2" x14ac:dyDescent="0.25">
      <c r="C2021" s="77"/>
      <c r="D2021" s="77"/>
      <c r="E2021" s="77"/>
      <c r="F2021" s="77"/>
      <c r="G2021" s="77"/>
      <c r="H2021" s="77"/>
      <c r="I2021" s="77"/>
      <c r="J2021" s="77"/>
      <c r="K2021" s="77"/>
      <c r="L2021" s="77"/>
      <c r="M2021" s="77"/>
      <c r="N2021" s="77"/>
      <c r="O2021" s="77"/>
      <c r="P2021" s="77"/>
      <c r="Q2021" s="77"/>
    </row>
    <row r="2022" spans="3:17" ht="13.2" x14ac:dyDescent="0.25">
      <c r="C2022" s="77"/>
      <c r="D2022" s="77"/>
      <c r="E2022" s="77"/>
      <c r="F2022" s="77"/>
      <c r="G2022" s="77"/>
      <c r="H2022" s="77"/>
      <c r="I2022" s="77"/>
      <c r="J2022" s="77"/>
      <c r="K2022" s="77"/>
      <c r="L2022" s="77"/>
      <c r="M2022" s="77"/>
      <c r="N2022" s="77"/>
      <c r="O2022" s="77"/>
      <c r="P2022" s="77"/>
      <c r="Q2022" s="77"/>
    </row>
    <row r="2023" spans="3:17" ht="13.2" x14ac:dyDescent="0.25">
      <c r="C2023" s="77"/>
      <c r="D2023" s="77"/>
      <c r="E2023" s="77"/>
      <c r="F2023" s="77"/>
      <c r="G2023" s="77"/>
      <c r="H2023" s="77"/>
      <c r="I2023" s="77"/>
      <c r="J2023" s="77"/>
      <c r="K2023" s="77"/>
      <c r="L2023" s="77"/>
      <c r="M2023" s="77"/>
      <c r="N2023" s="77"/>
      <c r="O2023" s="77"/>
      <c r="P2023" s="77"/>
      <c r="Q2023" s="77"/>
    </row>
    <row r="2024" spans="3:17" ht="13.2" x14ac:dyDescent="0.25">
      <c r="C2024" s="77"/>
      <c r="D2024" s="77"/>
      <c r="E2024" s="77"/>
      <c r="F2024" s="77"/>
      <c r="G2024" s="77"/>
      <c r="H2024" s="77"/>
      <c r="I2024" s="77"/>
      <c r="J2024" s="77"/>
      <c r="K2024" s="77"/>
      <c r="L2024" s="77"/>
      <c r="M2024" s="77"/>
      <c r="N2024" s="77"/>
      <c r="O2024" s="77"/>
      <c r="P2024" s="77"/>
      <c r="Q2024" s="77"/>
    </row>
    <row r="2025" spans="3:17" ht="13.2" x14ac:dyDescent="0.25">
      <c r="C2025" s="77"/>
      <c r="D2025" s="77"/>
      <c r="E2025" s="77"/>
      <c r="F2025" s="77"/>
      <c r="G2025" s="77"/>
      <c r="H2025" s="77"/>
      <c r="I2025" s="77"/>
      <c r="J2025" s="77"/>
      <c r="K2025" s="77"/>
      <c r="L2025" s="77"/>
      <c r="M2025" s="77"/>
      <c r="N2025" s="77"/>
      <c r="O2025" s="77"/>
      <c r="P2025" s="77"/>
      <c r="Q2025" s="77"/>
    </row>
    <row r="2026" spans="3:17" ht="13.2" x14ac:dyDescent="0.25">
      <c r="C2026" s="77"/>
      <c r="D2026" s="77"/>
      <c r="E2026" s="77"/>
      <c r="F2026" s="77"/>
      <c r="G2026" s="77"/>
      <c r="H2026" s="77"/>
      <c r="I2026" s="77"/>
      <c r="J2026" s="77"/>
      <c r="K2026" s="77"/>
      <c r="L2026" s="77"/>
      <c r="M2026" s="77"/>
      <c r="N2026" s="77"/>
      <c r="O2026" s="77"/>
      <c r="P2026" s="77"/>
      <c r="Q2026" s="77"/>
    </row>
    <row r="2027" spans="3:17" ht="13.2" x14ac:dyDescent="0.25">
      <c r="C2027" s="77"/>
      <c r="D2027" s="77"/>
      <c r="E2027" s="77"/>
      <c r="F2027" s="77"/>
      <c r="G2027" s="77"/>
      <c r="H2027" s="77"/>
      <c r="I2027" s="77"/>
      <c r="J2027" s="77"/>
      <c r="K2027" s="77"/>
      <c r="L2027" s="77"/>
      <c r="M2027" s="77"/>
      <c r="N2027" s="77"/>
      <c r="O2027" s="77"/>
      <c r="P2027" s="77"/>
      <c r="Q2027" s="77"/>
    </row>
    <row r="2028" spans="3:17" ht="13.2" x14ac:dyDescent="0.25">
      <c r="C2028" s="77"/>
      <c r="D2028" s="77"/>
      <c r="E2028" s="77"/>
      <c r="F2028" s="77"/>
      <c r="G2028" s="77"/>
      <c r="H2028" s="77"/>
      <c r="I2028" s="77"/>
      <c r="J2028" s="77"/>
      <c r="K2028" s="77"/>
      <c r="L2028" s="77"/>
      <c r="M2028" s="77"/>
      <c r="N2028" s="77"/>
      <c r="O2028" s="77"/>
      <c r="P2028" s="77"/>
      <c r="Q2028" s="77"/>
    </row>
    <row r="2029" spans="3:17" ht="13.2" x14ac:dyDescent="0.25">
      <c r="C2029" s="77"/>
      <c r="D2029" s="77"/>
      <c r="E2029" s="77"/>
      <c r="F2029" s="77"/>
      <c r="G2029" s="77"/>
      <c r="H2029" s="77"/>
      <c r="I2029" s="77"/>
      <c r="J2029" s="77"/>
      <c r="K2029" s="77"/>
      <c r="L2029" s="77"/>
      <c r="M2029" s="77"/>
      <c r="N2029" s="77"/>
      <c r="O2029" s="77"/>
      <c r="P2029" s="77"/>
      <c r="Q2029" s="77"/>
    </row>
    <row r="2030" spans="3:17" ht="13.2" x14ac:dyDescent="0.25">
      <c r="C2030" s="77"/>
      <c r="D2030" s="77"/>
      <c r="E2030" s="77"/>
      <c r="F2030" s="77"/>
      <c r="G2030" s="77"/>
      <c r="H2030" s="77"/>
      <c r="I2030" s="77"/>
      <c r="J2030" s="77"/>
      <c r="K2030" s="77"/>
      <c r="L2030" s="77"/>
      <c r="M2030" s="77"/>
      <c r="N2030" s="77"/>
      <c r="O2030" s="77"/>
      <c r="P2030" s="77"/>
      <c r="Q2030" s="77"/>
    </row>
    <row r="2031" spans="3:17" ht="13.2" x14ac:dyDescent="0.25">
      <c r="C2031" s="77"/>
      <c r="D2031" s="77"/>
      <c r="E2031" s="77"/>
      <c r="F2031" s="77"/>
      <c r="G2031" s="77"/>
      <c r="H2031" s="77"/>
      <c r="I2031" s="77"/>
      <c r="J2031" s="77"/>
      <c r="K2031" s="77"/>
      <c r="L2031" s="77"/>
      <c r="M2031" s="77"/>
      <c r="N2031" s="77"/>
      <c r="O2031" s="77"/>
      <c r="P2031" s="77"/>
      <c r="Q2031" s="77"/>
    </row>
    <row r="2032" spans="3:17" ht="13.2" x14ac:dyDescent="0.25">
      <c r="C2032" s="77"/>
      <c r="D2032" s="77"/>
      <c r="E2032" s="77"/>
      <c r="F2032" s="77"/>
      <c r="G2032" s="77"/>
      <c r="H2032" s="77"/>
      <c r="I2032" s="77"/>
      <c r="J2032" s="77"/>
      <c r="K2032" s="77"/>
      <c r="L2032" s="77"/>
      <c r="M2032" s="77"/>
      <c r="N2032" s="77"/>
      <c r="O2032" s="77"/>
      <c r="P2032" s="77"/>
      <c r="Q2032" s="77"/>
    </row>
    <row r="2033" spans="3:17" ht="13.2" x14ac:dyDescent="0.25">
      <c r="C2033" s="77"/>
      <c r="D2033" s="77"/>
      <c r="E2033" s="77"/>
      <c r="F2033" s="77"/>
      <c r="G2033" s="77"/>
      <c r="H2033" s="77"/>
      <c r="I2033" s="77"/>
      <c r="J2033" s="77"/>
      <c r="K2033" s="77"/>
      <c r="L2033" s="77"/>
      <c r="M2033" s="77"/>
      <c r="N2033" s="77"/>
      <c r="O2033" s="77"/>
      <c r="P2033" s="77"/>
      <c r="Q2033" s="77"/>
    </row>
    <row r="2034" spans="3:17" ht="13.2" x14ac:dyDescent="0.25">
      <c r="C2034" s="77"/>
      <c r="D2034" s="77"/>
      <c r="E2034" s="77"/>
      <c r="F2034" s="77"/>
      <c r="G2034" s="77"/>
      <c r="H2034" s="77"/>
      <c r="I2034" s="77"/>
      <c r="J2034" s="77"/>
      <c r="K2034" s="77"/>
      <c r="L2034" s="77"/>
      <c r="M2034" s="77"/>
      <c r="N2034" s="77"/>
      <c r="O2034" s="77"/>
      <c r="P2034" s="77"/>
      <c r="Q2034" s="77"/>
    </row>
    <row r="2035" spans="3:17" ht="13.2" x14ac:dyDescent="0.25">
      <c r="C2035" s="77"/>
      <c r="D2035" s="77"/>
      <c r="E2035" s="77"/>
      <c r="F2035" s="77"/>
      <c r="G2035" s="77"/>
      <c r="H2035" s="77"/>
      <c r="I2035" s="77"/>
      <c r="J2035" s="77"/>
      <c r="K2035" s="77"/>
      <c r="L2035" s="77"/>
      <c r="M2035" s="77"/>
      <c r="N2035" s="77"/>
      <c r="O2035" s="77"/>
      <c r="P2035" s="77"/>
      <c r="Q2035" s="77"/>
    </row>
    <row r="2036" spans="3:17" ht="13.2" x14ac:dyDescent="0.25">
      <c r="C2036" s="77"/>
      <c r="D2036" s="77"/>
      <c r="E2036" s="77"/>
      <c r="F2036" s="77"/>
      <c r="G2036" s="77"/>
      <c r="H2036" s="77"/>
      <c r="I2036" s="77"/>
      <c r="J2036" s="77"/>
      <c r="K2036" s="77"/>
      <c r="L2036" s="77"/>
      <c r="M2036" s="77"/>
      <c r="N2036" s="77"/>
      <c r="O2036" s="77"/>
      <c r="P2036" s="77"/>
      <c r="Q2036" s="77"/>
    </row>
    <row r="2037" spans="3:17" ht="13.2" x14ac:dyDescent="0.25">
      <c r="C2037" s="77"/>
      <c r="D2037" s="77"/>
      <c r="E2037" s="77"/>
      <c r="F2037" s="77"/>
      <c r="G2037" s="77"/>
      <c r="H2037" s="77"/>
      <c r="I2037" s="77"/>
      <c r="J2037" s="77"/>
      <c r="K2037" s="77"/>
      <c r="L2037" s="77"/>
      <c r="M2037" s="77"/>
      <c r="N2037" s="77"/>
      <c r="O2037" s="77"/>
      <c r="P2037" s="77"/>
      <c r="Q2037" s="77"/>
    </row>
    <row r="2038" spans="3:17" ht="13.2" x14ac:dyDescent="0.25">
      <c r="C2038" s="77"/>
      <c r="D2038" s="77"/>
      <c r="E2038" s="77"/>
      <c r="F2038" s="77"/>
      <c r="G2038" s="77"/>
      <c r="H2038" s="77"/>
      <c r="I2038" s="77"/>
      <c r="J2038" s="77"/>
      <c r="K2038" s="77"/>
      <c r="L2038" s="77"/>
      <c r="M2038" s="77"/>
      <c r="N2038" s="77"/>
      <c r="O2038" s="77"/>
      <c r="P2038" s="77"/>
      <c r="Q2038" s="77"/>
    </row>
    <row r="2039" spans="3:17" ht="13.2" x14ac:dyDescent="0.25">
      <c r="C2039" s="77"/>
      <c r="D2039" s="77"/>
      <c r="E2039" s="77"/>
      <c r="F2039" s="77"/>
      <c r="G2039" s="77"/>
      <c r="H2039" s="77"/>
      <c r="I2039" s="77"/>
      <c r="J2039" s="77"/>
      <c r="K2039" s="77"/>
      <c r="L2039" s="77"/>
      <c r="M2039" s="77"/>
      <c r="N2039" s="77"/>
      <c r="O2039" s="77"/>
      <c r="P2039" s="77"/>
      <c r="Q2039" s="77"/>
    </row>
    <row r="2040" spans="3:17" ht="13.2" x14ac:dyDescent="0.25">
      <c r="C2040" s="77"/>
      <c r="D2040" s="77"/>
      <c r="E2040" s="77"/>
      <c r="F2040" s="77"/>
      <c r="G2040" s="77"/>
      <c r="H2040" s="77"/>
      <c r="I2040" s="77"/>
      <c r="J2040" s="77"/>
      <c r="K2040" s="77"/>
      <c r="L2040" s="77"/>
      <c r="M2040" s="77"/>
      <c r="N2040" s="77"/>
      <c r="O2040" s="77"/>
      <c r="P2040" s="77"/>
      <c r="Q2040" s="77"/>
    </row>
    <row r="2041" spans="3:17" ht="13.2" x14ac:dyDescent="0.25">
      <c r="C2041" s="77"/>
      <c r="D2041" s="77"/>
      <c r="E2041" s="77"/>
      <c r="F2041" s="77"/>
      <c r="G2041" s="77"/>
      <c r="H2041" s="77"/>
      <c r="I2041" s="77"/>
      <c r="J2041" s="77"/>
      <c r="K2041" s="77"/>
      <c r="L2041" s="77"/>
      <c r="M2041" s="77"/>
      <c r="N2041" s="77"/>
      <c r="O2041" s="77"/>
      <c r="P2041" s="77"/>
      <c r="Q2041" s="77"/>
    </row>
    <row r="2042" spans="3:17" ht="13.2" x14ac:dyDescent="0.25">
      <c r="C2042" s="77"/>
      <c r="D2042" s="77"/>
      <c r="E2042" s="77"/>
      <c r="F2042" s="77"/>
      <c r="G2042" s="77"/>
      <c r="H2042" s="77"/>
      <c r="I2042" s="77"/>
      <c r="J2042" s="77"/>
      <c r="K2042" s="77"/>
      <c r="L2042" s="77"/>
      <c r="M2042" s="77"/>
      <c r="N2042" s="77"/>
      <c r="O2042" s="77"/>
      <c r="P2042" s="77"/>
      <c r="Q2042" s="77"/>
    </row>
    <row r="2043" spans="3:17" ht="13.2" x14ac:dyDescent="0.25">
      <c r="C2043" s="77"/>
      <c r="D2043" s="77"/>
      <c r="E2043" s="77"/>
      <c r="F2043" s="77"/>
      <c r="G2043" s="77"/>
      <c r="H2043" s="77"/>
      <c r="I2043" s="77"/>
      <c r="J2043" s="77"/>
      <c r="K2043" s="77"/>
      <c r="L2043" s="77"/>
      <c r="M2043" s="77"/>
      <c r="N2043" s="77"/>
      <c r="O2043" s="77"/>
      <c r="P2043" s="77"/>
      <c r="Q2043" s="77"/>
    </row>
    <row r="2044" spans="3:17" ht="13.2" x14ac:dyDescent="0.25">
      <c r="C2044" s="77"/>
      <c r="D2044" s="77"/>
      <c r="E2044" s="77"/>
      <c r="F2044" s="77"/>
      <c r="G2044" s="77"/>
      <c r="H2044" s="77"/>
      <c r="I2044" s="77"/>
      <c r="J2044" s="77"/>
      <c r="K2044" s="77"/>
      <c r="L2044" s="77"/>
      <c r="M2044" s="77"/>
      <c r="N2044" s="77"/>
      <c r="O2044" s="77"/>
      <c r="P2044" s="77"/>
      <c r="Q2044" s="77"/>
    </row>
    <row r="2045" spans="3:17" ht="13.2" x14ac:dyDescent="0.25">
      <c r="C2045" s="77"/>
      <c r="D2045" s="77"/>
      <c r="E2045" s="77"/>
      <c r="F2045" s="77"/>
      <c r="G2045" s="77"/>
      <c r="H2045" s="77"/>
      <c r="I2045" s="77"/>
      <c r="J2045" s="77"/>
      <c r="K2045" s="77"/>
      <c r="L2045" s="77"/>
      <c r="M2045" s="77"/>
      <c r="N2045" s="77"/>
      <c r="O2045" s="77"/>
      <c r="P2045" s="77"/>
      <c r="Q2045" s="77"/>
    </row>
    <row r="2046" spans="3:17" ht="13.2" x14ac:dyDescent="0.25">
      <c r="C2046" s="77"/>
      <c r="D2046" s="77"/>
      <c r="E2046" s="77"/>
      <c r="F2046" s="77"/>
      <c r="G2046" s="77"/>
      <c r="H2046" s="77"/>
      <c r="I2046" s="77"/>
      <c r="J2046" s="77"/>
      <c r="K2046" s="77"/>
      <c r="L2046" s="77"/>
      <c r="M2046" s="77"/>
      <c r="N2046" s="77"/>
      <c r="O2046" s="77"/>
      <c r="P2046" s="77"/>
      <c r="Q2046" s="77"/>
    </row>
    <row r="2047" spans="3:17" ht="13.2" x14ac:dyDescent="0.25">
      <c r="C2047" s="77"/>
      <c r="D2047" s="77"/>
      <c r="E2047" s="77"/>
      <c r="F2047" s="77"/>
      <c r="G2047" s="77"/>
      <c r="H2047" s="77"/>
      <c r="I2047" s="77"/>
      <c r="J2047" s="77"/>
      <c r="K2047" s="77"/>
      <c r="L2047" s="77"/>
      <c r="M2047" s="77"/>
      <c r="N2047" s="77"/>
      <c r="O2047" s="77"/>
      <c r="P2047" s="77"/>
      <c r="Q2047" s="77"/>
    </row>
    <row r="2048" spans="3:17" ht="13.2" x14ac:dyDescent="0.25">
      <c r="C2048" s="77"/>
      <c r="D2048" s="77"/>
      <c r="E2048" s="77"/>
      <c r="F2048" s="77"/>
      <c r="G2048" s="77"/>
      <c r="H2048" s="77"/>
      <c r="I2048" s="77"/>
      <c r="J2048" s="77"/>
      <c r="K2048" s="77"/>
      <c r="L2048" s="77"/>
      <c r="M2048" s="77"/>
      <c r="N2048" s="77"/>
      <c r="O2048" s="77"/>
      <c r="P2048" s="77"/>
      <c r="Q2048" s="77"/>
    </row>
    <row r="2049" spans="3:17" ht="13.2" x14ac:dyDescent="0.25">
      <c r="C2049" s="77"/>
      <c r="D2049" s="77"/>
      <c r="E2049" s="77"/>
      <c r="F2049" s="77"/>
      <c r="G2049" s="77"/>
      <c r="H2049" s="77"/>
      <c r="I2049" s="77"/>
      <c r="J2049" s="77"/>
      <c r="K2049" s="77"/>
      <c r="L2049" s="77"/>
      <c r="M2049" s="77"/>
      <c r="N2049" s="77"/>
      <c r="O2049" s="77"/>
      <c r="P2049" s="77"/>
      <c r="Q2049" s="77"/>
    </row>
    <row r="2050" spans="3:17" ht="13.2" x14ac:dyDescent="0.25">
      <c r="C2050" s="77"/>
      <c r="D2050" s="77"/>
      <c r="E2050" s="77"/>
      <c r="F2050" s="77"/>
      <c r="G2050" s="77"/>
      <c r="H2050" s="77"/>
      <c r="I2050" s="77"/>
      <c r="J2050" s="77"/>
      <c r="K2050" s="77"/>
      <c r="L2050" s="77"/>
      <c r="M2050" s="77"/>
      <c r="N2050" s="77"/>
      <c r="O2050" s="77"/>
      <c r="P2050" s="77"/>
      <c r="Q2050" s="77"/>
    </row>
    <row r="2051" spans="3:17" ht="13.2" x14ac:dyDescent="0.25">
      <c r="C2051" s="77"/>
      <c r="D2051" s="77"/>
      <c r="E2051" s="77"/>
      <c r="F2051" s="77"/>
      <c r="G2051" s="77"/>
      <c r="H2051" s="77"/>
      <c r="I2051" s="77"/>
      <c r="J2051" s="77"/>
      <c r="K2051" s="77"/>
      <c r="L2051" s="77"/>
      <c r="M2051" s="77"/>
      <c r="N2051" s="77"/>
      <c r="O2051" s="77"/>
      <c r="P2051" s="77"/>
      <c r="Q2051" s="77"/>
    </row>
    <row r="2052" spans="3:17" ht="13.2" x14ac:dyDescent="0.25">
      <c r="C2052" s="77"/>
      <c r="D2052" s="77"/>
      <c r="E2052" s="77"/>
      <c r="F2052" s="77"/>
      <c r="G2052" s="77"/>
      <c r="H2052" s="77"/>
      <c r="I2052" s="77"/>
      <c r="J2052" s="77"/>
      <c r="K2052" s="77"/>
      <c r="L2052" s="77"/>
      <c r="M2052" s="77"/>
      <c r="N2052" s="77"/>
      <c r="O2052" s="77"/>
      <c r="P2052" s="77"/>
      <c r="Q2052" s="77"/>
    </row>
    <row r="2053" spans="3:17" ht="13.2" x14ac:dyDescent="0.25">
      <c r="C2053" s="77"/>
      <c r="D2053" s="77"/>
      <c r="E2053" s="77"/>
      <c r="F2053" s="77"/>
      <c r="G2053" s="77"/>
      <c r="H2053" s="77"/>
      <c r="I2053" s="77"/>
      <c r="J2053" s="77"/>
      <c r="K2053" s="77"/>
      <c r="L2053" s="77"/>
      <c r="M2053" s="77"/>
      <c r="N2053" s="77"/>
      <c r="O2053" s="77"/>
      <c r="P2053" s="77"/>
      <c r="Q2053" s="77"/>
    </row>
    <row r="2054" spans="3:17" ht="13.2" x14ac:dyDescent="0.25">
      <c r="C2054" s="77"/>
      <c r="D2054" s="77"/>
      <c r="E2054" s="77"/>
      <c r="F2054" s="77"/>
      <c r="G2054" s="77"/>
      <c r="H2054" s="77"/>
      <c r="I2054" s="77"/>
      <c r="J2054" s="77"/>
      <c r="K2054" s="77"/>
      <c r="L2054" s="77"/>
      <c r="M2054" s="77"/>
      <c r="N2054" s="77"/>
      <c r="O2054" s="77"/>
      <c r="P2054" s="77"/>
      <c r="Q2054" s="77"/>
    </row>
    <row r="2055" spans="3:17" ht="13.2" x14ac:dyDescent="0.25">
      <c r="C2055" s="77"/>
      <c r="D2055" s="77"/>
      <c r="E2055" s="77"/>
      <c r="F2055" s="77"/>
      <c r="G2055" s="77"/>
      <c r="H2055" s="77"/>
      <c r="I2055" s="77"/>
      <c r="J2055" s="77"/>
      <c r="K2055" s="77"/>
      <c r="L2055" s="77"/>
      <c r="M2055" s="77"/>
      <c r="N2055" s="77"/>
      <c r="O2055" s="77"/>
      <c r="P2055" s="77"/>
      <c r="Q2055" s="77"/>
    </row>
    <row r="2056" spans="3:17" ht="13.2" x14ac:dyDescent="0.25">
      <c r="C2056" s="77"/>
      <c r="D2056" s="77"/>
      <c r="E2056" s="77"/>
      <c r="F2056" s="77"/>
      <c r="G2056" s="77"/>
      <c r="H2056" s="77"/>
      <c r="I2056" s="77"/>
      <c r="J2056" s="77"/>
      <c r="K2056" s="77"/>
      <c r="L2056" s="77"/>
      <c r="M2056" s="77"/>
      <c r="N2056" s="77"/>
      <c r="O2056" s="77"/>
      <c r="P2056" s="77"/>
      <c r="Q2056" s="77"/>
    </row>
    <row r="2057" spans="3:17" ht="13.2" x14ac:dyDescent="0.25">
      <c r="C2057" s="77"/>
      <c r="D2057" s="77"/>
      <c r="E2057" s="77"/>
      <c r="F2057" s="77"/>
      <c r="G2057" s="77"/>
      <c r="H2057" s="77"/>
      <c r="I2057" s="77"/>
      <c r="J2057" s="77"/>
      <c r="K2057" s="77"/>
      <c r="L2057" s="77"/>
      <c r="M2057" s="77"/>
      <c r="N2057" s="77"/>
      <c r="O2057" s="77"/>
      <c r="P2057" s="77"/>
      <c r="Q2057" s="77"/>
    </row>
    <row r="2058" spans="3:17" ht="13.2" x14ac:dyDescent="0.25">
      <c r="C2058" s="77"/>
      <c r="D2058" s="77"/>
      <c r="E2058" s="77"/>
      <c r="F2058" s="77"/>
      <c r="G2058" s="77"/>
      <c r="H2058" s="77"/>
      <c r="I2058" s="77"/>
      <c r="J2058" s="77"/>
      <c r="K2058" s="77"/>
      <c r="L2058" s="77"/>
      <c r="M2058" s="77"/>
      <c r="N2058" s="77"/>
      <c r="O2058" s="77"/>
      <c r="P2058" s="77"/>
      <c r="Q2058" s="77"/>
    </row>
    <row r="2059" spans="3:17" ht="13.2" x14ac:dyDescent="0.25">
      <c r="C2059" s="77"/>
      <c r="D2059" s="77"/>
      <c r="E2059" s="77"/>
      <c r="F2059" s="77"/>
      <c r="G2059" s="77"/>
      <c r="H2059" s="77"/>
      <c r="I2059" s="77"/>
      <c r="J2059" s="77"/>
      <c r="K2059" s="77"/>
      <c r="L2059" s="77"/>
      <c r="M2059" s="77"/>
      <c r="N2059" s="77"/>
      <c r="O2059" s="77"/>
      <c r="P2059" s="77"/>
      <c r="Q2059" s="77"/>
    </row>
    <row r="2060" spans="3:17" ht="13.2" x14ac:dyDescent="0.25">
      <c r="C2060" s="77"/>
      <c r="D2060" s="77"/>
      <c r="E2060" s="77"/>
      <c r="F2060" s="77"/>
      <c r="G2060" s="77"/>
      <c r="H2060" s="77"/>
      <c r="I2060" s="77"/>
      <c r="J2060" s="77"/>
      <c r="K2060" s="77"/>
      <c r="L2060" s="77"/>
      <c r="M2060" s="77"/>
      <c r="N2060" s="77"/>
      <c r="O2060" s="77"/>
      <c r="P2060" s="77"/>
      <c r="Q2060" s="77"/>
    </row>
    <row r="2061" spans="3:17" ht="13.2" x14ac:dyDescent="0.25">
      <c r="C2061" s="77"/>
      <c r="D2061" s="77"/>
      <c r="E2061" s="77"/>
      <c r="F2061" s="77"/>
      <c r="G2061" s="77"/>
      <c r="H2061" s="77"/>
      <c r="I2061" s="77"/>
      <c r="J2061" s="77"/>
      <c r="K2061" s="77"/>
      <c r="L2061" s="77"/>
      <c r="M2061" s="77"/>
      <c r="N2061" s="77"/>
      <c r="O2061" s="77"/>
      <c r="P2061" s="77"/>
      <c r="Q2061" s="77"/>
    </row>
    <row r="2062" spans="3:17" ht="13.2" x14ac:dyDescent="0.25">
      <c r="C2062" s="77"/>
      <c r="D2062" s="77"/>
      <c r="E2062" s="77"/>
      <c r="F2062" s="77"/>
      <c r="G2062" s="77"/>
      <c r="H2062" s="77"/>
      <c r="I2062" s="77"/>
      <c r="J2062" s="77"/>
      <c r="K2062" s="77"/>
      <c r="L2062" s="77"/>
      <c r="M2062" s="77"/>
      <c r="N2062" s="77"/>
      <c r="O2062" s="77"/>
      <c r="P2062" s="77"/>
      <c r="Q2062" s="77"/>
    </row>
    <row r="2063" spans="3:17" ht="13.2" x14ac:dyDescent="0.25">
      <c r="C2063" s="77"/>
      <c r="D2063" s="77"/>
      <c r="E2063" s="77"/>
      <c r="F2063" s="77"/>
      <c r="G2063" s="77"/>
      <c r="H2063" s="77"/>
      <c r="I2063" s="77"/>
      <c r="J2063" s="77"/>
      <c r="K2063" s="77"/>
      <c r="L2063" s="77"/>
      <c r="M2063" s="77"/>
      <c r="N2063" s="77"/>
      <c r="O2063" s="77"/>
      <c r="P2063" s="77"/>
      <c r="Q2063" s="77"/>
    </row>
    <row r="2064" spans="3:17" ht="13.2" x14ac:dyDescent="0.25">
      <c r="C2064" s="77"/>
      <c r="D2064" s="77"/>
      <c r="E2064" s="77"/>
      <c r="F2064" s="77"/>
      <c r="G2064" s="77"/>
      <c r="H2064" s="77"/>
      <c r="I2064" s="77"/>
      <c r="J2064" s="77"/>
      <c r="K2064" s="77"/>
      <c r="L2064" s="77"/>
      <c r="M2064" s="77"/>
      <c r="N2064" s="77"/>
      <c r="O2064" s="77"/>
      <c r="P2064" s="77"/>
      <c r="Q2064" s="77"/>
    </row>
    <row r="2065" spans="3:17" ht="13.2" x14ac:dyDescent="0.25">
      <c r="C2065" s="77"/>
      <c r="D2065" s="77"/>
      <c r="E2065" s="77"/>
      <c r="F2065" s="77"/>
      <c r="G2065" s="77"/>
      <c r="H2065" s="77"/>
      <c r="I2065" s="77"/>
      <c r="J2065" s="77"/>
      <c r="K2065" s="77"/>
      <c r="L2065" s="77"/>
      <c r="M2065" s="77"/>
      <c r="N2065" s="77"/>
      <c r="O2065" s="77"/>
      <c r="P2065" s="77"/>
      <c r="Q2065" s="77"/>
    </row>
    <row r="2066" spans="3:17" ht="13.2" x14ac:dyDescent="0.25">
      <c r="C2066" s="77"/>
      <c r="D2066" s="77"/>
      <c r="E2066" s="77"/>
      <c r="F2066" s="77"/>
      <c r="G2066" s="77"/>
      <c r="H2066" s="77"/>
      <c r="I2066" s="77"/>
      <c r="J2066" s="77"/>
      <c r="K2066" s="77"/>
      <c r="L2066" s="77"/>
      <c r="M2066" s="77"/>
      <c r="N2066" s="77"/>
      <c r="O2066" s="77"/>
      <c r="P2066" s="77"/>
      <c r="Q2066" s="77"/>
    </row>
    <row r="2067" spans="3:17" ht="13.2" x14ac:dyDescent="0.25">
      <c r="C2067" s="77"/>
      <c r="D2067" s="77"/>
      <c r="E2067" s="77"/>
      <c r="F2067" s="77"/>
      <c r="G2067" s="77"/>
      <c r="H2067" s="77"/>
      <c r="I2067" s="77"/>
      <c r="J2067" s="77"/>
      <c r="K2067" s="77"/>
      <c r="L2067" s="77"/>
      <c r="M2067" s="77"/>
      <c r="N2067" s="77"/>
      <c r="O2067" s="77"/>
      <c r="P2067" s="77"/>
      <c r="Q2067" s="77"/>
    </row>
    <row r="2068" spans="3:17" ht="13.2" x14ac:dyDescent="0.25">
      <c r="C2068" s="77"/>
      <c r="D2068" s="77"/>
      <c r="E2068" s="77"/>
      <c r="F2068" s="77"/>
      <c r="G2068" s="77"/>
      <c r="H2068" s="77"/>
      <c r="I2068" s="77"/>
      <c r="J2068" s="77"/>
      <c r="K2068" s="77"/>
      <c r="L2068" s="77"/>
      <c r="M2068" s="77"/>
      <c r="N2068" s="77"/>
      <c r="O2068" s="77"/>
      <c r="P2068" s="77"/>
      <c r="Q2068" s="77"/>
    </row>
    <row r="2069" spans="3:17" ht="13.2" x14ac:dyDescent="0.25">
      <c r="C2069" s="77"/>
      <c r="D2069" s="77"/>
      <c r="E2069" s="77"/>
      <c r="F2069" s="77"/>
      <c r="G2069" s="77"/>
      <c r="H2069" s="77"/>
      <c r="I2069" s="77"/>
      <c r="J2069" s="77"/>
      <c r="K2069" s="77"/>
      <c r="L2069" s="77"/>
      <c r="M2069" s="77"/>
      <c r="N2069" s="77"/>
      <c r="O2069" s="77"/>
      <c r="P2069" s="77"/>
      <c r="Q2069" s="77"/>
    </row>
    <row r="2070" spans="3:17" ht="13.2" x14ac:dyDescent="0.25">
      <c r="C2070" s="77"/>
      <c r="D2070" s="77"/>
      <c r="E2070" s="77"/>
      <c r="F2070" s="77"/>
      <c r="G2070" s="77"/>
      <c r="H2070" s="77"/>
      <c r="I2070" s="77"/>
      <c r="J2070" s="77"/>
      <c r="K2070" s="77"/>
      <c r="L2070" s="77"/>
      <c r="M2070" s="77"/>
      <c r="N2070" s="77"/>
      <c r="O2070" s="77"/>
      <c r="P2070" s="77"/>
      <c r="Q2070" s="77"/>
    </row>
    <row r="2071" spans="3:17" ht="13.2" x14ac:dyDescent="0.25">
      <c r="C2071" s="77"/>
      <c r="D2071" s="77"/>
      <c r="E2071" s="77"/>
      <c r="F2071" s="77"/>
      <c r="G2071" s="77"/>
      <c r="H2071" s="77"/>
      <c r="I2071" s="77"/>
      <c r="J2071" s="77"/>
      <c r="K2071" s="77"/>
      <c r="L2071" s="77"/>
      <c r="M2071" s="77"/>
      <c r="N2071" s="77"/>
      <c r="O2071" s="77"/>
      <c r="P2071" s="77"/>
      <c r="Q2071" s="77"/>
    </row>
    <row r="2072" spans="3:17" ht="13.2" x14ac:dyDescent="0.25">
      <c r="C2072" s="77"/>
      <c r="D2072" s="77"/>
      <c r="E2072" s="77"/>
      <c r="F2072" s="77"/>
      <c r="G2072" s="77"/>
      <c r="H2072" s="77"/>
      <c r="I2072" s="77"/>
      <c r="J2072" s="77"/>
      <c r="K2072" s="77"/>
      <c r="L2072" s="77"/>
      <c r="M2072" s="77"/>
      <c r="N2072" s="77"/>
      <c r="O2072" s="77"/>
      <c r="P2072" s="77"/>
      <c r="Q2072" s="77"/>
    </row>
    <row r="2073" spans="3:17" ht="13.2" x14ac:dyDescent="0.25">
      <c r="C2073" s="77"/>
      <c r="D2073" s="77"/>
      <c r="E2073" s="77"/>
      <c r="F2073" s="77"/>
      <c r="G2073" s="77"/>
      <c r="H2073" s="77"/>
      <c r="I2073" s="77"/>
      <c r="J2073" s="77"/>
      <c r="K2073" s="77"/>
      <c r="L2073" s="77"/>
      <c r="M2073" s="77"/>
      <c r="N2073" s="77"/>
      <c r="O2073" s="77"/>
      <c r="P2073" s="77"/>
      <c r="Q2073" s="77"/>
    </row>
    <row r="2074" spans="3:17" ht="13.2" x14ac:dyDescent="0.25">
      <c r="C2074" s="77"/>
      <c r="D2074" s="77"/>
      <c r="E2074" s="77"/>
      <c r="F2074" s="77"/>
      <c r="G2074" s="77"/>
      <c r="H2074" s="77"/>
      <c r="I2074" s="77"/>
      <c r="J2074" s="77"/>
      <c r="K2074" s="77"/>
      <c r="L2074" s="77"/>
      <c r="M2074" s="77"/>
      <c r="N2074" s="77"/>
      <c r="O2074" s="77"/>
      <c r="P2074" s="77"/>
      <c r="Q2074" s="77"/>
    </row>
    <row r="2075" spans="3:17" ht="13.2" x14ac:dyDescent="0.25">
      <c r="C2075" s="77"/>
      <c r="D2075" s="77"/>
      <c r="E2075" s="77"/>
      <c r="F2075" s="77"/>
      <c r="G2075" s="77"/>
      <c r="H2075" s="77"/>
      <c r="I2075" s="77"/>
      <c r="J2075" s="77"/>
      <c r="K2075" s="77"/>
      <c r="L2075" s="77"/>
      <c r="M2075" s="77"/>
      <c r="N2075" s="77"/>
      <c r="O2075" s="77"/>
      <c r="P2075" s="77"/>
      <c r="Q2075" s="77"/>
    </row>
    <row r="2076" spans="3:17" ht="13.2" x14ac:dyDescent="0.25">
      <c r="C2076" s="77"/>
      <c r="D2076" s="77"/>
      <c r="E2076" s="77"/>
      <c r="F2076" s="77"/>
      <c r="G2076" s="77"/>
      <c r="H2076" s="77"/>
      <c r="I2076" s="77"/>
      <c r="J2076" s="77"/>
      <c r="K2076" s="77"/>
      <c r="L2076" s="77"/>
      <c r="M2076" s="77"/>
      <c r="N2076" s="77"/>
      <c r="O2076" s="77"/>
      <c r="P2076" s="77"/>
      <c r="Q2076" s="77"/>
    </row>
    <row r="2077" spans="3:17" ht="13.2" x14ac:dyDescent="0.25">
      <c r="C2077" s="77"/>
      <c r="D2077" s="77"/>
      <c r="E2077" s="77"/>
      <c r="F2077" s="77"/>
      <c r="G2077" s="77"/>
      <c r="H2077" s="77"/>
      <c r="I2077" s="77"/>
      <c r="J2077" s="77"/>
      <c r="K2077" s="77"/>
      <c r="L2077" s="77"/>
      <c r="M2077" s="77"/>
      <c r="N2077" s="77"/>
      <c r="O2077" s="77"/>
      <c r="P2077" s="77"/>
      <c r="Q2077" s="77"/>
    </row>
    <row r="2078" spans="3:17" ht="13.2" x14ac:dyDescent="0.25">
      <c r="C2078" s="77"/>
      <c r="D2078" s="77"/>
      <c r="E2078" s="77"/>
      <c r="F2078" s="77"/>
      <c r="G2078" s="77"/>
      <c r="H2078" s="77"/>
      <c r="I2078" s="77"/>
      <c r="J2078" s="77"/>
      <c r="K2078" s="77"/>
      <c r="L2078" s="77"/>
      <c r="M2078" s="77"/>
      <c r="N2078" s="77"/>
      <c r="O2078" s="77"/>
      <c r="P2078" s="77"/>
      <c r="Q2078" s="77"/>
    </row>
    <row r="2079" spans="3:17" ht="13.2" x14ac:dyDescent="0.25">
      <c r="C2079" s="77"/>
      <c r="D2079" s="77"/>
      <c r="E2079" s="77"/>
      <c r="F2079" s="77"/>
      <c r="G2079" s="77"/>
      <c r="H2079" s="77"/>
      <c r="I2079" s="77"/>
      <c r="J2079" s="77"/>
      <c r="K2079" s="77"/>
      <c r="L2079" s="77"/>
      <c r="M2079" s="77"/>
      <c r="N2079" s="77"/>
      <c r="O2079" s="77"/>
      <c r="P2079" s="77"/>
      <c r="Q2079" s="77"/>
    </row>
    <row r="2080" spans="3:17" ht="13.2" x14ac:dyDescent="0.25">
      <c r="C2080" s="77"/>
      <c r="D2080" s="77"/>
      <c r="E2080" s="77"/>
      <c r="F2080" s="77"/>
      <c r="G2080" s="77"/>
      <c r="H2080" s="77"/>
      <c r="I2080" s="77"/>
      <c r="J2080" s="77"/>
      <c r="K2080" s="77"/>
      <c r="L2080" s="77"/>
      <c r="M2080" s="77"/>
      <c r="N2080" s="77"/>
      <c r="O2080" s="77"/>
      <c r="P2080" s="77"/>
      <c r="Q2080" s="77"/>
    </row>
    <row r="2081" spans="3:17" ht="13.2" x14ac:dyDescent="0.25">
      <c r="C2081" s="77"/>
      <c r="D2081" s="77"/>
      <c r="E2081" s="77"/>
      <c r="F2081" s="77"/>
      <c r="G2081" s="77"/>
      <c r="H2081" s="77"/>
      <c r="I2081" s="77"/>
      <c r="J2081" s="77"/>
      <c r="K2081" s="77"/>
      <c r="L2081" s="77"/>
      <c r="M2081" s="77"/>
      <c r="N2081" s="77"/>
      <c r="O2081" s="77"/>
      <c r="P2081" s="77"/>
      <c r="Q2081" s="77"/>
    </row>
    <row r="2082" spans="3:17" ht="13.2" x14ac:dyDescent="0.25">
      <c r="C2082" s="77"/>
      <c r="D2082" s="77"/>
      <c r="E2082" s="77"/>
      <c r="F2082" s="77"/>
      <c r="G2082" s="77"/>
      <c r="H2082" s="77"/>
      <c r="I2082" s="77"/>
      <c r="J2082" s="77"/>
      <c r="K2082" s="77"/>
      <c r="L2082" s="77"/>
      <c r="M2082" s="77"/>
      <c r="N2082" s="77"/>
      <c r="O2082" s="77"/>
      <c r="P2082" s="77"/>
      <c r="Q2082" s="77"/>
    </row>
    <row r="2083" spans="3:17" ht="13.2" x14ac:dyDescent="0.25">
      <c r="C2083" s="77"/>
      <c r="D2083" s="77"/>
      <c r="E2083" s="77"/>
      <c r="F2083" s="77"/>
      <c r="G2083" s="77"/>
      <c r="H2083" s="77"/>
      <c r="I2083" s="77"/>
      <c r="J2083" s="77"/>
      <c r="K2083" s="77"/>
      <c r="L2083" s="77"/>
      <c r="M2083" s="77"/>
      <c r="N2083" s="77"/>
      <c r="O2083" s="77"/>
      <c r="P2083" s="77"/>
      <c r="Q2083" s="77"/>
    </row>
    <row r="2084" spans="3:17" ht="13.2" x14ac:dyDescent="0.25">
      <c r="C2084" s="77"/>
      <c r="D2084" s="77"/>
      <c r="E2084" s="77"/>
      <c r="F2084" s="77"/>
      <c r="G2084" s="77"/>
      <c r="H2084" s="77"/>
      <c r="I2084" s="77"/>
      <c r="J2084" s="77"/>
      <c r="K2084" s="77"/>
      <c r="L2084" s="77"/>
      <c r="M2084" s="77"/>
      <c r="N2084" s="77"/>
      <c r="O2084" s="77"/>
      <c r="P2084" s="77"/>
      <c r="Q2084" s="77"/>
    </row>
    <row r="2085" spans="3:17" ht="13.2" x14ac:dyDescent="0.25">
      <c r="C2085" s="77"/>
      <c r="D2085" s="77"/>
      <c r="E2085" s="77"/>
      <c r="F2085" s="77"/>
      <c r="G2085" s="77"/>
      <c r="H2085" s="77"/>
      <c r="I2085" s="77"/>
      <c r="J2085" s="77"/>
      <c r="K2085" s="77"/>
      <c r="L2085" s="77"/>
      <c r="M2085" s="77"/>
      <c r="N2085" s="77"/>
      <c r="O2085" s="77"/>
      <c r="P2085" s="77"/>
      <c r="Q2085" s="77"/>
    </row>
    <row r="2086" spans="3:17" ht="13.2" x14ac:dyDescent="0.25">
      <c r="C2086" s="77"/>
      <c r="D2086" s="77"/>
      <c r="E2086" s="77"/>
      <c r="F2086" s="77"/>
      <c r="G2086" s="77"/>
      <c r="H2086" s="77"/>
      <c r="I2086" s="77"/>
      <c r="J2086" s="77"/>
      <c r="K2086" s="77"/>
      <c r="L2086" s="77"/>
      <c r="M2086" s="77"/>
      <c r="N2086" s="77"/>
      <c r="O2086" s="77"/>
      <c r="P2086" s="77"/>
      <c r="Q2086" s="77"/>
    </row>
    <row r="2087" spans="3:17" ht="13.2" x14ac:dyDescent="0.25">
      <c r="C2087" s="77"/>
      <c r="D2087" s="77"/>
      <c r="E2087" s="77"/>
      <c r="F2087" s="77"/>
      <c r="G2087" s="77"/>
      <c r="H2087" s="77"/>
      <c r="I2087" s="77"/>
      <c r="J2087" s="77"/>
      <c r="K2087" s="77"/>
      <c r="L2087" s="77"/>
      <c r="M2087" s="77"/>
      <c r="N2087" s="77"/>
      <c r="O2087" s="77"/>
      <c r="P2087" s="77"/>
      <c r="Q2087" s="77"/>
    </row>
    <row r="2088" spans="3:17" ht="13.2" x14ac:dyDescent="0.25">
      <c r="C2088" s="77"/>
      <c r="D2088" s="77"/>
      <c r="E2088" s="77"/>
      <c r="F2088" s="77"/>
      <c r="G2088" s="77"/>
      <c r="H2088" s="77"/>
      <c r="I2088" s="77"/>
      <c r="J2088" s="77"/>
      <c r="K2088" s="77"/>
      <c r="L2088" s="77"/>
      <c r="M2088" s="77"/>
      <c r="N2088" s="77"/>
      <c r="O2088" s="77"/>
      <c r="P2088" s="77"/>
      <c r="Q2088" s="77"/>
    </row>
    <row r="2089" spans="3:17" ht="13.2" x14ac:dyDescent="0.25">
      <c r="C2089" s="77"/>
      <c r="D2089" s="77"/>
      <c r="E2089" s="77"/>
      <c r="F2089" s="77"/>
      <c r="G2089" s="77"/>
      <c r="H2089" s="77"/>
      <c r="I2089" s="77"/>
      <c r="J2089" s="77"/>
      <c r="K2089" s="77"/>
      <c r="L2089" s="77"/>
      <c r="M2089" s="77"/>
      <c r="N2089" s="77"/>
      <c r="O2089" s="77"/>
      <c r="P2089" s="77"/>
      <c r="Q2089" s="77"/>
    </row>
    <row r="2090" spans="3:17" ht="13.2" x14ac:dyDescent="0.25">
      <c r="C2090" s="77"/>
      <c r="D2090" s="77"/>
      <c r="E2090" s="77"/>
      <c r="F2090" s="77"/>
      <c r="G2090" s="77"/>
      <c r="H2090" s="77"/>
      <c r="I2090" s="77"/>
      <c r="J2090" s="77"/>
      <c r="K2090" s="77"/>
      <c r="L2090" s="77"/>
      <c r="M2090" s="77"/>
      <c r="N2090" s="77"/>
      <c r="O2090" s="77"/>
      <c r="P2090" s="77"/>
      <c r="Q2090" s="77"/>
    </row>
    <row r="2091" spans="3:17" ht="13.2" x14ac:dyDescent="0.25">
      <c r="C2091" s="77"/>
      <c r="D2091" s="77"/>
      <c r="E2091" s="77"/>
      <c r="F2091" s="77"/>
      <c r="G2091" s="77"/>
      <c r="H2091" s="77"/>
      <c r="I2091" s="77"/>
      <c r="J2091" s="77"/>
      <c r="K2091" s="77"/>
      <c r="L2091" s="77"/>
      <c r="M2091" s="77"/>
      <c r="N2091" s="77"/>
      <c r="O2091" s="77"/>
      <c r="P2091" s="77"/>
      <c r="Q2091" s="77"/>
    </row>
    <row r="2092" spans="3:17" ht="13.2" x14ac:dyDescent="0.25">
      <c r="C2092" s="77"/>
      <c r="D2092" s="77"/>
      <c r="E2092" s="77"/>
      <c r="F2092" s="77"/>
      <c r="G2092" s="77"/>
      <c r="H2092" s="77"/>
      <c r="I2092" s="77"/>
      <c r="J2092" s="77"/>
      <c r="K2092" s="77"/>
      <c r="L2092" s="77"/>
      <c r="M2092" s="77"/>
      <c r="N2092" s="77"/>
      <c r="O2092" s="77"/>
      <c r="P2092" s="77"/>
      <c r="Q2092" s="77"/>
    </row>
    <row r="2093" spans="3:17" ht="13.2" x14ac:dyDescent="0.25">
      <c r="C2093" s="77"/>
      <c r="D2093" s="77"/>
      <c r="E2093" s="77"/>
      <c r="F2093" s="77"/>
      <c r="G2093" s="77"/>
      <c r="H2093" s="77"/>
      <c r="I2093" s="77"/>
      <c r="J2093" s="77"/>
      <c r="K2093" s="77"/>
      <c r="L2093" s="77"/>
      <c r="M2093" s="77"/>
      <c r="N2093" s="77"/>
      <c r="O2093" s="77"/>
      <c r="P2093" s="77"/>
      <c r="Q2093" s="77"/>
    </row>
    <row r="2094" spans="3:17" ht="13.2" x14ac:dyDescent="0.25">
      <c r="C2094" s="77"/>
      <c r="D2094" s="77"/>
      <c r="E2094" s="77"/>
      <c r="F2094" s="77"/>
      <c r="G2094" s="77"/>
      <c r="H2094" s="77"/>
      <c r="I2094" s="77"/>
      <c r="J2094" s="77"/>
      <c r="K2094" s="77"/>
      <c r="L2094" s="77"/>
      <c r="M2094" s="77"/>
      <c r="N2094" s="77"/>
      <c r="O2094" s="77"/>
      <c r="P2094" s="77"/>
      <c r="Q2094" s="77"/>
    </row>
    <row r="2095" spans="3:17" ht="13.2" x14ac:dyDescent="0.25">
      <c r="C2095" s="77"/>
      <c r="D2095" s="77"/>
      <c r="E2095" s="77"/>
      <c r="F2095" s="77"/>
      <c r="G2095" s="77"/>
      <c r="H2095" s="77"/>
      <c r="I2095" s="77"/>
      <c r="J2095" s="77"/>
      <c r="K2095" s="77"/>
      <c r="L2095" s="77"/>
      <c r="M2095" s="77"/>
      <c r="N2095" s="77"/>
      <c r="O2095" s="77"/>
      <c r="P2095" s="77"/>
      <c r="Q2095" s="77"/>
    </row>
    <row r="2096" spans="3:17" ht="13.2" x14ac:dyDescent="0.25">
      <c r="C2096" s="77"/>
      <c r="D2096" s="77"/>
      <c r="E2096" s="77"/>
      <c r="F2096" s="77"/>
      <c r="G2096" s="77"/>
      <c r="H2096" s="77"/>
      <c r="I2096" s="77"/>
      <c r="J2096" s="77"/>
      <c r="K2096" s="77"/>
      <c r="L2096" s="77"/>
      <c r="M2096" s="77"/>
      <c r="N2096" s="77"/>
      <c r="O2096" s="77"/>
      <c r="P2096" s="77"/>
      <c r="Q2096" s="77"/>
    </row>
    <row r="2097" spans="3:17" ht="13.2" x14ac:dyDescent="0.25">
      <c r="C2097" s="77"/>
      <c r="D2097" s="77"/>
      <c r="E2097" s="77"/>
      <c r="F2097" s="77"/>
      <c r="G2097" s="77"/>
      <c r="H2097" s="77"/>
      <c r="I2097" s="77"/>
      <c r="J2097" s="77"/>
      <c r="K2097" s="77"/>
      <c r="L2097" s="77"/>
      <c r="M2097" s="77"/>
      <c r="N2097" s="77"/>
      <c r="O2097" s="77"/>
      <c r="P2097" s="77"/>
      <c r="Q2097" s="77"/>
    </row>
    <row r="2098" spans="3:17" ht="13.2" x14ac:dyDescent="0.25">
      <c r="C2098" s="77"/>
      <c r="D2098" s="77"/>
      <c r="E2098" s="77"/>
      <c r="F2098" s="77"/>
      <c r="G2098" s="77"/>
      <c r="H2098" s="77"/>
      <c r="I2098" s="77"/>
      <c r="J2098" s="77"/>
      <c r="K2098" s="77"/>
      <c r="L2098" s="77"/>
      <c r="M2098" s="77"/>
      <c r="N2098" s="77"/>
      <c r="O2098" s="77"/>
      <c r="P2098" s="77"/>
      <c r="Q2098" s="77"/>
    </row>
    <row r="2099" spans="3:17" ht="13.2" x14ac:dyDescent="0.25">
      <c r="C2099" s="77"/>
      <c r="D2099" s="77"/>
      <c r="E2099" s="77"/>
      <c r="F2099" s="77"/>
      <c r="G2099" s="77"/>
      <c r="H2099" s="77"/>
      <c r="I2099" s="77"/>
      <c r="J2099" s="77"/>
      <c r="K2099" s="77"/>
      <c r="L2099" s="77"/>
      <c r="M2099" s="77"/>
      <c r="N2099" s="77"/>
      <c r="O2099" s="77"/>
      <c r="P2099" s="77"/>
      <c r="Q2099" s="77"/>
    </row>
    <row r="2100" spans="3:17" ht="13.2" x14ac:dyDescent="0.25">
      <c r="C2100" s="77"/>
      <c r="D2100" s="77"/>
      <c r="E2100" s="77"/>
      <c r="F2100" s="77"/>
      <c r="G2100" s="77"/>
      <c r="H2100" s="77"/>
      <c r="I2100" s="77"/>
      <c r="J2100" s="77"/>
      <c r="K2100" s="77"/>
      <c r="L2100" s="77"/>
      <c r="M2100" s="77"/>
      <c r="N2100" s="77"/>
      <c r="O2100" s="77"/>
      <c r="P2100" s="77"/>
      <c r="Q2100" s="77"/>
    </row>
    <row r="2101" spans="3:17" ht="13.2" x14ac:dyDescent="0.25">
      <c r="C2101" s="77"/>
      <c r="D2101" s="77"/>
      <c r="E2101" s="77"/>
      <c r="F2101" s="77"/>
      <c r="G2101" s="77"/>
      <c r="H2101" s="77"/>
      <c r="I2101" s="77"/>
      <c r="J2101" s="77"/>
      <c r="K2101" s="77"/>
      <c r="L2101" s="77"/>
      <c r="M2101" s="77"/>
      <c r="N2101" s="77"/>
      <c r="O2101" s="77"/>
      <c r="P2101" s="77"/>
      <c r="Q2101" s="77"/>
    </row>
    <row r="2102" spans="3:17" ht="13.2" x14ac:dyDescent="0.25">
      <c r="C2102" s="77"/>
      <c r="D2102" s="77"/>
      <c r="E2102" s="77"/>
      <c r="F2102" s="77"/>
      <c r="G2102" s="77"/>
      <c r="H2102" s="77"/>
      <c r="I2102" s="77"/>
      <c r="J2102" s="77"/>
      <c r="K2102" s="77"/>
      <c r="L2102" s="77"/>
      <c r="M2102" s="77"/>
      <c r="N2102" s="77"/>
      <c r="O2102" s="77"/>
      <c r="P2102" s="77"/>
      <c r="Q2102" s="77"/>
    </row>
    <row r="2103" spans="3:17" ht="13.2" x14ac:dyDescent="0.25">
      <c r="C2103" s="77"/>
      <c r="D2103" s="77"/>
      <c r="E2103" s="77"/>
      <c r="F2103" s="77"/>
      <c r="G2103" s="77"/>
      <c r="H2103" s="77"/>
      <c r="I2103" s="77"/>
      <c r="J2103" s="77"/>
      <c r="K2103" s="77"/>
      <c r="L2103" s="77"/>
      <c r="M2103" s="77"/>
      <c r="N2103" s="77"/>
      <c r="O2103" s="77"/>
      <c r="P2103" s="77"/>
      <c r="Q2103" s="77"/>
    </row>
    <row r="2104" spans="3:17" ht="13.2" x14ac:dyDescent="0.25">
      <c r="C2104" s="77"/>
      <c r="D2104" s="77"/>
      <c r="E2104" s="77"/>
      <c r="F2104" s="77"/>
      <c r="G2104" s="77"/>
      <c r="H2104" s="77"/>
      <c r="I2104" s="77"/>
      <c r="J2104" s="77"/>
      <c r="K2104" s="77"/>
      <c r="L2104" s="77"/>
      <c r="M2104" s="77"/>
      <c r="N2104" s="77"/>
      <c r="O2104" s="77"/>
      <c r="P2104" s="77"/>
      <c r="Q2104" s="77"/>
    </row>
    <row r="2105" spans="3:17" ht="13.2" x14ac:dyDescent="0.25">
      <c r="C2105" s="77"/>
      <c r="D2105" s="77"/>
      <c r="E2105" s="77"/>
      <c r="F2105" s="77"/>
      <c r="G2105" s="77"/>
      <c r="H2105" s="77"/>
      <c r="I2105" s="77"/>
      <c r="J2105" s="77"/>
      <c r="K2105" s="77"/>
      <c r="L2105" s="77"/>
      <c r="M2105" s="77"/>
      <c r="N2105" s="77"/>
      <c r="O2105" s="77"/>
      <c r="P2105" s="77"/>
      <c r="Q2105" s="77"/>
    </row>
    <row r="2106" spans="3:17" ht="13.2" x14ac:dyDescent="0.25">
      <c r="C2106" s="77"/>
      <c r="D2106" s="77"/>
      <c r="E2106" s="77"/>
      <c r="F2106" s="77"/>
      <c r="G2106" s="77"/>
      <c r="H2106" s="77"/>
      <c r="I2106" s="77"/>
      <c r="J2106" s="77"/>
      <c r="K2106" s="77"/>
      <c r="L2106" s="77"/>
      <c r="M2106" s="77"/>
      <c r="N2106" s="77"/>
      <c r="O2106" s="77"/>
      <c r="P2106" s="77"/>
      <c r="Q2106" s="77"/>
    </row>
    <row r="2107" spans="3:17" ht="13.2" x14ac:dyDescent="0.25">
      <c r="C2107" s="77"/>
      <c r="D2107" s="77"/>
      <c r="E2107" s="77"/>
      <c r="F2107" s="77"/>
      <c r="G2107" s="77"/>
      <c r="H2107" s="77"/>
      <c r="I2107" s="77"/>
      <c r="J2107" s="77"/>
      <c r="K2107" s="77"/>
      <c r="L2107" s="77"/>
      <c r="M2107" s="77"/>
      <c r="N2107" s="77"/>
      <c r="O2107" s="77"/>
      <c r="P2107" s="77"/>
      <c r="Q2107" s="77"/>
    </row>
    <row r="2108" spans="3:17" ht="13.2" x14ac:dyDescent="0.25">
      <c r="C2108" s="77"/>
      <c r="D2108" s="77"/>
      <c r="E2108" s="77"/>
      <c r="F2108" s="77"/>
      <c r="G2108" s="77"/>
      <c r="H2108" s="77"/>
      <c r="I2108" s="77"/>
      <c r="J2108" s="77"/>
      <c r="K2108" s="77"/>
      <c r="L2108" s="77"/>
      <c r="M2108" s="77"/>
      <c r="N2108" s="77"/>
      <c r="O2108" s="77"/>
      <c r="P2108" s="77"/>
      <c r="Q2108" s="77"/>
    </row>
    <row r="2109" spans="3:17" ht="13.2" x14ac:dyDescent="0.25">
      <c r="C2109" s="77"/>
      <c r="D2109" s="77"/>
      <c r="E2109" s="77"/>
      <c r="F2109" s="77"/>
      <c r="G2109" s="77"/>
      <c r="H2109" s="77"/>
      <c r="I2109" s="77"/>
      <c r="J2109" s="77"/>
      <c r="K2109" s="77"/>
      <c r="L2109" s="77"/>
      <c r="M2109" s="77"/>
      <c r="N2109" s="77"/>
      <c r="O2109" s="77"/>
      <c r="P2109" s="77"/>
      <c r="Q2109" s="77"/>
    </row>
    <row r="2110" spans="3:17" ht="13.2" x14ac:dyDescent="0.25">
      <c r="C2110" s="77"/>
      <c r="D2110" s="77"/>
      <c r="E2110" s="77"/>
      <c r="F2110" s="77"/>
      <c r="G2110" s="77"/>
      <c r="H2110" s="77"/>
      <c r="I2110" s="77"/>
      <c r="J2110" s="77"/>
      <c r="K2110" s="77"/>
      <c r="L2110" s="77"/>
      <c r="M2110" s="77"/>
      <c r="N2110" s="77"/>
      <c r="O2110" s="77"/>
      <c r="P2110" s="77"/>
      <c r="Q2110" s="77"/>
    </row>
    <row r="2111" spans="3:17" ht="13.2" x14ac:dyDescent="0.25">
      <c r="C2111" s="77"/>
      <c r="D2111" s="77"/>
      <c r="E2111" s="77"/>
      <c r="F2111" s="77"/>
      <c r="G2111" s="77"/>
      <c r="H2111" s="77"/>
      <c r="I2111" s="77"/>
      <c r="J2111" s="77"/>
      <c r="K2111" s="77"/>
      <c r="L2111" s="77"/>
      <c r="M2111" s="77"/>
      <c r="N2111" s="77"/>
      <c r="O2111" s="77"/>
      <c r="P2111" s="77"/>
      <c r="Q2111" s="77"/>
    </row>
    <row r="2112" spans="3:17" ht="13.2" x14ac:dyDescent="0.25">
      <c r="C2112" s="77"/>
      <c r="D2112" s="77"/>
      <c r="E2112" s="77"/>
      <c r="F2112" s="77"/>
      <c r="G2112" s="77"/>
      <c r="H2112" s="77"/>
      <c r="I2112" s="77"/>
      <c r="J2112" s="77"/>
      <c r="K2112" s="77"/>
      <c r="L2112" s="77"/>
      <c r="M2112" s="77"/>
      <c r="N2112" s="77"/>
      <c r="O2112" s="77"/>
      <c r="P2112" s="77"/>
      <c r="Q2112" s="77"/>
    </row>
    <row r="2113" spans="3:17" ht="13.2" x14ac:dyDescent="0.25">
      <c r="C2113" s="77"/>
      <c r="D2113" s="77"/>
      <c r="E2113" s="77"/>
      <c r="F2113" s="77"/>
      <c r="G2113" s="77"/>
      <c r="H2113" s="77"/>
      <c r="I2113" s="77"/>
      <c r="J2113" s="77"/>
      <c r="K2113" s="77"/>
      <c r="L2113" s="77"/>
      <c r="M2113" s="77"/>
      <c r="N2113" s="77"/>
      <c r="O2113" s="77"/>
      <c r="P2113" s="77"/>
      <c r="Q2113" s="77"/>
    </row>
    <row r="2114" spans="3:17" ht="13.2" x14ac:dyDescent="0.25">
      <c r="C2114" s="77"/>
      <c r="D2114" s="77"/>
      <c r="E2114" s="77"/>
      <c r="F2114" s="77"/>
      <c r="G2114" s="77"/>
      <c r="H2114" s="77"/>
      <c r="I2114" s="77"/>
      <c r="J2114" s="77"/>
      <c r="K2114" s="77"/>
      <c r="L2114" s="77"/>
      <c r="M2114" s="77"/>
      <c r="N2114" s="77"/>
      <c r="O2114" s="77"/>
      <c r="P2114" s="77"/>
      <c r="Q2114" s="77"/>
    </row>
    <row r="2115" spans="3:17" ht="13.2" x14ac:dyDescent="0.25">
      <c r="C2115" s="77"/>
      <c r="D2115" s="77"/>
      <c r="E2115" s="77"/>
      <c r="F2115" s="77"/>
      <c r="G2115" s="77"/>
      <c r="H2115" s="77"/>
      <c r="I2115" s="77"/>
      <c r="J2115" s="77"/>
      <c r="K2115" s="77"/>
      <c r="L2115" s="77"/>
      <c r="M2115" s="77"/>
      <c r="N2115" s="77"/>
      <c r="O2115" s="77"/>
      <c r="P2115" s="77"/>
      <c r="Q2115" s="77"/>
    </row>
    <row r="2116" spans="3:17" ht="13.2" x14ac:dyDescent="0.25">
      <c r="C2116" s="77"/>
      <c r="D2116" s="77"/>
      <c r="E2116" s="77"/>
      <c r="F2116" s="77"/>
      <c r="G2116" s="77"/>
      <c r="H2116" s="77"/>
      <c r="I2116" s="77"/>
      <c r="J2116" s="77"/>
      <c r="K2116" s="77"/>
      <c r="L2116" s="77"/>
      <c r="M2116" s="77"/>
      <c r="N2116" s="77"/>
      <c r="O2116" s="77"/>
      <c r="P2116" s="77"/>
      <c r="Q2116" s="77"/>
    </row>
    <row r="2117" spans="3:17" ht="13.2" x14ac:dyDescent="0.25">
      <c r="C2117" s="77"/>
      <c r="D2117" s="77"/>
      <c r="E2117" s="77"/>
      <c r="F2117" s="77"/>
      <c r="G2117" s="77"/>
      <c r="H2117" s="77"/>
      <c r="I2117" s="77"/>
      <c r="J2117" s="77"/>
      <c r="K2117" s="77"/>
      <c r="L2117" s="77"/>
      <c r="M2117" s="77"/>
      <c r="N2117" s="77"/>
      <c r="O2117" s="77"/>
      <c r="P2117" s="77"/>
      <c r="Q2117" s="77"/>
    </row>
    <row r="2118" spans="3:17" ht="13.2" x14ac:dyDescent="0.25">
      <c r="C2118" s="77"/>
      <c r="D2118" s="77"/>
      <c r="E2118" s="77"/>
      <c r="F2118" s="77"/>
      <c r="G2118" s="77"/>
      <c r="H2118" s="77"/>
      <c r="I2118" s="77"/>
      <c r="J2118" s="77"/>
      <c r="K2118" s="77"/>
      <c r="L2118" s="77"/>
      <c r="M2118" s="77"/>
      <c r="N2118" s="77"/>
      <c r="O2118" s="77"/>
      <c r="P2118" s="77"/>
      <c r="Q2118" s="77"/>
    </row>
    <row r="2119" spans="3:17" ht="13.2" x14ac:dyDescent="0.25">
      <c r="C2119" s="77"/>
      <c r="D2119" s="77"/>
      <c r="E2119" s="77"/>
      <c r="F2119" s="77"/>
      <c r="G2119" s="77"/>
      <c r="H2119" s="77"/>
      <c r="I2119" s="77"/>
      <c r="J2119" s="77"/>
      <c r="K2119" s="77"/>
      <c r="L2119" s="77"/>
      <c r="M2119" s="77"/>
      <c r="N2119" s="77"/>
      <c r="O2119" s="77"/>
      <c r="P2119" s="77"/>
      <c r="Q2119" s="77"/>
    </row>
    <row r="2120" spans="3:17" ht="13.2" x14ac:dyDescent="0.25">
      <c r="C2120" s="77"/>
      <c r="D2120" s="77"/>
      <c r="E2120" s="77"/>
      <c r="F2120" s="77"/>
      <c r="G2120" s="77"/>
      <c r="H2120" s="77"/>
      <c r="I2120" s="77"/>
      <c r="J2120" s="77"/>
      <c r="K2120" s="77"/>
      <c r="L2120" s="77"/>
      <c r="M2120" s="77"/>
      <c r="N2120" s="77"/>
      <c r="O2120" s="77"/>
      <c r="P2120" s="77"/>
      <c r="Q2120" s="77"/>
    </row>
    <row r="2121" spans="3:17" ht="13.2" x14ac:dyDescent="0.25">
      <c r="C2121" s="77"/>
      <c r="D2121" s="77"/>
      <c r="E2121" s="77"/>
      <c r="F2121" s="77"/>
      <c r="G2121" s="77"/>
      <c r="H2121" s="77"/>
      <c r="I2121" s="77"/>
      <c r="J2121" s="77"/>
      <c r="K2121" s="77"/>
      <c r="L2121" s="77"/>
      <c r="M2121" s="77"/>
      <c r="N2121" s="77"/>
      <c r="O2121" s="77"/>
      <c r="P2121" s="77"/>
      <c r="Q2121" s="77"/>
    </row>
    <row r="2122" spans="3:17" ht="13.2" x14ac:dyDescent="0.25">
      <c r="C2122" s="77"/>
      <c r="D2122" s="77"/>
      <c r="E2122" s="77"/>
      <c r="F2122" s="77"/>
      <c r="G2122" s="77"/>
      <c r="H2122" s="77"/>
      <c r="I2122" s="77"/>
      <c r="J2122" s="77"/>
      <c r="K2122" s="77"/>
      <c r="L2122" s="77"/>
      <c r="M2122" s="77"/>
      <c r="N2122" s="77"/>
      <c r="O2122" s="77"/>
      <c r="P2122" s="77"/>
      <c r="Q2122" s="77"/>
    </row>
    <row r="2123" spans="3:17" ht="13.2" x14ac:dyDescent="0.25">
      <c r="C2123" s="77"/>
      <c r="D2123" s="77"/>
      <c r="E2123" s="77"/>
      <c r="F2123" s="77"/>
      <c r="G2123" s="77"/>
      <c r="H2123" s="77"/>
      <c r="I2123" s="77"/>
      <c r="J2123" s="77"/>
      <c r="K2123" s="77"/>
      <c r="L2123" s="77"/>
      <c r="M2123" s="77"/>
      <c r="N2123" s="77"/>
      <c r="O2123" s="77"/>
      <c r="P2123" s="77"/>
      <c r="Q2123" s="77"/>
    </row>
    <row r="2124" spans="3:17" ht="13.2" x14ac:dyDescent="0.25">
      <c r="C2124" s="77"/>
      <c r="D2124" s="77"/>
      <c r="E2124" s="77"/>
      <c r="F2124" s="77"/>
      <c r="G2124" s="77"/>
      <c r="H2124" s="77"/>
      <c r="I2124" s="77"/>
      <c r="J2124" s="77"/>
      <c r="K2124" s="77"/>
      <c r="L2124" s="77"/>
      <c r="M2124" s="77"/>
      <c r="N2124" s="77"/>
      <c r="O2124" s="77"/>
      <c r="P2124" s="77"/>
      <c r="Q2124" s="77"/>
    </row>
    <row r="2125" spans="3:17" ht="13.2" x14ac:dyDescent="0.25">
      <c r="C2125" s="77"/>
      <c r="D2125" s="77"/>
      <c r="E2125" s="77"/>
      <c r="F2125" s="77"/>
      <c r="G2125" s="77"/>
      <c r="H2125" s="77"/>
      <c r="I2125" s="77"/>
      <c r="J2125" s="77"/>
      <c r="K2125" s="77"/>
      <c r="L2125" s="77"/>
      <c r="M2125" s="77"/>
      <c r="N2125" s="77"/>
      <c r="O2125" s="77"/>
      <c r="P2125" s="77"/>
      <c r="Q2125" s="77"/>
    </row>
    <row r="2126" spans="3:17" ht="13.2" x14ac:dyDescent="0.25">
      <c r="C2126" s="77"/>
      <c r="D2126" s="77"/>
      <c r="E2126" s="77"/>
      <c r="F2126" s="77"/>
      <c r="G2126" s="77"/>
      <c r="H2126" s="77"/>
      <c r="I2126" s="77"/>
      <c r="J2126" s="77"/>
      <c r="K2126" s="77"/>
      <c r="L2126" s="77"/>
      <c r="M2126" s="77"/>
      <c r="N2126" s="77"/>
      <c r="O2126" s="77"/>
      <c r="P2126" s="77"/>
      <c r="Q2126" s="77"/>
    </row>
    <row r="2127" spans="3:17" ht="13.2" x14ac:dyDescent="0.25">
      <c r="C2127" s="77"/>
      <c r="D2127" s="77"/>
      <c r="E2127" s="77"/>
      <c r="F2127" s="77"/>
      <c r="G2127" s="77"/>
      <c r="H2127" s="77"/>
      <c r="I2127" s="77"/>
      <c r="J2127" s="77"/>
      <c r="K2127" s="77"/>
      <c r="L2127" s="77"/>
      <c r="M2127" s="77"/>
      <c r="N2127" s="77"/>
      <c r="O2127" s="77"/>
      <c r="P2127" s="77"/>
      <c r="Q2127" s="77"/>
    </row>
    <row r="2128" spans="3:17" ht="13.2" x14ac:dyDescent="0.25">
      <c r="C2128" s="77"/>
      <c r="D2128" s="77"/>
      <c r="E2128" s="77"/>
      <c r="F2128" s="77"/>
      <c r="G2128" s="77"/>
      <c r="H2128" s="77"/>
      <c r="I2128" s="77"/>
      <c r="J2128" s="77"/>
      <c r="K2128" s="77"/>
      <c r="L2128" s="77"/>
      <c r="M2128" s="77"/>
      <c r="N2128" s="77"/>
      <c r="O2128" s="77"/>
      <c r="P2128" s="77"/>
      <c r="Q2128" s="77"/>
    </row>
    <row r="2129" spans="3:17" ht="13.2" x14ac:dyDescent="0.25">
      <c r="C2129" s="77"/>
      <c r="D2129" s="77"/>
      <c r="E2129" s="77"/>
      <c r="F2129" s="77"/>
      <c r="G2129" s="77"/>
      <c r="H2129" s="77"/>
      <c r="I2129" s="77"/>
      <c r="J2129" s="77"/>
      <c r="K2129" s="77"/>
      <c r="L2129" s="77"/>
      <c r="M2129" s="77"/>
      <c r="N2129" s="77"/>
      <c r="O2129" s="77"/>
      <c r="P2129" s="77"/>
      <c r="Q2129" s="77"/>
    </row>
    <row r="2130" spans="3:17" ht="13.2" x14ac:dyDescent="0.25">
      <c r="C2130" s="77"/>
      <c r="D2130" s="77"/>
      <c r="E2130" s="77"/>
      <c r="F2130" s="77"/>
      <c r="G2130" s="77"/>
      <c r="H2130" s="77"/>
      <c r="I2130" s="77"/>
      <c r="J2130" s="77"/>
      <c r="K2130" s="77"/>
      <c r="L2130" s="77"/>
      <c r="M2130" s="77"/>
      <c r="N2130" s="77"/>
      <c r="O2130" s="77"/>
      <c r="P2130" s="77"/>
      <c r="Q2130" s="77"/>
    </row>
    <row r="2131" spans="3:17" ht="13.2" x14ac:dyDescent="0.25">
      <c r="C2131" s="77"/>
      <c r="D2131" s="77"/>
      <c r="E2131" s="77"/>
      <c r="F2131" s="77"/>
      <c r="G2131" s="77"/>
      <c r="H2131" s="77"/>
      <c r="I2131" s="77"/>
      <c r="J2131" s="77"/>
      <c r="K2131" s="77"/>
      <c r="L2131" s="77"/>
      <c r="M2131" s="77"/>
      <c r="N2131" s="77"/>
      <c r="O2131" s="77"/>
      <c r="P2131" s="77"/>
      <c r="Q2131" s="77"/>
    </row>
    <row r="2132" spans="3:17" ht="13.2" x14ac:dyDescent="0.25">
      <c r="C2132" s="77"/>
      <c r="D2132" s="77"/>
      <c r="E2132" s="77"/>
      <c r="F2132" s="77"/>
      <c r="G2132" s="77"/>
      <c r="H2132" s="77"/>
      <c r="I2132" s="77"/>
      <c r="J2132" s="77"/>
      <c r="K2132" s="77"/>
      <c r="L2132" s="77"/>
      <c r="M2132" s="77"/>
      <c r="N2132" s="77"/>
      <c r="O2132" s="77"/>
      <c r="P2132" s="77"/>
      <c r="Q2132" s="77"/>
    </row>
    <row r="2133" spans="3:17" ht="13.2" x14ac:dyDescent="0.25">
      <c r="C2133" s="77"/>
      <c r="D2133" s="77"/>
      <c r="E2133" s="77"/>
      <c r="F2133" s="77"/>
      <c r="G2133" s="77"/>
      <c r="H2133" s="77"/>
      <c r="I2133" s="77"/>
      <c r="J2133" s="77"/>
      <c r="K2133" s="77"/>
      <c r="L2133" s="77"/>
      <c r="M2133" s="77"/>
      <c r="N2133" s="77"/>
      <c r="O2133" s="77"/>
      <c r="P2133" s="77"/>
      <c r="Q2133" s="77"/>
    </row>
    <row r="2134" spans="3:17" ht="13.2" x14ac:dyDescent="0.25">
      <c r="C2134" s="77"/>
      <c r="D2134" s="77"/>
      <c r="E2134" s="77"/>
      <c r="F2134" s="77"/>
      <c r="G2134" s="77"/>
      <c r="H2134" s="77"/>
      <c r="I2134" s="77"/>
      <c r="J2134" s="77"/>
      <c r="K2134" s="77"/>
      <c r="L2134" s="77"/>
      <c r="M2134" s="77"/>
      <c r="N2134" s="77"/>
      <c r="O2134" s="77"/>
      <c r="P2134" s="77"/>
      <c r="Q2134" s="77"/>
    </row>
    <row r="2135" spans="3:17" ht="13.2" x14ac:dyDescent="0.25">
      <c r="C2135" s="77"/>
      <c r="D2135" s="77"/>
      <c r="E2135" s="77"/>
      <c r="F2135" s="77"/>
      <c r="G2135" s="77"/>
      <c r="H2135" s="77"/>
      <c r="I2135" s="77"/>
      <c r="J2135" s="77"/>
      <c r="K2135" s="77"/>
      <c r="L2135" s="77"/>
      <c r="M2135" s="77"/>
      <c r="N2135" s="77"/>
      <c r="O2135" s="77"/>
      <c r="P2135" s="77"/>
      <c r="Q2135" s="77"/>
    </row>
    <row r="2136" spans="3:17" ht="13.2" x14ac:dyDescent="0.25">
      <c r="C2136" s="77"/>
      <c r="D2136" s="77"/>
      <c r="E2136" s="77"/>
      <c r="F2136" s="77"/>
      <c r="G2136" s="77"/>
      <c r="H2136" s="77"/>
      <c r="I2136" s="77"/>
      <c r="J2136" s="77"/>
      <c r="K2136" s="77"/>
      <c r="L2136" s="77"/>
      <c r="M2136" s="77"/>
      <c r="N2136" s="77"/>
      <c r="O2136" s="77"/>
      <c r="P2136" s="77"/>
      <c r="Q2136" s="77"/>
    </row>
    <row r="2137" spans="3:17" ht="13.2" x14ac:dyDescent="0.25">
      <c r="C2137" s="77"/>
      <c r="D2137" s="77"/>
      <c r="E2137" s="77"/>
      <c r="F2137" s="77"/>
      <c r="G2137" s="77"/>
      <c r="H2137" s="77"/>
      <c r="I2137" s="77"/>
      <c r="J2137" s="77"/>
      <c r="K2137" s="77"/>
      <c r="L2137" s="77"/>
      <c r="M2137" s="77"/>
      <c r="N2137" s="77"/>
      <c r="O2137" s="77"/>
      <c r="P2137" s="77"/>
      <c r="Q2137" s="77"/>
    </row>
    <row r="2138" spans="3:17" ht="13.2" x14ac:dyDescent="0.25">
      <c r="C2138" s="77"/>
      <c r="D2138" s="77"/>
      <c r="E2138" s="77"/>
      <c r="F2138" s="77"/>
      <c r="G2138" s="77"/>
      <c r="H2138" s="77"/>
      <c r="I2138" s="77"/>
      <c r="J2138" s="77"/>
      <c r="K2138" s="77"/>
      <c r="L2138" s="77"/>
      <c r="M2138" s="77"/>
      <c r="N2138" s="77"/>
      <c r="O2138" s="77"/>
      <c r="P2138" s="77"/>
      <c r="Q2138" s="77"/>
    </row>
    <row r="2139" spans="3:17" ht="13.2" x14ac:dyDescent="0.25">
      <c r="C2139" s="77"/>
      <c r="D2139" s="77"/>
      <c r="E2139" s="77"/>
      <c r="F2139" s="77"/>
      <c r="G2139" s="77"/>
      <c r="H2139" s="77"/>
      <c r="I2139" s="77"/>
      <c r="J2139" s="77"/>
      <c r="K2139" s="77"/>
      <c r="L2139" s="77"/>
      <c r="M2139" s="77"/>
      <c r="N2139" s="77"/>
      <c r="O2139" s="77"/>
      <c r="P2139" s="77"/>
      <c r="Q2139" s="77"/>
    </row>
    <row r="2140" spans="3:17" ht="13.2" x14ac:dyDescent="0.25">
      <c r="C2140" s="77"/>
      <c r="D2140" s="77"/>
      <c r="E2140" s="77"/>
      <c r="F2140" s="77"/>
      <c r="G2140" s="77"/>
      <c r="H2140" s="77"/>
      <c r="I2140" s="77"/>
      <c r="J2140" s="77"/>
      <c r="K2140" s="77"/>
      <c r="L2140" s="77"/>
      <c r="M2140" s="77"/>
      <c r="N2140" s="77"/>
      <c r="O2140" s="77"/>
      <c r="P2140" s="77"/>
      <c r="Q2140" s="77"/>
    </row>
    <row r="2141" spans="3:17" ht="13.2" x14ac:dyDescent="0.25">
      <c r="C2141" s="77"/>
      <c r="D2141" s="77"/>
      <c r="E2141" s="77"/>
      <c r="F2141" s="77"/>
      <c r="G2141" s="77"/>
      <c r="H2141" s="77"/>
      <c r="I2141" s="77"/>
      <c r="J2141" s="77"/>
      <c r="K2141" s="77"/>
      <c r="L2141" s="77"/>
      <c r="M2141" s="77"/>
      <c r="N2141" s="77"/>
      <c r="O2141" s="77"/>
      <c r="P2141" s="77"/>
      <c r="Q2141" s="77"/>
    </row>
    <row r="2142" spans="3:17" ht="13.2" x14ac:dyDescent="0.25">
      <c r="C2142" s="77"/>
      <c r="D2142" s="77"/>
      <c r="E2142" s="77"/>
      <c r="F2142" s="77"/>
      <c r="G2142" s="77"/>
      <c r="H2142" s="77"/>
      <c r="I2142" s="77"/>
      <c r="J2142" s="77"/>
      <c r="K2142" s="77"/>
      <c r="L2142" s="77"/>
      <c r="M2142" s="77"/>
      <c r="N2142" s="77"/>
      <c r="O2142" s="77"/>
      <c r="P2142" s="77"/>
      <c r="Q2142" s="77"/>
    </row>
    <row r="2143" spans="3:17" ht="13.2" x14ac:dyDescent="0.25">
      <c r="C2143" s="77"/>
      <c r="D2143" s="77"/>
      <c r="E2143" s="77"/>
      <c r="F2143" s="77"/>
      <c r="G2143" s="77"/>
      <c r="H2143" s="77"/>
      <c r="I2143" s="77"/>
      <c r="J2143" s="77"/>
      <c r="K2143" s="77"/>
      <c r="L2143" s="77"/>
      <c r="M2143" s="77"/>
      <c r="N2143" s="77"/>
      <c r="O2143" s="77"/>
      <c r="P2143" s="77"/>
      <c r="Q2143" s="77"/>
    </row>
    <row r="2144" spans="3:17" ht="13.2" x14ac:dyDescent="0.25">
      <c r="C2144" s="77"/>
      <c r="D2144" s="77"/>
      <c r="E2144" s="77"/>
      <c r="F2144" s="77"/>
      <c r="G2144" s="77"/>
      <c r="H2144" s="77"/>
      <c r="I2144" s="77"/>
      <c r="J2144" s="77"/>
      <c r="K2144" s="77"/>
      <c r="L2144" s="77"/>
      <c r="M2144" s="77"/>
      <c r="N2144" s="77"/>
      <c r="O2144" s="77"/>
      <c r="P2144" s="77"/>
      <c r="Q2144" s="77"/>
    </row>
    <row r="2145" spans="3:17" ht="13.2" x14ac:dyDescent="0.25">
      <c r="C2145" s="77"/>
      <c r="D2145" s="77"/>
      <c r="E2145" s="77"/>
      <c r="F2145" s="77"/>
      <c r="G2145" s="77"/>
      <c r="H2145" s="77"/>
      <c r="I2145" s="77"/>
      <c r="J2145" s="77"/>
      <c r="K2145" s="77"/>
      <c r="L2145" s="77"/>
      <c r="M2145" s="77"/>
      <c r="N2145" s="77"/>
      <c r="O2145" s="77"/>
      <c r="P2145" s="77"/>
      <c r="Q2145" s="77"/>
    </row>
    <row r="2146" spans="3:17" ht="13.2" x14ac:dyDescent="0.25">
      <c r="C2146" s="77"/>
      <c r="D2146" s="77"/>
      <c r="E2146" s="77"/>
      <c r="F2146" s="77"/>
      <c r="G2146" s="77"/>
      <c r="H2146" s="77"/>
      <c r="I2146" s="77"/>
      <c r="J2146" s="77"/>
      <c r="K2146" s="77"/>
      <c r="L2146" s="77"/>
      <c r="M2146" s="77"/>
      <c r="N2146" s="77"/>
      <c r="O2146" s="77"/>
      <c r="P2146" s="77"/>
      <c r="Q2146" s="77"/>
    </row>
    <row r="2147" spans="3:17" ht="13.2" x14ac:dyDescent="0.25">
      <c r="C2147" s="77"/>
      <c r="D2147" s="77"/>
      <c r="E2147" s="77"/>
      <c r="F2147" s="77"/>
      <c r="G2147" s="77"/>
      <c r="H2147" s="77"/>
      <c r="I2147" s="77"/>
      <c r="J2147" s="77"/>
      <c r="K2147" s="77"/>
      <c r="L2147" s="77"/>
      <c r="M2147" s="77"/>
      <c r="N2147" s="77"/>
      <c r="O2147" s="77"/>
      <c r="P2147" s="77"/>
      <c r="Q2147" s="77"/>
    </row>
    <row r="2148" spans="3:17" ht="13.2" x14ac:dyDescent="0.25">
      <c r="C2148" s="77"/>
      <c r="D2148" s="77"/>
      <c r="E2148" s="77"/>
      <c r="F2148" s="77"/>
      <c r="G2148" s="77"/>
      <c r="H2148" s="77"/>
      <c r="I2148" s="77"/>
      <c r="J2148" s="77"/>
      <c r="K2148" s="77"/>
      <c r="L2148" s="77"/>
      <c r="M2148" s="77"/>
      <c r="N2148" s="77"/>
      <c r="O2148" s="77"/>
      <c r="P2148" s="77"/>
      <c r="Q2148" s="77"/>
    </row>
    <row r="2149" spans="3:17" ht="13.2" x14ac:dyDescent="0.25">
      <c r="C2149" s="77"/>
      <c r="D2149" s="77"/>
      <c r="E2149" s="77"/>
      <c r="F2149" s="77"/>
      <c r="G2149" s="77"/>
      <c r="H2149" s="77"/>
      <c r="I2149" s="77"/>
      <c r="J2149" s="77"/>
      <c r="K2149" s="77"/>
      <c r="L2149" s="77"/>
      <c r="M2149" s="77"/>
      <c r="N2149" s="77"/>
      <c r="O2149" s="77"/>
      <c r="P2149" s="77"/>
      <c r="Q2149" s="77"/>
    </row>
    <row r="2150" spans="3:17" ht="13.2" x14ac:dyDescent="0.25">
      <c r="C2150" s="77"/>
      <c r="D2150" s="77"/>
      <c r="E2150" s="77"/>
      <c r="F2150" s="77"/>
      <c r="G2150" s="77"/>
      <c r="H2150" s="77"/>
      <c r="I2150" s="77"/>
      <c r="J2150" s="77"/>
      <c r="K2150" s="77"/>
      <c r="L2150" s="77"/>
      <c r="M2150" s="77"/>
      <c r="N2150" s="77"/>
      <c r="O2150" s="77"/>
      <c r="P2150" s="77"/>
      <c r="Q2150" s="77"/>
    </row>
    <row r="2151" spans="3:17" ht="13.2" x14ac:dyDescent="0.25">
      <c r="C2151" s="77"/>
      <c r="D2151" s="77"/>
      <c r="E2151" s="77"/>
      <c r="F2151" s="77"/>
      <c r="G2151" s="77"/>
      <c r="H2151" s="77"/>
      <c r="I2151" s="77"/>
      <c r="J2151" s="77"/>
      <c r="K2151" s="77"/>
      <c r="L2151" s="77"/>
      <c r="M2151" s="77"/>
      <c r="N2151" s="77"/>
      <c r="O2151" s="77"/>
      <c r="P2151" s="77"/>
      <c r="Q2151" s="77"/>
    </row>
    <row r="2152" spans="3:17" ht="13.2" x14ac:dyDescent="0.25">
      <c r="C2152" s="77"/>
      <c r="D2152" s="77"/>
      <c r="E2152" s="77"/>
      <c r="F2152" s="77"/>
      <c r="G2152" s="77"/>
      <c r="H2152" s="77"/>
      <c r="I2152" s="77"/>
      <c r="J2152" s="77"/>
      <c r="K2152" s="77"/>
      <c r="L2152" s="77"/>
      <c r="M2152" s="77"/>
      <c r="N2152" s="77"/>
      <c r="O2152" s="77"/>
      <c r="P2152" s="77"/>
      <c r="Q2152" s="77"/>
    </row>
    <row r="2153" spans="3:17" ht="13.2" x14ac:dyDescent="0.25">
      <c r="C2153" s="77"/>
      <c r="D2153" s="77"/>
      <c r="E2153" s="77"/>
      <c r="F2153" s="77"/>
      <c r="G2153" s="77"/>
      <c r="H2153" s="77"/>
      <c r="I2153" s="77"/>
      <c r="J2153" s="77"/>
      <c r="K2153" s="77"/>
      <c r="L2153" s="77"/>
      <c r="M2153" s="77"/>
      <c r="N2153" s="77"/>
      <c r="O2153" s="77"/>
      <c r="P2153" s="77"/>
      <c r="Q2153" s="77"/>
    </row>
    <row r="2154" spans="3:17" ht="13.2" x14ac:dyDescent="0.25">
      <c r="C2154" s="77"/>
      <c r="D2154" s="77"/>
      <c r="E2154" s="77"/>
      <c r="F2154" s="77"/>
      <c r="G2154" s="77"/>
      <c r="H2154" s="77"/>
      <c r="I2154" s="77"/>
      <c r="J2154" s="77"/>
      <c r="K2154" s="77"/>
      <c r="L2154" s="77"/>
      <c r="M2154" s="77"/>
      <c r="N2154" s="77"/>
      <c r="O2154" s="77"/>
      <c r="P2154" s="77"/>
      <c r="Q2154" s="77"/>
    </row>
    <row r="2155" spans="3:17" ht="13.2" x14ac:dyDescent="0.25">
      <c r="C2155" s="77"/>
      <c r="D2155" s="77"/>
      <c r="E2155" s="77"/>
      <c r="F2155" s="77"/>
      <c r="G2155" s="77"/>
      <c r="H2155" s="77"/>
      <c r="I2155" s="77"/>
      <c r="J2155" s="77"/>
      <c r="K2155" s="77"/>
      <c r="L2155" s="77"/>
      <c r="M2155" s="77"/>
      <c r="N2155" s="77"/>
      <c r="O2155" s="77"/>
      <c r="P2155" s="77"/>
      <c r="Q2155" s="77"/>
    </row>
    <row r="2156" spans="3:17" ht="13.2" x14ac:dyDescent="0.25">
      <c r="C2156" s="77"/>
      <c r="D2156" s="77"/>
      <c r="E2156" s="77"/>
      <c r="F2156" s="77"/>
      <c r="G2156" s="77"/>
      <c r="H2156" s="77"/>
      <c r="I2156" s="77"/>
      <c r="J2156" s="77"/>
      <c r="K2156" s="77"/>
      <c r="L2156" s="77"/>
      <c r="M2156" s="77"/>
      <c r="N2156" s="77"/>
      <c r="O2156" s="77"/>
      <c r="P2156" s="77"/>
      <c r="Q2156" s="77"/>
    </row>
    <row r="2157" spans="3:17" ht="13.2" x14ac:dyDescent="0.25">
      <c r="C2157" s="77"/>
      <c r="D2157" s="77"/>
      <c r="E2157" s="77"/>
      <c r="F2157" s="77"/>
      <c r="G2157" s="77"/>
      <c r="H2157" s="77"/>
      <c r="I2157" s="77"/>
      <c r="J2157" s="77"/>
      <c r="K2157" s="77"/>
      <c r="L2157" s="77"/>
      <c r="M2157" s="77"/>
      <c r="N2157" s="77"/>
      <c r="O2157" s="77"/>
      <c r="P2157" s="77"/>
      <c r="Q2157" s="77"/>
    </row>
    <row r="2158" spans="3:17" ht="13.2" x14ac:dyDescent="0.25">
      <c r="C2158" s="77"/>
      <c r="D2158" s="77"/>
      <c r="E2158" s="77"/>
      <c r="F2158" s="77"/>
      <c r="G2158" s="77"/>
      <c r="H2158" s="77"/>
      <c r="I2158" s="77"/>
      <c r="J2158" s="77"/>
      <c r="K2158" s="77"/>
      <c r="L2158" s="77"/>
      <c r="M2158" s="77"/>
      <c r="N2158" s="77"/>
      <c r="O2158" s="77"/>
      <c r="P2158" s="77"/>
      <c r="Q2158" s="77"/>
    </row>
    <row r="2159" spans="3:17" ht="13.2" x14ac:dyDescent="0.25">
      <c r="C2159" s="77"/>
      <c r="D2159" s="77"/>
      <c r="E2159" s="77"/>
      <c r="F2159" s="77"/>
      <c r="G2159" s="77"/>
      <c r="H2159" s="77"/>
      <c r="I2159" s="77"/>
      <c r="J2159" s="77"/>
      <c r="K2159" s="77"/>
      <c r="L2159" s="77"/>
      <c r="M2159" s="77"/>
      <c r="N2159" s="77"/>
      <c r="O2159" s="77"/>
      <c r="P2159" s="77"/>
      <c r="Q2159" s="77"/>
    </row>
    <row r="2160" spans="3:17" ht="13.2" x14ac:dyDescent="0.25">
      <c r="C2160" s="77"/>
      <c r="D2160" s="77"/>
      <c r="E2160" s="77"/>
      <c r="F2160" s="77"/>
      <c r="G2160" s="77"/>
      <c r="H2160" s="77"/>
      <c r="I2160" s="77"/>
      <c r="J2160" s="77"/>
      <c r="K2160" s="77"/>
      <c r="L2160" s="77"/>
      <c r="M2160" s="77"/>
      <c r="N2160" s="77"/>
      <c r="O2160" s="77"/>
      <c r="P2160" s="77"/>
      <c r="Q2160" s="77"/>
    </row>
    <row r="2161" spans="3:17" ht="13.2" x14ac:dyDescent="0.25">
      <c r="C2161" s="77"/>
      <c r="D2161" s="77"/>
      <c r="E2161" s="77"/>
      <c r="F2161" s="77"/>
      <c r="G2161" s="77"/>
      <c r="H2161" s="77"/>
      <c r="I2161" s="77"/>
      <c r="J2161" s="77"/>
      <c r="K2161" s="77"/>
      <c r="L2161" s="77"/>
      <c r="M2161" s="77"/>
      <c r="N2161" s="77"/>
      <c r="O2161" s="77"/>
      <c r="P2161" s="77"/>
      <c r="Q2161" s="77"/>
    </row>
    <row r="2162" spans="3:17" ht="13.2" x14ac:dyDescent="0.25">
      <c r="C2162" s="77"/>
      <c r="D2162" s="77"/>
      <c r="E2162" s="77"/>
      <c r="F2162" s="77"/>
      <c r="G2162" s="77"/>
      <c r="H2162" s="77"/>
      <c r="I2162" s="77"/>
      <c r="J2162" s="77"/>
      <c r="K2162" s="77"/>
      <c r="L2162" s="77"/>
      <c r="M2162" s="77"/>
      <c r="N2162" s="77"/>
      <c r="O2162" s="77"/>
      <c r="P2162" s="77"/>
      <c r="Q2162" s="77"/>
    </row>
    <row r="2163" spans="3:17" ht="13.2" x14ac:dyDescent="0.25">
      <c r="C2163" s="77"/>
      <c r="D2163" s="77"/>
      <c r="E2163" s="77"/>
      <c r="F2163" s="77"/>
      <c r="G2163" s="77"/>
      <c r="H2163" s="77"/>
      <c r="I2163" s="77"/>
      <c r="J2163" s="77"/>
      <c r="K2163" s="77"/>
      <c r="L2163" s="77"/>
      <c r="M2163" s="77"/>
      <c r="N2163" s="77"/>
      <c r="O2163" s="77"/>
      <c r="P2163" s="77"/>
      <c r="Q2163" s="77"/>
    </row>
    <row r="2164" spans="3:17" ht="13.2" x14ac:dyDescent="0.25">
      <c r="C2164" s="77"/>
      <c r="D2164" s="77"/>
      <c r="E2164" s="77"/>
      <c r="F2164" s="77"/>
      <c r="G2164" s="77"/>
      <c r="H2164" s="77"/>
      <c r="I2164" s="77"/>
      <c r="J2164" s="77"/>
      <c r="K2164" s="77"/>
      <c r="L2164" s="77"/>
      <c r="M2164" s="77"/>
      <c r="N2164" s="77"/>
      <c r="O2164" s="77"/>
      <c r="P2164" s="77"/>
      <c r="Q2164" s="77"/>
    </row>
    <row r="2165" spans="3:17" ht="13.2" x14ac:dyDescent="0.25">
      <c r="C2165" s="77"/>
      <c r="D2165" s="77"/>
      <c r="E2165" s="77"/>
      <c r="F2165" s="77"/>
      <c r="G2165" s="77"/>
      <c r="H2165" s="77"/>
      <c r="I2165" s="77"/>
      <c r="J2165" s="77"/>
      <c r="K2165" s="77"/>
      <c r="L2165" s="77"/>
      <c r="M2165" s="77"/>
      <c r="N2165" s="77"/>
      <c r="O2165" s="77"/>
      <c r="P2165" s="77"/>
      <c r="Q2165" s="77"/>
    </row>
    <row r="2166" spans="3:17" ht="13.2" x14ac:dyDescent="0.25">
      <c r="C2166" s="77"/>
      <c r="D2166" s="77"/>
      <c r="E2166" s="77"/>
      <c r="F2166" s="77"/>
      <c r="G2166" s="77"/>
      <c r="H2166" s="77"/>
      <c r="I2166" s="77"/>
      <c r="J2166" s="77"/>
      <c r="K2166" s="77"/>
      <c r="L2166" s="77"/>
      <c r="M2166" s="77"/>
      <c r="N2166" s="77"/>
      <c r="O2166" s="77"/>
      <c r="P2166" s="77"/>
      <c r="Q2166" s="77"/>
    </row>
    <row r="2167" spans="3:17" ht="13.2" x14ac:dyDescent="0.25">
      <c r="C2167" s="77"/>
      <c r="D2167" s="77"/>
      <c r="E2167" s="77"/>
      <c r="F2167" s="77"/>
      <c r="G2167" s="77"/>
      <c r="H2167" s="77"/>
      <c r="I2167" s="77"/>
      <c r="J2167" s="77"/>
      <c r="K2167" s="77"/>
      <c r="L2167" s="77"/>
      <c r="M2167" s="77"/>
      <c r="N2167" s="77"/>
      <c r="O2167" s="77"/>
      <c r="P2167" s="77"/>
      <c r="Q2167" s="77"/>
    </row>
    <row r="2168" spans="3:17" ht="13.2" x14ac:dyDescent="0.25">
      <c r="C2168" s="77"/>
      <c r="D2168" s="77"/>
      <c r="E2168" s="77"/>
      <c r="F2168" s="77"/>
      <c r="G2168" s="77"/>
      <c r="H2168" s="77"/>
      <c r="I2168" s="77"/>
      <c r="J2168" s="77"/>
      <c r="K2168" s="77"/>
      <c r="L2168" s="77"/>
      <c r="M2168" s="77"/>
      <c r="N2168" s="77"/>
      <c r="O2168" s="77"/>
      <c r="P2168" s="77"/>
      <c r="Q2168" s="77"/>
    </row>
    <row r="2169" spans="3:17" ht="13.2" x14ac:dyDescent="0.25">
      <c r="C2169" s="77"/>
      <c r="D2169" s="77"/>
      <c r="E2169" s="77"/>
      <c r="F2169" s="77"/>
      <c r="G2169" s="77"/>
      <c r="H2169" s="77"/>
      <c r="I2169" s="77"/>
      <c r="J2169" s="77"/>
      <c r="K2169" s="77"/>
      <c r="L2169" s="77"/>
      <c r="M2169" s="77"/>
      <c r="N2169" s="77"/>
      <c r="O2169" s="77"/>
      <c r="P2169" s="77"/>
      <c r="Q2169" s="77"/>
    </row>
    <row r="2170" spans="3:17" ht="13.2" x14ac:dyDescent="0.25">
      <c r="C2170" s="77"/>
      <c r="D2170" s="77"/>
      <c r="E2170" s="77"/>
      <c r="F2170" s="77"/>
      <c r="G2170" s="77"/>
      <c r="H2170" s="77"/>
      <c r="I2170" s="77"/>
      <c r="J2170" s="77"/>
      <c r="K2170" s="77"/>
      <c r="L2170" s="77"/>
      <c r="M2170" s="77"/>
      <c r="N2170" s="77"/>
      <c r="O2170" s="77"/>
      <c r="P2170" s="77"/>
      <c r="Q2170" s="77"/>
    </row>
    <row r="2171" spans="3:17" ht="13.2" x14ac:dyDescent="0.25">
      <c r="C2171" s="77"/>
      <c r="D2171" s="77"/>
      <c r="E2171" s="77"/>
      <c r="F2171" s="77"/>
      <c r="G2171" s="77"/>
      <c r="H2171" s="77"/>
      <c r="I2171" s="77"/>
      <c r="J2171" s="77"/>
      <c r="K2171" s="77"/>
      <c r="L2171" s="77"/>
      <c r="M2171" s="77"/>
      <c r="N2171" s="77"/>
      <c r="O2171" s="77"/>
      <c r="P2171" s="77"/>
      <c r="Q2171" s="77"/>
    </row>
    <row r="2172" spans="3:17" ht="13.2" x14ac:dyDescent="0.25">
      <c r="C2172" s="77"/>
      <c r="D2172" s="77"/>
      <c r="E2172" s="77"/>
      <c r="F2172" s="77"/>
      <c r="G2172" s="77"/>
      <c r="H2172" s="77"/>
      <c r="I2172" s="77"/>
      <c r="J2172" s="77"/>
      <c r="K2172" s="77"/>
      <c r="L2172" s="77"/>
      <c r="M2172" s="77"/>
      <c r="N2172" s="77"/>
      <c r="O2172" s="77"/>
      <c r="P2172" s="77"/>
      <c r="Q2172" s="77"/>
    </row>
    <row r="2173" spans="3:17" ht="13.2" x14ac:dyDescent="0.25">
      <c r="C2173" s="77"/>
      <c r="D2173" s="77"/>
      <c r="E2173" s="77"/>
      <c r="F2173" s="77"/>
      <c r="G2173" s="77"/>
      <c r="H2173" s="77"/>
      <c r="I2173" s="77"/>
      <c r="J2173" s="77"/>
      <c r="K2173" s="77"/>
      <c r="L2173" s="77"/>
      <c r="M2173" s="77"/>
      <c r="N2173" s="77"/>
      <c r="O2173" s="77"/>
      <c r="P2173" s="77"/>
      <c r="Q2173" s="77"/>
    </row>
    <row r="2174" spans="3:17" ht="13.2" x14ac:dyDescent="0.25">
      <c r="C2174" s="77"/>
      <c r="D2174" s="77"/>
      <c r="E2174" s="77"/>
      <c r="F2174" s="77"/>
      <c r="G2174" s="77"/>
      <c r="H2174" s="77"/>
      <c r="I2174" s="77"/>
      <c r="J2174" s="77"/>
      <c r="K2174" s="77"/>
      <c r="L2174" s="77"/>
      <c r="M2174" s="77"/>
      <c r="N2174" s="77"/>
      <c r="O2174" s="77"/>
      <c r="P2174" s="77"/>
      <c r="Q2174" s="77"/>
    </row>
    <row r="2175" spans="3:17" ht="13.2" x14ac:dyDescent="0.25">
      <c r="C2175" s="77"/>
      <c r="D2175" s="77"/>
      <c r="E2175" s="77"/>
      <c r="F2175" s="77"/>
      <c r="G2175" s="77"/>
      <c r="H2175" s="77"/>
      <c r="I2175" s="77"/>
      <c r="J2175" s="77"/>
      <c r="K2175" s="77"/>
      <c r="L2175" s="77"/>
      <c r="M2175" s="77"/>
      <c r="N2175" s="77"/>
      <c r="O2175" s="77"/>
      <c r="P2175" s="77"/>
      <c r="Q2175" s="77"/>
    </row>
    <row r="2176" spans="3:17" ht="13.2" x14ac:dyDescent="0.25">
      <c r="C2176" s="77"/>
      <c r="D2176" s="77"/>
      <c r="E2176" s="77"/>
      <c r="F2176" s="77"/>
      <c r="G2176" s="77"/>
      <c r="H2176" s="77"/>
      <c r="I2176" s="77"/>
      <c r="J2176" s="77"/>
      <c r="K2176" s="77"/>
      <c r="L2176" s="77"/>
      <c r="M2176" s="77"/>
      <c r="N2176" s="77"/>
      <c r="O2176" s="77"/>
      <c r="P2176" s="77"/>
      <c r="Q2176" s="77"/>
    </row>
    <row r="2177" spans="3:17" ht="13.2" x14ac:dyDescent="0.25">
      <c r="C2177" s="77"/>
      <c r="D2177" s="77"/>
      <c r="E2177" s="77"/>
      <c r="F2177" s="77"/>
      <c r="G2177" s="77"/>
      <c r="H2177" s="77"/>
      <c r="I2177" s="77"/>
      <c r="J2177" s="77"/>
      <c r="K2177" s="77"/>
      <c r="L2177" s="77"/>
      <c r="M2177" s="77"/>
      <c r="N2177" s="77"/>
      <c r="O2177" s="77"/>
      <c r="P2177" s="77"/>
      <c r="Q2177" s="77"/>
    </row>
    <row r="2178" spans="3:17" ht="13.2" x14ac:dyDescent="0.25">
      <c r="C2178" s="77"/>
      <c r="D2178" s="77"/>
      <c r="E2178" s="77"/>
      <c r="F2178" s="77"/>
      <c r="G2178" s="77"/>
      <c r="H2178" s="77"/>
      <c r="I2178" s="77"/>
      <c r="J2178" s="77"/>
      <c r="K2178" s="77"/>
      <c r="L2178" s="77"/>
      <c r="M2178" s="77"/>
      <c r="N2178" s="77"/>
      <c r="O2178" s="77"/>
      <c r="P2178" s="77"/>
      <c r="Q2178" s="77"/>
    </row>
    <row r="2179" spans="3:17" ht="13.2" x14ac:dyDescent="0.25">
      <c r="C2179" s="77"/>
      <c r="D2179" s="77"/>
      <c r="E2179" s="77"/>
      <c r="F2179" s="77"/>
      <c r="G2179" s="77"/>
      <c r="H2179" s="77"/>
      <c r="I2179" s="77"/>
      <c r="J2179" s="77"/>
      <c r="K2179" s="77"/>
      <c r="L2179" s="77"/>
      <c r="M2179" s="77"/>
      <c r="N2179" s="77"/>
      <c r="O2179" s="77"/>
      <c r="P2179" s="77"/>
      <c r="Q2179" s="77"/>
    </row>
    <row r="2180" spans="3:17" ht="13.2" x14ac:dyDescent="0.25">
      <c r="C2180" s="77"/>
      <c r="D2180" s="77"/>
      <c r="E2180" s="77"/>
      <c r="F2180" s="77"/>
      <c r="G2180" s="77"/>
      <c r="H2180" s="77"/>
      <c r="I2180" s="77"/>
      <c r="J2180" s="77"/>
      <c r="K2180" s="77"/>
      <c r="L2180" s="77"/>
      <c r="M2180" s="77"/>
      <c r="N2180" s="77"/>
      <c r="O2180" s="77"/>
      <c r="P2180" s="77"/>
      <c r="Q2180" s="77"/>
    </row>
    <row r="2181" spans="3:17" ht="13.2" x14ac:dyDescent="0.25">
      <c r="C2181" s="77"/>
      <c r="D2181" s="77"/>
      <c r="E2181" s="77"/>
      <c r="F2181" s="77"/>
      <c r="G2181" s="77"/>
      <c r="H2181" s="77"/>
      <c r="I2181" s="77"/>
      <c r="J2181" s="77"/>
      <c r="K2181" s="77"/>
      <c r="L2181" s="77"/>
      <c r="M2181" s="77"/>
      <c r="N2181" s="77"/>
      <c r="O2181" s="77"/>
      <c r="P2181" s="77"/>
      <c r="Q2181" s="77"/>
    </row>
    <row r="2182" spans="3:17" ht="13.2" x14ac:dyDescent="0.25">
      <c r="C2182" s="77"/>
      <c r="D2182" s="77"/>
      <c r="E2182" s="77"/>
      <c r="F2182" s="77"/>
      <c r="G2182" s="77"/>
      <c r="H2182" s="77"/>
      <c r="I2182" s="77"/>
      <c r="J2182" s="77"/>
      <c r="K2182" s="77"/>
      <c r="L2182" s="77"/>
      <c r="M2182" s="77"/>
      <c r="N2182" s="77"/>
      <c r="O2182" s="77"/>
      <c r="P2182" s="77"/>
      <c r="Q2182" s="77"/>
    </row>
    <row r="2183" spans="3:17" ht="13.2" x14ac:dyDescent="0.25">
      <c r="C2183" s="77"/>
      <c r="D2183" s="77"/>
      <c r="E2183" s="77"/>
      <c r="F2183" s="77"/>
      <c r="G2183" s="77"/>
      <c r="H2183" s="77"/>
      <c r="I2183" s="77"/>
      <c r="J2183" s="77"/>
      <c r="K2183" s="77"/>
      <c r="L2183" s="77"/>
      <c r="M2183" s="77"/>
      <c r="N2183" s="77"/>
      <c r="O2183" s="77"/>
      <c r="P2183" s="77"/>
      <c r="Q2183" s="77"/>
    </row>
    <row r="2184" spans="3:17" ht="13.2" x14ac:dyDescent="0.25">
      <c r="C2184" s="77"/>
      <c r="D2184" s="77"/>
      <c r="E2184" s="77"/>
      <c r="F2184" s="77"/>
      <c r="G2184" s="77"/>
      <c r="H2184" s="77"/>
      <c r="I2184" s="77"/>
      <c r="J2184" s="77"/>
      <c r="K2184" s="77"/>
      <c r="L2184" s="77"/>
      <c r="M2184" s="77"/>
      <c r="N2184" s="77"/>
      <c r="O2184" s="77"/>
      <c r="P2184" s="77"/>
      <c r="Q2184" s="77"/>
    </row>
    <row r="2185" spans="3:17" ht="13.2" x14ac:dyDescent="0.25">
      <c r="C2185" s="77"/>
      <c r="D2185" s="77"/>
      <c r="E2185" s="77"/>
      <c r="F2185" s="77"/>
      <c r="G2185" s="77"/>
      <c r="H2185" s="77"/>
      <c r="I2185" s="77"/>
      <c r="J2185" s="77"/>
      <c r="K2185" s="77"/>
      <c r="L2185" s="77"/>
      <c r="M2185" s="77"/>
      <c r="N2185" s="77"/>
      <c r="O2185" s="77"/>
      <c r="P2185" s="77"/>
      <c r="Q2185" s="77"/>
    </row>
    <row r="2186" spans="3:17" ht="13.2" x14ac:dyDescent="0.25">
      <c r="C2186" s="77"/>
      <c r="D2186" s="77"/>
      <c r="E2186" s="77"/>
      <c r="F2186" s="77"/>
      <c r="G2186" s="77"/>
      <c r="H2186" s="77"/>
      <c r="I2186" s="77"/>
      <c r="J2186" s="77"/>
      <c r="K2186" s="77"/>
      <c r="L2186" s="77"/>
      <c r="M2186" s="77"/>
      <c r="N2186" s="77"/>
      <c r="O2186" s="77"/>
      <c r="P2186" s="77"/>
      <c r="Q2186" s="77"/>
    </row>
    <row r="2187" spans="3:17" ht="13.2" x14ac:dyDescent="0.25">
      <c r="C2187" s="77"/>
      <c r="D2187" s="77"/>
      <c r="E2187" s="77"/>
      <c r="F2187" s="77"/>
      <c r="G2187" s="77"/>
      <c r="H2187" s="77"/>
      <c r="I2187" s="77"/>
      <c r="J2187" s="77"/>
      <c r="K2187" s="77"/>
      <c r="L2187" s="77"/>
      <c r="M2187" s="77"/>
      <c r="N2187" s="77"/>
      <c r="O2187" s="77"/>
      <c r="P2187" s="77"/>
      <c r="Q2187" s="77"/>
    </row>
    <row r="2188" spans="3:17" ht="13.2" x14ac:dyDescent="0.25">
      <c r="C2188" s="77"/>
      <c r="D2188" s="77"/>
      <c r="E2188" s="77"/>
      <c r="F2188" s="77"/>
      <c r="G2188" s="77"/>
      <c r="H2188" s="77"/>
      <c r="I2188" s="77"/>
      <c r="J2188" s="77"/>
      <c r="K2188" s="77"/>
      <c r="L2188" s="77"/>
      <c r="M2188" s="77"/>
      <c r="N2188" s="77"/>
      <c r="O2188" s="77"/>
      <c r="P2188" s="77"/>
      <c r="Q2188" s="77"/>
    </row>
    <row r="2189" spans="3:17" ht="13.2" x14ac:dyDescent="0.25">
      <c r="C2189" s="77"/>
      <c r="D2189" s="77"/>
      <c r="E2189" s="77"/>
      <c r="F2189" s="77"/>
      <c r="G2189" s="77"/>
      <c r="H2189" s="77"/>
      <c r="I2189" s="77"/>
      <c r="J2189" s="77"/>
      <c r="K2189" s="77"/>
      <c r="L2189" s="77"/>
      <c r="M2189" s="77"/>
      <c r="N2189" s="77"/>
      <c r="O2189" s="77"/>
      <c r="P2189" s="77"/>
      <c r="Q2189" s="77"/>
    </row>
    <row r="2190" spans="3:17" ht="13.2" x14ac:dyDescent="0.25">
      <c r="C2190" s="77"/>
      <c r="D2190" s="77"/>
      <c r="E2190" s="77"/>
      <c r="F2190" s="77"/>
      <c r="G2190" s="77"/>
      <c r="H2190" s="77"/>
      <c r="I2190" s="77"/>
      <c r="J2190" s="77"/>
      <c r="K2190" s="77"/>
      <c r="L2190" s="77"/>
      <c r="M2190" s="77"/>
      <c r="N2190" s="77"/>
      <c r="O2190" s="77"/>
      <c r="P2190" s="77"/>
      <c r="Q2190" s="77"/>
    </row>
    <row r="2191" spans="3:17" ht="13.2" x14ac:dyDescent="0.25">
      <c r="C2191" s="77"/>
      <c r="D2191" s="77"/>
      <c r="E2191" s="77"/>
      <c r="F2191" s="77"/>
      <c r="G2191" s="77"/>
      <c r="H2191" s="77"/>
      <c r="I2191" s="77"/>
      <c r="J2191" s="77"/>
      <c r="K2191" s="77"/>
      <c r="L2191" s="77"/>
      <c r="M2191" s="77"/>
      <c r="N2191" s="77"/>
      <c r="O2191" s="77"/>
      <c r="P2191" s="77"/>
      <c r="Q2191" s="77"/>
    </row>
    <row r="2192" spans="3:17" ht="13.2" x14ac:dyDescent="0.25">
      <c r="C2192" s="77"/>
      <c r="D2192" s="77"/>
      <c r="E2192" s="77"/>
      <c r="F2192" s="77"/>
      <c r="G2192" s="77"/>
      <c r="H2192" s="77"/>
      <c r="I2192" s="77"/>
      <c r="J2192" s="77"/>
      <c r="K2192" s="77"/>
      <c r="L2192" s="77"/>
      <c r="M2192" s="77"/>
      <c r="N2192" s="77"/>
      <c r="O2192" s="77"/>
      <c r="P2192" s="77"/>
      <c r="Q2192" s="77"/>
    </row>
    <row r="2193" spans="3:17" ht="13.2" x14ac:dyDescent="0.25">
      <c r="C2193" s="77"/>
      <c r="D2193" s="77"/>
      <c r="E2193" s="77"/>
      <c r="F2193" s="77"/>
      <c r="G2193" s="77"/>
      <c r="H2193" s="77"/>
      <c r="I2193" s="77"/>
      <c r="J2193" s="77"/>
      <c r="K2193" s="77"/>
      <c r="L2193" s="77"/>
      <c r="M2193" s="77"/>
      <c r="N2193" s="77"/>
      <c r="O2193" s="77"/>
      <c r="P2193" s="77"/>
      <c r="Q2193" s="77"/>
    </row>
    <row r="2194" spans="3:17" ht="13.2" x14ac:dyDescent="0.25">
      <c r="C2194" s="77"/>
      <c r="D2194" s="77"/>
      <c r="E2194" s="77"/>
      <c r="F2194" s="77"/>
      <c r="G2194" s="77"/>
      <c r="H2194" s="77"/>
      <c r="I2194" s="77"/>
      <c r="J2194" s="77"/>
      <c r="K2194" s="77"/>
      <c r="L2194" s="77"/>
      <c r="M2194" s="77"/>
      <c r="N2194" s="77"/>
      <c r="O2194" s="77"/>
      <c r="P2194" s="77"/>
      <c r="Q2194" s="77"/>
    </row>
    <row r="2195" spans="3:17" ht="13.2" x14ac:dyDescent="0.25">
      <c r="C2195" s="77"/>
      <c r="D2195" s="77"/>
      <c r="E2195" s="77"/>
      <c r="F2195" s="77"/>
      <c r="G2195" s="77"/>
      <c r="H2195" s="77"/>
      <c r="I2195" s="77"/>
      <c r="J2195" s="77"/>
      <c r="K2195" s="77"/>
      <c r="L2195" s="77"/>
      <c r="M2195" s="77"/>
      <c r="N2195" s="77"/>
      <c r="O2195" s="77"/>
      <c r="P2195" s="77"/>
      <c r="Q2195" s="77"/>
    </row>
    <row r="2196" spans="3:17" ht="13.2" x14ac:dyDescent="0.25">
      <c r="C2196" s="77"/>
      <c r="D2196" s="77"/>
      <c r="E2196" s="77"/>
      <c r="F2196" s="77"/>
      <c r="G2196" s="77"/>
      <c r="H2196" s="77"/>
      <c r="I2196" s="77"/>
      <c r="J2196" s="77"/>
      <c r="K2196" s="77"/>
      <c r="L2196" s="77"/>
      <c r="M2196" s="77"/>
      <c r="N2196" s="77"/>
      <c r="O2196" s="77"/>
      <c r="P2196" s="77"/>
      <c r="Q2196" s="77"/>
    </row>
    <row r="2197" spans="3:17" ht="13.2" x14ac:dyDescent="0.25">
      <c r="C2197" s="77"/>
      <c r="D2197" s="77"/>
      <c r="E2197" s="77"/>
      <c r="F2197" s="77"/>
      <c r="G2197" s="77"/>
      <c r="H2197" s="77"/>
      <c r="I2197" s="77"/>
      <c r="J2197" s="77"/>
      <c r="K2197" s="77"/>
      <c r="L2197" s="77"/>
      <c r="M2197" s="77"/>
      <c r="N2197" s="77"/>
      <c r="O2197" s="77"/>
      <c r="P2197" s="77"/>
      <c r="Q2197" s="77"/>
    </row>
    <row r="2198" spans="3:17" ht="13.2" x14ac:dyDescent="0.25">
      <c r="C2198" s="77"/>
      <c r="D2198" s="77"/>
      <c r="E2198" s="77"/>
      <c r="F2198" s="77"/>
      <c r="G2198" s="77"/>
      <c r="H2198" s="77"/>
      <c r="I2198" s="77"/>
      <c r="J2198" s="77"/>
      <c r="K2198" s="77"/>
      <c r="L2198" s="77"/>
      <c r="M2198" s="77"/>
      <c r="N2198" s="77"/>
      <c r="O2198" s="77"/>
      <c r="P2198" s="77"/>
      <c r="Q2198" s="77"/>
    </row>
    <row r="2199" spans="3:17" ht="13.2" x14ac:dyDescent="0.25">
      <c r="C2199" s="77"/>
      <c r="D2199" s="77"/>
      <c r="E2199" s="77"/>
      <c r="F2199" s="77"/>
      <c r="G2199" s="77"/>
      <c r="H2199" s="77"/>
      <c r="I2199" s="77"/>
      <c r="J2199" s="77"/>
      <c r="K2199" s="77"/>
      <c r="L2199" s="77"/>
      <c r="M2199" s="77"/>
      <c r="N2199" s="77"/>
      <c r="O2199" s="77"/>
      <c r="P2199" s="77"/>
      <c r="Q2199" s="77"/>
    </row>
    <row r="2200" spans="3:17" ht="13.2" x14ac:dyDescent="0.25">
      <c r="C2200" s="77"/>
      <c r="D2200" s="77"/>
      <c r="E2200" s="77"/>
      <c r="F2200" s="77"/>
      <c r="G2200" s="77"/>
      <c r="H2200" s="77"/>
      <c r="I2200" s="77"/>
      <c r="J2200" s="77"/>
      <c r="K2200" s="77"/>
      <c r="L2200" s="77"/>
      <c r="M2200" s="77"/>
      <c r="N2200" s="77"/>
      <c r="O2200" s="77"/>
      <c r="P2200" s="77"/>
      <c r="Q2200" s="77"/>
    </row>
    <row r="2201" spans="3:17" ht="13.2" x14ac:dyDescent="0.25">
      <c r="C2201" s="77"/>
      <c r="D2201" s="77"/>
      <c r="E2201" s="77"/>
      <c r="F2201" s="77"/>
      <c r="G2201" s="77"/>
      <c r="H2201" s="77"/>
      <c r="I2201" s="77"/>
      <c r="J2201" s="77"/>
      <c r="K2201" s="77"/>
      <c r="L2201" s="77"/>
      <c r="M2201" s="77"/>
      <c r="N2201" s="77"/>
      <c r="O2201" s="77"/>
      <c r="P2201" s="77"/>
      <c r="Q2201" s="77"/>
    </row>
    <row r="2202" spans="3:17" ht="13.2" x14ac:dyDescent="0.25">
      <c r="C2202" s="77"/>
      <c r="D2202" s="77"/>
      <c r="E2202" s="77"/>
      <c r="F2202" s="77"/>
      <c r="G2202" s="77"/>
      <c r="H2202" s="77"/>
      <c r="I2202" s="77"/>
      <c r="J2202" s="77"/>
      <c r="K2202" s="77"/>
      <c r="L2202" s="77"/>
      <c r="M2202" s="77"/>
      <c r="N2202" s="77"/>
      <c r="O2202" s="77"/>
      <c r="P2202" s="77"/>
      <c r="Q2202" s="77"/>
    </row>
    <row r="2203" spans="3:17" ht="13.2" x14ac:dyDescent="0.25">
      <c r="C2203" s="77"/>
      <c r="D2203" s="77"/>
      <c r="E2203" s="77"/>
      <c r="F2203" s="77"/>
      <c r="G2203" s="77"/>
      <c r="H2203" s="77"/>
      <c r="I2203" s="77"/>
      <c r="J2203" s="77"/>
      <c r="K2203" s="77"/>
      <c r="L2203" s="77"/>
      <c r="M2203" s="77"/>
      <c r="N2203" s="77"/>
      <c r="O2203" s="77"/>
      <c r="P2203" s="77"/>
      <c r="Q2203" s="77"/>
    </row>
    <row r="2204" spans="3:17" ht="13.2" x14ac:dyDescent="0.25">
      <c r="C2204" s="77"/>
      <c r="D2204" s="77"/>
      <c r="E2204" s="77"/>
      <c r="F2204" s="77"/>
      <c r="G2204" s="77"/>
      <c r="H2204" s="77"/>
      <c r="I2204" s="77"/>
      <c r="J2204" s="77"/>
      <c r="K2204" s="77"/>
      <c r="L2204" s="77"/>
      <c r="M2204" s="77"/>
      <c r="N2204" s="77"/>
      <c r="O2204" s="77"/>
      <c r="P2204" s="77"/>
      <c r="Q2204" s="77"/>
    </row>
    <row r="2205" spans="3:17" ht="13.2" x14ac:dyDescent="0.25">
      <c r="C2205" s="77"/>
      <c r="D2205" s="77"/>
      <c r="E2205" s="77"/>
      <c r="F2205" s="77"/>
      <c r="G2205" s="77"/>
      <c r="H2205" s="77"/>
      <c r="I2205" s="77"/>
      <c r="J2205" s="77"/>
      <c r="K2205" s="77"/>
      <c r="L2205" s="77"/>
      <c r="M2205" s="77"/>
      <c r="N2205" s="77"/>
      <c r="O2205" s="77"/>
      <c r="P2205" s="77"/>
      <c r="Q2205" s="77"/>
    </row>
    <row r="2206" spans="3:17" ht="13.2" x14ac:dyDescent="0.25">
      <c r="C2206" s="77"/>
      <c r="D2206" s="77"/>
      <c r="E2206" s="77"/>
      <c r="F2206" s="77"/>
      <c r="G2206" s="77"/>
      <c r="H2206" s="77"/>
      <c r="I2206" s="77"/>
      <c r="J2206" s="77"/>
      <c r="K2206" s="77"/>
      <c r="L2206" s="77"/>
      <c r="M2206" s="77"/>
      <c r="N2206" s="77"/>
      <c r="O2206" s="77"/>
      <c r="P2206" s="77"/>
      <c r="Q2206" s="77"/>
    </row>
    <row r="2207" spans="3:17" ht="13.2" x14ac:dyDescent="0.25">
      <c r="C2207" s="77"/>
      <c r="D2207" s="77"/>
      <c r="E2207" s="77"/>
      <c r="F2207" s="77"/>
      <c r="G2207" s="77"/>
      <c r="H2207" s="77"/>
      <c r="I2207" s="77"/>
      <c r="J2207" s="77"/>
      <c r="K2207" s="77"/>
      <c r="L2207" s="77"/>
      <c r="M2207" s="77"/>
      <c r="N2207" s="77"/>
      <c r="O2207" s="77"/>
      <c r="P2207" s="77"/>
      <c r="Q2207" s="77"/>
    </row>
    <row r="2208" spans="3:17" ht="13.2" x14ac:dyDescent="0.25">
      <c r="C2208" s="77"/>
      <c r="D2208" s="77"/>
      <c r="E2208" s="77"/>
      <c r="F2208" s="77"/>
      <c r="G2208" s="77"/>
      <c r="H2208" s="77"/>
      <c r="I2208" s="77"/>
      <c r="J2208" s="77"/>
      <c r="K2208" s="77"/>
      <c r="L2208" s="77"/>
      <c r="M2208" s="77"/>
      <c r="N2208" s="77"/>
      <c r="O2208" s="77"/>
      <c r="P2208" s="77"/>
      <c r="Q2208" s="77"/>
    </row>
    <row r="2209" spans="3:17" ht="13.2" x14ac:dyDescent="0.25">
      <c r="C2209" s="77"/>
      <c r="D2209" s="77"/>
      <c r="E2209" s="77"/>
      <c r="F2209" s="77"/>
      <c r="G2209" s="77"/>
      <c r="H2209" s="77"/>
      <c r="I2209" s="77"/>
      <c r="J2209" s="77"/>
      <c r="K2209" s="77"/>
      <c r="L2209" s="77"/>
      <c r="M2209" s="77"/>
      <c r="N2209" s="77"/>
      <c r="O2209" s="77"/>
      <c r="P2209" s="77"/>
      <c r="Q2209" s="77"/>
    </row>
    <row r="2210" spans="3:17" ht="13.2" x14ac:dyDescent="0.25">
      <c r="C2210" s="77"/>
      <c r="D2210" s="77"/>
      <c r="E2210" s="77"/>
      <c r="F2210" s="77"/>
      <c r="G2210" s="77"/>
      <c r="H2210" s="77"/>
      <c r="I2210" s="77"/>
      <c r="J2210" s="77"/>
      <c r="K2210" s="77"/>
      <c r="L2210" s="77"/>
      <c r="M2210" s="77"/>
      <c r="N2210" s="77"/>
      <c r="O2210" s="77"/>
      <c r="P2210" s="77"/>
      <c r="Q2210" s="77"/>
    </row>
    <row r="2211" spans="3:17" ht="13.2" x14ac:dyDescent="0.25">
      <c r="C2211" s="77"/>
      <c r="D2211" s="77"/>
      <c r="E2211" s="77"/>
      <c r="F2211" s="77"/>
      <c r="G2211" s="77"/>
      <c r="H2211" s="77"/>
      <c r="I2211" s="77"/>
      <c r="J2211" s="77"/>
      <c r="K2211" s="77"/>
      <c r="L2211" s="77"/>
      <c r="M2211" s="77"/>
      <c r="N2211" s="77"/>
      <c r="O2211" s="77"/>
      <c r="P2211" s="77"/>
      <c r="Q2211" s="77"/>
    </row>
    <row r="2212" spans="3:17" ht="13.2" x14ac:dyDescent="0.25">
      <c r="C2212" s="77"/>
      <c r="D2212" s="77"/>
      <c r="E2212" s="77"/>
      <c r="F2212" s="77"/>
      <c r="G2212" s="77"/>
      <c r="H2212" s="77"/>
      <c r="I2212" s="77"/>
      <c r="J2212" s="77"/>
      <c r="K2212" s="77"/>
      <c r="L2212" s="77"/>
      <c r="M2212" s="77"/>
      <c r="N2212" s="77"/>
      <c r="O2212" s="77"/>
      <c r="P2212" s="77"/>
      <c r="Q2212" s="77"/>
    </row>
    <row r="2213" spans="3:17" ht="13.2" x14ac:dyDescent="0.25">
      <c r="C2213" s="77"/>
      <c r="D2213" s="77"/>
      <c r="E2213" s="77"/>
      <c r="F2213" s="77"/>
      <c r="G2213" s="77"/>
      <c r="H2213" s="77"/>
      <c r="I2213" s="77"/>
      <c r="J2213" s="77"/>
      <c r="K2213" s="77"/>
      <c r="L2213" s="77"/>
      <c r="M2213" s="77"/>
      <c r="N2213" s="77"/>
      <c r="O2213" s="77"/>
      <c r="P2213" s="77"/>
      <c r="Q2213" s="77"/>
    </row>
    <row r="2214" spans="3:17" ht="13.2" x14ac:dyDescent="0.25">
      <c r="C2214" s="77"/>
      <c r="D2214" s="77"/>
      <c r="E2214" s="77"/>
      <c r="F2214" s="77"/>
      <c r="G2214" s="77"/>
      <c r="H2214" s="77"/>
      <c r="I2214" s="77"/>
      <c r="J2214" s="77"/>
      <c r="K2214" s="77"/>
      <c r="L2214" s="77"/>
      <c r="M2214" s="77"/>
      <c r="N2214" s="77"/>
      <c r="O2214" s="77"/>
      <c r="P2214" s="77"/>
      <c r="Q2214" s="77"/>
    </row>
    <row r="2215" spans="3:17" ht="13.2" x14ac:dyDescent="0.25">
      <c r="C2215" s="77"/>
      <c r="D2215" s="77"/>
      <c r="E2215" s="77"/>
      <c r="F2215" s="77"/>
      <c r="G2215" s="77"/>
      <c r="H2215" s="77"/>
      <c r="I2215" s="77"/>
      <c r="J2215" s="77"/>
      <c r="K2215" s="77"/>
      <c r="L2215" s="77"/>
      <c r="M2215" s="77"/>
      <c r="N2215" s="77"/>
      <c r="O2215" s="77"/>
      <c r="P2215" s="77"/>
      <c r="Q2215" s="77"/>
    </row>
    <row r="2216" spans="3:17" ht="13.2" x14ac:dyDescent="0.25">
      <c r="C2216" s="77"/>
      <c r="D2216" s="77"/>
      <c r="E2216" s="77"/>
      <c r="F2216" s="77"/>
      <c r="G2216" s="77"/>
      <c r="H2216" s="77"/>
      <c r="I2216" s="77"/>
      <c r="J2216" s="77"/>
      <c r="K2216" s="77"/>
      <c r="L2216" s="77"/>
      <c r="M2216" s="77"/>
      <c r="N2216" s="77"/>
      <c r="O2216" s="77"/>
      <c r="P2216" s="77"/>
      <c r="Q2216" s="77"/>
    </row>
    <row r="2217" spans="3:17" ht="13.2" x14ac:dyDescent="0.25">
      <c r="C2217" s="77"/>
      <c r="D2217" s="77"/>
      <c r="E2217" s="77"/>
      <c r="F2217" s="77"/>
      <c r="G2217" s="77"/>
      <c r="H2217" s="77"/>
      <c r="I2217" s="77"/>
      <c r="J2217" s="77"/>
      <c r="K2217" s="77"/>
      <c r="L2217" s="77"/>
      <c r="M2217" s="77"/>
      <c r="N2217" s="77"/>
      <c r="O2217" s="77"/>
      <c r="P2217" s="77"/>
      <c r="Q2217" s="77"/>
    </row>
    <row r="2218" spans="3:17" ht="13.2" x14ac:dyDescent="0.25">
      <c r="C2218" s="77"/>
      <c r="D2218" s="77"/>
      <c r="E2218" s="77"/>
      <c r="F2218" s="77"/>
      <c r="G2218" s="77"/>
      <c r="H2218" s="77"/>
      <c r="I2218" s="77"/>
      <c r="J2218" s="77"/>
      <c r="K2218" s="77"/>
      <c r="L2218" s="77"/>
      <c r="M2218" s="77"/>
      <c r="N2218" s="77"/>
      <c r="O2218" s="77"/>
      <c r="P2218" s="77"/>
      <c r="Q2218" s="77"/>
    </row>
    <row r="2219" spans="3:17" ht="13.2" x14ac:dyDescent="0.25">
      <c r="C2219" s="77"/>
      <c r="D2219" s="77"/>
      <c r="E2219" s="77"/>
      <c r="F2219" s="77"/>
      <c r="G2219" s="77"/>
      <c r="H2219" s="77"/>
      <c r="I2219" s="77"/>
      <c r="J2219" s="77"/>
      <c r="K2219" s="77"/>
      <c r="L2219" s="77"/>
      <c r="M2219" s="77"/>
      <c r="N2219" s="77"/>
      <c r="O2219" s="77"/>
      <c r="P2219" s="77"/>
      <c r="Q2219" s="77"/>
    </row>
    <row r="2220" spans="3:17" ht="13.2" x14ac:dyDescent="0.25">
      <c r="C2220" s="77"/>
      <c r="D2220" s="77"/>
      <c r="E2220" s="77"/>
      <c r="F2220" s="77"/>
      <c r="G2220" s="77"/>
      <c r="H2220" s="77"/>
      <c r="I2220" s="77"/>
      <c r="J2220" s="77"/>
      <c r="K2220" s="77"/>
      <c r="L2220" s="77"/>
      <c r="M2220" s="77"/>
      <c r="N2220" s="77"/>
      <c r="O2220" s="77"/>
      <c r="P2220" s="77"/>
      <c r="Q2220" s="77"/>
    </row>
    <row r="2221" spans="3:17" ht="13.2" x14ac:dyDescent="0.25">
      <c r="C2221" s="77"/>
      <c r="D2221" s="77"/>
      <c r="E2221" s="77"/>
      <c r="F2221" s="77"/>
      <c r="G2221" s="77"/>
      <c r="H2221" s="77"/>
      <c r="I2221" s="77"/>
      <c r="J2221" s="77"/>
      <c r="K2221" s="77"/>
      <c r="L2221" s="77"/>
      <c r="M2221" s="77"/>
      <c r="N2221" s="77"/>
      <c r="O2221" s="77"/>
      <c r="P2221" s="77"/>
      <c r="Q2221" s="77"/>
    </row>
    <row r="2222" spans="3:17" ht="13.2" x14ac:dyDescent="0.25">
      <c r="C2222" s="77"/>
      <c r="D2222" s="77"/>
      <c r="E2222" s="77"/>
      <c r="F2222" s="77"/>
      <c r="G2222" s="77"/>
      <c r="H2222" s="77"/>
      <c r="I2222" s="77"/>
      <c r="J2222" s="77"/>
      <c r="K2222" s="77"/>
      <c r="L2222" s="77"/>
      <c r="M2222" s="77"/>
      <c r="N2222" s="77"/>
      <c r="O2222" s="77"/>
      <c r="P2222" s="77"/>
      <c r="Q2222" s="77"/>
    </row>
    <row r="2223" spans="3:17" ht="13.2" x14ac:dyDescent="0.25">
      <c r="C2223" s="77"/>
      <c r="D2223" s="77"/>
      <c r="E2223" s="77"/>
      <c r="F2223" s="77"/>
      <c r="G2223" s="77"/>
      <c r="H2223" s="77"/>
      <c r="I2223" s="77"/>
      <c r="J2223" s="77"/>
      <c r="K2223" s="77"/>
      <c r="L2223" s="77"/>
      <c r="M2223" s="77"/>
      <c r="N2223" s="77"/>
      <c r="O2223" s="77"/>
      <c r="P2223" s="77"/>
      <c r="Q2223" s="77"/>
    </row>
    <row r="2224" spans="3:17" ht="13.2" x14ac:dyDescent="0.25">
      <c r="C2224" s="77"/>
      <c r="D2224" s="77"/>
      <c r="E2224" s="77"/>
      <c r="F2224" s="77"/>
      <c r="G2224" s="77"/>
      <c r="H2224" s="77"/>
      <c r="I2224" s="77"/>
      <c r="J2224" s="77"/>
      <c r="K2224" s="77"/>
      <c r="L2224" s="77"/>
      <c r="M2224" s="77"/>
      <c r="N2224" s="77"/>
      <c r="O2224" s="77"/>
      <c r="P2224" s="77"/>
      <c r="Q2224" s="77"/>
    </row>
    <row r="2225" spans="3:17" ht="13.2" x14ac:dyDescent="0.25">
      <c r="C2225" s="77"/>
      <c r="D2225" s="77"/>
      <c r="E2225" s="77"/>
      <c r="F2225" s="77"/>
      <c r="G2225" s="77"/>
      <c r="H2225" s="77"/>
      <c r="I2225" s="77"/>
      <c r="J2225" s="77"/>
      <c r="K2225" s="77"/>
      <c r="L2225" s="77"/>
      <c r="M2225" s="77"/>
      <c r="N2225" s="77"/>
      <c r="O2225" s="77"/>
      <c r="P2225" s="77"/>
      <c r="Q2225" s="77"/>
    </row>
    <row r="2226" spans="3:17" ht="13.2" x14ac:dyDescent="0.25">
      <c r="C2226" s="77"/>
      <c r="D2226" s="77"/>
      <c r="E2226" s="77"/>
      <c r="F2226" s="77"/>
      <c r="G2226" s="77"/>
      <c r="H2226" s="77"/>
      <c r="I2226" s="77"/>
      <c r="J2226" s="77"/>
      <c r="K2226" s="77"/>
      <c r="L2226" s="77"/>
      <c r="M2226" s="77"/>
      <c r="N2226" s="77"/>
      <c r="O2226" s="77"/>
      <c r="P2226" s="77"/>
      <c r="Q2226" s="77"/>
    </row>
    <row r="2227" spans="3:17" ht="13.2" x14ac:dyDescent="0.25">
      <c r="C2227" s="77"/>
      <c r="D2227" s="77"/>
      <c r="E2227" s="77"/>
      <c r="F2227" s="77"/>
      <c r="G2227" s="77"/>
      <c r="H2227" s="77"/>
      <c r="I2227" s="77"/>
      <c r="J2227" s="77"/>
      <c r="K2227" s="77"/>
      <c r="L2227" s="77"/>
      <c r="M2227" s="77"/>
      <c r="N2227" s="77"/>
      <c r="O2227" s="77"/>
      <c r="P2227" s="77"/>
      <c r="Q2227" s="77"/>
    </row>
    <row r="2228" spans="3:17" ht="13.2" x14ac:dyDescent="0.25">
      <c r="C2228" s="77"/>
      <c r="D2228" s="77"/>
      <c r="E2228" s="77"/>
      <c r="F2228" s="77"/>
      <c r="G2228" s="77"/>
      <c r="H2228" s="77"/>
      <c r="I2228" s="77"/>
      <c r="J2228" s="77"/>
      <c r="K2228" s="77"/>
      <c r="L2228" s="77"/>
      <c r="M2228" s="77"/>
      <c r="N2228" s="77"/>
      <c r="O2228" s="77"/>
      <c r="P2228" s="77"/>
      <c r="Q2228" s="77"/>
    </row>
    <row r="2229" spans="3:17" ht="13.2" x14ac:dyDescent="0.25">
      <c r="C2229" s="77"/>
      <c r="D2229" s="77"/>
      <c r="E2229" s="77"/>
      <c r="F2229" s="77"/>
      <c r="G2229" s="77"/>
      <c r="H2229" s="77"/>
      <c r="I2229" s="77"/>
      <c r="J2229" s="77"/>
      <c r="K2229" s="77"/>
      <c r="L2229" s="77"/>
      <c r="M2229" s="77"/>
      <c r="N2229" s="77"/>
      <c r="O2229" s="77"/>
      <c r="P2229" s="77"/>
      <c r="Q2229" s="77"/>
    </row>
    <row r="2230" spans="3:17" ht="13.2" x14ac:dyDescent="0.25">
      <c r="C2230" s="77"/>
      <c r="D2230" s="77"/>
      <c r="E2230" s="77"/>
      <c r="F2230" s="77"/>
      <c r="G2230" s="77"/>
      <c r="H2230" s="77"/>
      <c r="I2230" s="77"/>
      <c r="J2230" s="77"/>
      <c r="K2230" s="77"/>
      <c r="L2230" s="77"/>
      <c r="M2230" s="77"/>
      <c r="N2230" s="77"/>
      <c r="O2230" s="77"/>
      <c r="P2230" s="77"/>
      <c r="Q2230" s="77"/>
    </row>
    <row r="2231" spans="3:17" ht="13.2" x14ac:dyDescent="0.25">
      <c r="C2231" s="77"/>
      <c r="D2231" s="77"/>
      <c r="E2231" s="77"/>
      <c r="F2231" s="77"/>
      <c r="G2231" s="77"/>
      <c r="H2231" s="77"/>
      <c r="I2231" s="77"/>
      <c r="J2231" s="77"/>
      <c r="K2231" s="77"/>
      <c r="L2231" s="77"/>
      <c r="M2231" s="77"/>
      <c r="N2231" s="77"/>
      <c r="O2231" s="77"/>
      <c r="P2231" s="77"/>
      <c r="Q2231" s="77"/>
    </row>
    <row r="2232" spans="3:17" ht="13.2" x14ac:dyDescent="0.25">
      <c r="C2232" s="77"/>
      <c r="D2232" s="77"/>
      <c r="E2232" s="77"/>
      <c r="F2232" s="77"/>
      <c r="G2232" s="77"/>
      <c r="H2232" s="77"/>
      <c r="I2232" s="77"/>
      <c r="J2232" s="77"/>
      <c r="K2232" s="77"/>
      <c r="L2232" s="77"/>
      <c r="M2232" s="77"/>
      <c r="N2232" s="77"/>
      <c r="O2232" s="77"/>
      <c r="P2232" s="77"/>
      <c r="Q2232" s="77"/>
    </row>
    <row r="2233" spans="3:17" ht="13.2" x14ac:dyDescent="0.25">
      <c r="C2233" s="77"/>
      <c r="D2233" s="77"/>
      <c r="E2233" s="77"/>
      <c r="F2233" s="77"/>
      <c r="G2233" s="77"/>
      <c r="H2233" s="77"/>
      <c r="I2233" s="77"/>
      <c r="J2233" s="77"/>
      <c r="K2233" s="77"/>
      <c r="L2233" s="77"/>
      <c r="M2233" s="77"/>
      <c r="N2233" s="77"/>
      <c r="O2233" s="77"/>
      <c r="P2233" s="77"/>
      <c r="Q2233" s="77"/>
    </row>
    <row r="2234" spans="3:17" ht="13.2" x14ac:dyDescent="0.25">
      <c r="C2234" s="77"/>
      <c r="D2234" s="77"/>
      <c r="E2234" s="77"/>
      <c r="F2234" s="77"/>
      <c r="G2234" s="77"/>
      <c r="H2234" s="77"/>
      <c r="I2234" s="77"/>
      <c r="J2234" s="77"/>
      <c r="K2234" s="77"/>
      <c r="L2234" s="77"/>
      <c r="M2234" s="77"/>
      <c r="N2234" s="77"/>
      <c r="O2234" s="77"/>
      <c r="P2234" s="77"/>
      <c r="Q2234" s="77"/>
    </row>
    <row r="2235" spans="3:17" ht="13.2" x14ac:dyDescent="0.25">
      <c r="C2235" s="77"/>
      <c r="D2235" s="77"/>
      <c r="E2235" s="77"/>
      <c r="F2235" s="77"/>
      <c r="G2235" s="77"/>
      <c r="H2235" s="77"/>
      <c r="I2235" s="77"/>
      <c r="J2235" s="77"/>
      <c r="K2235" s="77"/>
      <c r="L2235" s="77"/>
      <c r="M2235" s="77"/>
      <c r="N2235" s="77"/>
      <c r="O2235" s="77"/>
      <c r="P2235" s="77"/>
      <c r="Q2235" s="77"/>
    </row>
    <row r="2236" spans="3:17" ht="13.2" x14ac:dyDescent="0.25">
      <c r="C2236" s="77"/>
      <c r="D2236" s="77"/>
      <c r="E2236" s="77"/>
      <c r="F2236" s="77"/>
      <c r="G2236" s="77"/>
      <c r="H2236" s="77"/>
      <c r="I2236" s="77"/>
      <c r="J2236" s="77"/>
      <c r="K2236" s="77"/>
      <c r="L2236" s="77"/>
      <c r="M2236" s="77"/>
      <c r="N2236" s="77"/>
      <c r="O2236" s="77"/>
      <c r="P2236" s="77"/>
      <c r="Q2236" s="77"/>
    </row>
    <row r="2237" spans="3:17" ht="13.2" x14ac:dyDescent="0.25">
      <c r="C2237" s="77"/>
      <c r="D2237" s="77"/>
      <c r="E2237" s="77"/>
      <c r="F2237" s="77"/>
      <c r="G2237" s="77"/>
      <c r="H2237" s="77"/>
      <c r="I2237" s="77"/>
      <c r="J2237" s="77"/>
      <c r="K2237" s="77"/>
      <c r="L2237" s="77"/>
      <c r="M2237" s="77"/>
      <c r="N2237" s="77"/>
      <c r="O2237" s="77"/>
      <c r="P2237" s="77"/>
      <c r="Q2237" s="77"/>
    </row>
    <row r="2238" spans="3:17" ht="13.2" x14ac:dyDescent="0.25">
      <c r="C2238" s="77"/>
      <c r="D2238" s="77"/>
      <c r="E2238" s="77"/>
      <c r="F2238" s="77"/>
      <c r="G2238" s="77"/>
      <c r="H2238" s="77"/>
      <c r="I2238" s="77"/>
      <c r="J2238" s="77"/>
      <c r="K2238" s="77"/>
      <c r="L2238" s="77"/>
      <c r="M2238" s="77"/>
      <c r="N2238" s="77"/>
      <c r="O2238" s="77"/>
      <c r="P2238" s="77"/>
      <c r="Q2238" s="77"/>
    </row>
    <row r="2239" spans="3:17" ht="13.2" x14ac:dyDescent="0.25">
      <c r="C2239" s="77"/>
      <c r="D2239" s="77"/>
      <c r="E2239" s="77"/>
      <c r="F2239" s="77"/>
      <c r="G2239" s="77"/>
      <c r="H2239" s="77"/>
      <c r="I2239" s="77"/>
      <c r="J2239" s="77"/>
      <c r="K2239" s="77"/>
      <c r="L2239" s="77"/>
      <c r="M2239" s="77"/>
      <c r="N2239" s="77"/>
      <c r="O2239" s="77"/>
      <c r="P2239" s="77"/>
      <c r="Q2239" s="77"/>
    </row>
    <row r="2240" spans="3:17" ht="13.2" x14ac:dyDescent="0.25">
      <c r="C2240" s="77"/>
      <c r="D2240" s="77"/>
      <c r="E2240" s="77"/>
      <c r="F2240" s="77"/>
      <c r="G2240" s="77"/>
      <c r="H2240" s="77"/>
      <c r="I2240" s="77"/>
      <c r="J2240" s="77"/>
      <c r="K2240" s="77"/>
      <c r="L2240" s="77"/>
      <c r="M2240" s="77"/>
      <c r="N2240" s="77"/>
      <c r="O2240" s="77"/>
      <c r="P2240" s="77"/>
      <c r="Q2240" s="77"/>
    </row>
    <row r="2241" spans="3:17" ht="13.2" x14ac:dyDescent="0.25">
      <c r="C2241" s="77"/>
      <c r="D2241" s="77"/>
      <c r="E2241" s="77"/>
      <c r="F2241" s="77"/>
      <c r="G2241" s="77"/>
      <c r="H2241" s="77"/>
      <c r="I2241" s="77"/>
      <c r="J2241" s="77"/>
      <c r="K2241" s="77"/>
      <c r="L2241" s="77"/>
      <c r="M2241" s="77"/>
      <c r="N2241" s="77"/>
      <c r="O2241" s="77"/>
      <c r="P2241" s="77"/>
      <c r="Q2241" s="77"/>
    </row>
    <row r="2242" spans="3:17" ht="13.2" x14ac:dyDescent="0.25">
      <c r="C2242" s="77"/>
      <c r="D2242" s="77"/>
      <c r="E2242" s="77"/>
      <c r="F2242" s="77"/>
      <c r="G2242" s="77"/>
      <c r="H2242" s="77"/>
      <c r="I2242" s="77"/>
      <c r="J2242" s="77"/>
      <c r="K2242" s="77"/>
      <c r="L2242" s="77"/>
      <c r="M2242" s="77"/>
      <c r="N2242" s="77"/>
      <c r="O2242" s="77"/>
      <c r="P2242" s="77"/>
      <c r="Q2242" s="77"/>
    </row>
    <row r="2243" spans="3:17" ht="13.2" x14ac:dyDescent="0.25">
      <c r="C2243" s="77"/>
      <c r="D2243" s="77"/>
      <c r="E2243" s="77"/>
      <c r="F2243" s="77"/>
      <c r="G2243" s="77"/>
      <c r="H2243" s="77"/>
      <c r="I2243" s="77"/>
      <c r="J2243" s="77"/>
      <c r="K2243" s="77"/>
      <c r="L2243" s="77"/>
      <c r="M2243" s="77"/>
      <c r="N2243" s="77"/>
      <c r="O2243" s="77"/>
      <c r="P2243" s="77"/>
      <c r="Q2243" s="77"/>
    </row>
    <row r="2244" spans="3:17" ht="13.2" x14ac:dyDescent="0.25">
      <c r="C2244" s="77"/>
      <c r="D2244" s="77"/>
      <c r="E2244" s="77"/>
      <c r="F2244" s="77"/>
      <c r="G2244" s="77"/>
      <c r="H2244" s="77"/>
      <c r="I2244" s="77"/>
      <c r="J2244" s="77"/>
      <c r="K2244" s="77"/>
      <c r="L2244" s="77"/>
      <c r="M2244" s="77"/>
      <c r="N2244" s="77"/>
      <c r="O2244" s="77"/>
      <c r="P2244" s="77"/>
      <c r="Q2244" s="77"/>
    </row>
    <row r="2245" spans="3:17" ht="13.2" x14ac:dyDescent="0.25">
      <c r="C2245" s="77"/>
      <c r="D2245" s="77"/>
      <c r="E2245" s="77"/>
      <c r="F2245" s="77"/>
      <c r="G2245" s="77"/>
      <c r="H2245" s="77"/>
      <c r="I2245" s="77"/>
      <c r="J2245" s="77"/>
      <c r="K2245" s="77"/>
      <c r="L2245" s="77"/>
      <c r="M2245" s="77"/>
      <c r="N2245" s="77"/>
      <c r="O2245" s="77"/>
      <c r="P2245" s="77"/>
      <c r="Q2245" s="77"/>
    </row>
    <row r="2246" spans="3:17" ht="13.2" x14ac:dyDescent="0.25">
      <c r="C2246" s="77"/>
      <c r="D2246" s="77"/>
      <c r="E2246" s="77"/>
      <c r="F2246" s="77"/>
      <c r="G2246" s="77"/>
      <c r="H2246" s="77"/>
      <c r="I2246" s="77"/>
      <c r="J2246" s="77"/>
      <c r="K2246" s="77"/>
      <c r="L2246" s="77"/>
      <c r="M2246" s="77"/>
      <c r="N2246" s="77"/>
      <c r="O2246" s="77"/>
      <c r="P2246" s="77"/>
      <c r="Q2246" s="77"/>
    </row>
    <row r="2247" spans="3:17" ht="13.2" x14ac:dyDescent="0.25">
      <c r="C2247" s="77"/>
      <c r="D2247" s="77"/>
      <c r="E2247" s="77"/>
      <c r="F2247" s="77"/>
      <c r="G2247" s="77"/>
      <c r="H2247" s="77"/>
      <c r="I2247" s="77"/>
      <c r="J2247" s="77"/>
      <c r="K2247" s="77"/>
      <c r="L2247" s="77"/>
      <c r="M2247" s="77"/>
      <c r="N2247" s="77"/>
      <c r="O2247" s="77"/>
      <c r="P2247" s="77"/>
      <c r="Q2247" s="77"/>
    </row>
    <row r="2248" spans="3:17" ht="13.2" x14ac:dyDescent="0.25">
      <c r="C2248" s="77"/>
      <c r="D2248" s="77"/>
      <c r="E2248" s="77"/>
      <c r="F2248" s="77"/>
      <c r="G2248" s="77"/>
      <c r="H2248" s="77"/>
      <c r="I2248" s="77"/>
      <c r="J2248" s="77"/>
      <c r="K2248" s="77"/>
      <c r="L2248" s="77"/>
      <c r="M2248" s="77"/>
      <c r="N2248" s="77"/>
      <c r="O2248" s="77"/>
      <c r="P2248" s="77"/>
      <c r="Q2248" s="77"/>
    </row>
    <row r="2249" spans="3:17" ht="13.2" x14ac:dyDescent="0.25">
      <c r="C2249" s="77"/>
      <c r="D2249" s="77"/>
      <c r="E2249" s="77"/>
      <c r="F2249" s="77"/>
      <c r="G2249" s="77"/>
      <c r="H2249" s="77"/>
      <c r="I2249" s="77"/>
      <c r="J2249" s="77"/>
      <c r="K2249" s="77"/>
      <c r="L2249" s="77"/>
      <c r="M2249" s="77"/>
      <c r="N2249" s="77"/>
      <c r="O2249" s="77"/>
      <c r="P2249" s="77"/>
      <c r="Q2249" s="77"/>
    </row>
    <row r="2250" spans="3:17" ht="13.2" x14ac:dyDescent="0.25">
      <c r="C2250" s="77"/>
      <c r="D2250" s="77"/>
      <c r="E2250" s="77"/>
      <c r="F2250" s="77"/>
      <c r="G2250" s="77"/>
      <c r="H2250" s="77"/>
      <c r="I2250" s="77"/>
      <c r="J2250" s="77"/>
      <c r="K2250" s="77"/>
      <c r="L2250" s="77"/>
      <c r="M2250" s="77"/>
      <c r="N2250" s="77"/>
      <c r="O2250" s="77"/>
      <c r="P2250" s="77"/>
      <c r="Q2250" s="77"/>
    </row>
    <row r="2251" spans="3:17" ht="13.2" x14ac:dyDescent="0.25">
      <c r="C2251" s="77"/>
      <c r="D2251" s="77"/>
      <c r="E2251" s="77"/>
      <c r="F2251" s="77"/>
      <c r="G2251" s="77"/>
      <c r="H2251" s="77"/>
      <c r="I2251" s="77"/>
      <c r="J2251" s="77"/>
      <c r="K2251" s="77"/>
      <c r="L2251" s="77"/>
      <c r="M2251" s="77"/>
      <c r="N2251" s="77"/>
      <c r="O2251" s="77"/>
      <c r="P2251" s="77"/>
      <c r="Q2251" s="77"/>
    </row>
    <row r="2252" spans="3:17" ht="13.2" x14ac:dyDescent="0.25">
      <c r="C2252" s="77"/>
      <c r="D2252" s="77"/>
      <c r="E2252" s="77"/>
      <c r="F2252" s="77"/>
      <c r="G2252" s="77"/>
      <c r="H2252" s="77"/>
      <c r="I2252" s="77"/>
      <c r="J2252" s="77"/>
      <c r="K2252" s="77"/>
      <c r="L2252" s="77"/>
      <c r="M2252" s="77"/>
      <c r="N2252" s="77"/>
      <c r="O2252" s="77"/>
      <c r="P2252" s="77"/>
      <c r="Q2252" s="77"/>
    </row>
    <row r="2253" spans="3:17" ht="13.2" x14ac:dyDescent="0.25">
      <c r="C2253" s="77"/>
      <c r="D2253" s="77"/>
      <c r="E2253" s="77"/>
      <c r="F2253" s="77"/>
      <c r="G2253" s="77"/>
      <c r="H2253" s="77"/>
      <c r="I2253" s="77"/>
      <c r="J2253" s="77"/>
      <c r="K2253" s="77"/>
      <c r="L2253" s="77"/>
      <c r="M2253" s="77"/>
      <c r="N2253" s="77"/>
      <c r="O2253" s="77"/>
      <c r="P2253" s="77"/>
      <c r="Q2253" s="77"/>
    </row>
    <row r="2254" spans="3:17" ht="13.2" x14ac:dyDescent="0.25">
      <c r="C2254" s="77"/>
      <c r="D2254" s="77"/>
      <c r="E2254" s="77"/>
      <c r="F2254" s="77"/>
      <c r="G2254" s="77"/>
      <c r="H2254" s="77"/>
      <c r="I2254" s="77"/>
      <c r="J2254" s="77"/>
      <c r="K2254" s="77"/>
      <c r="L2254" s="77"/>
      <c r="M2254" s="77"/>
      <c r="N2254" s="77"/>
      <c r="O2254" s="77"/>
      <c r="P2254" s="77"/>
      <c r="Q2254" s="77"/>
    </row>
    <row r="2255" spans="3:17" ht="13.2" x14ac:dyDescent="0.25">
      <c r="C2255" s="77"/>
      <c r="D2255" s="77"/>
      <c r="E2255" s="77"/>
      <c r="F2255" s="77"/>
      <c r="G2255" s="77"/>
      <c r="H2255" s="77"/>
      <c r="I2255" s="77"/>
      <c r="J2255" s="77"/>
      <c r="K2255" s="77"/>
      <c r="L2255" s="77"/>
      <c r="M2255" s="77"/>
      <c r="N2255" s="77"/>
      <c r="O2255" s="77"/>
      <c r="P2255" s="77"/>
      <c r="Q2255" s="77"/>
    </row>
    <row r="2256" spans="3:17" ht="13.2" x14ac:dyDescent="0.25">
      <c r="C2256" s="77"/>
      <c r="D2256" s="77"/>
      <c r="E2256" s="77"/>
      <c r="F2256" s="77"/>
      <c r="G2256" s="77"/>
      <c r="H2256" s="77"/>
      <c r="I2256" s="77"/>
      <c r="J2256" s="77"/>
      <c r="K2256" s="77"/>
      <c r="L2256" s="77"/>
      <c r="M2256" s="77"/>
      <c r="N2256" s="77"/>
      <c r="O2256" s="77"/>
      <c r="P2256" s="77"/>
      <c r="Q2256" s="77"/>
    </row>
    <row r="2257" spans="3:17" ht="13.2" x14ac:dyDescent="0.25">
      <c r="C2257" s="77"/>
      <c r="D2257" s="77"/>
      <c r="E2257" s="77"/>
      <c r="F2257" s="77"/>
      <c r="G2257" s="77"/>
      <c r="H2257" s="77"/>
      <c r="I2257" s="77"/>
      <c r="J2257" s="77"/>
      <c r="K2257" s="77"/>
      <c r="L2257" s="77"/>
      <c r="M2257" s="77"/>
      <c r="N2257" s="77"/>
      <c r="O2257" s="77"/>
      <c r="P2257" s="77"/>
      <c r="Q2257" s="77"/>
    </row>
    <row r="2258" spans="3:17" ht="13.2" x14ac:dyDescent="0.25">
      <c r="C2258" s="77"/>
      <c r="D2258" s="77"/>
      <c r="E2258" s="77"/>
      <c r="F2258" s="77"/>
      <c r="G2258" s="77"/>
      <c r="H2258" s="77"/>
      <c r="I2258" s="77"/>
      <c r="J2258" s="77"/>
      <c r="K2258" s="77"/>
      <c r="L2258" s="77"/>
      <c r="M2258" s="77"/>
      <c r="N2258" s="77"/>
      <c r="O2258" s="77"/>
      <c r="P2258" s="77"/>
      <c r="Q2258" s="77"/>
    </row>
    <row r="2259" spans="3:17" ht="13.2" x14ac:dyDescent="0.25">
      <c r="C2259" s="77"/>
      <c r="D2259" s="77"/>
      <c r="E2259" s="77"/>
      <c r="F2259" s="77"/>
      <c r="G2259" s="77"/>
      <c r="H2259" s="77"/>
      <c r="I2259" s="77"/>
      <c r="J2259" s="77"/>
      <c r="K2259" s="77"/>
      <c r="L2259" s="77"/>
      <c r="M2259" s="77"/>
      <c r="N2259" s="77"/>
      <c r="O2259" s="77"/>
      <c r="P2259" s="77"/>
      <c r="Q2259" s="77"/>
    </row>
    <row r="2260" spans="3:17" ht="13.2" x14ac:dyDescent="0.25">
      <c r="C2260" s="77"/>
      <c r="D2260" s="77"/>
      <c r="E2260" s="77"/>
      <c r="F2260" s="77"/>
      <c r="G2260" s="77"/>
      <c r="H2260" s="77"/>
      <c r="I2260" s="77"/>
      <c r="J2260" s="77"/>
      <c r="K2260" s="77"/>
      <c r="L2260" s="77"/>
      <c r="M2260" s="77"/>
      <c r="N2260" s="77"/>
      <c r="O2260" s="77"/>
      <c r="P2260" s="77"/>
      <c r="Q2260" s="77"/>
    </row>
    <row r="2261" spans="3:17" ht="13.2" x14ac:dyDescent="0.25">
      <c r="C2261" s="77"/>
      <c r="D2261" s="77"/>
      <c r="E2261" s="77"/>
      <c r="F2261" s="77"/>
      <c r="G2261" s="77"/>
      <c r="H2261" s="77"/>
      <c r="I2261" s="77"/>
      <c r="J2261" s="77"/>
      <c r="K2261" s="77"/>
      <c r="L2261" s="77"/>
      <c r="M2261" s="77"/>
      <c r="N2261" s="77"/>
      <c r="O2261" s="77"/>
      <c r="P2261" s="77"/>
      <c r="Q2261" s="77"/>
    </row>
    <row r="2262" spans="3:17" ht="13.2" x14ac:dyDescent="0.25">
      <c r="C2262" s="77"/>
      <c r="D2262" s="77"/>
      <c r="E2262" s="77"/>
      <c r="F2262" s="77"/>
      <c r="G2262" s="77"/>
      <c r="H2262" s="77"/>
      <c r="I2262" s="77"/>
      <c r="J2262" s="77"/>
      <c r="K2262" s="77"/>
      <c r="L2262" s="77"/>
      <c r="M2262" s="77"/>
      <c r="N2262" s="77"/>
      <c r="O2262" s="77"/>
      <c r="P2262" s="77"/>
      <c r="Q2262" s="77"/>
    </row>
    <row r="2263" spans="3:17" ht="13.2" x14ac:dyDescent="0.25">
      <c r="C2263" s="77"/>
      <c r="D2263" s="77"/>
      <c r="E2263" s="77"/>
      <c r="F2263" s="77"/>
      <c r="G2263" s="77"/>
      <c r="H2263" s="77"/>
      <c r="I2263" s="77"/>
      <c r="J2263" s="77"/>
      <c r="K2263" s="77"/>
      <c r="L2263" s="77"/>
      <c r="M2263" s="77"/>
      <c r="N2263" s="77"/>
      <c r="O2263" s="77"/>
      <c r="P2263" s="77"/>
      <c r="Q2263" s="77"/>
    </row>
    <row r="2264" spans="3:17" ht="13.2" x14ac:dyDescent="0.25">
      <c r="C2264" s="77"/>
      <c r="D2264" s="77"/>
      <c r="E2264" s="77"/>
      <c r="F2264" s="77"/>
      <c r="G2264" s="77"/>
      <c r="H2264" s="77"/>
      <c r="I2264" s="77"/>
      <c r="J2264" s="77"/>
      <c r="K2264" s="77"/>
      <c r="L2264" s="77"/>
      <c r="M2264" s="77"/>
      <c r="N2264" s="77"/>
      <c r="O2264" s="77"/>
      <c r="P2264" s="77"/>
      <c r="Q2264" s="77"/>
    </row>
    <row r="2265" spans="3:17" ht="13.2" x14ac:dyDescent="0.25">
      <c r="C2265" s="77"/>
      <c r="D2265" s="77"/>
      <c r="E2265" s="77"/>
      <c r="F2265" s="77"/>
      <c r="G2265" s="77"/>
      <c r="H2265" s="77"/>
      <c r="I2265" s="77"/>
      <c r="J2265" s="77"/>
      <c r="K2265" s="77"/>
      <c r="L2265" s="77"/>
      <c r="M2265" s="77"/>
      <c r="N2265" s="77"/>
      <c r="O2265" s="77"/>
      <c r="P2265" s="77"/>
      <c r="Q2265" s="77"/>
    </row>
    <row r="2266" spans="3:17" ht="13.2" x14ac:dyDescent="0.25">
      <c r="C2266" s="77"/>
      <c r="D2266" s="77"/>
      <c r="E2266" s="77"/>
      <c r="F2266" s="77"/>
      <c r="G2266" s="77"/>
      <c r="H2266" s="77"/>
      <c r="I2266" s="77"/>
      <c r="J2266" s="77"/>
      <c r="K2266" s="77"/>
      <c r="L2266" s="77"/>
      <c r="M2266" s="77"/>
      <c r="N2266" s="77"/>
      <c r="O2266" s="77"/>
      <c r="P2266" s="77"/>
      <c r="Q2266" s="77"/>
    </row>
    <row r="2267" spans="3:17" ht="13.2" x14ac:dyDescent="0.25">
      <c r="C2267" s="77"/>
      <c r="D2267" s="77"/>
      <c r="E2267" s="77"/>
      <c r="F2267" s="77"/>
      <c r="G2267" s="77"/>
      <c r="H2267" s="77"/>
      <c r="I2267" s="77"/>
      <c r="J2267" s="77"/>
      <c r="K2267" s="77"/>
      <c r="L2267" s="77"/>
      <c r="M2267" s="77"/>
      <c r="N2267" s="77"/>
      <c r="O2267" s="77"/>
      <c r="P2267" s="77"/>
      <c r="Q2267" s="77"/>
    </row>
    <row r="2268" spans="3:17" ht="13.2" x14ac:dyDescent="0.25">
      <c r="C2268" s="77"/>
      <c r="D2268" s="77"/>
      <c r="E2268" s="77"/>
      <c r="F2268" s="77"/>
      <c r="G2268" s="77"/>
      <c r="H2268" s="77"/>
      <c r="I2268" s="77"/>
      <c r="J2268" s="77"/>
      <c r="K2268" s="77"/>
      <c r="L2268" s="77"/>
      <c r="M2268" s="77"/>
      <c r="N2268" s="77"/>
      <c r="O2268" s="77"/>
      <c r="P2268" s="77"/>
      <c r="Q2268" s="77"/>
    </row>
    <row r="2269" spans="3:17" ht="13.2" x14ac:dyDescent="0.25">
      <c r="C2269" s="77"/>
      <c r="D2269" s="77"/>
      <c r="E2269" s="77"/>
      <c r="F2269" s="77"/>
      <c r="G2269" s="77"/>
      <c r="H2269" s="77"/>
      <c r="I2269" s="77"/>
      <c r="J2269" s="77"/>
      <c r="K2269" s="77"/>
      <c r="L2269" s="77"/>
      <c r="M2269" s="77"/>
      <c r="N2269" s="77"/>
      <c r="O2269" s="77"/>
      <c r="P2269" s="77"/>
      <c r="Q2269" s="77"/>
    </row>
    <row r="2270" spans="3:17" ht="13.2" x14ac:dyDescent="0.25">
      <c r="C2270" s="77"/>
      <c r="D2270" s="77"/>
      <c r="E2270" s="77"/>
      <c r="F2270" s="77"/>
      <c r="G2270" s="77"/>
      <c r="H2270" s="77"/>
      <c r="I2270" s="77"/>
      <c r="J2270" s="77"/>
      <c r="K2270" s="77"/>
      <c r="L2270" s="77"/>
      <c r="M2270" s="77"/>
      <c r="N2270" s="77"/>
      <c r="O2270" s="77"/>
      <c r="P2270" s="77"/>
      <c r="Q2270" s="77"/>
    </row>
    <row r="2271" spans="3:17" ht="13.2" x14ac:dyDescent="0.25">
      <c r="C2271" s="77"/>
      <c r="D2271" s="77"/>
      <c r="E2271" s="77"/>
      <c r="F2271" s="77"/>
      <c r="G2271" s="77"/>
      <c r="H2271" s="77"/>
      <c r="I2271" s="77"/>
      <c r="J2271" s="77"/>
      <c r="K2271" s="77"/>
      <c r="L2271" s="77"/>
      <c r="M2271" s="77"/>
      <c r="N2271" s="77"/>
      <c r="O2271" s="77"/>
      <c r="P2271" s="77"/>
      <c r="Q2271" s="77"/>
    </row>
    <row r="2272" spans="3:17" ht="13.2" x14ac:dyDescent="0.25">
      <c r="C2272" s="77"/>
      <c r="D2272" s="77"/>
      <c r="E2272" s="77"/>
      <c r="F2272" s="77"/>
      <c r="G2272" s="77"/>
      <c r="H2272" s="77"/>
      <c r="I2272" s="77"/>
      <c r="J2272" s="77"/>
      <c r="K2272" s="77"/>
      <c r="L2272" s="77"/>
      <c r="M2272" s="77"/>
      <c r="N2272" s="77"/>
      <c r="O2272" s="77"/>
      <c r="P2272" s="77"/>
      <c r="Q2272" s="77"/>
    </row>
    <row r="2273" spans="3:17" ht="13.2" x14ac:dyDescent="0.25">
      <c r="C2273" s="77"/>
      <c r="D2273" s="77"/>
      <c r="E2273" s="77"/>
      <c r="F2273" s="77"/>
      <c r="G2273" s="77"/>
      <c r="H2273" s="77"/>
      <c r="I2273" s="77"/>
      <c r="J2273" s="77"/>
      <c r="K2273" s="77"/>
      <c r="L2273" s="77"/>
      <c r="M2273" s="77"/>
      <c r="N2273" s="77"/>
      <c r="O2273" s="77"/>
      <c r="P2273" s="77"/>
      <c r="Q2273" s="77"/>
    </row>
    <row r="2274" spans="3:17" ht="13.2" x14ac:dyDescent="0.25">
      <c r="C2274" s="77"/>
      <c r="D2274" s="77"/>
      <c r="E2274" s="77"/>
      <c r="F2274" s="77"/>
      <c r="G2274" s="77"/>
      <c r="H2274" s="77"/>
      <c r="I2274" s="77"/>
      <c r="J2274" s="77"/>
      <c r="K2274" s="77"/>
      <c r="L2274" s="77"/>
      <c r="M2274" s="77"/>
      <c r="N2274" s="77"/>
      <c r="O2274" s="77"/>
      <c r="P2274" s="77"/>
      <c r="Q2274" s="77"/>
    </row>
    <row r="2275" spans="3:17" ht="13.2" x14ac:dyDescent="0.25">
      <c r="C2275" s="77"/>
      <c r="D2275" s="77"/>
      <c r="E2275" s="77"/>
      <c r="F2275" s="77"/>
      <c r="G2275" s="77"/>
      <c r="H2275" s="77"/>
      <c r="I2275" s="77"/>
      <c r="J2275" s="77"/>
      <c r="K2275" s="77"/>
      <c r="L2275" s="77"/>
      <c r="M2275" s="77"/>
      <c r="N2275" s="77"/>
      <c r="O2275" s="77"/>
      <c r="P2275" s="77"/>
      <c r="Q2275" s="77"/>
    </row>
    <row r="2276" spans="3:17" ht="13.2" x14ac:dyDescent="0.25">
      <c r="C2276" s="77"/>
      <c r="D2276" s="77"/>
      <c r="E2276" s="77"/>
      <c r="F2276" s="77"/>
      <c r="G2276" s="77"/>
      <c r="H2276" s="77"/>
      <c r="I2276" s="77"/>
      <c r="J2276" s="77"/>
      <c r="K2276" s="77"/>
      <c r="L2276" s="77"/>
      <c r="M2276" s="77"/>
      <c r="N2276" s="77"/>
      <c r="O2276" s="77"/>
      <c r="P2276" s="77"/>
      <c r="Q2276" s="77"/>
    </row>
    <row r="2277" spans="3:17" ht="13.2" x14ac:dyDescent="0.25">
      <c r="C2277" s="77"/>
      <c r="D2277" s="77"/>
      <c r="E2277" s="77"/>
      <c r="F2277" s="77"/>
      <c r="G2277" s="77"/>
      <c r="H2277" s="77"/>
      <c r="I2277" s="77"/>
      <c r="J2277" s="77"/>
      <c r="K2277" s="77"/>
      <c r="L2277" s="77"/>
      <c r="M2277" s="77"/>
      <c r="N2277" s="77"/>
      <c r="O2277" s="77"/>
      <c r="P2277" s="77"/>
      <c r="Q2277" s="77"/>
    </row>
    <row r="2278" spans="3:17" ht="13.2" x14ac:dyDescent="0.25">
      <c r="C2278" s="77"/>
      <c r="D2278" s="77"/>
      <c r="E2278" s="77"/>
      <c r="F2278" s="77"/>
      <c r="G2278" s="77"/>
      <c r="H2278" s="77"/>
      <c r="I2278" s="77"/>
      <c r="J2278" s="77"/>
      <c r="K2278" s="77"/>
      <c r="L2278" s="77"/>
      <c r="M2278" s="77"/>
      <c r="N2278" s="77"/>
      <c r="O2278" s="77"/>
      <c r="P2278" s="77"/>
      <c r="Q2278" s="77"/>
    </row>
    <row r="2279" spans="3:17" ht="13.2" x14ac:dyDescent="0.25">
      <c r="C2279" s="77"/>
      <c r="D2279" s="77"/>
      <c r="E2279" s="77"/>
      <c r="F2279" s="77"/>
      <c r="G2279" s="77"/>
      <c r="H2279" s="77"/>
      <c r="I2279" s="77"/>
      <c r="J2279" s="77"/>
      <c r="K2279" s="77"/>
      <c r="L2279" s="77"/>
      <c r="M2279" s="77"/>
      <c r="N2279" s="77"/>
      <c r="O2279" s="77"/>
      <c r="P2279" s="77"/>
      <c r="Q2279" s="77"/>
    </row>
    <row r="2280" spans="3:17" ht="13.2" x14ac:dyDescent="0.25">
      <c r="C2280" s="77"/>
      <c r="D2280" s="77"/>
      <c r="E2280" s="77"/>
      <c r="F2280" s="77"/>
      <c r="G2280" s="77"/>
      <c r="H2280" s="77"/>
      <c r="I2280" s="77"/>
      <c r="J2280" s="77"/>
      <c r="K2280" s="77"/>
      <c r="L2280" s="77"/>
      <c r="M2280" s="77"/>
      <c r="N2280" s="77"/>
      <c r="O2280" s="77"/>
      <c r="P2280" s="77"/>
      <c r="Q2280" s="77"/>
    </row>
    <row r="2281" spans="3:17" ht="13.2" x14ac:dyDescent="0.25">
      <c r="C2281" s="77"/>
      <c r="D2281" s="77"/>
      <c r="E2281" s="77"/>
      <c r="F2281" s="77"/>
      <c r="G2281" s="77"/>
      <c r="H2281" s="77"/>
      <c r="I2281" s="77"/>
      <c r="J2281" s="77"/>
      <c r="K2281" s="77"/>
      <c r="L2281" s="77"/>
      <c r="M2281" s="77"/>
      <c r="N2281" s="77"/>
      <c r="O2281" s="77"/>
      <c r="P2281" s="77"/>
      <c r="Q2281" s="77"/>
    </row>
    <row r="2282" spans="3:17" ht="13.2" x14ac:dyDescent="0.25">
      <c r="C2282" s="77"/>
      <c r="D2282" s="77"/>
      <c r="E2282" s="77"/>
      <c r="F2282" s="77"/>
      <c r="G2282" s="77"/>
      <c r="H2282" s="77"/>
      <c r="I2282" s="77"/>
      <c r="J2282" s="77"/>
      <c r="K2282" s="77"/>
      <c r="L2282" s="77"/>
      <c r="M2282" s="77"/>
      <c r="N2282" s="77"/>
      <c r="O2282" s="77"/>
      <c r="P2282" s="77"/>
      <c r="Q2282" s="77"/>
    </row>
    <row r="2283" spans="3:17" ht="13.2" x14ac:dyDescent="0.25">
      <c r="C2283" s="77"/>
      <c r="D2283" s="77"/>
      <c r="E2283" s="77"/>
      <c r="F2283" s="77"/>
      <c r="G2283" s="77"/>
      <c r="H2283" s="77"/>
      <c r="I2283" s="77"/>
      <c r="J2283" s="77"/>
      <c r="K2283" s="77"/>
      <c r="L2283" s="77"/>
      <c r="M2283" s="77"/>
      <c r="N2283" s="77"/>
      <c r="O2283" s="77"/>
      <c r="P2283" s="77"/>
      <c r="Q2283" s="77"/>
    </row>
    <row r="2284" spans="3:17" ht="13.2" x14ac:dyDescent="0.25">
      <c r="C2284" s="77"/>
      <c r="D2284" s="77"/>
      <c r="E2284" s="77"/>
      <c r="F2284" s="77"/>
      <c r="G2284" s="77"/>
      <c r="H2284" s="77"/>
      <c r="I2284" s="77"/>
      <c r="J2284" s="77"/>
      <c r="K2284" s="77"/>
      <c r="L2284" s="77"/>
      <c r="M2284" s="77"/>
      <c r="N2284" s="77"/>
      <c r="O2284" s="77"/>
      <c r="P2284" s="77"/>
      <c r="Q2284" s="77"/>
    </row>
    <row r="2285" spans="3:17" ht="13.2" x14ac:dyDescent="0.25">
      <c r="C2285" s="77"/>
      <c r="D2285" s="77"/>
      <c r="E2285" s="77"/>
      <c r="F2285" s="77"/>
      <c r="G2285" s="77"/>
      <c r="H2285" s="77"/>
      <c r="I2285" s="77"/>
      <c r="J2285" s="77"/>
      <c r="K2285" s="77"/>
      <c r="L2285" s="77"/>
      <c r="M2285" s="77"/>
      <c r="N2285" s="77"/>
      <c r="O2285" s="77"/>
      <c r="P2285" s="77"/>
      <c r="Q2285" s="77"/>
    </row>
    <row r="2286" spans="3:17" ht="13.2" x14ac:dyDescent="0.25">
      <c r="C2286" s="77"/>
      <c r="D2286" s="77"/>
      <c r="E2286" s="77"/>
      <c r="F2286" s="77"/>
      <c r="G2286" s="77"/>
      <c r="H2286" s="77"/>
      <c r="I2286" s="77"/>
      <c r="J2286" s="77"/>
      <c r="K2286" s="77"/>
      <c r="L2286" s="77"/>
      <c r="M2286" s="77"/>
      <c r="N2286" s="77"/>
      <c r="O2286" s="77"/>
      <c r="P2286" s="77"/>
      <c r="Q2286" s="77"/>
    </row>
    <row r="2287" spans="3:17" ht="13.2" x14ac:dyDescent="0.25">
      <c r="C2287" s="77"/>
      <c r="D2287" s="77"/>
      <c r="E2287" s="77"/>
      <c r="F2287" s="77"/>
      <c r="G2287" s="77"/>
      <c r="H2287" s="77"/>
      <c r="I2287" s="77"/>
      <c r="J2287" s="77"/>
      <c r="K2287" s="77"/>
      <c r="L2287" s="77"/>
      <c r="M2287" s="77"/>
      <c r="N2287" s="77"/>
      <c r="O2287" s="77"/>
      <c r="P2287" s="77"/>
      <c r="Q2287" s="77"/>
    </row>
    <row r="2288" spans="3:17" ht="13.2" x14ac:dyDescent="0.25">
      <c r="C2288" s="77"/>
      <c r="D2288" s="77"/>
      <c r="E2288" s="77"/>
      <c r="F2288" s="77"/>
      <c r="G2288" s="77"/>
      <c r="H2288" s="77"/>
      <c r="I2288" s="77"/>
      <c r="J2288" s="77"/>
      <c r="K2288" s="77"/>
      <c r="L2288" s="77"/>
      <c r="M2288" s="77"/>
      <c r="N2288" s="77"/>
      <c r="O2288" s="77"/>
      <c r="P2288" s="77"/>
      <c r="Q2288" s="77"/>
    </row>
    <row r="2289" spans="3:17" ht="13.2" x14ac:dyDescent="0.25">
      <c r="C2289" s="77"/>
      <c r="D2289" s="77"/>
      <c r="E2289" s="77"/>
      <c r="F2289" s="77"/>
      <c r="G2289" s="77"/>
      <c r="H2289" s="77"/>
      <c r="I2289" s="77"/>
      <c r="J2289" s="77"/>
      <c r="K2289" s="77"/>
      <c r="L2289" s="77"/>
      <c r="M2289" s="77"/>
      <c r="N2289" s="77"/>
      <c r="O2289" s="77"/>
      <c r="P2289" s="77"/>
      <c r="Q2289" s="77"/>
    </row>
    <row r="2290" spans="3:17" ht="13.2" x14ac:dyDescent="0.25">
      <c r="C2290" s="77"/>
      <c r="D2290" s="77"/>
      <c r="E2290" s="77"/>
      <c r="F2290" s="77"/>
      <c r="G2290" s="77"/>
      <c r="H2290" s="77"/>
      <c r="I2290" s="77"/>
      <c r="J2290" s="77"/>
      <c r="K2290" s="77"/>
      <c r="L2290" s="77"/>
      <c r="M2290" s="77"/>
      <c r="N2290" s="77"/>
      <c r="O2290" s="77"/>
      <c r="P2290" s="77"/>
      <c r="Q2290" s="77"/>
    </row>
    <row r="2291" spans="3:17" ht="13.2" x14ac:dyDescent="0.25">
      <c r="C2291" s="77"/>
      <c r="D2291" s="77"/>
      <c r="E2291" s="77"/>
      <c r="F2291" s="77"/>
      <c r="G2291" s="77"/>
      <c r="H2291" s="77"/>
      <c r="I2291" s="77"/>
      <c r="J2291" s="77"/>
      <c r="K2291" s="77"/>
      <c r="L2291" s="77"/>
      <c r="M2291" s="77"/>
      <c r="N2291" s="77"/>
      <c r="O2291" s="77"/>
      <c r="P2291" s="77"/>
      <c r="Q2291" s="77"/>
    </row>
    <row r="2292" spans="3:17" ht="13.2" x14ac:dyDescent="0.25">
      <c r="C2292" s="77"/>
      <c r="D2292" s="77"/>
      <c r="E2292" s="77"/>
      <c r="F2292" s="77"/>
      <c r="G2292" s="77"/>
      <c r="H2292" s="77"/>
      <c r="I2292" s="77"/>
      <c r="J2292" s="77"/>
      <c r="K2292" s="77"/>
      <c r="L2292" s="77"/>
      <c r="M2292" s="77"/>
      <c r="N2292" s="77"/>
      <c r="O2292" s="77"/>
      <c r="P2292" s="77"/>
      <c r="Q2292" s="77"/>
    </row>
    <row r="2293" spans="3:17" ht="13.2" x14ac:dyDescent="0.25">
      <c r="C2293" s="77"/>
      <c r="D2293" s="77"/>
      <c r="E2293" s="77"/>
      <c r="F2293" s="77"/>
      <c r="G2293" s="77"/>
      <c r="H2293" s="77"/>
      <c r="I2293" s="77"/>
      <c r="J2293" s="77"/>
      <c r="K2293" s="77"/>
      <c r="L2293" s="77"/>
      <c r="M2293" s="77"/>
      <c r="N2293" s="77"/>
      <c r="O2293" s="77"/>
      <c r="P2293" s="77"/>
      <c r="Q2293" s="77"/>
    </row>
    <row r="2294" spans="3:17" ht="13.2" x14ac:dyDescent="0.25">
      <c r="C2294" s="77"/>
      <c r="D2294" s="77"/>
      <c r="E2294" s="77"/>
      <c r="F2294" s="77"/>
      <c r="G2294" s="77"/>
      <c r="H2294" s="77"/>
      <c r="I2294" s="77"/>
      <c r="J2294" s="77"/>
      <c r="K2294" s="77"/>
      <c r="L2294" s="77"/>
      <c r="M2294" s="77"/>
      <c r="N2294" s="77"/>
      <c r="O2294" s="77"/>
      <c r="P2294" s="77"/>
      <c r="Q2294" s="77"/>
    </row>
    <row r="2295" spans="3:17" ht="13.2" x14ac:dyDescent="0.25">
      <c r="C2295" s="77"/>
      <c r="D2295" s="77"/>
      <c r="E2295" s="77"/>
      <c r="F2295" s="77"/>
      <c r="G2295" s="77"/>
      <c r="H2295" s="77"/>
      <c r="I2295" s="77"/>
      <c r="J2295" s="77"/>
      <c r="K2295" s="77"/>
      <c r="L2295" s="77"/>
      <c r="M2295" s="77"/>
      <c r="N2295" s="77"/>
      <c r="O2295" s="77"/>
      <c r="P2295" s="77"/>
      <c r="Q2295" s="77"/>
    </row>
    <row r="2296" spans="3:17" ht="13.2" x14ac:dyDescent="0.25">
      <c r="C2296" s="77"/>
      <c r="D2296" s="77"/>
      <c r="E2296" s="77"/>
      <c r="F2296" s="77"/>
      <c r="G2296" s="77"/>
      <c r="H2296" s="77"/>
      <c r="I2296" s="77"/>
      <c r="J2296" s="77"/>
      <c r="K2296" s="77"/>
      <c r="L2296" s="77"/>
      <c r="M2296" s="77"/>
      <c r="N2296" s="77"/>
      <c r="O2296" s="77"/>
      <c r="P2296" s="77"/>
      <c r="Q2296" s="77"/>
    </row>
    <row r="2297" spans="3:17" ht="13.2" x14ac:dyDescent="0.25">
      <c r="C2297" s="77"/>
      <c r="D2297" s="77"/>
      <c r="E2297" s="77"/>
      <c r="F2297" s="77"/>
      <c r="G2297" s="77"/>
      <c r="H2297" s="77"/>
      <c r="I2297" s="77"/>
      <c r="J2297" s="77"/>
      <c r="K2297" s="77"/>
      <c r="L2297" s="77"/>
      <c r="M2297" s="77"/>
      <c r="N2297" s="77"/>
      <c r="O2297" s="77"/>
      <c r="P2297" s="77"/>
      <c r="Q2297" s="77"/>
    </row>
    <row r="2298" spans="3:17" ht="13.2" x14ac:dyDescent="0.25">
      <c r="C2298" s="77"/>
      <c r="D2298" s="77"/>
      <c r="E2298" s="77"/>
      <c r="F2298" s="77"/>
      <c r="G2298" s="77"/>
      <c r="H2298" s="77"/>
      <c r="I2298" s="77"/>
      <c r="J2298" s="77"/>
      <c r="K2298" s="77"/>
      <c r="L2298" s="77"/>
      <c r="M2298" s="77"/>
      <c r="N2298" s="77"/>
      <c r="O2298" s="77"/>
      <c r="P2298" s="77"/>
      <c r="Q2298" s="77"/>
    </row>
    <row r="2299" spans="3:17" ht="13.2" x14ac:dyDescent="0.25">
      <c r="C2299" s="77"/>
      <c r="D2299" s="77"/>
      <c r="E2299" s="77"/>
      <c r="F2299" s="77"/>
      <c r="G2299" s="77"/>
      <c r="H2299" s="77"/>
      <c r="I2299" s="77"/>
      <c r="J2299" s="77"/>
      <c r="K2299" s="77"/>
      <c r="L2299" s="77"/>
      <c r="M2299" s="77"/>
      <c r="N2299" s="77"/>
      <c r="O2299" s="77"/>
      <c r="P2299" s="77"/>
      <c r="Q2299" s="77"/>
    </row>
    <row r="2300" spans="3:17" ht="13.2" x14ac:dyDescent="0.25">
      <c r="C2300" s="77"/>
      <c r="D2300" s="77"/>
      <c r="E2300" s="77"/>
      <c r="F2300" s="77"/>
      <c r="G2300" s="77"/>
      <c r="H2300" s="77"/>
      <c r="I2300" s="77"/>
      <c r="J2300" s="77"/>
      <c r="K2300" s="77"/>
      <c r="L2300" s="77"/>
      <c r="M2300" s="77"/>
      <c r="N2300" s="77"/>
      <c r="O2300" s="77"/>
      <c r="P2300" s="77"/>
      <c r="Q2300" s="77"/>
    </row>
    <row r="2301" spans="3:17" ht="13.2" x14ac:dyDescent="0.25">
      <c r="C2301" s="77"/>
      <c r="D2301" s="77"/>
      <c r="E2301" s="77"/>
      <c r="F2301" s="77"/>
      <c r="G2301" s="77"/>
      <c r="H2301" s="77"/>
      <c r="I2301" s="77"/>
      <c r="J2301" s="77"/>
      <c r="K2301" s="77"/>
      <c r="L2301" s="77"/>
      <c r="M2301" s="77"/>
      <c r="N2301" s="77"/>
      <c r="O2301" s="77"/>
      <c r="P2301" s="77"/>
      <c r="Q2301" s="77"/>
    </row>
    <row r="2302" spans="3:17" ht="13.2" x14ac:dyDescent="0.25">
      <c r="C2302" s="77"/>
      <c r="D2302" s="77"/>
      <c r="E2302" s="77"/>
      <c r="F2302" s="77"/>
      <c r="G2302" s="77"/>
      <c r="H2302" s="77"/>
      <c r="I2302" s="77"/>
      <c r="J2302" s="77"/>
      <c r="K2302" s="77"/>
      <c r="L2302" s="77"/>
      <c r="M2302" s="77"/>
      <c r="N2302" s="77"/>
      <c r="O2302" s="77"/>
      <c r="P2302" s="77"/>
      <c r="Q2302" s="77"/>
    </row>
    <row r="2303" spans="3:17" ht="13.2" x14ac:dyDescent="0.25">
      <c r="C2303" s="77"/>
      <c r="D2303" s="77"/>
      <c r="E2303" s="77"/>
      <c r="F2303" s="77"/>
      <c r="G2303" s="77"/>
      <c r="H2303" s="77"/>
      <c r="I2303" s="77"/>
      <c r="J2303" s="77"/>
      <c r="K2303" s="77"/>
      <c r="L2303" s="77"/>
      <c r="M2303" s="77"/>
      <c r="N2303" s="77"/>
      <c r="O2303" s="77"/>
      <c r="P2303" s="77"/>
      <c r="Q2303" s="77"/>
    </row>
    <row r="2304" spans="3:17" ht="13.2" x14ac:dyDescent="0.25">
      <c r="C2304" s="77"/>
      <c r="D2304" s="77"/>
      <c r="E2304" s="77"/>
      <c r="F2304" s="77"/>
      <c r="G2304" s="77"/>
      <c r="H2304" s="77"/>
      <c r="I2304" s="77"/>
      <c r="J2304" s="77"/>
      <c r="K2304" s="77"/>
      <c r="L2304" s="77"/>
      <c r="M2304" s="77"/>
      <c r="N2304" s="77"/>
      <c r="O2304" s="77"/>
      <c r="P2304" s="77"/>
      <c r="Q2304" s="77"/>
    </row>
    <row r="2305" spans="3:17" ht="13.2" x14ac:dyDescent="0.25">
      <c r="C2305" s="77"/>
      <c r="D2305" s="77"/>
      <c r="E2305" s="77"/>
      <c r="F2305" s="77"/>
      <c r="G2305" s="77"/>
      <c r="H2305" s="77"/>
      <c r="I2305" s="77"/>
      <c r="J2305" s="77"/>
      <c r="K2305" s="77"/>
      <c r="L2305" s="77"/>
      <c r="M2305" s="77"/>
      <c r="N2305" s="77"/>
      <c r="O2305" s="77"/>
      <c r="P2305" s="77"/>
      <c r="Q2305" s="77"/>
    </row>
    <row r="2306" spans="3:17" ht="13.2" x14ac:dyDescent="0.25">
      <c r="C2306" s="77"/>
      <c r="D2306" s="77"/>
      <c r="E2306" s="77"/>
      <c r="F2306" s="77"/>
      <c r="G2306" s="77"/>
      <c r="H2306" s="77"/>
      <c r="I2306" s="77"/>
      <c r="J2306" s="77"/>
      <c r="K2306" s="77"/>
      <c r="L2306" s="77"/>
      <c r="M2306" s="77"/>
      <c r="N2306" s="77"/>
      <c r="O2306" s="77"/>
      <c r="P2306" s="77"/>
      <c r="Q2306" s="77"/>
    </row>
    <row r="2307" spans="3:17" ht="13.2" x14ac:dyDescent="0.25">
      <c r="C2307" s="77"/>
      <c r="D2307" s="77"/>
      <c r="E2307" s="77"/>
      <c r="F2307" s="77"/>
      <c r="G2307" s="77"/>
      <c r="H2307" s="77"/>
      <c r="I2307" s="77"/>
      <c r="J2307" s="77"/>
      <c r="K2307" s="77"/>
      <c r="L2307" s="77"/>
      <c r="M2307" s="77"/>
      <c r="N2307" s="77"/>
      <c r="O2307" s="77"/>
      <c r="P2307" s="77"/>
      <c r="Q2307" s="77"/>
    </row>
    <row r="2308" spans="3:17" ht="13.2" x14ac:dyDescent="0.25">
      <c r="C2308" s="77"/>
      <c r="D2308" s="77"/>
      <c r="E2308" s="77"/>
      <c r="F2308" s="77"/>
      <c r="G2308" s="77"/>
      <c r="H2308" s="77"/>
      <c r="I2308" s="77"/>
      <c r="J2308" s="77"/>
      <c r="K2308" s="77"/>
      <c r="L2308" s="77"/>
      <c r="M2308" s="77"/>
      <c r="N2308" s="77"/>
      <c r="O2308" s="77"/>
      <c r="P2308" s="77"/>
      <c r="Q2308" s="77"/>
    </row>
    <row r="2309" spans="3:17" ht="13.2" x14ac:dyDescent="0.25">
      <c r="C2309" s="77"/>
      <c r="D2309" s="77"/>
      <c r="E2309" s="77"/>
      <c r="F2309" s="77"/>
      <c r="G2309" s="77"/>
      <c r="H2309" s="77"/>
      <c r="I2309" s="77"/>
      <c r="J2309" s="77"/>
      <c r="K2309" s="77"/>
      <c r="L2309" s="77"/>
      <c r="M2309" s="77"/>
      <c r="N2309" s="77"/>
      <c r="O2309" s="77"/>
      <c r="P2309" s="77"/>
      <c r="Q2309" s="77"/>
    </row>
    <row r="2310" spans="3:17" ht="13.2" x14ac:dyDescent="0.25">
      <c r="C2310" s="77"/>
      <c r="D2310" s="77"/>
      <c r="E2310" s="77"/>
      <c r="F2310" s="77"/>
      <c r="G2310" s="77"/>
      <c r="H2310" s="77"/>
      <c r="I2310" s="77"/>
      <c r="J2310" s="77"/>
      <c r="K2310" s="77"/>
      <c r="L2310" s="77"/>
      <c r="M2310" s="77"/>
      <c r="N2310" s="77"/>
      <c r="O2310" s="77"/>
      <c r="P2310" s="77"/>
      <c r="Q2310" s="77"/>
    </row>
    <row r="2311" spans="3:17" ht="13.2" x14ac:dyDescent="0.25">
      <c r="C2311" s="77"/>
      <c r="D2311" s="77"/>
      <c r="E2311" s="77"/>
      <c r="F2311" s="77"/>
      <c r="G2311" s="77"/>
      <c r="H2311" s="77"/>
      <c r="I2311" s="77"/>
      <c r="J2311" s="77"/>
      <c r="K2311" s="77"/>
      <c r="L2311" s="77"/>
      <c r="M2311" s="77"/>
      <c r="N2311" s="77"/>
      <c r="O2311" s="77"/>
      <c r="P2311" s="77"/>
      <c r="Q2311" s="77"/>
    </row>
    <row r="2312" spans="3:17" ht="13.2" x14ac:dyDescent="0.25">
      <c r="C2312" s="77"/>
      <c r="D2312" s="77"/>
      <c r="E2312" s="77"/>
      <c r="F2312" s="77"/>
      <c r="G2312" s="77"/>
      <c r="H2312" s="77"/>
      <c r="I2312" s="77"/>
      <c r="J2312" s="77"/>
      <c r="K2312" s="77"/>
      <c r="L2312" s="77"/>
      <c r="M2312" s="77"/>
      <c r="N2312" s="77"/>
      <c r="O2312" s="77"/>
      <c r="P2312" s="77"/>
      <c r="Q2312" s="77"/>
    </row>
    <row r="2313" spans="3:17" ht="13.2" x14ac:dyDescent="0.25">
      <c r="C2313" s="77"/>
      <c r="D2313" s="77"/>
      <c r="E2313" s="77"/>
      <c r="F2313" s="77"/>
      <c r="G2313" s="77"/>
      <c r="H2313" s="77"/>
      <c r="I2313" s="77"/>
      <c r="J2313" s="77"/>
      <c r="K2313" s="77"/>
      <c r="L2313" s="77"/>
      <c r="M2313" s="77"/>
      <c r="N2313" s="77"/>
      <c r="O2313" s="77"/>
      <c r="P2313" s="77"/>
      <c r="Q2313" s="77"/>
    </row>
    <row r="2314" spans="3:17" ht="13.2" x14ac:dyDescent="0.25">
      <c r="C2314" s="77"/>
      <c r="D2314" s="77"/>
      <c r="E2314" s="77"/>
      <c r="F2314" s="77"/>
      <c r="G2314" s="77"/>
      <c r="H2314" s="77"/>
      <c r="I2314" s="77"/>
      <c r="J2314" s="77"/>
      <c r="K2314" s="77"/>
      <c r="L2314" s="77"/>
      <c r="M2314" s="77"/>
      <c r="N2314" s="77"/>
      <c r="O2314" s="77"/>
      <c r="P2314" s="77"/>
      <c r="Q2314" s="77"/>
    </row>
    <row r="2315" spans="3:17" ht="13.2" x14ac:dyDescent="0.25">
      <c r="C2315" s="77"/>
      <c r="D2315" s="77"/>
      <c r="E2315" s="77"/>
      <c r="F2315" s="77"/>
      <c r="G2315" s="77"/>
      <c r="H2315" s="77"/>
      <c r="I2315" s="77"/>
      <c r="J2315" s="77"/>
      <c r="K2315" s="77"/>
      <c r="L2315" s="77"/>
      <c r="M2315" s="77"/>
      <c r="N2315" s="77"/>
      <c r="O2315" s="77"/>
      <c r="P2315" s="77"/>
      <c r="Q2315" s="77"/>
    </row>
    <row r="2316" spans="3:17" ht="13.2" x14ac:dyDescent="0.25">
      <c r="C2316" s="77"/>
      <c r="D2316" s="77"/>
      <c r="E2316" s="77"/>
      <c r="F2316" s="77"/>
      <c r="G2316" s="77"/>
      <c r="H2316" s="77"/>
      <c r="I2316" s="77"/>
      <c r="J2316" s="77"/>
      <c r="K2316" s="77"/>
      <c r="L2316" s="77"/>
      <c r="M2316" s="77"/>
      <c r="N2316" s="77"/>
      <c r="O2316" s="77"/>
      <c r="P2316" s="77"/>
      <c r="Q2316" s="77"/>
    </row>
    <row r="2317" spans="3:17" ht="13.2" x14ac:dyDescent="0.25">
      <c r="C2317" s="77"/>
      <c r="D2317" s="77"/>
      <c r="E2317" s="77"/>
      <c r="F2317" s="77"/>
      <c r="G2317" s="77"/>
      <c r="H2317" s="77"/>
      <c r="I2317" s="77"/>
      <c r="J2317" s="77"/>
      <c r="K2317" s="77"/>
      <c r="L2317" s="77"/>
      <c r="M2317" s="77"/>
      <c r="N2317" s="77"/>
      <c r="O2317" s="77"/>
      <c r="P2317" s="77"/>
      <c r="Q2317" s="77"/>
    </row>
    <row r="2318" spans="3:17" ht="13.2" x14ac:dyDescent="0.25">
      <c r="C2318" s="77"/>
      <c r="D2318" s="77"/>
      <c r="E2318" s="77"/>
      <c r="F2318" s="77"/>
      <c r="G2318" s="77"/>
      <c r="H2318" s="77"/>
      <c r="I2318" s="77"/>
      <c r="J2318" s="77"/>
      <c r="K2318" s="77"/>
      <c r="L2318" s="77"/>
      <c r="M2318" s="77"/>
      <c r="N2318" s="77"/>
      <c r="O2318" s="77"/>
      <c r="P2318" s="77"/>
      <c r="Q2318" s="77"/>
    </row>
    <row r="2319" spans="3:17" ht="13.2" x14ac:dyDescent="0.25">
      <c r="C2319" s="77"/>
      <c r="D2319" s="77"/>
      <c r="E2319" s="77"/>
      <c r="F2319" s="77"/>
      <c r="G2319" s="77"/>
      <c r="H2319" s="77"/>
      <c r="I2319" s="77"/>
      <c r="J2319" s="77"/>
      <c r="K2319" s="77"/>
      <c r="L2319" s="77"/>
      <c r="M2319" s="77"/>
      <c r="N2319" s="77"/>
      <c r="O2319" s="77"/>
      <c r="P2319" s="77"/>
      <c r="Q2319" s="77"/>
    </row>
    <row r="2320" spans="3:17" ht="13.2" x14ac:dyDescent="0.25">
      <c r="C2320" s="77"/>
      <c r="D2320" s="77"/>
      <c r="E2320" s="77"/>
      <c r="F2320" s="77"/>
      <c r="G2320" s="77"/>
      <c r="H2320" s="77"/>
      <c r="I2320" s="77"/>
      <c r="J2320" s="77"/>
      <c r="K2320" s="77"/>
      <c r="L2320" s="77"/>
      <c r="M2320" s="77"/>
      <c r="N2320" s="77"/>
      <c r="O2320" s="77"/>
      <c r="P2320" s="77"/>
      <c r="Q2320" s="77"/>
    </row>
    <row r="2321" spans="3:17" ht="13.2" x14ac:dyDescent="0.25">
      <c r="C2321" s="77"/>
      <c r="D2321" s="77"/>
      <c r="E2321" s="77"/>
      <c r="F2321" s="77"/>
      <c r="G2321" s="77"/>
      <c r="H2321" s="77"/>
      <c r="I2321" s="77"/>
      <c r="J2321" s="77"/>
      <c r="K2321" s="77"/>
      <c r="L2321" s="77"/>
      <c r="M2321" s="77"/>
      <c r="N2321" s="77"/>
      <c r="O2321" s="77"/>
      <c r="P2321" s="77"/>
      <c r="Q2321" s="77"/>
    </row>
    <row r="2322" spans="3:17" ht="13.2" x14ac:dyDescent="0.25">
      <c r="C2322" s="77"/>
      <c r="D2322" s="77"/>
      <c r="E2322" s="77"/>
      <c r="F2322" s="77"/>
      <c r="G2322" s="77"/>
      <c r="H2322" s="77"/>
      <c r="I2322" s="77"/>
      <c r="J2322" s="77"/>
      <c r="K2322" s="77"/>
      <c r="L2322" s="77"/>
      <c r="M2322" s="77"/>
      <c r="N2322" s="77"/>
      <c r="O2322" s="77"/>
      <c r="P2322" s="77"/>
      <c r="Q2322" s="77"/>
    </row>
    <row r="2323" spans="3:17" ht="13.2" x14ac:dyDescent="0.25">
      <c r="C2323" s="77"/>
      <c r="D2323" s="77"/>
      <c r="E2323" s="77"/>
      <c r="F2323" s="77"/>
      <c r="G2323" s="77"/>
      <c r="H2323" s="77"/>
      <c r="I2323" s="77"/>
      <c r="J2323" s="77"/>
      <c r="K2323" s="77"/>
      <c r="L2323" s="77"/>
      <c r="M2323" s="77"/>
      <c r="N2323" s="77"/>
      <c r="O2323" s="77"/>
      <c r="P2323" s="77"/>
      <c r="Q2323" s="77"/>
    </row>
    <row r="2324" spans="3:17" ht="13.2" x14ac:dyDescent="0.25">
      <c r="C2324" s="77"/>
      <c r="D2324" s="77"/>
      <c r="E2324" s="77"/>
      <c r="F2324" s="77"/>
      <c r="G2324" s="77"/>
      <c r="H2324" s="77"/>
      <c r="I2324" s="77"/>
      <c r="J2324" s="77"/>
      <c r="K2324" s="77"/>
      <c r="L2324" s="77"/>
      <c r="M2324" s="77"/>
      <c r="N2324" s="77"/>
      <c r="O2324" s="77"/>
      <c r="P2324" s="77"/>
      <c r="Q2324" s="77"/>
    </row>
    <row r="2325" spans="3:17" ht="13.2" x14ac:dyDescent="0.25">
      <c r="C2325" s="77"/>
      <c r="D2325" s="77"/>
      <c r="E2325" s="77"/>
      <c r="F2325" s="77"/>
      <c r="G2325" s="77"/>
      <c r="H2325" s="77"/>
      <c r="I2325" s="77"/>
      <c r="J2325" s="77"/>
      <c r="K2325" s="77"/>
      <c r="L2325" s="77"/>
      <c r="M2325" s="77"/>
      <c r="N2325" s="77"/>
      <c r="O2325" s="77"/>
      <c r="P2325" s="77"/>
      <c r="Q2325" s="77"/>
    </row>
    <row r="2326" spans="3:17" ht="13.2" x14ac:dyDescent="0.25">
      <c r="C2326" s="77"/>
      <c r="D2326" s="77"/>
      <c r="E2326" s="77"/>
      <c r="F2326" s="77"/>
      <c r="G2326" s="77"/>
      <c r="H2326" s="77"/>
      <c r="I2326" s="77"/>
      <c r="J2326" s="77"/>
      <c r="K2326" s="77"/>
      <c r="L2326" s="77"/>
      <c r="M2326" s="77"/>
      <c r="N2326" s="77"/>
      <c r="O2326" s="77"/>
      <c r="P2326" s="77"/>
      <c r="Q2326" s="77"/>
    </row>
    <row r="2327" spans="3:17" ht="13.2" x14ac:dyDescent="0.25">
      <c r="C2327" s="77"/>
      <c r="D2327" s="77"/>
      <c r="E2327" s="77"/>
      <c r="F2327" s="77"/>
      <c r="G2327" s="77"/>
      <c r="H2327" s="77"/>
      <c r="I2327" s="77"/>
      <c r="J2327" s="77"/>
      <c r="K2327" s="77"/>
      <c r="L2327" s="77"/>
      <c r="M2327" s="77"/>
      <c r="N2327" s="77"/>
      <c r="O2327" s="77"/>
      <c r="P2327" s="77"/>
      <c r="Q2327" s="77"/>
    </row>
    <row r="2328" spans="3:17" ht="13.2" x14ac:dyDescent="0.25">
      <c r="C2328" s="77"/>
      <c r="D2328" s="77"/>
      <c r="E2328" s="77"/>
      <c r="F2328" s="77"/>
      <c r="G2328" s="77"/>
      <c r="H2328" s="77"/>
      <c r="I2328" s="77"/>
      <c r="J2328" s="77"/>
      <c r="K2328" s="77"/>
      <c r="L2328" s="77"/>
      <c r="M2328" s="77"/>
      <c r="N2328" s="77"/>
      <c r="O2328" s="77"/>
      <c r="P2328" s="77"/>
      <c r="Q2328" s="77"/>
    </row>
    <row r="2329" spans="3:17" ht="13.2" x14ac:dyDescent="0.25">
      <c r="C2329" s="77"/>
      <c r="D2329" s="77"/>
      <c r="E2329" s="77"/>
      <c r="F2329" s="77"/>
      <c r="G2329" s="77"/>
      <c r="H2329" s="77"/>
      <c r="I2329" s="77"/>
      <c r="J2329" s="77"/>
      <c r="K2329" s="77"/>
      <c r="L2329" s="77"/>
      <c r="M2329" s="77"/>
      <c r="N2329" s="77"/>
      <c r="O2329" s="77"/>
      <c r="P2329" s="77"/>
      <c r="Q2329" s="77"/>
    </row>
    <row r="2330" spans="3:17" ht="13.2" x14ac:dyDescent="0.25">
      <c r="C2330" s="77"/>
      <c r="D2330" s="77"/>
      <c r="E2330" s="77"/>
      <c r="F2330" s="77"/>
      <c r="G2330" s="77"/>
      <c r="H2330" s="77"/>
      <c r="I2330" s="77"/>
      <c r="J2330" s="77"/>
      <c r="K2330" s="77"/>
      <c r="L2330" s="77"/>
      <c r="M2330" s="77"/>
      <c r="N2330" s="77"/>
      <c r="O2330" s="77"/>
      <c r="P2330" s="77"/>
      <c r="Q2330" s="77"/>
    </row>
    <row r="2331" spans="3:17" ht="13.2" x14ac:dyDescent="0.25">
      <c r="C2331" s="77"/>
      <c r="D2331" s="77"/>
      <c r="E2331" s="77"/>
      <c r="F2331" s="77"/>
      <c r="G2331" s="77"/>
      <c r="H2331" s="77"/>
      <c r="I2331" s="77"/>
      <c r="J2331" s="77"/>
      <c r="K2331" s="77"/>
      <c r="L2331" s="77"/>
      <c r="M2331" s="77"/>
      <c r="N2331" s="77"/>
      <c r="O2331" s="77"/>
      <c r="P2331" s="77"/>
      <c r="Q2331" s="77"/>
    </row>
    <row r="2332" spans="3:17" ht="13.2" x14ac:dyDescent="0.25">
      <c r="C2332" s="77"/>
      <c r="D2332" s="77"/>
      <c r="E2332" s="77"/>
      <c r="F2332" s="77"/>
      <c r="G2332" s="77"/>
      <c r="H2332" s="77"/>
      <c r="I2332" s="77"/>
      <c r="J2332" s="77"/>
      <c r="K2332" s="77"/>
      <c r="L2332" s="77"/>
      <c r="M2332" s="77"/>
      <c r="N2332" s="77"/>
      <c r="O2332" s="77"/>
      <c r="P2332" s="77"/>
      <c r="Q2332" s="77"/>
    </row>
    <row r="2333" spans="3:17" ht="13.2" x14ac:dyDescent="0.25">
      <c r="C2333" s="77"/>
      <c r="D2333" s="77"/>
      <c r="E2333" s="77"/>
      <c r="F2333" s="77"/>
      <c r="G2333" s="77"/>
      <c r="H2333" s="77"/>
      <c r="I2333" s="77"/>
      <c r="J2333" s="77"/>
      <c r="K2333" s="77"/>
      <c r="L2333" s="77"/>
      <c r="M2333" s="77"/>
      <c r="N2333" s="77"/>
      <c r="O2333" s="77"/>
      <c r="P2333" s="77"/>
      <c r="Q2333" s="77"/>
    </row>
    <row r="2334" spans="3:17" ht="13.2" x14ac:dyDescent="0.25">
      <c r="C2334" s="77"/>
      <c r="D2334" s="77"/>
      <c r="E2334" s="77"/>
      <c r="F2334" s="77"/>
      <c r="G2334" s="77"/>
      <c r="H2334" s="77"/>
      <c r="I2334" s="77"/>
      <c r="J2334" s="77"/>
      <c r="K2334" s="77"/>
      <c r="L2334" s="77"/>
      <c r="M2334" s="77"/>
      <c r="N2334" s="77"/>
      <c r="O2334" s="77"/>
      <c r="P2334" s="77"/>
      <c r="Q2334" s="77"/>
    </row>
    <row r="2335" spans="3:17" ht="13.2" x14ac:dyDescent="0.25">
      <c r="C2335" s="77"/>
      <c r="D2335" s="77"/>
      <c r="E2335" s="77"/>
      <c r="F2335" s="77"/>
      <c r="G2335" s="77"/>
      <c r="H2335" s="77"/>
      <c r="I2335" s="77"/>
      <c r="J2335" s="77"/>
      <c r="K2335" s="77"/>
      <c r="L2335" s="77"/>
      <c r="M2335" s="77"/>
      <c r="N2335" s="77"/>
      <c r="O2335" s="77"/>
      <c r="P2335" s="77"/>
      <c r="Q2335" s="77"/>
    </row>
    <row r="2336" spans="3:17" ht="13.2" x14ac:dyDescent="0.25">
      <c r="C2336" s="77"/>
      <c r="D2336" s="77"/>
      <c r="E2336" s="77"/>
      <c r="F2336" s="77"/>
      <c r="G2336" s="77"/>
      <c r="H2336" s="77"/>
      <c r="I2336" s="77"/>
      <c r="J2336" s="77"/>
      <c r="K2336" s="77"/>
      <c r="L2336" s="77"/>
      <c r="M2336" s="77"/>
      <c r="N2336" s="77"/>
      <c r="O2336" s="77"/>
      <c r="P2336" s="77"/>
      <c r="Q2336" s="77"/>
    </row>
    <row r="2337" spans="3:17" ht="13.2" x14ac:dyDescent="0.25">
      <c r="C2337" s="77"/>
      <c r="D2337" s="77"/>
      <c r="E2337" s="77"/>
      <c r="F2337" s="77"/>
      <c r="G2337" s="77"/>
      <c r="H2337" s="77"/>
      <c r="I2337" s="77"/>
      <c r="J2337" s="77"/>
      <c r="K2337" s="77"/>
      <c r="L2337" s="77"/>
      <c r="M2337" s="77"/>
      <c r="N2337" s="77"/>
      <c r="O2337" s="77"/>
      <c r="P2337" s="77"/>
      <c r="Q2337" s="77"/>
    </row>
    <row r="2338" spans="3:17" ht="13.2" x14ac:dyDescent="0.25">
      <c r="C2338" s="77"/>
      <c r="D2338" s="77"/>
      <c r="E2338" s="77"/>
      <c r="F2338" s="77"/>
      <c r="G2338" s="77"/>
      <c r="H2338" s="77"/>
      <c r="I2338" s="77"/>
      <c r="J2338" s="77"/>
      <c r="K2338" s="77"/>
      <c r="L2338" s="77"/>
      <c r="M2338" s="77"/>
      <c r="N2338" s="77"/>
      <c r="O2338" s="77"/>
      <c r="P2338" s="77"/>
      <c r="Q2338" s="77"/>
    </row>
    <row r="2339" spans="3:17" ht="13.2" x14ac:dyDescent="0.25">
      <c r="C2339" s="77"/>
      <c r="D2339" s="77"/>
      <c r="E2339" s="77"/>
      <c r="F2339" s="77"/>
      <c r="G2339" s="77"/>
      <c r="H2339" s="77"/>
      <c r="I2339" s="77"/>
      <c r="J2339" s="77"/>
      <c r="K2339" s="77"/>
      <c r="L2339" s="77"/>
      <c r="M2339" s="77"/>
      <c r="N2339" s="77"/>
      <c r="O2339" s="77"/>
      <c r="P2339" s="77"/>
      <c r="Q2339" s="77"/>
    </row>
    <row r="2340" spans="3:17" ht="13.2" x14ac:dyDescent="0.25">
      <c r="C2340" s="77"/>
      <c r="D2340" s="77"/>
      <c r="E2340" s="77"/>
      <c r="F2340" s="77"/>
      <c r="G2340" s="77"/>
      <c r="H2340" s="77"/>
      <c r="I2340" s="77"/>
      <c r="J2340" s="77"/>
      <c r="K2340" s="77"/>
      <c r="L2340" s="77"/>
      <c r="M2340" s="77"/>
      <c r="N2340" s="77"/>
      <c r="O2340" s="77"/>
      <c r="P2340" s="77"/>
      <c r="Q2340" s="77"/>
    </row>
    <row r="2341" spans="3:17" ht="13.2" x14ac:dyDescent="0.25">
      <c r="C2341" s="77"/>
      <c r="D2341" s="77"/>
      <c r="E2341" s="77"/>
      <c r="F2341" s="77"/>
      <c r="G2341" s="77"/>
      <c r="H2341" s="77"/>
      <c r="I2341" s="77"/>
      <c r="J2341" s="77"/>
      <c r="K2341" s="77"/>
      <c r="L2341" s="77"/>
      <c r="M2341" s="77"/>
      <c r="N2341" s="77"/>
      <c r="O2341" s="77"/>
      <c r="P2341" s="77"/>
      <c r="Q2341" s="77"/>
    </row>
    <row r="2342" spans="3:17" ht="13.2" x14ac:dyDescent="0.25">
      <c r="C2342" s="77"/>
      <c r="D2342" s="77"/>
      <c r="E2342" s="77"/>
      <c r="F2342" s="77"/>
      <c r="G2342" s="77"/>
      <c r="H2342" s="77"/>
      <c r="I2342" s="77"/>
      <c r="J2342" s="77"/>
      <c r="K2342" s="77"/>
      <c r="L2342" s="77"/>
      <c r="M2342" s="77"/>
      <c r="N2342" s="77"/>
      <c r="O2342" s="77"/>
      <c r="P2342" s="77"/>
      <c r="Q2342" s="77"/>
    </row>
    <row r="2343" spans="3:17" ht="13.2" x14ac:dyDescent="0.25">
      <c r="C2343" s="77"/>
      <c r="D2343" s="77"/>
      <c r="E2343" s="77"/>
      <c r="F2343" s="77"/>
      <c r="G2343" s="77"/>
      <c r="H2343" s="77"/>
      <c r="I2343" s="77"/>
      <c r="J2343" s="77"/>
      <c r="K2343" s="77"/>
      <c r="L2343" s="77"/>
      <c r="M2343" s="77"/>
      <c r="N2343" s="77"/>
      <c r="O2343" s="77"/>
      <c r="P2343" s="77"/>
      <c r="Q2343" s="77"/>
    </row>
    <row r="2344" spans="3:17" ht="13.2" x14ac:dyDescent="0.25">
      <c r="C2344" s="77"/>
      <c r="D2344" s="77"/>
      <c r="E2344" s="77"/>
      <c r="F2344" s="77"/>
      <c r="G2344" s="77"/>
      <c r="H2344" s="77"/>
      <c r="I2344" s="77"/>
      <c r="J2344" s="77"/>
      <c r="K2344" s="77"/>
      <c r="L2344" s="77"/>
      <c r="M2344" s="77"/>
      <c r="N2344" s="77"/>
      <c r="O2344" s="77"/>
      <c r="P2344" s="77"/>
      <c r="Q2344" s="77"/>
    </row>
    <row r="2345" spans="3:17" ht="13.2" x14ac:dyDescent="0.25">
      <c r="C2345" s="77"/>
      <c r="D2345" s="77"/>
      <c r="E2345" s="77"/>
      <c r="F2345" s="77"/>
      <c r="G2345" s="77"/>
      <c r="H2345" s="77"/>
      <c r="I2345" s="77"/>
      <c r="J2345" s="77"/>
      <c r="K2345" s="77"/>
      <c r="L2345" s="77"/>
      <c r="M2345" s="77"/>
      <c r="N2345" s="77"/>
      <c r="O2345" s="77"/>
      <c r="P2345" s="77"/>
      <c r="Q2345" s="77"/>
    </row>
    <row r="2346" spans="3:17" ht="13.2" x14ac:dyDescent="0.25">
      <c r="C2346" s="77"/>
      <c r="D2346" s="77"/>
      <c r="E2346" s="77"/>
      <c r="F2346" s="77"/>
      <c r="G2346" s="77"/>
      <c r="H2346" s="77"/>
      <c r="I2346" s="77"/>
      <c r="J2346" s="77"/>
      <c r="K2346" s="77"/>
      <c r="L2346" s="77"/>
      <c r="M2346" s="77"/>
      <c r="N2346" s="77"/>
      <c r="O2346" s="77"/>
      <c r="P2346" s="77"/>
      <c r="Q2346" s="77"/>
    </row>
    <row r="2347" spans="3:17" ht="13.2" x14ac:dyDescent="0.25">
      <c r="C2347" s="77"/>
      <c r="D2347" s="77"/>
      <c r="E2347" s="77"/>
      <c r="F2347" s="77"/>
      <c r="G2347" s="77"/>
      <c r="H2347" s="77"/>
      <c r="I2347" s="77"/>
      <c r="J2347" s="77"/>
      <c r="K2347" s="77"/>
      <c r="L2347" s="77"/>
      <c r="M2347" s="77"/>
      <c r="N2347" s="77"/>
      <c r="O2347" s="77"/>
      <c r="P2347" s="77"/>
      <c r="Q2347" s="77"/>
    </row>
    <row r="2348" spans="3:17" ht="13.2" x14ac:dyDescent="0.25">
      <c r="C2348" s="77"/>
      <c r="D2348" s="77"/>
      <c r="E2348" s="77"/>
      <c r="F2348" s="77"/>
      <c r="G2348" s="77"/>
      <c r="H2348" s="77"/>
      <c r="I2348" s="77"/>
      <c r="J2348" s="77"/>
      <c r="K2348" s="77"/>
      <c r="L2348" s="77"/>
      <c r="M2348" s="77"/>
      <c r="N2348" s="77"/>
      <c r="O2348" s="77"/>
      <c r="P2348" s="77"/>
      <c r="Q2348" s="77"/>
    </row>
    <row r="2349" spans="3:17" ht="13.2" x14ac:dyDescent="0.25">
      <c r="C2349" s="77"/>
      <c r="D2349" s="77"/>
      <c r="E2349" s="77"/>
      <c r="F2349" s="77"/>
      <c r="G2349" s="77"/>
      <c r="H2349" s="77"/>
      <c r="I2349" s="77"/>
      <c r="J2349" s="77"/>
      <c r="K2349" s="77"/>
      <c r="L2349" s="77"/>
      <c r="M2349" s="77"/>
      <c r="N2349" s="77"/>
      <c r="O2349" s="77"/>
      <c r="P2349" s="77"/>
      <c r="Q2349" s="77"/>
    </row>
    <row r="2350" spans="3:17" ht="13.2" x14ac:dyDescent="0.25">
      <c r="C2350" s="77"/>
      <c r="D2350" s="77"/>
      <c r="E2350" s="77"/>
      <c r="F2350" s="77"/>
      <c r="G2350" s="77"/>
      <c r="H2350" s="77"/>
      <c r="I2350" s="77"/>
      <c r="J2350" s="77"/>
      <c r="K2350" s="77"/>
      <c r="L2350" s="77"/>
      <c r="M2350" s="77"/>
      <c r="N2350" s="77"/>
      <c r="O2350" s="77"/>
      <c r="P2350" s="77"/>
      <c r="Q2350" s="77"/>
    </row>
    <row r="2351" spans="3:17" ht="13.2" x14ac:dyDescent="0.25">
      <c r="C2351" s="77"/>
      <c r="D2351" s="77"/>
      <c r="E2351" s="77"/>
      <c r="F2351" s="77"/>
      <c r="G2351" s="77"/>
      <c r="H2351" s="77"/>
      <c r="I2351" s="77"/>
      <c r="J2351" s="77"/>
      <c r="K2351" s="77"/>
      <c r="L2351" s="77"/>
      <c r="M2351" s="77"/>
      <c r="N2351" s="77"/>
      <c r="O2351" s="77"/>
      <c r="P2351" s="77"/>
      <c r="Q2351" s="77"/>
    </row>
    <row r="2352" spans="3:17" ht="13.2" x14ac:dyDescent="0.25">
      <c r="C2352" s="77"/>
      <c r="D2352" s="77"/>
      <c r="E2352" s="77"/>
      <c r="F2352" s="77"/>
      <c r="G2352" s="77"/>
      <c r="H2352" s="77"/>
      <c r="I2352" s="77"/>
      <c r="J2352" s="77"/>
      <c r="K2352" s="77"/>
      <c r="L2352" s="77"/>
      <c r="M2352" s="77"/>
      <c r="N2352" s="77"/>
      <c r="O2352" s="77"/>
      <c r="P2352" s="77"/>
      <c r="Q2352" s="77"/>
    </row>
    <row r="2353" spans="3:17" ht="13.2" x14ac:dyDescent="0.25">
      <c r="C2353" s="77"/>
      <c r="D2353" s="77"/>
      <c r="E2353" s="77"/>
      <c r="F2353" s="77"/>
      <c r="G2353" s="77"/>
      <c r="H2353" s="77"/>
      <c r="I2353" s="77"/>
      <c r="J2353" s="77"/>
      <c r="K2353" s="77"/>
      <c r="L2353" s="77"/>
      <c r="M2353" s="77"/>
      <c r="N2353" s="77"/>
      <c r="O2353" s="77"/>
      <c r="P2353" s="77"/>
      <c r="Q2353" s="77"/>
    </row>
    <row r="2354" spans="3:17" ht="13.2" x14ac:dyDescent="0.25">
      <c r="C2354" s="77"/>
      <c r="D2354" s="77"/>
      <c r="E2354" s="77"/>
      <c r="F2354" s="77"/>
      <c r="G2354" s="77"/>
      <c r="H2354" s="77"/>
      <c r="I2354" s="77"/>
      <c r="J2354" s="77"/>
      <c r="K2354" s="77"/>
      <c r="L2354" s="77"/>
      <c r="M2354" s="77"/>
      <c r="N2354" s="77"/>
      <c r="O2354" s="77"/>
      <c r="P2354" s="77"/>
      <c r="Q2354" s="77"/>
    </row>
    <row r="2355" spans="3:17" ht="13.2" x14ac:dyDescent="0.25">
      <c r="C2355" s="77"/>
      <c r="D2355" s="77"/>
      <c r="E2355" s="77"/>
      <c r="F2355" s="77"/>
      <c r="G2355" s="77"/>
      <c r="H2355" s="77"/>
      <c r="I2355" s="77"/>
      <c r="J2355" s="77"/>
      <c r="K2355" s="77"/>
      <c r="L2355" s="77"/>
      <c r="M2355" s="77"/>
      <c r="N2355" s="77"/>
      <c r="O2355" s="77"/>
      <c r="P2355" s="77"/>
      <c r="Q2355" s="77"/>
    </row>
    <row r="2356" spans="3:17" ht="13.2" x14ac:dyDescent="0.25">
      <c r="C2356" s="77"/>
      <c r="D2356" s="77"/>
      <c r="E2356" s="77"/>
      <c r="F2356" s="77"/>
      <c r="G2356" s="77"/>
      <c r="H2356" s="77"/>
      <c r="I2356" s="77"/>
      <c r="J2356" s="77"/>
      <c r="K2356" s="77"/>
      <c r="L2356" s="77"/>
      <c r="M2356" s="77"/>
      <c r="N2356" s="77"/>
      <c r="O2356" s="77"/>
      <c r="P2356" s="77"/>
      <c r="Q2356" s="77"/>
    </row>
    <row r="2357" spans="3:17" ht="13.2" x14ac:dyDescent="0.25">
      <c r="C2357" s="77"/>
      <c r="D2357" s="77"/>
      <c r="E2357" s="77"/>
      <c r="F2357" s="77"/>
      <c r="G2357" s="77"/>
      <c r="H2357" s="77"/>
      <c r="I2357" s="77"/>
      <c r="J2357" s="77"/>
      <c r="K2357" s="77"/>
      <c r="L2357" s="77"/>
      <c r="M2357" s="77"/>
      <c r="N2357" s="77"/>
      <c r="O2357" s="77"/>
      <c r="P2357" s="77"/>
      <c r="Q2357" s="77"/>
    </row>
    <row r="2358" spans="3:17" ht="13.2" x14ac:dyDescent="0.25">
      <c r="C2358" s="77"/>
      <c r="D2358" s="77"/>
      <c r="E2358" s="77"/>
      <c r="F2358" s="77"/>
      <c r="G2358" s="77"/>
      <c r="H2358" s="77"/>
      <c r="I2358" s="77"/>
      <c r="J2358" s="77"/>
      <c r="K2358" s="77"/>
      <c r="L2358" s="77"/>
      <c r="M2358" s="77"/>
      <c r="N2358" s="77"/>
      <c r="O2358" s="77"/>
      <c r="P2358" s="77"/>
      <c r="Q2358" s="77"/>
    </row>
    <row r="2359" spans="3:17" ht="13.2" x14ac:dyDescent="0.25">
      <c r="C2359" s="77"/>
      <c r="D2359" s="77"/>
      <c r="E2359" s="77"/>
      <c r="F2359" s="77"/>
      <c r="G2359" s="77"/>
      <c r="H2359" s="77"/>
      <c r="I2359" s="77"/>
      <c r="J2359" s="77"/>
      <c r="K2359" s="77"/>
      <c r="L2359" s="77"/>
      <c r="M2359" s="77"/>
      <c r="N2359" s="77"/>
      <c r="O2359" s="77"/>
      <c r="P2359" s="77"/>
      <c r="Q2359" s="77"/>
    </row>
    <row r="2360" spans="3:17" ht="13.2" x14ac:dyDescent="0.25">
      <c r="C2360" s="77"/>
      <c r="D2360" s="77"/>
      <c r="E2360" s="77"/>
      <c r="F2360" s="77"/>
      <c r="G2360" s="77"/>
      <c r="H2360" s="77"/>
      <c r="I2360" s="77"/>
      <c r="J2360" s="77"/>
      <c r="K2360" s="77"/>
      <c r="L2360" s="77"/>
      <c r="M2360" s="77"/>
      <c r="N2360" s="77"/>
      <c r="O2360" s="77"/>
      <c r="P2360" s="77"/>
      <c r="Q2360" s="77"/>
    </row>
    <row r="2361" spans="3:17" ht="13.2" x14ac:dyDescent="0.25">
      <c r="C2361" s="77"/>
      <c r="D2361" s="77"/>
      <c r="E2361" s="77"/>
      <c r="F2361" s="77"/>
      <c r="G2361" s="77"/>
      <c r="H2361" s="77"/>
      <c r="I2361" s="77"/>
      <c r="J2361" s="77"/>
      <c r="K2361" s="77"/>
      <c r="L2361" s="77"/>
      <c r="M2361" s="77"/>
      <c r="N2361" s="77"/>
      <c r="O2361" s="77"/>
      <c r="P2361" s="77"/>
      <c r="Q2361" s="77"/>
    </row>
    <row r="2362" spans="3:17" ht="13.2" x14ac:dyDescent="0.25">
      <c r="C2362" s="77"/>
      <c r="D2362" s="77"/>
      <c r="E2362" s="77"/>
      <c r="F2362" s="77"/>
      <c r="G2362" s="77"/>
      <c r="H2362" s="77"/>
      <c r="I2362" s="77"/>
      <c r="J2362" s="77"/>
      <c r="K2362" s="77"/>
      <c r="L2362" s="77"/>
      <c r="M2362" s="77"/>
      <c r="N2362" s="77"/>
      <c r="O2362" s="77"/>
      <c r="P2362" s="77"/>
      <c r="Q2362" s="77"/>
    </row>
    <row r="2363" spans="3:17" ht="13.2" x14ac:dyDescent="0.25">
      <c r="C2363" s="77"/>
      <c r="D2363" s="77"/>
      <c r="E2363" s="77"/>
      <c r="F2363" s="77"/>
      <c r="G2363" s="77"/>
      <c r="H2363" s="77"/>
      <c r="I2363" s="77"/>
      <c r="J2363" s="77"/>
      <c r="K2363" s="77"/>
      <c r="L2363" s="77"/>
      <c r="M2363" s="77"/>
      <c r="N2363" s="77"/>
      <c r="O2363" s="77"/>
      <c r="P2363" s="77"/>
      <c r="Q2363" s="77"/>
    </row>
    <row r="2364" spans="3:17" ht="13.2" x14ac:dyDescent="0.25">
      <c r="C2364" s="77"/>
      <c r="D2364" s="77"/>
      <c r="E2364" s="77"/>
      <c r="F2364" s="77"/>
      <c r="G2364" s="77"/>
      <c r="H2364" s="77"/>
      <c r="I2364" s="77"/>
      <c r="J2364" s="77"/>
      <c r="K2364" s="77"/>
      <c r="L2364" s="77"/>
      <c r="M2364" s="77"/>
      <c r="N2364" s="77"/>
      <c r="O2364" s="77"/>
      <c r="P2364" s="77"/>
      <c r="Q2364" s="77"/>
    </row>
    <row r="2365" spans="3:17" ht="13.2" x14ac:dyDescent="0.25">
      <c r="C2365" s="77"/>
      <c r="D2365" s="77"/>
      <c r="E2365" s="77"/>
      <c r="F2365" s="77"/>
      <c r="G2365" s="77"/>
      <c r="H2365" s="77"/>
      <c r="I2365" s="77"/>
      <c r="J2365" s="77"/>
      <c r="K2365" s="77"/>
      <c r="L2365" s="77"/>
      <c r="M2365" s="77"/>
      <c r="N2365" s="77"/>
      <c r="O2365" s="77"/>
      <c r="P2365" s="77"/>
      <c r="Q2365" s="77"/>
    </row>
    <row r="2366" spans="3:17" ht="13.2" x14ac:dyDescent="0.25">
      <c r="C2366" s="77"/>
      <c r="D2366" s="77"/>
      <c r="E2366" s="77"/>
      <c r="F2366" s="77"/>
      <c r="G2366" s="77"/>
      <c r="H2366" s="77"/>
      <c r="I2366" s="77"/>
      <c r="J2366" s="77"/>
      <c r="K2366" s="77"/>
      <c r="L2366" s="77"/>
      <c r="M2366" s="77"/>
      <c r="N2366" s="77"/>
      <c r="O2366" s="77"/>
      <c r="P2366" s="77"/>
      <c r="Q2366" s="77"/>
    </row>
    <row r="2367" spans="3:17" ht="13.2" x14ac:dyDescent="0.25">
      <c r="C2367" s="77"/>
      <c r="D2367" s="77"/>
      <c r="E2367" s="77"/>
      <c r="F2367" s="77"/>
      <c r="G2367" s="77"/>
      <c r="H2367" s="77"/>
      <c r="I2367" s="77"/>
      <c r="J2367" s="77"/>
      <c r="K2367" s="77"/>
      <c r="L2367" s="77"/>
      <c r="M2367" s="77"/>
      <c r="N2367" s="77"/>
      <c r="O2367" s="77"/>
      <c r="P2367" s="77"/>
      <c r="Q2367" s="77"/>
    </row>
    <row r="2368" spans="3:17" ht="13.2" x14ac:dyDescent="0.25">
      <c r="C2368" s="77"/>
      <c r="D2368" s="77"/>
      <c r="E2368" s="77"/>
      <c r="F2368" s="77"/>
      <c r="G2368" s="77"/>
      <c r="H2368" s="77"/>
      <c r="I2368" s="77"/>
      <c r="J2368" s="77"/>
      <c r="K2368" s="77"/>
      <c r="L2368" s="77"/>
      <c r="M2368" s="77"/>
      <c r="N2368" s="77"/>
      <c r="O2368" s="77"/>
      <c r="P2368" s="77"/>
      <c r="Q2368" s="77"/>
    </row>
    <row r="2369" spans="3:17" ht="13.2" x14ac:dyDescent="0.25">
      <c r="C2369" s="77"/>
      <c r="D2369" s="77"/>
      <c r="E2369" s="77"/>
      <c r="F2369" s="77"/>
      <c r="G2369" s="77"/>
      <c r="H2369" s="77"/>
      <c r="I2369" s="77"/>
      <c r="J2369" s="77"/>
      <c r="K2369" s="77"/>
      <c r="L2369" s="77"/>
      <c r="M2369" s="77"/>
      <c r="N2369" s="77"/>
      <c r="O2369" s="77"/>
      <c r="P2369" s="77"/>
      <c r="Q2369" s="77"/>
    </row>
    <row r="2370" spans="3:17" ht="13.2" x14ac:dyDescent="0.25">
      <c r="C2370" s="77"/>
      <c r="D2370" s="77"/>
      <c r="E2370" s="77"/>
      <c r="F2370" s="77"/>
      <c r="G2370" s="77"/>
      <c r="H2370" s="77"/>
      <c r="I2370" s="77"/>
      <c r="J2370" s="77"/>
      <c r="K2370" s="77"/>
      <c r="L2370" s="77"/>
      <c r="M2370" s="77"/>
      <c r="N2370" s="77"/>
      <c r="O2370" s="77"/>
      <c r="P2370" s="77"/>
      <c r="Q2370" s="77"/>
    </row>
    <row r="2371" spans="3:17" ht="13.2" x14ac:dyDescent="0.25">
      <c r="C2371" s="77"/>
      <c r="D2371" s="77"/>
      <c r="E2371" s="77"/>
      <c r="F2371" s="77"/>
      <c r="G2371" s="77"/>
      <c r="H2371" s="77"/>
      <c r="I2371" s="77"/>
      <c r="J2371" s="77"/>
      <c r="K2371" s="77"/>
      <c r="L2371" s="77"/>
      <c r="M2371" s="77"/>
      <c r="N2371" s="77"/>
      <c r="O2371" s="77"/>
      <c r="P2371" s="77"/>
      <c r="Q2371" s="77"/>
    </row>
    <row r="2372" spans="3:17" ht="13.2" x14ac:dyDescent="0.25">
      <c r="C2372" s="77"/>
      <c r="D2372" s="77"/>
      <c r="E2372" s="77"/>
      <c r="F2372" s="77"/>
      <c r="G2372" s="77"/>
      <c r="H2372" s="77"/>
      <c r="I2372" s="77"/>
      <c r="J2372" s="77"/>
      <c r="K2372" s="77"/>
      <c r="L2372" s="77"/>
      <c r="M2372" s="77"/>
      <c r="N2372" s="77"/>
      <c r="O2372" s="77"/>
      <c r="P2372" s="77"/>
      <c r="Q2372" s="77"/>
    </row>
    <row r="2373" spans="3:17" ht="13.2" x14ac:dyDescent="0.25">
      <c r="C2373" s="77"/>
      <c r="D2373" s="77"/>
      <c r="E2373" s="77"/>
      <c r="F2373" s="77"/>
      <c r="G2373" s="77"/>
      <c r="H2373" s="77"/>
      <c r="I2373" s="77"/>
      <c r="J2373" s="77"/>
      <c r="K2373" s="77"/>
      <c r="L2373" s="77"/>
      <c r="M2373" s="77"/>
      <c r="N2373" s="77"/>
      <c r="O2373" s="77"/>
      <c r="P2373" s="77"/>
      <c r="Q2373" s="77"/>
    </row>
    <row r="2374" spans="3:17" ht="13.2" x14ac:dyDescent="0.25">
      <c r="C2374" s="77"/>
      <c r="D2374" s="77"/>
      <c r="E2374" s="77"/>
      <c r="F2374" s="77"/>
      <c r="G2374" s="77"/>
      <c r="H2374" s="77"/>
      <c r="I2374" s="77"/>
      <c r="J2374" s="77"/>
      <c r="K2374" s="77"/>
      <c r="L2374" s="77"/>
      <c r="M2374" s="77"/>
      <c r="N2374" s="77"/>
      <c r="O2374" s="77"/>
      <c r="P2374" s="77"/>
      <c r="Q2374" s="77"/>
    </row>
    <row r="2375" spans="3:17" ht="13.2" x14ac:dyDescent="0.25">
      <c r="C2375" s="77"/>
      <c r="D2375" s="77"/>
      <c r="E2375" s="77"/>
      <c r="F2375" s="77"/>
      <c r="G2375" s="77"/>
      <c r="H2375" s="77"/>
      <c r="I2375" s="77"/>
      <c r="J2375" s="77"/>
      <c r="K2375" s="77"/>
      <c r="L2375" s="77"/>
      <c r="M2375" s="77"/>
      <c r="N2375" s="77"/>
      <c r="O2375" s="77"/>
      <c r="P2375" s="77"/>
      <c r="Q2375" s="77"/>
    </row>
    <row r="2376" spans="3:17" ht="13.2" x14ac:dyDescent="0.25">
      <c r="C2376" s="77"/>
      <c r="D2376" s="77"/>
      <c r="E2376" s="77"/>
      <c r="F2376" s="77"/>
      <c r="G2376" s="77"/>
      <c r="H2376" s="77"/>
      <c r="I2376" s="77"/>
      <c r="J2376" s="77"/>
      <c r="K2376" s="77"/>
      <c r="L2376" s="77"/>
      <c r="M2376" s="77"/>
      <c r="N2376" s="77"/>
      <c r="O2376" s="77"/>
      <c r="P2376" s="77"/>
      <c r="Q2376" s="77"/>
    </row>
    <row r="2377" spans="3:17" ht="13.2" x14ac:dyDescent="0.25">
      <c r="C2377" s="77"/>
      <c r="D2377" s="77"/>
      <c r="E2377" s="77"/>
      <c r="F2377" s="77"/>
      <c r="G2377" s="77"/>
      <c r="H2377" s="77"/>
      <c r="I2377" s="77"/>
      <c r="J2377" s="77"/>
      <c r="K2377" s="77"/>
      <c r="L2377" s="77"/>
      <c r="M2377" s="77"/>
      <c r="N2377" s="77"/>
      <c r="O2377" s="77"/>
      <c r="P2377" s="77"/>
      <c r="Q2377" s="77"/>
    </row>
    <row r="2378" spans="3:17" ht="13.2" x14ac:dyDescent="0.25">
      <c r="C2378" s="77"/>
      <c r="D2378" s="77"/>
      <c r="E2378" s="77"/>
      <c r="F2378" s="77"/>
      <c r="G2378" s="77"/>
      <c r="H2378" s="77"/>
      <c r="I2378" s="77"/>
      <c r="J2378" s="77"/>
      <c r="K2378" s="77"/>
      <c r="L2378" s="77"/>
      <c r="M2378" s="77"/>
      <c r="N2378" s="77"/>
      <c r="O2378" s="77"/>
      <c r="P2378" s="77"/>
      <c r="Q2378" s="77"/>
    </row>
    <row r="2379" spans="3:17" ht="13.2" x14ac:dyDescent="0.25">
      <c r="C2379" s="77"/>
      <c r="D2379" s="77"/>
      <c r="E2379" s="77"/>
      <c r="F2379" s="77"/>
      <c r="G2379" s="77"/>
      <c r="H2379" s="77"/>
      <c r="I2379" s="77"/>
      <c r="J2379" s="77"/>
      <c r="K2379" s="77"/>
      <c r="L2379" s="77"/>
      <c r="M2379" s="77"/>
      <c r="N2379" s="77"/>
      <c r="O2379" s="77"/>
      <c r="P2379" s="77"/>
      <c r="Q2379" s="77"/>
    </row>
    <row r="2380" spans="3:17" ht="13.2" x14ac:dyDescent="0.25">
      <c r="C2380" s="77"/>
      <c r="D2380" s="77"/>
      <c r="E2380" s="77"/>
      <c r="F2380" s="77"/>
      <c r="G2380" s="77"/>
      <c r="H2380" s="77"/>
      <c r="I2380" s="77"/>
      <c r="J2380" s="77"/>
      <c r="K2380" s="77"/>
      <c r="L2380" s="77"/>
      <c r="M2380" s="77"/>
      <c r="N2380" s="77"/>
      <c r="O2380" s="77"/>
      <c r="P2380" s="77"/>
      <c r="Q2380" s="77"/>
    </row>
    <row r="2381" spans="3:17" ht="13.2" x14ac:dyDescent="0.25">
      <c r="C2381" s="77"/>
      <c r="D2381" s="77"/>
      <c r="E2381" s="77"/>
      <c r="F2381" s="77"/>
      <c r="G2381" s="77"/>
      <c r="H2381" s="77"/>
      <c r="I2381" s="77"/>
      <c r="J2381" s="77"/>
      <c r="K2381" s="77"/>
      <c r="L2381" s="77"/>
      <c r="M2381" s="77"/>
      <c r="N2381" s="77"/>
      <c r="O2381" s="77"/>
      <c r="P2381" s="77"/>
      <c r="Q2381" s="77"/>
    </row>
    <row r="2382" spans="3:17" ht="13.2" x14ac:dyDescent="0.25">
      <c r="C2382" s="77"/>
      <c r="D2382" s="77"/>
      <c r="E2382" s="77"/>
      <c r="F2382" s="77"/>
      <c r="G2382" s="77"/>
      <c r="H2382" s="77"/>
      <c r="I2382" s="77"/>
      <c r="J2382" s="77"/>
      <c r="K2382" s="77"/>
      <c r="L2382" s="77"/>
      <c r="M2382" s="77"/>
      <c r="N2382" s="77"/>
      <c r="O2382" s="77"/>
      <c r="P2382" s="77"/>
      <c r="Q2382" s="77"/>
    </row>
    <row r="2383" spans="3:17" ht="13.2" x14ac:dyDescent="0.25">
      <c r="C2383" s="77"/>
      <c r="D2383" s="77"/>
      <c r="E2383" s="77"/>
      <c r="F2383" s="77"/>
      <c r="G2383" s="77"/>
      <c r="H2383" s="77"/>
      <c r="I2383" s="77"/>
      <c r="J2383" s="77"/>
      <c r="K2383" s="77"/>
      <c r="L2383" s="77"/>
      <c r="M2383" s="77"/>
      <c r="N2383" s="77"/>
      <c r="O2383" s="77"/>
      <c r="P2383" s="77"/>
      <c r="Q2383" s="77"/>
    </row>
    <row r="2384" spans="3:17" ht="13.2" x14ac:dyDescent="0.25">
      <c r="C2384" s="77"/>
      <c r="D2384" s="77"/>
      <c r="E2384" s="77"/>
      <c r="F2384" s="77"/>
      <c r="G2384" s="77"/>
      <c r="H2384" s="77"/>
      <c r="I2384" s="77"/>
      <c r="J2384" s="77"/>
      <c r="K2384" s="77"/>
      <c r="L2384" s="77"/>
      <c r="M2384" s="77"/>
      <c r="N2384" s="77"/>
      <c r="O2384" s="77"/>
      <c r="P2384" s="77"/>
      <c r="Q2384" s="77"/>
    </row>
    <row r="2385" spans="3:17" ht="13.2" x14ac:dyDescent="0.25">
      <c r="C2385" s="77"/>
      <c r="D2385" s="77"/>
      <c r="E2385" s="77"/>
      <c r="F2385" s="77"/>
      <c r="G2385" s="77"/>
      <c r="H2385" s="77"/>
      <c r="I2385" s="77"/>
      <c r="J2385" s="77"/>
      <c r="K2385" s="77"/>
      <c r="L2385" s="77"/>
      <c r="M2385" s="77"/>
      <c r="N2385" s="77"/>
      <c r="O2385" s="77"/>
      <c r="P2385" s="77"/>
      <c r="Q2385" s="77"/>
    </row>
    <row r="2386" spans="3:17" ht="13.2" x14ac:dyDescent="0.25">
      <c r="C2386" s="77"/>
      <c r="D2386" s="77"/>
      <c r="E2386" s="77"/>
      <c r="F2386" s="77"/>
      <c r="G2386" s="77"/>
      <c r="H2386" s="77"/>
      <c r="I2386" s="77"/>
      <c r="J2386" s="77"/>
      <c r="K2386" s="77"/>
      <c r="L2386" s="77"/>
      <c r="M2386" s="77"/>
      <c r="N2386" s="77"/>
      <c r="O2386" s="77"/>
      <c r="P2386" s="77"/>
      <c r="Q2386" s="77"/>
    </row>
    <row r="2387" spans="3:17" ht="13.2" x14ac:dyDescent="0.25">
      <c r="C2387" s="77"/>
      <c r="D2387" s="77"/>
      <c r="E2387" s="77"/>
      <c r="F2387" s="77"/>
      <c r="G2387" s="77"/>
      <c r="H2387" s="77"/>
      <c r="I2387" s="77"/>
      <c r="J2387" s="77"/>
      <c r="K2387" s="77"/>
      <c r="L2387" s="77"/>
      <c r="M2387" s="77"/>
      <c r="N2387" s="77"/>
      <c r="O2387" s="77"/>
      <c r="P2387" s="77"/>
      <c r="Q2387" s="77"/>
    </row>
    <row r="2388" spans="3:17" ht="13.2" x14ac:dyDescent="0.25">
      <c r="C2388" s="77"/>
      <c r="D2388" s="77"/>
      <c r="E2388" s="77"/>
      <c r="F2388" s="77"/>
      <c r="G2388" s="77"/>
      <c r="H2388" s="77"/>
      <c r="I2388" s="77"/>
      <c r="J2388" s="77"/>
      <c r="K2388" s="77"/>
      <c r="L2388" s="77"/>
      <c r="M2388" s="77"/>
      <c r="N2388" s="77"/>
      <c r="O2388" s="77"/>
      <c r="P2388" s="77"/>
      <c r="Q2388" s="77"/>
    </row>
    <row r="2389" spans="3:17" ht="13.2" x14ac:dyDescent="0.25">
      <c r="C2389" s="77"/>
      <c r="D2389" s="77"/>
      <c r="E2389" s="77"/>
      <c r="F2389" s="77"/>
      <c r="G2389" s="77"/>
      <c r="H2389" s="77"/>
      <c r="I2389" s="77"/>
      <c r="J2389" s="77"/>
      <c r="K2389" s="77"/>
      <c r="L2389" s="77"/>
      <c r="M2389" s="77"/>
      <c r="N2389" s="77"/>
      <c r="O2389" s="77"/>
      <c r="P2389" s="77"/>
      <c r="Q2389" s="77"/>
    </row>
    <row r="2390" spans="3:17" ht="13.2" x14ac:dyDescent="0.25">
      <c r="C2390" s="77"/>
      <c r="D2390" s="77"/>
      <c r="E2390" s="77"/>
      <c r="F2390" s="77"/>
      <c r="G2390" s="77"/>
      <c r="H2390" s="77"/>
      <c r="I2390" s="77"/>
      <c r="J2390" s="77"/>
      <c r="K2390" s="77"/>
      <c r="L2390" s="77"/>
      <c r="M2390" s="77"/>
      <c r="N2390" s="77"/>
      <c r="O2390" s="77"/>
      <c r="P2390" s="77"/>
      <c r="Q2390" s="77"/>
    </row>
    <row r="2391" spans="3:17" ht="13.2" x14ac:dyDescent="0.25">
      <c r="C2391" s="77"/>
      <c r="D2391" s="77"/>
      <c r="E2391" s="77"/>
      <c r="F2391" s="77"/>
      <c r="G2391" s="77"/>
      <c r="H2391" s="77"/>
      <c r="I2391" s="77"/>
      <c r="J2391" s="77"/>
      <c r="K2391" s="77"/>
      <c r="L2391" s="77"/>
      <c r="M2391" s="77"/>
      <c r="N2391" s="77"/>
      <c r="O2391" s="77"/>
      <c r="P2391" s="77"/>
      <c r="Q2391" s="77"/>
    </row>
    <row r="2392" spans="3:17" ht="13.2" x14ac:dyDescent="0.25">
      <c r="C2392" s="77"/>
      <c r="D2392" s="77"/>
      <c r="E2392" s="77"/>
      <c r="F2392" s="77"/>
      <c r="G2392" s="77"/>
      <c r="H2392" s="77"/>
      <c r="I2392" s="77"/>
      <c r="J2392" s="77"/>
      <c r="K2392" s="77"/>
      <c r="L2392" s="77"/>
      <c r="M2392" s="77"/>
      <c r="N2392" s="77"/>
      <c r="O2392" s="77"/>
      <c r="P2392" s="77"/>
      <c r="Q2392" s="77"/>
    </row>
    <row r="2393" spans="3:17" ht="13.2" x14ac:dyDescent="0.25">
      <c r="C2393" s="77"/>
      <c r="D2393" s="77"/>
      <c r="E2393" s="77"/>
      <c r="F2393" s="77"/>
      <c r="G2393" s="77"/>
      <c r="H2393" s="77"/>
      <c r="I2393" s="77"/>
      <c r="J2393" s="77"/>
      <c r="K2393" s="77"/>
      <c r="L2393" s="77"/>
      <c r="M2393" s="77"/>
      <c r="N2393" s="77"/>
      <c r="O2393" s="77"/>
      <c r="P2393" s="77"/>
      <c r="Q2393" s="77"/>
    </row>
    <row r="2394" spans="3:17" ht="13.2" x14ac:dyDescent="0.25">
      <c r="C2394" s="77"/>
      <c r="D2394" s="77"/>
      <c r="E2394" s="77"/>
      <c r="F2394" s="77"/>
      <c r="G2394" s="77"/>
      <c r="H2394" s="77"/>
      <c r="I2394" s="77"/>
      <c r="J2394" s="77"/>
      <c r="K2394" s="77"/>
      <c r="L2394" s="77"/>
      <c r="M2394" s="77"/>
      <c r="N2394" s="77"/>
      <c r="O2394" s="77"/>
      <c r="P2394" s="77"/>
      <c r="Q2394" s="77"/>
    </row>
    <row r="2395" spans="3:17" ht="13.2" x14ac:dyDescent="0.25">
      <c r="C2395" s="77"/>
      <c r="D2395" s="77"/>
      <c r="E2395" s="77"/>
      <c r="F2395" s="77"/>
      <c r="G2395" s="77"/>
      <c r="H2395" s="77"/>
      <c r="I2395" s="77"/>
      <c r="J2395" s="77"/>
      <c r="K2395" s="77"/>
      <c r="L2395" s="77"/>
      <c r="M2395" s="77"/>
      <c r="N2395" s="77"/>
      <c r="O2395" s="77"/>
      <c r="P2395" s="77"/>
      <c r="Q2395" s="77"/>
    </row>
    <row r="2396" spans="3:17" ht="13.2" x14ac:dyDescent="0.25">
      <c r="C2396" s="77"/>
      <c r="D2396" s="77"/>
      <c r="E2396" s="77"/>
      <c r="F2396" s="77"/>
      <c r="G2396" s="77"/>
      <c r="H2396" s="77"/>
      <c r="I2396" s="77"/>
      <c r="J2396" s="77"/>
      <c r="K2396" s="77"/>
      <c r="L2396" s="77"/>
      <c r="M2396" s="77"/>
      <c r="N2396" s="77"/>
      <c r="O2396" s="77"/>
      <c r="P2396" s="77"/>
      <c r="Q2396" s="77"/>
    </row>
    <row r="2397" spans="3:17" ht="13.2" x14ac:dyDescent="0.25">
      <c r="C2397" s="77"/>
      <c r="D2397" s="77"/>
      <c r="E2397" s="77"/>
      <c r="F2397" s="77"/>
      <c r="G2397" s="77"/>
      <c r="H2397" s="77"/>
      <c r="I2397" s="77"/>
      <c r="J2397" s="77"/>
      <c r="K2397" s="77"/>
      <c r="L2397" s="77"/>
      <c r="M2397" s="77"/>
      <c r="N2397" s="77"/>
      <c r="O2397" s="77"/>
      <c r="P2397" s="77"/>
      <c r="Q2397" s="77"/>
    </row>
    <row r="2398" spans="3:17" ht="13.2" x14ac:dyDescent="0.25">
      <c r="C2398" s="77"/>
      <c r="D2398" s="77"/>
      <c r="E2398" s="77"/>
      <c r="F2398" s="77"/>
      <c r="G2398" s="77"/>
      <c r="H2398" s="77"/>
      <c r="I2398" s="77"/>
      <c r="J2398" s="77"/>
      <c r="K2398" s="77"/>
      <c r="L2398" s="77"/>
      <c r="M2398" s="77"/>
      <c r="N2398" s="77"/>
      <c r="O2398" s="77"/>
      <c r="P2398" s="77"/>
      <c r="Q2398" s="77"/>
    </row>
    <row r="2399" spans="3:17" ht="13.2" x14ac:dyDescent="0.25">
      <c r="C2399" s="77"/>
      <c r="D2399" s="77"/>
      <c r="E2399" s="77"/>
      <c r="F2399" s="77"/>
      <c r="G2399" s="77"/>
      <c r="H2399" s="77"/>
      <c r="I2399" s="77"/>
      <c r="J2399" s="77"/>
      <c r="K2399" s="77"/>
      <c r="L2399" s="77"/>
      <c r="M2399" s="77"/>
      <c r="N2399" s="77"/>
      <c r="O2399" s="77"/>
      <c r="P2399" s="77"/>
      <c r="Q2399" s="77"/>
    </row>
    <row r="2400" spans="3:17" ht="13.2" x14ac:dyDescent="0.25">
      <c r="C2400" s="77"/>
      <c r="D2400" s="77"/>
      <c r="E2400" s="77"/>
      <c r="F2400" s="77"/>
      <c r="G2400" s="77"/>
      <c r="H2400" s="77"/>
      <c r="I2400" s="77"/>
      <c r="J2400" s="77"/>
      <c r="K2400" s="77"/>
      <c r="L2400" s="77"/>
      <c r="M2400" s="77"/>
      <c r="N2400" s="77"/>
      <c r="O2400" s="77"/>
      <c r="P2400" s="77"/>
      <c r="Q2400" s="77"/>
    </row>
    <row r="2401" spans="3:17" ht="13.2" x14ac:dyDescent="0.25">
      <c r="C2401" s="77"/>
      <c r="D2401" s="77"/>
      <c r="E2401" s="77"/>
      <c r="F2401" s="77"/>
      <c r="G2401" s="77"/>
      <c r="H2401" s="77"/>
      <c r="I2401" s="77"/>
      <c r="J2401" s="77"/>
      <c r="K2401" s="77"/>
      <c r="L2401" s="77"/>
      <c r="M2401" s="77"/>
      <c r="N2401" s="77"/>
      <c r="O2401" s="77"/>
      <c r="P2401" s="77"/>
      <c r="Q2401" s="77"/>
    </row>
    <row r="2402" spans="3:17" ht="13.2" x14ac:dyDescent="0.25">
      <c r="C2402" s="77"/>
      <c r="D2402" s="77"/>
      <c r="E2402" s="77"/>
      <c r="F2402" s="77"/>
      <c r="G2402" s="77"/>
      <c r="H2402" s="77"/>
      <c r="I2402" s="77"/>
      <c r="J2402" s="77"/>
      <c r="K2402" s="77"/>
      <c r="L2402" s="77"/>
      <c r="M2402" s="77"/>
      <c r="N2402" s="77"/>
      <c r="O2402" s="77"/>
      <c r="P2402" s="77"/>
      <c r="Q2402" s="77"/>
    </row>
    <row r="2403" spans="3:17" ht="13.2" x14ac:dyDescent="0.25">
      <c r="C2403" s="77"/>
      <c r="D2403" s="77"/>
      <c r="E2403" s="77"/>
      <c r="F2403" s="77"/>
      <c r="G2403" s="77"/>
      <c r="H2403" s="77"/>
      <c r="I2403" s="77"/>
      <c r="J2403" s="77"/>
      <c r="K2403" s="77"/>
      <c r="L2403" s="77"/>
      <c r="M2403" s="77"/>
      <c r="N2403" s="77"/>
      <c r="O2403" s="77"/>
      <c r="P2403" s="77"/>
      <c r="Q2403" s="77"/>
    </row>
    <row r="2404" spans="3:17" ht="13.2" x14ac:dyDescent="0.25">
      <c r="C2404" s="77"/>
      <c r="D2404" s="77"/>
      <c r="E2404" s="77"/>
      <c r="F2404" s="77"/>
      <c r="G2404" s="77"/>
      <c r="H2404" s="77"/>
      <c r="I2404" s="77"/>
      <c r="J2404" s="77"/>
      <c r="K2404" s="77"/>
      <c r="L2404" s="77"/>
      <c r="M2404" s="77"/>
      <c r="N2404" s="77"/>
      <c r="O2404" s="77"/>
      <c r="P2404" s="77"/>
      <c r="Q2404" s="77"/>
    </row>
    <row r="2405" spans="3:17" ht="13.2" x14ac:dyDescent="0.25">
      <c r="C2405" s="77"/>
      <c r="D2405" s="77"/>
      <c r="E2405" s="77"/>
      <c r="F2405" s="77"/>
      <c r="G2405" s="77"/>
      <c r="H2405" s="77"/>
      <c r="I2405" s="77"/>
      <c r="J2405" s="77"/>
      <c r="K2405" s="77"/>
      <c r="L2405" s="77"/>
      <c r="M2405" s="77"/>
      <c r="N2405" s="77"/>
      <c r="O2405" s="77"/>
      <c r="P2405" s="77"/>
      <c r="Q2405" s="77"/>
    </row>
    <row r="2406" spans="3:17" ht="13.2" x14ac:dyDescent="0.25">
      <c r="C2406" s="77"/>
      <c r="D2406" s="77"/>
      <c r="E2406" s="77"/>
      <c r="F2406" s="77"/>
      <c r="G2406" s="77"/>
      <c r="H2406" s="77"/>
      <c r="I2406" s="77"/>
      <c r="J2406" s="77"/>
      <c r="K2406" s="77"/>
      <c r="L2406" s="77"/>
      <c r="M2406" s="77"/>
      <c r="N2406" s="77"/>
      <c r="O2406" s="77"/>
      <c r="P2406" s="77"/>
      <c r="Q2406" s="77"/>
    </row>
    <row r="2407" spans="3:17" ht="13.2" x14ac:dyDescent="0.25">
      <c r="C2407" s="77"/>
      <c r="D2407" s="77"/>
      <c r="E2407" s="77"/>
      <c r="F2407" s="77"/>
      <c r="G2407" s="77"/>
      <c r="H2407" s="77"/>
      <c r="I2407" s="77"/>
      <c r="J2407" s="77"/>
      <c r="K2407" s="77"/>
      <c r="L2407" s="77"/>
      <c r="M2407" s="77"/>
      <c r="N2407" s="77"/>
      <c r="O2407" s="77"/>
      <c r="P2407" s="77"/>
      <c r="Q2407" s="77"/>
    </row>
    <row r="2408" spans="3:17" ht="13.2" x14ac:dyDescent="0.25">
      <c r="C2408" s="77"/>
      <c r="D2408" s="77"/>
      <c r="E2408" s="77"/>
      <c r="F2408" s="77"/>
      <c r="G2408" s="77"/>
      <c r="H2408" s="77"/>
      <c r="I2408" s="77"/>
      <c r="J2408" s="77"/>
      <c r="K2408" s="77"/>
      <c r="L2408" s="77"/>
      <c r="M2408" s="77"/>
      <c r="N2408" s="77"/>
      <c r="O2408" s="77"/>
      <c r="P2408" s="77"/>
      <c r="Q2408" s="77"/>
    </row>
    <row r="2409" spans="3:17" ht="13.2" x14ac:dyDescent="0.25">
      <c r="C2409" s="77"/>
      <c r="D2409" s="77"/>
      <c r="E2409" s="77"/>
      <c r="F2409" s="77"/>
      <c r="G2409" s="77"/>
      <c r="H2409" s="77"/>
      <c r="I2409" s="77"/>
      <c r="J2409" s="77"/>
      <c r="K2409" s="77"/>
      <c r="L2409" s="77"/>
      <c r="M2409" s="77"/>
      <c r="N2409" s="77"/>
      <c r="O2409" s="77"/>
      <c r="P2409" s="77"/>
      <c r="Q2409" s="77"/>
    </row>
    <row r="2410" spans="3:17" ht="13.2" x14ac:dyDescent="0.25">
      <c r="C2410" s="77"/>
      <c r="D2410" s="77"/>
      <c r="E2410" s="77"/>
      <c r="F2410" s="77"/>
      <c r="G2410" s="77"/>
      <c r="H2410" s="77"/>
      <c r="I2410" s="77"/>
      <c r="J2410" s="77"/>
      <c r="K2410" s="77"/>
      <c r="L2410" s="77"/>
      <c r="M2410" s="77"/>
      <c r="N2410" s="77"/>
      <c r="O2410" s="77"/>
      <c r="P2410" s="77"/>
      <c r="Q2410" s="77"/>
    </row>
    <row r="2411" spans="3:17" ht="13.2" x14ac:dyDescent="0.25">
      <c r="C2411" s="77"/>
      <c r="D2411" s="77"/>
      <c r="E2411" s="77"/>
      <c r="F2411" s="77"/>
      <c r="G2411" s="77"/>
      <c r="H2411" s="77"/>
      <c r="I2411" s="77"/>
      <c r="J2411" s="77"/>
      <c r="K2411" s="77"/>
      <c r="L2411" s="77"/>
      <c r="M2411" s="77"/>
      <c r="N2411" s="77"/>
      <c r="O2411" s="77"/>
      <c r="P2411" s="77"/>
      <c r="Q2411" s="77"/>
    </row>
    <row r="2412" spans="3:17" ht="13.2" x14ac:dyDescent="0.25">
      <c r="C2412" s="77"/>
      <c r="D2412" s="77"/>
      <c r="E2412" s="77"/>
      <c r="F2412" s="77"/>
      <c r="G2412" s="77"/>
      <c r="H2412" s="77"/>
      <c r="I2412" s="77"/>
      <c r="J2412" s="77"/>
      <c r="K2412" s="77"/>
      <c r="L2412" s="77"/>
      <c r="M2412" s="77"/>
      <c r="N2412" s="77"/>
      <c r="O2412" s="77"/>
      <c r="P2412" s="77"/>
      <c r="Q2412" s="77"/>
    </row>
    <row r="2413" spans="3:17" ht="13.2" x14ac:dyDescent="0.25">
      <c r="C2413" s="77"/>
      <c r="D2413" s="77"/>
      <c r="E2413" s="77"/>
      <c r="F2413" s="77"/>
      <c r="G2413" s="77"/>
      <c r="H2413" s="77"/>
      <c r="I2413" s="77"/>
      <c r="J2413" s="77"/>
      <c r="K2413" s="77"/>
      <c r="L2413" s="77"/>
      <c r="M2413" s="77"/>
      <c r="N2413" s="77"/>
      <c r="O2413" s="77"/>
      <c r="P2413" s="77"/>
      <c r="Q2413" s="77"/>
    </row>
    <row r="2414" spans="3:17" ht="13.2" x14ac:dyDescent="0.25">
      <c r="C2414" s="77"/>
      <c r="D2414" s="77"/>
      <c r="E2414" s="77"/>
      <c r="F2414" s="77"/>
      <c r="G2414" s="77"/>
      <c r="H2414" s="77"/>
      <c r="I2414" s="77"/>
      <c r="J2414" s="77"/>
      <c r="K2414" s="77"/>
      <c r="L2414" s="77"/>
      <c r="M2414" s="77"/>
      <c r="N2414" s="77"/>
      <c r="O2414" s="77"/>
      <c r="P2414" s="77"/>
      <c r="Q2414" s="77"/>
    </row>
    <row r="2415" spans="3:17" ht="13.2" x14ac:dyDescent="0.25">
      <c r="C2415" s="77"/>
      <c r="D2415" s="77"/>
      <c r="E2415" s="77"/>
      <c r="F2415" s="77"/>
      <c r="G2415" s="77"/>
      <c r="H2415" s="77"/>
      <c r="I2415" s="77"/>
      <c r="J2415" s="77"/>
      <c r="K2415" s="77"/>
      <c r="L2415" s="77"/>
      <c r="M2415" s="77"/>
      <c r="N2415" s="77"/>
      <c r="O2415" s="77"/>
      <c r="P2415" s="77"/>
      <c r="Q2415" s="77"/>
    </row>
    <row r="2416" spans="3:17" ht="13.2" x14ac:dyDescent="0.25">
      <c r="C2416" s="77"/>
      <c r="D2416" s="77"/>
      <c r="E2416" s="77"/>
      <c r="F2416" s="77"/>
      <c r="G2416" s="77"/>
      <c r="H2416" s="77"/>
      <c r="I2416" s="77"/>
      <c r="J2416" s="77"/>
      <c r="K2416" s="77"/>
      <c r="L2416" s="77"/>
      <c r="M2416" s="77"/>
      <c r="N2416" s="77"/>
      <c r="O2416" s="77"/>
      <c r="P2416" s="77"/>
      <c r="Q2416" s="77"/>
    </row>
    <row r="2417" spans="3:17" ht="13.2" x14ac:dyDescent="0.25">
      <c r="C2417" s="77"/>
      <c r="D2417" s="77"/>
      <c r="E2417" s="77"/>
      <c r="F2417" s="77"/>
      <c r="G2417" s="77"/>
      <c r="H2417" s="77"/>
      <c r="I2417" s="77"/>
      <c r="J2417" s="77"/>
      <c r="K2417" s="77"/>
      <c r="L2417" s="77"/>
      <c r="M2417" s="77"/>
      <c r="N2417" s="77"/>
      <c r="O2417" s="77"/>
      <c r="P2417" s="77"/>
      <c r="Q2417" s="77"/>
    </row>
    <row r="2418" spans="3:17" ht="13.2" x14ac:dyDescent="0.25">
      <c r="C2418" s="77"/>
      <c r="D2418" s="77"/>
      <c r="E2418" s="77"/>
      <c r="F2418" s="77"/>
      <c r="G2418" s="77"/>
      <c r="H2418" s="77"/>
      <c r="I2418" s="77"/>
      <c r="J2418" s="77"/>
      <c r="K2418" s="77"/>
      <c r="L2418" s="77"/>
      <c r="M2418" s="77"/>
      <c r="N2418" s="77"/>
      <c r="O2418" s="77"/>
      <c r="P2418" s="77"/>
      <c r="Q2418" s="77"/>
    </row>
    <row r="2419" spans="3:17" ht="13.2" x14ac:dyDescent="0.25">
      <c r="C2419" s="77"/>
      <c r="D2419" s="77"/>
      <c r="E2419" s="77"/>
      <c r="F2419" s="77"/>
      <c r="G2419" s="77"/>
      <c r="H2419" s="77"/>
      <c r="I2419" s="77"/>
      <c r="J2419" s="77"/>
      <c r="K2419" s="77"/>
      <c r="L2419" s="77"/>
      <c r="M2419" s="77"/>
      <c r="N2419" s="77"/>
      <c r="O2419" s="77"/>
      <c r="P2419" s="77"/>
      <c r="Q2419" s="77"/>
    </row>
    <row r="2420" spans="3:17" ht="13.2" x14ac:dyDescent="0.25">
      <c r="C2420" s="77"/>
      <c r="D2420" s="77"/>
      <c r="E2420" s="77"/>
      <c r="F2420" s="77"/>
      <c r="G2420" s="77"/>
      <c r="H2420" s="77"/>
      <c r="I2420" s="77"/>
      <c r="J2420" s="77"/>
      <c r="K2420" s="77"/>
      <c r="L2420" s="77"/>
      <c r="M2420" s="77"/>
      <c r="N2420" s="77"/>
      <c r="O2420" s="77"/>
      <c r="P2420" s="77"/>
      <c r="Q2420" s="77"/>
    </row>
    <row r="2421" spans="3:17" ht="13.2" x14ac:dyDescent="0.25">
      <c r="C2421" s="77"/>
      <c r="D2421" s="77"/>
      <c r="E2421" s="77"/>
      <c r="F2421" s="77"/>
      <c r="G2421" s="77"/>
      <c r="H2421" s="77"/>
      <c r="I2421" s="77"/>
      <c r="J2421" s="77"/>
      <c r="K2421" s="77"/>
      <c r="L2421" s="77"/>
      <c r="M2421" s="77"/>
      <c r="N2421" s="77"/>
      <c r="O2421" s="77"/>
      <c r="P2421" s="77"/>
      <c r="Q2421" s="77"/>
    </row>
    <row r="2422" spans="3:17" ht="13.2" x14ac:dyDescent="0.25">
      <c r="C2422" s="77"/>
      <c r="D2422" s="77"/>
      <c r="E2422" s="77"/>
      <c r="F2422" s="77"/>
      <c r="G2422" s="77"/>
      <c r="H2422" s="77"/>
      <c r="I2422" s="77"/>
      <c r="J2422" s="77"/>
      <c r="K2422" s="77"/>
      <c r="L2422" s="77"/>
      <c r="M2422" s="77"/>
      <c r="N2422" s="77"/>
      <c r="O2422" s="77"/>
      <c r="P2422" s="77"/>
      <c r="Q2422" s="77"/>
    </row>
    <row r="2423" spans="3:17" ht="13.2" x14ac:dyDescent="0.25">
      <c r="C2423" s="77"/>
      <c r="D2423" s="77"/>
      <c r="E2423" s="77"/>
      <c r="F2423" s="77"/>
      <c r="G2423" s="77"/>
      <c r="H2423" s="77"/>
      <c r="I2423" s="77"/>
      <c r="J2423" s="77"/>
      <c r="K2423" s="77"/>
      <c r="L2423" s="77"/>
      <c r="M2423" s="77"/>
      <c r="N2423" s="77"/>
      <c r="O2423" s="77"/>
      <c r="P2423" s="77"/>
      <c r="Q2423" s="77"/>
    </row>
    <row r="2424" spans="3:17" ht="13.2" x14ac:dyDescent="0.25">
      <c r="C2424" s="77"/>
      <c r="D2424" s="77"/>
      <c r="E2424" s="77"/>
      <c r="F2424" s="77"/>
      <c r="G2424" s="77"/>
      <c r="H2424" s="77"/>
      <c r="I2424" s="77"/>
      <c r="J2424" s="77"/>
      <c r="K2424" s="77"/>
      <c r="L2424" s="77"/>
      <c r="M2424" s="77"/>
      <c r="N2424" s="77"/>
      <c r="O2424" s="77"/>
      <c r="P2424" s="77"/>
      <c r="Q2424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Sasso</cp:lastModifiedBy>
  <dcterms:modified xsi:type="dcterms:W3CDTF">2025-07-12T03:57:02Z</dcterms:modified>
</cp:coreProperties>
</file>