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ominique-sebastienforest/Desktop/Cedric/"/>
    </mc:Choice>
  </mc:AlternateContent>
  <xr:revisionPtr revIDLastSave="0" documentId="13_ncr:1_{7B1908A9-542A-244F-8077-58AE7E78E74F}" xr6:coauthVersionLast="47" xr6:coauthVersionMax="47" xr10:uidLastSave="{00000000-0000-0000-0000-000000000000}"/>
  <bookViews>
    <workbookView xWindow="4720" yWindow="500" windowWidth="37520" windowHeight="26280" tabRatio="929" activeTab="1" xr2:uid="{00000000-000D-0000-FFFF-FFFF00000000}"/>
  </bookViews>
  <sheets>
    <sheet name="Medzy P&amp;L Summary" sheetId="15" r:id="rId1"/>
    <sheet name="P&amp;L Medzy " sheetId="14" r:id="rId2"/>
    <sheet name="Salaries &amp; Contractuals" sheetId="25" r:id="rId3"/>
    <sheet name="Loans &amp; Grants" sheetId="27" r:id="rId4"/>
    <sheet name="RSDE-CDAE Estimation" sheetId="35" r:id="rId5"/>
    <sheet name="Marketing and Sales" sheetId="34" r:id="rId6"/>
    <sheet name="PSB-Summary" sheetId="29" r:id="rId7"/>
    <sheet name="PSB-P&amp;L " sheetId="30" r:id="rId8"/>
    <sheet name="PSB-Salaries &amp; Contractuals" sheetId="32" r:id="rId9"/>
    <sheet name="FRINGE" sheetId="33" r:id="rId10"/>
  </sheets>
  <externalReferences>
    <externalReference r:id="rId11"/>
  </externalReferences>
  <definedNames>
    <definedName name="_xlnm._FilterDatabase" localSheetId="4" hidden="1">'RSDE-CDAE Estimation'!$A$8:$T$88</definedName>
    <definedName name="Honoraire">#REF!</definedName>
    <definedName name="_xlnm.Print_Area" localSheetId="0">'Medzy P&amp;L Summary'!$B$1:$H$101</definedName>
    <definedName name="_xlnm.Print_Area" localSheetId="1">'P&amp;L Medzy '!$A$79:$AO$112</definedName>
    <definedName name="_xlnm.Print_Area" localSheetId="6">'PSB-Summary'!$B$1:$F$80</definedName>
    <definedName name="_xlnm.Print_Titles" localSheetId="0">'Medzy P&amp;L Summary'!$1:$4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4" i="14" l="1"/>
  <c r="CK97" i="14"/>
  <c r="CJ97" i="14"/>
  <c r="CI97" i="14"/>
  <c r="CH97" i="14"/>
  <c r="CG97" i="14"/>
  <c r="CF97" i="14"/>
  <c r="CE97" i="14"/>
  <c r="CD97" i="14"/>
  <c r="CC97" i="14"/>
  <c r="CB97" i="14"/>
  <c r="CA97" i="14"/>
  <c r="BZ97" i="14"/>
  <c r="BY97" i="14"/>
  <c r="BX97" i="14"/>
  <c r="BW97" i="14"/>
  <c r="BV97" i="14"/>
  <c r="BU97" i="14"/>
  <c r="BT97" i="14"/>
  <c r="BS97" i="14"/>
  <c r="BR97" i="14"/>
  <c r="BQ97" i="14"/>
  <c r="BP97" i="14"/>
  <c r="BO97" i="14"/>
  <c r="BN97" i="14"/>
  <c r="BM97" i="14"/>
  <c r="BL97" i="14"/>
  <c r="BK97" i="14"/>
  <c r="BJ97" i="14"/>
  <c r="BI97" i="14"/>
  <c r="BH97" i="14"/>
  <c r="BG97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F63" i="15"/>
  <c r="X11" i="27"/>
  <c r="Y11" i="27" s="1"/>
  <c r="Z11" i="27" s="1"/>
  <c r="AA11" i="27" s="1"/>
  <c r="AB11" i="27" s="1"/>
  <c r="AC11" i="27" s="1"/>
  <c r="AD11" i="27" s="1"/>
  <c r="AE11" i="27" s="1"/>
  <c r="AF11" i="27" s="1"/>
  <c r="W18" i="27"/>
  <c r="Q18" i="27"/>
  <c r="Y17" i="27"/>
  <c r="Z17" i="27" s="1"/>
  <c r="AA17" i="27" s="1"/>
  <c r="AB17" i="27" s="1"/>
  <c r="AC17" i="27" s="1"/>
  <c r="AD17" i="27" s="1"/>
  <c r="AE17" i="27" s="1"/>
  <c r="AF17" i="27" s="1"/>
  <c r="AG17" i="27" s="1"/>
  <c r="AH17" i="27" s="1"/>
  <c r="AI17" i="27" s="1"/>
  <c r="AJ17" i="27" s="1"/>
  <c r="AK17" i="27" s="1"/>
  <c r="AL17" i="27" s="1"/>
  <c r="AM17" i="27" s="1"/>
  <c r="AN17" i="27" s="1"/>
  <c r="AO17" i="27" s="1"/>
  <c r="AP17" i="27" s="1"/>
  <c r="AQ17" i="27" s="1"/>
  <c r="AR17" i="27" s="1"/>
  <c r="AS17" i="27" s="1"/>
  <c r="AT17" i="27" s="1"/>
  <c r="AU17" i="27" s="1"/>
  <c r="AV17" i="27" s="1"/>
  <c r="AW17" i="27" s="1"/>
  <c r="AX17" i="27" s="1"/>
  <c r="AY17" i="27" s="1"/>
  <c r="AZ17" i="27" s="1"/>
  <c r="BA17" i="27" s="1"/>
  <c r="BB17" i="27" s="1"/>
  <c r="BC17" i="27" s="1"/>
  <c r="BD17" i="27" s="1"/>
  <c r="BE17" i="27" s="1"/>
  <c r="BF17" i="27" s="1"/>
  <c r="BG17" i="27" s="1"/>
  <c r="BH17" i="27" s="1"/>
  <c r="BI17" i="27" s="1"/>
  <c r="BJ17" i="27" s="1"/>
  <c r="BK17" i="27" s="1"/>
  <c r="BL17" i="27" s="1"/>
  <c r="BM17" i="27" s="1"/>
  <c r="BN17" i="27" s="1"/>
  <c r="BO17" i="27" s="1"/>
  <c r="X17" i="27"/>
  <c r="X16" i="27"/>
  <c r="Y16" i="27" s="1"/>
  <c r="Y18" i="27" s="1"/>
  <c r="BI42" i="27"/>
  <c r="AW42" i="27"/>
  <c r="AK42" i="27"/>
  <c r="AO54" i="25"/>
  <c r="AJ42" i="25"/>
  <c r="AM41" i="25"/>
  <c r="AQ39" i="25"/>
  <c r="AS40" i="25"/>
  <c r="AL38" i="25"/>
  <c r="AE37" i="25"/>
  <c r="AF37" i="25"/>
  <c r="AG37" i="25"/>
  <c r="AE36" i="25"/>
  <c r="AF36" i="25"/>
  <c r="AG36" i="25"/>
  <c r="AI35" i="25"/>
  <c r="AE70" i="14"/>
  <c r="AE41" i="14"/>
  <c r="AE37" i="14"/>
  <c r="AD70" i="14"/>
  <c r="AD41" i="14"/>
  <c r="AD37" i="14"/>
  <c r="AD51" i="14" s="1"/>
  <c r="AC70" i="14"/>
  <c r="AC41" i="14"/>
  <c r="AC37" i="14"/>
  <c r="AB70" i="14"/>
  <c r="AB41" i="14"/>
  <c r="AB37" i="14"/>
  <c r="AA70" i="14"/>
  <c r="Z70" i="14"/>
  <c r="Y70" i="14"/>
  <c r="Y42" i="14"/>
  <c r="Z42" i="14"/>
  <c r="Z13" i="14"/>
  <c r="Y13" i="14"/>
  <c r="AC51" i="14" l="1"/>
  <c r="AE51" i="14"/>
  <c r="AB51" i="14"/>
  <c r="X18" i="27"/>
  <c r="Z16" i="27"/>
  <c r="Z18" i="27" s="1"/>
  <c r="Z58" i="14"/>
  <c r="AA58" i="14" s="1"/>
  <c r="AB58" i="14" s="1"/>
  <c r="AC58" i="14" s="1"/>
  <c r="AD58" i="14" s="1"/>
  <c r="AE58" i="14" s="1"/>
  <c r="AA41" i="14"/>
  <c r="AA37" i="14"/>
  <c r="Z41" i="14"/>
  <c r="Z37" i="14"/>
  <c r="K53" i="15"/>
  <c r="K52" i="15"/>
  <c r="K51" i="15"/>
  <c r="K50" i="15"/>
  <c r="K49" i="15"/>
  <c r="K48" i="15"/>
  <c r="K47" i="15"/>
  <c r="K46" i="15"/>
  <c r="K45" i="15"/>
  <c r="K43" i="15"/>
  <c r="K42" i="15"/>
  <c r="K41" i="15"/>
  <c r="K40" i="15"/>
  <c r="K33" i="15"/>
  <c r="K32" i="15"/>
  <c r="CK98" i="14"/>
  <c r="CJ98" i="14"/>
  <c r="CI98" i="14"/>
  <c r="CH98" i="14"/>
  <c r="CG98" i="14"/>
  <c r="CF98" i="14"/>
  <c r="CE98" i="14"/>
  <c r="CD98" i="14"/>
  <c r="CB98" i="14"/>
  <c r="CA98" i="14"/>
  <c r="BZ98" i="14"/>
  <c r="CK86" i="14"/>
  <c r="CJ86" i="14"/>
  <c r="CI86" i="14"/>
  <c r="CH86" i="14"/>
  <c r="CG86" i="14"/>
  <c r="CF86" i="14"/>
  <c r="CE86" i="14"/>
  <c r="CD86" i="14"/>
  <c r="CC86" i="14"/>
  <c r="CB86" i="14"/>
  <c r="CA86" i="14"/>
  <c r="BZ86" i="14"/>
  <c r="CK85" i="14"/>
  <c r="CJ85" i="14"/>
  <c r="CI85" i="14"/>
  <c r="CH85" i="14"/>
  <c r="CG85" i="14"/>
  <c r="CF85" i="14"/>
  <c r="CE85" i="14"/>
  <c r="CD85" i="14"/>
  <c r="CC85" i="14"/>
  <c r="CB85" i="14"/>
  <c r="CA85" i="14"/>
  <c r="BZ85" i="14"/>
  <c r="CK71" i="14"/>
  <c r="CJ71" i="14"/>
  <c r="CI71" i="14"/>
  <c r="CH71" i="14"/>
  <c r="CG71" i="14"/>
  <c r="CF71" i="14"/>
  <c r="CE71" i="14"/>
  <c r="CD71" i="14"/>
  <c r="CC71" i="14"/>
  <c r="CB71" i="14"/>
  <c r="CA71" i="14"/>
  <c r="BZ71" i="14"/>
  <c r="CK53" i="14"/>
  <c r="CJ53" i="14"/>
  <c r="CI53" i="14"/>
  <c r="CH53" i="14"/>
  <c r="CG53" i="14"/>
  <c r="CF53" i="14"/>
  <c r="CE53" i="14"/>
  <c r="CD53" i="14"/>
  <c r="CC53" i="14"/>
  <c r="CB53" i="14"/>
  <c r="CA53" i="14"/>
  <c r="BZ53" i="14"/>
  <c r="CC45" i="14"/>
  <c r="K31" i="15" s="1"/>
  <c r="CK42" i="14"/>
  <c r="CJ42" i="14"/>
  <c r="CI42" i="14"/>
  <c r="CH42" i="14"/>
  <c r="CG42" i="14"/>
  <c r="CF42" i="14"/>
  <c r="CE42" i="14"/>
  <c r="CD42" i="14"/>
  <c r="CC42" i="14"/>
  <c r="CB42" i="14"/>
  <c r="CA42" i="14"/>
  <c r="K28" i="15" s="1"/>
  <c r="BZ42" i="14"/>
  <c r="CK41" i="14"/>
  <c r="CJ41" i="14"/>
  <c r="CI41" i="14"/>
  <c r="CH41" i="14"/>
  <c r="CG41" i="14"/>
  <c r="CF41" i="14"/>
  <c r="CE41" i="14"/>
  <c r="CD41" i="14"/>
  <c r="CC41" i="14"/>
  <c r="CB41" i="14"/>
  <c r="CA41" i="14"/>
  <c r="BZ41" i="14"/>
  <c r="CK34" i="14"/>
  <c r="CJ34" i="14"/>
  <c r="CI34" i="14"/>
  <c r="CH34" i="14"/>
  <c r="CG34" i="14"/>
  <c r="CF34" i="14"/>
  <c r="CE34" i="14"/>
  <c r="CD34" i="14"/>
  <c r="CC34" i="14"/>
  <c r="CB34" i="14"/>
  <c r="CA34" i="14"/>
  <c r="BZ34" i="14"/>
  <c r="CF85" i="25"/>
  <c r="CL82" i="25"/>
  <c r="CK82" i="25"/>
  <c r="CJ82" i="25"/>
  <c r="CI82" i="25"/>
  <c r="CH82" i="25"/>
  <c r="CG82" i="25"/>
  <c r="CF82" i="25"/>
  <c r="CE82" i="25"/>
  <c r="CD82" i="25"/>
  <c r="CC82" i="25"/>
  <c r="CB82" i="25"/>
  <c r="CA82" i="25"/>
  <c r="CL71" i="25"/>
  <c r="CL85" i="25" s="1"/>
  <c r="CK71" i="25"/>
  <c r="CK85" i="25" s="1"/>
  <c r="CJ71" i="25"/>
  <c r="CJ85" i="25" s="1"/>
  <c r="CI71" i="25"/>
  <c r="CI85" i="25" s="1"/>
  <c r="CH71" i="25"/>
  <c r="CH85" i="25" s="1"/>
  <c r="CG71" i="25"/>
  <c r="CG85" i="25" s="1"/>
  <c r="CF71" i="25"/>
  <c r="CE71" i="25"/>
  <c r="CE85" i="25" s="1"/>
  <c r="CD71" i="25"/>
  <c r="CD85" i="25" s="1"/>
  <c r="CC71" i="25"/>
  <c r="CC85" i="25" s="1"/>
  <c r="CB71" i="25"/>
  <c r="CB85" i="25" s="1"/>
  <c r="CA71" i="25"/>
  <c r="CA85" i="25" s="1"/>
  <c r="CL52" i="25"/>
  <c r="CK52" i="25"/>
  <c r="CJ52" i="25"/>
  <c r="CI52" i="25"/>
  <c r="CH52" i="25"/>
  <c r="CG52" i="25"/>
  <c r="CF52" i="25"/>
  <c r="CE52" i="25"/>
  <c r="CD52" i="25"/>
  <c r="CC52" i="25"/>
  <c r="CB52" i="25"/>
  <c r="CA52" i="25"/>
  <c r="CL51" i="25"/>
  <c r="CK51" i="25"/>
  <c r="CJ51" i="25"/>
  <c r="CI51" i="25"/>
  <c r="CH51" i="25"/>
  <c r="CG51" i="25"/>
  <c r="CF51" i="25"/>
  <c r="CE51" i="25"/>
  <c r="CD51" i="25"/>
  <c r="CC51" i="25"/>
  <c r="CB51" i="25"/>
  <c r="CA51" i="25"/>
  <c r="CL50" i="25"/>
  <c r="CK50" i="25"/>
  <c r="CJ50" i="25"/>
  <c r="CI50" i="25"/>
  <c r="CH50" i="25"/>
  <c r="CG50" i="25"/>
  <c r="CF50" i="25"/>
  <c r="CE50" i="25"/>
  <c r="CD50" i="25"/>
  <c r="CC50" i="25"/>
  <c r="CB50" i="25"/>
  <c r="CA50" i="25"/>
  <c r="CL49" i="25"/>
  <c r="CK49" i="25"/>
  <c r="CJ49" i="25"/>
  <c r="CI49" i="25"/>
  <c r="CH49" i="25"/>
  <c r="CG49" i="25"/>
  <c r="CF49" i="25"/>
  <c r="CE49" i="25"/>
  <c r="CD49" i="25"/>
  <c r="CC49" i="25"/>
  <c r="CB49" i="25"/>
  <c r="CA49" i="25"/>
  <c r="CL47" i="25"/>
  <c r="CK47" i="25"/>
  <c r="CJ47" i="25"/>
  <c r="CI47" i="25"/>
  <c r="CH47" i="25"/>
  <c r="CG47" i="25"/>
  <c r="CF47" i="25"/>
  <c r="CE47" i="25"/>
  <c r="CD47" i="25"/>
  <c r="CC47" i="25"/>
  <c r="CB47" i="25"/>
  <c r="CA47" i="25"/>
  <c r="CL37" i="25"/>
  <c r="CK37" i="25"/>
  <c r="CJ37" i="25"/>
  <c r="CI37" i="25"/>
  <c r="CH37" i="25"/>
  <c r="CG37" i="25"/>
  <c r="CF37" i="25"/>
  <c r="CE37" i="25"/>
  <c r="CD37" i="25"/>
  <c r="CC37" i="25"/>
  <c r="CB37" i="25"/>
  <c r="CA37" i="25"/>
  <c r="CL36" i="25"/>
  <c r="CK36" i="25"/>
  <c r="CJ36" i="25"/>
  <c r="CI36" i="25"/>
  <c r="CH36" i="25"/>
  <c r="CG36" i="25"/>
  <c r="CF36" i="25"/>
  <c r="CE36" i="25"/>
  <c r="CD36" i="25"/>
  <c r="CC36" i="25"/>
  <c r="CB36" i="25"/>
  <c r="CA36" i="25"/>
  <c r="CL34" i="25"/>
  <c r="CK34" i="25"/>
  <c r="CJ34" i="25"/>
  <c r="CI34" i="25"/>
  <c r="CH34" i="25"/>
  <c r="CG34" i="25"/>
  <c r="CF34" i="25"/>
  <c r="CE34" i="25"/>
  <c r="CD34" i="25"/>
  <c r="CC34" i="25"/>
  <c r="CB34" i="25"/>
  <c r="CA34" i="25"/>
  <c r="CL24" i="25"/>
  <c r="CK24" i="25"/>
  <c r="CJ24" i="25"/>
  <c r="CI24" i="25"/>
  <c r="CH24" i="25"/>
  <c r="CG24" i="25"/>
  <c r="CF24" i="25"/>
  <c r="CE24" i="25"/>
  <c r="CD24" i="25"/>
  <c r="CC24" i="25"/>
  <c r="CB24" i="25"/>
  <c r="CA24" i="25"/>
  <c r="CL23" i="25"/>
  <c r="CK23" i="25"/>
  <c r="CJ23" i="25"/>
  <c r="CI23" i="25"/>
  <c r="CH23" i="25"/>
  <c r="CG23" i="25"/>
  <c r="CF23" i="25"/>
  <c r="CE23" i="25"/>
  <c r="CD23" i="25"/>
  <c r="CC23" i="25"/>
  <c r="CB23" i="25"/>
  <c r="CA23" i="25"/>
  <c r="CL22" i="25"/>
  <c r="CK22" i="25"/>
  <c r="CJ22" i="25"/>
  <c r="CI22" i="25"/>
  <c r="CH22" i="25"/>
  <c r="CG22" i="25"/>
  <c r="CF22" i="25"/>
  <c r="CE22" i="25"/>
  <c r="CD22" i="25"/>
  <c r="CC22" i="25"/>
  <c r="CB22" i="25"/>
  <c r="CA22" i="25"/>
  <c r="CL21" i="25"/>
  <c r="CK21" i="25"/>
  <c r="CJ21" i="25"/>
  <c r="CI21" i="25"/>
  <c r="CH21" i="25"/>
  <c r="CG21" i="25"/>
  <c r="CF21" i="25"/>
  <c r="CE21" i="25"/>
  <c r="CD21" i="25"/>
  <c r="CC21" i="25"/>
  <c r="CB21" i="25"/>
  <c r="CA21" i="25"/>
  <c r="CL20" i="25"/>
  <c r="CK20" i="25"/>
  <c r="CJ20" i="25"/>
  <c r="CI20" i="25"/>
  <c r="CH20" i="25"/>
  <c r="CG20" i="25"/>
  <c r="CF20" i="25"/>
  <c r="CE20" i="25"/>
  <c r="CD20" i="25"/>
  <c r="CC20" i="25"/>
  <c r="CB20" i="25"/>
  <c r="CA20" i="25"/>
  <c r="CL19" i="25"/>
  <c r="CK19" i="25"/>
  <c r="CJ19" i="25"/>
  <c r="CI19" i="25"/>
  <c r="CH19" i="25"/>
  <c r="CG19" i="25"/>
  <c r="CF19" i="25"/>
  <c r="CE19" i="25"/>
  <c r="CD19" i="25"/>
  <c r="CC19" i="25"/>
  <c r="CB19" i="25"/>
  <c r="CA19" i="25"/>
  <c r="CL18" i="25"/>
  <c r="CK18" i="25"/>
  <c r="CJ18" i="25"/>
  <c r="CI18" i="25"/>
  <c r="CH18" i="25"/>
  <c r="CG18" i="25"/>
  <c r="CF18" i="25"/>
  <c r="CE18" i="25"/>
  <c r="CD18" i="25"/>
  <c r="CC18" i="25"/>
  <c r="CB18" i="25"/>
  <c r="CA18" i="25"/>
  <c r="CL16" i="25"/>
  <c r="CK16" i="25"/>
  <c r="CJ16" i="25"/>
  <c r="CI16" i="25"/>
  <c r="CH16" i="25"/>
  <c r="CG16" i="25"/>
  <c r="CF16" i="25"/>
  <c r="CE16" i="25"/>
  <c r="CD16" i="25"/>
  <c r="CC16" i="25"/>
  <c r="CB16" i="25"/>
  <c r="CA16" i="25"/>
  <c r="CL15" i="25"/>
  <c r="CK15" i="25"/>
  <c r="CJ15" i="25"/>
  <c r="CI15" i="25"/>
  <c r="CH15" i="25"/>
  <c r="CG15" i="25"/>
  <c r="CF15" i="25"/>
  <c r="CE15" i="25"/>
  <c r="CD15" i="25"/>
  <c r="CC15" i="25"/>
  <c r="CB15" i="25"/>
  <c r="CA15" i="25"/>
  <c r="CL13" i="25"/>
  <c r="CK13" i="25"/>
  <c r="CJ13" i="25"/>
  <c r="CI13" i="25"/>
  <c r="CH13" i="25"/>
  <c r="CG13" i="25"/>
  <c r="CF13" i="25"/>
  <c r="CE13" i="25"/>
  <c r="CD13" i="25"/>
  <c r="CC13" i="25"/>
  <c r="CB13" i="25"/>
  <c r="CA13" i="25"/>
  <c r="CL11" i="25"/>
  <c r="CK11" i="25"/>
  <c r="CJ11" i="25"/>
  <c r="CI11" i="25"/>
  <c r="CH11" i="25"/>
  <c r="CG11" i="25"/>
  <c r="CF11" i="25"/>
  <c r="CE11" i="25"/>
  <c r="CD11" i="25"/>
  <c r="CC11" i="25"/>
  <c r="CB11" i="25"/>
  <c r="CA11" i="25"/>
  <c r="CL10" i="25"/>
  <c r="CL29" i="25" s="1"/>
  <c r="CK10" i="25"/>
  <c r="CK29" i="25" s="1"/>
  <c r="CJ10" i="25"/>
  <c r="CJ29" i="25" s="1"/>
  <c r="CI10" i="25"/>
  <c r="CI29" i="25" s="1"/>
  <c r="CH10" i="25"/>
  <c r="CH29" i="25" s="1"/>
  <c r="CG10" i="25"/>
  <c r="CG29" i="25" s="1"/>
  <c r="CF10" i="25"/>
  <c r="CF29" i="25" s="1"/>
  <c r="CE10" i="25"/>
  <c r="CE29" i="25" s="1"/>
  <c r="CD10" i="25"/>
  <c r="CD29" i="25" s="1"/>
  <c r="CC10" i="25"/>
  <c r="CC29" i="25" s="1"/>
  <c r="CB10" i="25"/>
  <c r="CB29" i="25" s="1"/>
  <c r="CA10" i="25"/>
  <c r="CA29" i="25" s="1"/>
  <c r="CL50" i="27"/>
  <c r="CK50" i="27"/>
  <c r="CJ50" i="27"/>
  <c r="CI50" i="27"/>
  <c r="CH50" i="27"/>
  <c r="CG50" i="27"/>
  <c r="CF50" i="27"/>
  <c r="CE50" i="27"/>
  <c r="CC50" i="27"/>
  <c r="CB50" i="27"/>
  <c r="CA50" i="27"/>
  <c r="CD41" i="27"/>
  <c r="CA176" i="34"/>
  <c r="BZ176" i="34"/>
  <c r="BZ175" i="34"/>
  <c r="CA175" i="34" s="1"/>
  <c r="CB175" i="34" s="1"/>
  <c r="CC175" i="34" s="1"/>
  <c r="CD175" i="34" s="1"/>
  <c r="CB128" i="34"/>
  <c r="CA128" i="34"/>
  <c r="BZ128" i="34"/>
  <c r="CD127" i="34"/>
  <c r="CD128" i="34" s="1"/>
  <c r="BZ127" i="34"/>
  <c r="CA127" i="34" s="1"/>
  <c r="CB127" i="34" s="1"/>
  <c r="CC127" i="34" s="1"/>
  <c r="CC128" i="34" s="1"/>
  <c r="CK78" i="34"/>
  <c r="CJ78" i="34"/>
  <c r="CI78" i="34"/>
  <c r="CH78" i="34"/>
  <c r="CG78" i="34"/>
  <c r="CF78" i="34"/>
  <c r="CE78" i="34"/>
  <c r="CD78" i="34"/>
  <c r="CC78" i="34"/>
  <c r="CB78" i="34"/>
  <c r="CA78" i="34"/>
  <c r="BZ78" i="34"/>
  <c r="CK32" i="34"/>
  <c r="CJ32" i="34"/>
  <c r="CI32" i="34"/>
  <c r="CH32" i="34"/>
  <c r="CK29" i="34"/>
  <c r="CJ29" i="34"/>
  <c r="CI29" i="34"/>
  <c r="CH29" i="34"/>
  <c r="CG29" i="34"/>
  <c r="CF29" i="34"/>
  <c r="CE29" i="34"/>
  <c r="CD29" i="34"/>
  <c r="CC29" i="34"/>
  <c r="CB29" i="34"/>
  <c r="CA29" i="34"/>
  <c r="BZ29" i="34"/>
  <c r="CK20" i="34"/>
  <c r="CJ20" i="34"/>
  <c r="CI20" i="34"/>
  <c r="CH20" i="34"/>
  <c r="CG20" i="34"/>
  <c r="CG32" i="34" s="1"/>
  <c r="CF20" i="34"/>
  <c r="CF32" i="34" s="1"/>
  <c r="CE20" i="34"/>
  <c r="CE32" i="34" s="1"/>
  <c r="CD20" i="34"/>
  <c r="CD32" i="34" s="1"/>
  <c r="CC20" i="34"/>
  <c r="CC32" i="34" s="1"/>
  <c r="CB20" i="34"/>
  <c r="CB32" i="34" s="1"/>
  <c r="CA20" i="34"/>
  <c r="CA32" i="34" s="1"/>
  <c r="BZ20" i="34"/>
  <c r="BZ32" i="34" s="1"/>
  <c r="K71" i="15"/>
  <c r="K70" i="15"/>
  <c r="J53" i="15"/>
  <c r="J52" i="15"/>
  <c r="J51" i="15"/>
  <c r="J50" i="15"/>
  <c r="J49" i="15"/>
  <c r="J48" i="15"/>
  <c r="J47" i="15"/>
  <c r="J46" i="15"/>
  <c r="J45" i="15"/>
  <c r="J43" i="15"/>
  <c r="J42" i="15"/>
  <c r="J41" i="15"/>
  <c r="J40" i="15"/>
  <c r="J33" i="15"/>
  <c r="J32" i="15"/>
  <c r="J31" i="15"/>
  <c r="BY98" i="14"/>
  <c r="BX98" i="14"/>
  <c r="BW98" i="14"/>
  <c r="BV98" i="14"/>
  <c r="BU98" i="14"/>
  <c r="BT98" i="14"/>
  <c r="BS98" i="14"/>
  <c r="BR98" i="14"/>
  <c r="BP98" i="14"/>
  <c r="BO98" i="14"/>
  <c r="BN98" i="14"/>
  <c r="BY86" i="14"/>
  <c r="BX86" i="14"/>
  <c r="BW86" i="14"/>
  <c r="BV86" i="14"/>
  <c r="BU86" i="14"/>
  <c r="BT86" i="14"/>
  <c r="BS86" i="14"/>
  <c r="BR86" i="14"/>
  <c r="BQ86" i="14"/>
  <c r="BP86" i="14"/>
  <c r="BO86" i="14"/>
  <c r="BN86" i="14"/>
  <c r="BY85" i="14"/>
  <c r="BX85" i="14"/>
  <c r="BW85" i="14"/>
  <c r="BV85" i="14"/>
  <c r="BU85" i="14"/>
  <c r="BT85" i="14"/>
  <c r="BS85" i="14"/>
  <c r="BR85" i="14"/>
  <c r="BQ85" i="14"/>
  <c r="BP85" i="14"/>
  <c r="BO85" i="14"/>
  <c r="BN85" i="14"/>
  <c r="BY71" i="14"/>
  <c r="BX71" i="14"/>
  <c r="BW71" i="14"/>
  <c r="BV71" i="14"/>
  <c r="BU71" i="14"/>
  <c r="BT71" i="14"/>
  <c r="BS71" i="14"/>
  <c r="BR71" i="14"/>
  <c r="BQ71" i="14"/>
  <c r="BP71" i="14"/>
  <c r="BO71" i="14"/>
  <c r="BN71" i="14"/>
  <c r="BY53" i="14"/>
  <c r="BX53" i="14"/>
  <c r="BW53" i="14"/>
  <c r="BV53" i="14"/>
  <c r="BU53" i="14"/>
  <c r="BT53" i="14"/>
  <c r="BS53" i="14"/>
  <c r="BR53" i="14"/>
  <c r="BQ53" i="14"/>
  <c r="BP53" i="14"/>
  <c r="BO53" i="14"/>
  <c r="BN53" i="14"/>
  <c r="BQ45" i="14"/>
  <c r="BY42" i="14"/>
  <c r="BX42" i="14"/>
  <c r="BW42" i="14"/>
  <c r="BV42" i="14"/>
  <c r="BU42" i="14"/>
  <c r="BT42" i="14"/>
  <c r="BS42" i="14"/>
  <c r="BR42" i="14"/>
  <c r="BQ42" i="14"/>
  <c r="BP42" i="14"/>
  <c r="BO42" i="14"/>
  <c r="BN42" i="14"/>
  <c r="BY41" i="14"/>
  <c r="BX41" i="14"/>
  <c r="BW41" i="14"/>
  <c r="BV41" i="14"/>
  <c r="BU41" i="14"/>
  <c r="BT41" i="14"/>
  <c r="BS41" i="14"/>
  <c r="BR41" i="14"/>
  <c r="BQ41" i="14"/>
  <c r="BP41" i="14"/>
  <c r="BO41" i="14"/>
  <c r="BN41" i="14"/>
  <c r="BY34" i="14"/>
  <c r="BX34" i="14"/>
  <c r="BW34" i="14"/>
  <c r="BV34" i="14"/>
  <c r="BU34" i="14"/>
  <c r="BT34" i="14"/>
  <c r="BS34" i="14"/>
  <c r="BR34" i="14"/>
  <c r="BQ34" i="14"/>
  <c r="BP34" i="14"/>
  <c r="BO34" i="14"/>
  <c r="BN34" i="14"/>
  <c r="BV85" i="25"/>
  <c r="BZ82" i="25"/>
  <c r="BY82" i="25"/>
  <c r="BX82" i="25"/>
  <c r="BW82" i="25"/>
  <c r="BV82" i="25"/>
  <c r="BU82" i="25"/>
  <c r="BT82" i="25"/>
  <c r="BS82" i="25"/>
  <c r="BR82" i="25"/>
  <c r="BQ82" i="25"/>
  <c r="BP82" i="25"/>
  <c r="BO82" i="25"/>
  <c r="BZ71" i="25"/>
  <c r="BZ85" i="25" s="1"/>
  <c r="BY71" i="25"/>
  <c r="BY85" i="25" s="1"/>
  <c r="BX71" i="25"/>
  <c r="BX85" i="25" s="1"/>
  <c r="BW71" i="25"/>
  <c r="BW85" i="25" s="1"/>
  <c r="BV71" i="25"/>
  <c r="BU71" i="25"/>
  <c r="BU85" i="25" s="1"/>
  <c r="BT71" i="25"/>
  <c r="BT85" i="25" s="1"/>
  <c r="BS71" i="25"/>
  <c r="BS85" i="25" s="1"/>
  <c r="BR71" i="25"/>
  <c r="BR85" i="25" s="1"/>
  <c r="BQ71" i="25"/>
  <c r="BQ85" i="25" s="1"/>
  <c r="BP71" i="25"/>
  <c r="BP85" i="25" s="1"/>
  <c r="BO71" i="25"/>
  <c r="BO85" i="25" s="1"/>
  <c r="BZ52" i="25"/>
  <c r="BY52" i="25"/>
  <c r="BX52" i="25"/>
  <c r="BW52" i="25"/>
  <c r="BV52" i="25"/>
  <c r="BU52" i="25"/>
  <c r="BT52" i="25"/>
  <c r="BS52" i="25"/>
  <c r="BR52" i="25"/>
  <c r="BQ52" i="25"/>
  <c r="BP52" i="25"/>
  <c r="BO52" i="25"/>
  <c r="BZ51" i="25"/>
  <c r="BY51" i="25"/>
  <c r="BX51" i="25"/>
  <c r="BW51" i="25"/>
  <c r="BV51" i="25"/>
  <c r="BU51" i="25"/>
  <c r="BT51" i="25"/>
  <c r="BS51" i="25"/>
  <c r="BR51" i="25"/>
  <c r="BQ51" i="25"/>
  <c r="BP51" i="25"/>
  <c r="BO51" i="25"/>
  <c r="BZ50" i="25"/>
  <c r="BY50" i="25"/>
  <c r="BX50" i="25"/>
  <c r="BW50" i="25"/>
  <c r="BV50" i="25"/>
  <c r="BU50" i="25"/>
  <c r="BT50" i="25"/>
  <c r="BS50" i="25"/>
  <c r="BR50" i="25"/>
  <c r="BQ50" i="25"/>
  <c r="BP50" i="25"/>
  <c r="BO50" i="25"/>
  <c r="BZ49" i="25"/>
  <c r="BY49" i="25"/>
  <c r="BX49" i="25"/>
  <c r="BW49" i="25"/>
  <c r="BV49" i="25"/>
  <c r="BU49" i="25"/>
  <c r="BT49" i="25"/>
  <c r="BS49" i="25"/>
  <c r="BR49" i="25"/>
  <c r="BQ49" i="25"/>
  <c r="BP49" i="25"/>
  <c r="BO49" i="25"/>
  <c r="BZ47" i="25"/>
  <c r="BY47" i="25"/>
  <c r="BX47" i="25"/>
  <c r="BW47" i="25"/>
  <c r="BV47" i="25"/>
  <c r="BU47" i="25"/>
  <c r="BT47" i="25"/>
  <c r="BS47" i="25"/>
  <c r="BR47" i="25"/>
  <c r="BQ47" i="25"/>
  <c r="BP47" i="25"/>
  <c r="BO47" i="25"/>
  <c r="BZ37" i="25"/>
  <c r="BY37" i="25"/>
  <c r="BX37" i="25"/>
  <c r="BW37" i="25"/>
  <c r="BV37" i="25"/>
  <c r="BU37" i="25"/>
  <c r="BT37" i="25"/>
  <c r="BS37" i="25"/>
  <c r="BR37" i="25"/>
  <c r="BQ37" i="25"/>
  <c r="BP37" i="25"/>
  <c r="BO37" i="25"/>
  <c r="BZ36" i="25"/>
  <c r="BY36" i="25"/>
  <c r="BX36" i="25"/>
  <c r="BW36" i="25"/>
  <c r="BV36" i="25"/>
  <c r="BU36" i="25"/>
  <c r="BT36" i="25"/>
  <c r="BS36" i="25"/>
  <c r="BR36" i="25"/>
  <c r="BQ36" i="25"/>
  <c r="BP36" i="25"/>
  <c r="BO36" i="25"/>
  <c r="BZ34" i="25"/>
  <c r="BY34" i="25"/>
  <c r="BX34" i="25"/>
  <c r="BW34" i="25"/>
  <c r="BV34" i="25"/>
  <c r="BU34" i="25"/>
  <c r="BT34" i="25"/>
  <c r="BS34" i="25"/>
  <c r="BR34" i="25"/>
  <c r="BQ34" i="25"/>
  <c r="BP34" i="25"/>
  <c r="BO34" i="25"/>
  <c r="BZ24" i="25"/>
  <c r="BY24" i="25"/>
  <c r="BX24" i="25"/>
  <c r="BW24" i="25"/>
  <c r="BV24" i="25"/>
  <c r="BU24" i="25"/>
  <c r="BT24" i="25"/>
  <c r="BS24" i="25"/>
  <c r="BR24" i="25"/>
  <c r="BQ24" i="25"/>
  <c r="BP24" i="25"/>
  <c r="BO24" i="25"/>
  <c r="BZ23" i="25"/>
  <c r="BY23" i="25"/>
  <c r="BX23" i="25"/>
  <c r="BW23" i="25"/>
  <c r="BV23" i="25"/>
  <c r="BU23" i="25"/>
  <c r="BT23" i="25"/>
  <c r="BS23" i="25"/>
  <c r="BR23" i="25"/>
  <c r="BQ23" i="25"/>
  <c r="BP23" i="25"/>
  <c r="BO23" i="25"/>
  <c r="BZ22" i="25"/>
  <c r="BY22" i="25"/>
  <c r="BX22" i="25"/>
  <c r="BW22" i="25"/>
  <c r="BV22" i="25"/>
  <c r="BU22" i="25"/>
  <c r="BT22" i="25"/>
  <c r="BS22" i="25"/>
  <c r="BR22" i="25"/>
  <c r="BQ22" i="25"/>
  <c r="BP22" i="25"/>
  <c r="BO22" i="25"/>
  <c r="BZ21" i="25"/>
  <c r="BY21" i="25"/>
  <c r="BX21" i="25"/>
  <c r="BW21" i="25"/>
  <c r="BV21" i="25"/>
  <c r="BU21" i="25"/>
  <c r="BT21" i="25"/>
  <c r="BS21" i="25"/>
  <c r="BR21" i="25"/>
  <c r="BQ21" i="25"/>
  <c r="BP21" i="25"/>
  <c r="BO21" i="25"/>
  <c r="BZ20" i="25"/>
  <c r="BY20" i="25"/>
  <c r="BX20" i="25"/>
  <c r="BW20" i="25"/>
  <c r="BV20" i="25"/>
  <c r="BU20" i="25"/>
  <c r="BT20" i="25"/>
  <c r="BS20" i="25"/>
  <c r="BR20" i="25"/>
  <c r="BQ20" i="25"/>
  <c r="BP20" i="25"/>
  <c r="BO20" i="25"/>
  <c r="BZ19" i="25"/>
  <c r="BY19" i="25"/>
  <c r="BX19" i="25"/>
  <c r="BW19" i="25"/>
  <c r="BV19" i="25"/>
  <c r="BU19" i="25"/>
  <c r="BT19" i="25"/>
  <c r="BS19" i="25"/>
  <c r="BR19" i="25"/>
  <c r="BQ19" i="25"/>
  <c r="BP19" i="25"/>
  <c r="BO19" i="25"/>
  <c r="BZ18" i="25"/>
  <c r="BY18" i="25"/>
  <c r="BX18" i="25"/>
  <c r="BW18" i="25"/>
  <c r="BV18" i="25"/>
  <c r="BU18" i="25"/>
  <c r="BT18" i="25"/>
  <c r="BS18" i="25"/>
  <c r="BR18" i="25"/>
  <c r="BQ18" i="25"/>
  <c r="BP18" i="25"/>
  <c r="BO18" i="25"/>
  <c r="BZ16" i="25"/>
  <c r="BY16" i="25"/>
  <c r="BX16" i="25"/>
  <c r="BW16" i="25"/>
  <c r="BV16" i="25"/>
  <c r="BU16" i="25"/>
  <c r="BT16" i="25"/>
  <c r="BS16" i="25"/>
  <c r="BR16" i="25"/>
  <c r="BQ16" i="25"/>
  <c r="BP16" i="25"/>
  <c r="BO16" i="25"/>
  <c r="BZ15" i="25"/>
  <c r="BY15" i="25"/>
  <c r="BX15" i="25"/>
  <c r="BW15" i="25"/>
  <c r="BV15" i="25"/>
  <c r="BU15" i="25"/>
  <c r="BT15" i="25"/>
  <c r="BS15" i="25"/>
  <c r="BR15" i="25"/>
  <c r="BQ15" i="25"/>
  <c r="BP15" i="25"/>
  <c r="BO15" i="25"/>
  <c r="BZ13" i="25"/>
  <c r="BY13" i="25"/>
  <c r="BX13" i="25"/>
  <c r="BW13" i="25"/>
  <c r="BV13" i="25"/>
  <c r="BU13" i="25"/>
  <c r="BT13" i="25"/>
  <c r="BS13" i="25"/>
  <c r="BR13" i="25"/>
  <c r="BQ13" i="25"/>
  <c r="BP13" i="25"/>
  <c r="BO13" i="25"/>
  <c r="BZ11" i="25"/>
  <c r="BY11" i="25"/>
  <c r="BX11" i="25"/>
  <c r="BW11" i="25"/>
  <c r="BV11" i="25"/>
  <c r="BU11" i="25"/>
  <c r="BT11" i="25"/>
  <c r="BS11" i="25"/>
  <c r="BR11" i="25"/>
  <c r="BQ11" i="25"/>
  <c r="BP11" i="25"/>
  <c r="BO11" i="25"/>
  <c r="BZ10" i="25"/>
  <c r="BZ29" i="25" s="1"/>
  <c r="BY10" i="25"/>
  <c r="BY29" i="25" s="1"/>
  <c r="BX10" i="25"/>
  <c r="BX29" i="25" s="1"/>
  <c r="BW10" i="25"/>
  <c r="BW29" i="25" s="1"/>
  <c r="BV10" i="25"/>
  <c r="BV29" i="25" s="1"/>
  <c r="BU10" i="25"/>
  <c r="BU29" i="25" s="1"/>
  <c r="BT10" i="25"/>
  <c r="BT29" i="25" s="1"/>
  <c r="BS10" i="25"/>
  <c r="BS29" i="25" s="1"/>
  <c r="BR10" i="25"/>
  <c r="BR29" i="25" s="1"/>
  <c r="BQ10" i="25"/>
  <c r="BQ29" i="25" s="1"/>
  <c r="BP10" i="25"/>
  <c r="BP29" i="25" s="1"/>
  <c r="BO10" i="25"/>
  <c r="BO29" i="25" s="1"/>
  <c r="BZ50" i="27"/>
  <c r="BY50" i="27"/>
  <c r="BX50" i="27"/>
  <c r="BW50" i="27"/>
  <c r="BV50" i="27"/>
  <c r="BU50" i="27"/>
  <c r="BT50" i="27"/>
  <c r="BS50" i="27"/>
  <c r="BQ50" i="27"/>
  <c r="BP50" i="27"/>
  <c r="BO50" i="27"/>
  <c r="BR41" i="27"/>
  <c r="BN175" i="34"/>
  <c r="BN127" i="34"/>
  <c r="BY78" i="34"/>
  <c r="BX78" i="34"/>
  <c r="BW78" i="34"/>
  <c r="BV78" i="34"/>
  <c r="BU78" i="34"/>
  <c r="BT78" i="34"/>
  <c r="BS78" i="34"/>
  <c r="BR78" i="34"/>
  <c r="BQ78" i="34"/>
  <c r="BP78" i="34"/>
  <c r="BO78" i="34"/>
  <c r="BN78" i="34"/>
  <c r="BU32" i="34"/>
  <c r="BT32" i="34"/>
  <c r="BS32" i="34"/>
  <c r="BR32" i="34"/>
  <c r="BY29" i="34"/>
  <c r="BX29" i="34"/>
  <c r="BW29" i="34"/>
  <c r="BV29" i="34"/>
  <c r="BU29" i="34"/>
  <c r="BT29" i="34"/>
  <c r="BS29" i="34"/>
  <c r="BR29" i="34"/>
  <c r="BQ29" i="34"/>
  <c r="BP29" i="34"/>
  <c r="BO29" i="34"/>
  <c r="BN29" i="34"/>
  <c r="BY20" i="34"/>
  <c r="BY32" i="34" s="1"/>
  <c r="BX20" i="34"/>
  <c r="BX32" i="34" s="1"/>
  <c r="BW20" i="34"/>
  <c r="BW32" i="34" s="1"/>
  <c r="BV20" i="34"/>
  <c r="BV32" i="34" s="1"/>
  <c r="BU20" i="34"/>
  <c r="BT20" i="34"/>
  <c r="BS20" i="34"/>
  <c r="BR20" i="34"/>
  <c r="BQ20" i="34"/>
  <c r="BQ32" i="34" s="1"/>
  <c r="BP20" i="34"/>
  <c r="BP32" i="34" s="1"/>
  <c r="BO20" i="34"/>
  <c r="BN20" i="34"/>
  <c r="BN32" i="34" s="1"/>
  <c r="J71" i="15"/>
  <c r="J70" i="15"/>
  <c r="K27" i="15" l="1"/>
  <c r="J27" i="15"/>
  <c r="J39" i="15"/>
  <c r="J57" i="15"/>
  <c r="K57" i="15"/>
  <c r="J28" i="15"/>
  <c r="K39" i="15"/>
  <c r="AA16" i="27"/>
  <c r="AA18" i="27" s="1"/>
  <c r="J20" i="15"/>
  <c r="K20" i="15"/>
  <c r="CD176" i="34"/>
  <c r="CE175" i="34"/>
  <c r="CE127" i="34"/>
  <c r="CB176" i="34"/>
  <c r="CC176" i="34"/>
  <c r="BO175" i="34"/>
  <c r="BN176" i="34"/>
  <c r="BO127" i="34"/>
  <c r="BN128" i="34"/>
  <c r="BO32" i="34"/>
  <c r="AB16" i="27" l="1"/>
  <c r="AB18" i="27" s="1"/>
  <c r="CE176" i="34"/>
  <c r="CF175" i="34"/>
  <c r="CE128" i="34"/>
  <c r="CF127" i="34"/>
  <c r="BP175" i="34"/>
  <c r="BO176" i="34"/>
  <c r="BP127" i="34"/>
  <c r="BO128" i="34"/>
  <c r="AC16" i="27" l="1"/>
  <c r="AC18" i="27" s="1"/>
  <c r="CF128" i="34"/>
  <c r="CG127" i="34"/>
  <c r="CF176" i="34"/>
  <c r="CG175" i="34"/>
  <c r="BQ175" i="34"/>
  <c r="BP176" i="34"/>
  <c r="BQ127" i="34"/>
  <c r="BP128" i="34"/>
  <c r="BN24" i="25"/>
  <c r="BM24" i="25"/>
  <c r="BL24" i="25"/>
  <c r="BK24" i="25"/>
  <c r="BJ24" i="25"/>
  <c r="BI24" i="25"/>
  <c r="BH24" i="25"/>
  <c r="BG24" i="25"/>
  <c r="BF24" i="25"/>
  <c r="BE24" i="25"/>
  <c r="BD24" i="25"/>
  <c r="BC24" i="25"/>
  <c r="BN23" i="25"/>
  <c r="BM23" i="25"/>
  <c r="BL23" i="25"/>
  <c r="BK23" i="25"/>
  <c r="BJ23" i="25"/>
  <c r="BI23" i="25"/>
  <c r="BH23" i="25"/>
  <c r="BG23" i="25"/>
  <c r="BF23" i="25"/>
  <c r="BE23" i="25"/>
  <c r="BD23" i="25"/>
  <c r="BC23" i="25"/>
  <c r="BN22" i="25"/>
  <c r="BM22" i="25"/>
  <c r="BL22" i="25"/>
  <c r="BK22" i="25"/>
  <c r="BJ22" i="25"/>
  <c r="BI22" i="25"/>
  <c r="BH22" i="25"/>
  <c r="BG22" i="25"/>
  <c r="BF22" i="25"/>
  <c r="BE22" i="25"/>
  <c r="BD22" i="25"/>
  <c r="BC22" i="25"/>
  <c r="BN21" i="25"/>
  <c r="BM21" i="25"/>
  <c r="BL21" i="25"/>
  <c r="BK21" i="25"/>
  <c r="BJ21" i="25"/>
  <c r="BI21" i="25"/>
  <c r="BH21" i="25"/>
  <c r="BG21" i="25"/>
  <c r="BF21" i="25"/>
  <c r="BE21" i="25"/>
  <c r="BD21" i="25"/>
  <c r="BC21" i="25"/>
  <c r="BN20" i="25"/>
  <c r="BM20" i="25"/>
  <c r="BL20" i="25"/>
  <c r="BK20" i="25"/>
  <c r="BJ20" i="25"/>
  <c r="BI20" i="25"/>
  <c r="BH20" i="25"/>
  <c r="BG20" i="25"/>
  <c r="BF20" i="25"/>
  <c r="BE20" i="25"/>
  <c r="BD20" i="25"/>
  <c r="BC20" i="25"/>
  <c r="BN19" i="25"/>
  <c r="BM19" i="25"/>
  <c r="BL19" i="25"/>
  <c r="BK19" i="25"/>
  <c r="BJ19" i="25"/>
  <c r="BI19" i="25"/>
  <c r="BH19" i="25"/>
  <c r="BG19" i="25"/>
  <c r="BF19" i="25"/>
  <c r="BE19" i="25"/>
  <c r="BD19" i="25"/>
  <c r="BC19" i="25"/>
  <c r="BN18" i="25"/>
  <c r="BM18" i="25"/>
  <c r="BL18" i="25"/>
  <c r="BK18" i="25"/>
  <c r="BJ18" i="25"/>
  <c r="BI18" i="25"/>
  <c r="BH18" i="25"/>
  <c r="BG18" i="25"/>
  <c r="BF18" i="25"/>
  <c r="BE18" i="25"/>
  <c r="BD18" i="25"/>
  <c r="BC18" i="25"/>
  <c r="BN16" i="25"/>
  <c r="BM16" i="25"/>
  <c r="BL16" i="25"/>
  <c r="BK16" i="25"/>
  <c r="BJ16" i="25"/>
  <c r="BI16" i="25"/>
  <c r="BH16" i="25"/>
  <c r="BG16" i="25"/>
  <c r="BF16" i="25"/>
  <c r="BE16" i="25"/>
  <c r="BD16" i="25"/>
  <c r="BC16" i="25"/>
  <c r="BN15" i="25"/>
  <c r="BM15" i="25"/>
  <c r="BL15" i="25"/>
  <c r="BK15" i="25"/>
  <c r="BJ15" i="25"/>
  <c r="BI15" i="25"/>
  <c r="BH15" i="25"/>
  <c r="BG15" i="25"/>
  <c r="BF15" i="25"/>
  <c r="BE15" i="25"/>
  <c r="BD15" i="25"/>
  <c r="BC15" i="25"/>
  <c r="BN13" i="25"/>
  <c r="BM13" i="25"/>
  <c r="BL13" i="25"/>
  <c r="BK13" i="25"/>
  <c r="BJ13" i="25"/>
  <c r="BI13" i="25"/>
  <c r="BH13" i="25"/>
  <c r="BG13" i="25"/>
  <c r="BF13" i="25"/>
  <c r="BE13" i="25"/>
  <c r="BD13" i="25"/>
  <c r="BC13" i="25"/>
  <c r="BN11" i="25"/>
  <c r="BM11" i="25"/>
  <c r="BL11" i="25"/>
  <c r="BK11" i="25"/>
  <c r="BJ11" i="25"/>
  <c r="BI11" i="25"/>
  <c r="BH11" i="25"/>
  <c r="BG11" i="25"/>
  <c r="BF11" i="25"/>
  <c r="BE11" i="25"/>
  <c r="BD11" i="25"/>
  <c r="BC11" i="25"/>
  <c r="BN10" i="25"/>
  <c r="BM10" i="25"/>
  <c r="BL10" i="25"/>
  <c r="BK10" i="25"/>
  <c r="BJ10" i="25"/>
  <c r="BI10" i="25"/>
  <c r="BH10" i="25"/>
  <c r="BG10" i="25"/>
  <c r="BF10" i="25"/>
  <c r="BE10" i="25"/>
  <c r="BD10" i="25"/>
  <c r="BC10" i="25"/>
  <c r="AQ24" i="25"/>
  <c r="AR24" i="25" s="1"/>
  <c r="AS24" i="25" s="1"/>
  <c r="AT24" i="25" s="1"/>
  <c r="AU24" i="25" s="1"/>
  <c r="AV24" i="25" s="1"/>
  <c r="AW24" i="25" s="1"/>
  <c r="AX24" i="25" s="1"/>
  <c r="AY24" i="25" s="1"/>
  <c r="AZ24" i="25" s="1"/>
  <c r="BA24" i="25" s="1"/>
  <c r="BB24" i="25" s="1"/>
  <c r="I53" i="15"/>
  <c r="I52" i="15"/>
  <c r="I51" i="15"/>
  <c r="I50" i="15"/>
  <c r="I49" i="15"/>
  <c r="I48" i="15"/>
  <c r="I47" i="15"/>
  <c r="I46" i="15"/>
  <c r="I45" i="15"/>
  <c r="I43" i="15"/>
  <c r="I42" i="15"/>
  <c r="I41" i="15"/>
  <c r="I40" i="15"/>
  <c r="I33" i="15"/>
  <c r="I32" i="15"/>
  <c r="BM98" i="14"/>
  <c r="BL98" i="14"/>
  <c r="BK98" i="14"/>
  <c r="BJ98" i="14"/>
  <c r="BI98" i="14"/>
  <c r="BG98" i="14"/>
  <c r="BF98" i="14"/>
  <c r="BD98" i="14"/>
  <c r="BC98" i="14"/>
  <c r="BB98" i="14"/>
  <c r="BH92" i="30"/>
  <c r="BF92" i="30"/>
  <c r="BM86" i="14"/>
  <c r="BL86" i="14"/>
  <c r="BK86" i="14"/>
  <c r="BJ86" i="14"/>
  <c r="BI86" i="14"/>
  <c r="BH86" i="14"/>
  <c r="BG86" i="14"/>
  <c r="BF86" i="14"/>
  <c r="BE86" i="14"/>
  <c r="BD86" i="14"/>
  <c r="BC86" i="14"/>
  <c r="BB86" i="14"/>
  <c r="BM71" i="14"/>
  <c r="BL71" i="14"/>
  <c r="BK71" i="14"/>
  <c r="BJ71" i="14"/>
  <c r="BI71" i="14"/>
  <c r="BH71" i="14"/>
  <c r="BG71" i="14"/>
  <c r="BF71" i="14"/>
  <c r="BE71" i="14"/>
  <c r="BD71" i="14"/>
  <c r="BC71" i="14"/>
  <c r="BB71" i="14"/>
  <c r="BM53" i="14"/>
  <c r="BL53" i="14"/>
  <c r="BK53" i="14"/>
  <c r="BJ53" i="14"/>
  <c r="BI53" i="14"/>
  <c r="BH53" i="14"/>
  <c r="BG53" i="14"/>
  <c r="BF53" i="14"/>
  <c r="BE53" i="14"/>
  <c r="BD53" i="14"/>
  <c r="BC53" i="14"/>
  <c r="BB53" i="14"/>
  <c r="BE45" i="14"/>
  <c r="I31" i="15" s="1"/>
  <c r="BM42" i="14"/>
  <c r="BL42" i="14"/>
  <c r="BK42" i="14"/>
  <c r="BJ42" i="14"/>
  <c r="BI42" i="14"/>
  <c r="BH42" i="14"/>
  <c r="BG42" i="14"/>
  <c r="BF42" i="14"/>
  <c r="BE42" i="14"/>
  <c r="BD42" i="14"/>
  <c r="BC42" i="14"/>
  <c r="BB42" i="14"/>
  <c r="BM41" i="14"/>
  <c r="BL41" i="14"/>
  <c r="BK41" i="14"/>
  <c r="BJ41" i="14"/>
  <c r="BI41" i="14"/>
  <c r="BH41" i="14"/>
  <c r="BG41" i="14"/>
  <c r="BF41" i="14"/>
  <c r="BE41" i="14"/>
  <c r="BD41" i="14"/>
  <c r="BC41" i="14"/>
  <c r="BB41" i="14"/>
  <c r="BN50" i="27"/>
  <c r="BM50" i="27"/>
  <c r="BL50" i="27"/>
  <c r="BK50" i="27"/>
  <c r="BJ50" i="27"/>
  <c r="BI50" i="27"/>
  <c r="BH98" i="14" s="1"/>
  <c r="BH50" i="27"/>
  <c r="BG50" i="27"/>
  <c r="BE50" i="27"/>
  <c r="BD50" i="27"/>
  <c r="BC50" i="27"/>
  <c r="BF41" i="27"/>
  <c r="AK176" i="34"/>
  <c r="AJ176" i="34"/>
  <c r="AI176" i="34"/>
  <c r="AH176" i="34"/>
  <c r="AG176" i="34"/>
  <c r="AF176" i="34"/>
  <c r="AE176" i="34"/>
  <c r="AD176" i="34"/>
  <c r="AC176" i="34"/>
  <c r="AB176" i="34"/>
  <c r="AA176" i="34"/>
  <c r="Z176" i="34"/>
  <c r="Y176" i="34"/>
  <c r="X176" i="34"/>
  <c r="W176" i="34"/>
  <c r="V176" i="34"/>
  <c r="U176" i="34"/>
  <c r="T176" i="34"/>
  <c r="S176" i="34"/>
  <c r="R176" i="34"/>
  <c r="Q176" i="34"/>
  <c r="P176" i="34"/>
  <c r="O176" i="34"/>
  <c r="N176" i="34"/>
  <c r="N178" i="34" s="1"/>
  <c r="G62" i="29"/>
  <c r="G61" i="29"/>
  <c r="G60" i="29"/>
  <c r="G59" i="29"/>
  <c r="G56" i="29"/>
  <c r="G55" i="29"/>
  <c r="G54" i="29"/>
  <c r="G53" i="29"/>
  <c r="G52" i="29"/>
  <c r="G51" i="29"/>
  <c r="G50" i="29"/>
  <c r="G49" i="29"/>
  <c r="G48" i="29"/>
  <c r="G47" i="29"/>
  <c r="G46" i="29"/>
  <c r="G45" i="29"/>
  <c r="G44" i="29"/>
  <c r="G43" i="29"/>
  <c r="G42" i="29"/>
  <c r="G37" i="29"/>
  <c r="G36" i="29"/>
  <c r="G35" i="29"/>
  <c r="G34" i="29"/>
  <c r="G32" i="29"/>
  <c r="G30" i="29"/>
  <c r="G29" i="29"/>
  <c r="G28" i="29"/>
  <c r="G27" i="29"/>
  <c r="G26" i="29"/>
  <c r="G25" i="29"/>
  <c r="G23" i="29"/>
  <c r="G17" i="29"/>
  <c r="BB127" i="34"/>
  <c r="BC127" i="34" s="1"/>
  <c r="BM78" i="34"/>
  <c r="BL78" i="34"/>
  <c r="BK78" i="34"/>
  <c r="BJ78" i="34"/>
  <c r="BI78" i="34"/>
  <c r="BH78" i="34"/>
  <c r="BG78" i="34"/>
  <c r="BF78" i="34"/>
  <c r="BE78" i="34"/>
  <c r="BD78" i="34"/>
  <c r="BC78" i="34"/>
  <c r="BB78" i="34"/>
  <c r="BM32" i="34"/>
  <c r="BL32" i="34"/>
  <c r="BM29" i="34"/>
  <c r="BL29" i="34"/>
  <c r="BK29" i="34"/>
  <c r="BJ29" i="34"/>
  <c r="BI29" i="34"/>
  <c r="BH29" i="34"/>
  <c r="BG29" i="34"/>
  <c r="BF29" i="34"/>
  <c r="BE29" i="34"/>
  <c r="BD29" i="34"/>
  <c r="BC29" i="34"/>
  <c r="BB29" i="34"/>
  <c r="BM20" i="34"/>
  <c r="BL20" i="34"/>
  <c r="BK20" i="34"/>
  <c r="BJ20" i="34"/>
  <c r="BI20" i="34"/>
  <c r="BI32" i="34" s="1"/>
  <c r="BH20" i="34"/>
  <c r="BH32" i="34" s="1"/>
  <c r="BG20" i="34"/>
  <c r="BG32" i="34" s="1"/>
  <c r="BF20" i="34"/>
  <c r="BF32" i="34" s="1"/>
  <c r="BE20" i="34"/>
  <c r="BD20" i="34"/>
  <c r="BC20" i="34"/>
  <c r="BB20" i="34"/>
  <c r="BB32" i="34" s="1"/>
  <c r="BB14" i="30"/>
  <c r="BC14" i="30" s="1"/>
  <c r="BD14" i="30" s="1"/>
  <c r="BE14" i="30" s="1"/>
  <c r="BF14" i="30" s="1"/>
  <c r="BG14" i="30" s="1"/>
  <c r="BH14" i="30" s="1"/>
  <c r="BI14" i="30" s="1"/>
  <c r="BJ14" i="30" s="1"/>
  <c r="BK14" i="30" s="1"/>
  <c r="BL14" i="30" s="1"/>
  <c r="BM14" i="30" s="1"/>
  <c r="BM92" i="30"/>
  <c r="BL92" i="30"/>
  <c r="BK92" i="30"/>
  <c r="BJ92" i="30"/>
  <c r="BI92" i="30"/>
  <c r="BG92" i="30"/>
  <c r="BE92" i="30"/>
  <c r="BD92" i="30"/>
  <c r="BC92" i="30"/>
  <c r="BB92" i="30"/>
  <c r="BB59" i="30"/>
  <c r="BC59" i="30" s="1"/>
  <c r="BD59" i="30" s="1"/>
  <c r="BE59" i="30" s="1"/>
  <c r="BF59" i="30" s="1"/>
  <c r="BG59" i="30" s="1"/>
  <c r="BH59" i="30" s="1"/>
  <c r="BI59" i="30" s="1"/>
  <c r="BJ59" i="30" s="1"/>
  <c r="BK59" i="30" s="1"/>
  <c r="BL59" i="30" s="1"/>
  <c r="BM59" i="30" s="1"/>
  <c r="BE46" i="30"/>
  <c r="BM43" i="30"/>
  <c r="BL43" i="30"/>
  <c r="BK43" i="30"/>
  <c r="BJ43" i="30"/>
  <c r="BI43" i="30"/>
  <c r="BH43" i="30"/>
  <c r="BG43" i="30"/>
  <c r="BF43" i="30"/>
  <c r="BE43" i="30"/>
  <c r="BD43" i="30"/>
  <c r="BC43" i="30"/>
  <c r="BB43" i="30"/>
  <c r="BM39" i="30"/>
  <c r="BL39" i="30"/>
  <c r="BK39" i="30"/>
  <c r="BJ39" i="30"/>
  <c r="BI39" i="30"/>
  <c r="BH39" i="30"/>
  <c r="BG39" i="30"/>
  <c r="BF39" i="30"/>
  <c r="BE39" i="30"/>
  <c r="BD39" i="30"/>
  <c r="BC39" i="30"/>
  <c r="BB39" i="30"/>
  <c r="BM38" i="30"/>
  <c r="BL38" i="30"/>
  <c r="BK38" i="30"/>
  <c r="BK41" i="30" s="1"/>
  <c r="BJ38" i="30"/>
  <c r="BI38" i="30"/>
  <c r="BH38" i="30"/>
  <c r="BG38" i="30"/>
  <c r="BF38" i="30"/>
  <c r="BE38" i="30"/>
  <c r="BE41" i="30" s="1"/>
  <c r="BD38" i="30"/>
  <c r="BC38" i="30"/>
  <c r="BC41" i="30" s="1"/>
  <c r="BB38" i="30"/>
  <c r="BM37" i="30"/>
  <c r="BL37" i="30"/>
  <c r="BL41" i="30" s="1"/>
  <c r="BL52" i="30" s="1"/>
  <c r="BK37" i="30"/>
  <c r="BJ37" i="30"/>
  <c r="BJ41" i="30" s="1"/>
  <c r="BI37" i="30"/>
  <c r="BH37" i="30"/>
  <c r="BG37" i="30"/>
  <c r="BF37" i="30"/>
  <c r="BE37" i="30"/>
  <c r="BD37" i="30"/>
  <c r="BD41" i="30" s="1"/>
  <c r="BD52" i="30" s="1"/>
  <c r="BC37" i="30"/>
  <c r="BB37" i="30"/>
  <c r="BB41" i="30" s="1"/>
  <c r="BM23" i="30"/>
  <c r="BL23" i="30"/>
  <c r="BK23" i="30"/>
  <c r="BJ23" i="30"/>
  <c r="BI23" i="30"/>
  <c r="BH23" i="30"/>
  <c r="BG23" i="30"/>
  <c r="BF23" i="30"/>
  <c r="BE23" i="30"/>
  <c r="BD23" i="30"/>
  <c r="BC23" i="30"/>
  <c r="BB23" i="30"/>
  <c r="BL67" i="32"/>
  <c r="BJ67" i="32"/>
  <c r="BI67" i="32"/>
  <c r="BH67" i="32"/>
  <c r="BG67" i="32"/>
  <c r="BN64" i="32"/>
  <c r="BN67" i="32" s="1"/>
  <c r="BM64" i="32"/>
  <c r="BM67" i="32" s="1"/>
  <c r="BL64" i="32"/>
  <c r="BK64" i="32"/>
  <c r="BK67" i="32" s="1"/>
  <c r="BJ64" i="32"/>
  <c r="BI64" i="32"/>
  <c r="BH64" i="32"/>
  <c r="BG64" i="32"/>
  <c r="BF64" i="32"/>
  <c r="BF67" i="32" s="1"/>
  <c r="BE64" i="32"/>
  <c r="BE67" i="32" s="1"/>
  <c r="BD64" i="32"/>
  <c r="BD67" i="32" s="1"/>
  <c r="BC64" i="32"/>
  <c r="BC67" i="32" s="1"/>
  <c r="BG53" i="32"/>
  <c r="BN51" i="32"/>
  <c r="BM51" i="32"/>
  <c r="BL51" i="32"/>
  <c r="BK51" i="32"/>
  <c r="BJ51" i="32"/>
  <c r="BN50" i="32"/>
  <c r="BM50" i="32"/>
  <c r="BL50" i="32"/>
  <c r="BK50" i="32"/>
  <c r="BJ50" i="32"/>
  <c r="BI50" i="32"/>
  <c r="BH50" i="32"/>
  <c r="BG50" i="32"/>
  <c r="BF50" i="32"/>
  <c r="BE50" i="32"/>
  <c r="BD50" i="32"/>
  <c r="BC50" i="32"/>
  <c r="BN49" i="32"/>
  <c r="BM49" i="32"/>
  <c r="BL49" i="32"/>
  <c r="BK49" i="32"/>
  <c r="BJ49" i="32"/>
  <c r="BI49" i="32"/>
  <c r="BH49" i="32"/>
  <c r="BG49" i="32"/>
  <c r="BF49" i="32"/>
  <c r="BE49" i="32"/>
  <c r="BD49" i="32"/>
  <c r="BC49" i="32"/>
  <c r="BN48" i="32"/>
  <c r="BM48" i="32"/>
  <c r="BL48" i="32"/>
  <c r="BK48" i="32"/>
  <c r="BJ48" i="32"/>
  <c r="BI48" i="32"/>
  <c r="BH48" i="32"/>
  <c r="BG48" i="32"/>
  <c r="BF48" i="32"/>
  <c r="BE48" i="32"/>
  <c r="BD48" i="32"/>
  <c r="BC48" i="32"/>
  <c r="BN47" i="32"/>
  <c r="BM47" i="32"/>
  <c r="BL47" i="32"/>
  <c r="BK47" i="32"/>
  <c r="BJ47" i="32"/>
  <c r="BI47" i="32"/>
  <c r="BH47" i="32"/>
  <c r="BG47" i="32"/>
  <c r="BF47" i="32"/>
  <c r="BE47" i="32"/>
  <c r="BD47" i="32"/>
  <c r="BC47" i="32"/>
  <c r="BN45" i="32"/>
  <c r="BM45" i="32"/>
  <c r="BL45" i="32"/>
  <c r="BK45" i="32"/>
  <c r="BJ45" i="32"/>
  <c r="BI45" i="32"/>
  <c r="BH45" i="32"/>
  <c r="BG45" i="32"/>
  <c r="BF45" i="32"/>
  <c r="BE45" i="32"/>
  <c r="BD45" i="32"/>
  <c r="BC45" i="32"/>
  <c r="BN44" i="32"/>
  <c r="BM44" i="32"/>
  <c r="BL44" i="32"/>
  <c r="BK44" i="32"/>
  <c r="BJ44" i="32"/>
  <c r="BI44" i="32"/>
  <c r="BH44" i="32"/>
  <c r="BG44" i="32"/>
  <c r="BF44" i="32"/>
  <c r="BE44" i="32"/>
  <c r="BD44" i="32"/>
  <c r="BC44" i="32"/>
  <c r="BN43" i="32"/>
  <c r="BM43" i="32"/>
  <c r="BL43" i="32"/>
  <c r="BK43" i="32"/>
  <c r="BJ43" i="32"/>
  <c r="BI43" i="32"/>
  <c r="BH43" i="32"/>
  <c r="BG43" i="32"/>
  <c r="BF43" i="32"/>
  <c r="BE43" i="32"/>
  <c r="BD43" i="32"/>
  <c r="BC43" i="32"/>
  <c r="BN42" i="32"/>
  <c r="BM42" i="32"/>
  <c r="BL42" i="32"/>
  <c r="BK42" i="32"/>
  <c r="BJ42" i="32"/>
  <c r="BI42" i="32"/>
  <c r="BH42" i="32"/>
  <c r="BG42" i="32"/>
  <c r="BF42" i="32"/>
  <c r="BE42" i="32"/>
  <c r="BD42" i="32"/>
  <c r="BC42" i="32"/>
  <c r="BN41" i="32"/>
  <c r="BM41" i="32"/>
  <c r="BL41" i="32"/>
  <c r="BK41" i="32"/>
  <c r="BJ41" i="32"/>
  <c r="BI41" i="32"/>
  <c r="BH41" i="32"/>
  <c r="BG41" i="32"/>
  <c r="BF41" i="32"/>
  <c r="BE41" i="32"/>
  <c r="BD41" i="32"/>
  <c r="BC41" i="32"/>
  <c r="BN40" i="32"/>
  <c r="BN53" i="32" s="1"/>
  <c r="BM40" i="32"/>
  <c r="BL40" i="32"/>
  <c r="BK40" i="32"/>
  <c r="BJ40" i="32"/>
  <c r="BI40" i="32"/>
  <c r="BH40" i="32"/>
  <c r="BG40" i="32"/>
  <c r="BF40" i="32"/>
  <c r="BF53" i="32" s="1"/>
  <c r="BE40" i="32"/>
  <c r="BD40" i="32"/>
  <c r="BC40" i="32"/>
  <c r="BN39" i="32"/>
  <c r="BM39" i="32"/>
  <c r="BM53" i="32" s="1"/>
  <c r="BL39" i="32"/>
  <c r="BL53" i="32" s="1"/>
  <c r="BK39" i="32"/>
  <c r="BK53" i="32" s="1"/>
  <c r="BJ39" i="32"/>
  <c r="BJ53" i="32" s="1"/>
  <c r="BI39" i="32"/>
  <c r="BI53" i="32" s="1"/>
  <c r="BH39" i="32"/>
  <c r="BH53" i="32" s="1"/>
  <c r="BG39" i="32"/>
  <c r="BF39" i="32"/>
  <c r="BE39" i="32"/>
  <c r="BE53" i="32" s="1"/>
  <c r="BD39" i="32"/>
  <c r="BD53" i="32" s="1"/>
  <c r="BC39" i="32"/>
  <c r="BC53" i="32" s="1"/>
  <c r="BM36" i="32"/>
  <c r="BL36" i="32"/>
  <c r="BE36" i="32"/>
  <c r="BD36" i="32"/>
  <c r="BN34" i="32"/>
  <c r="BM34" i="32"/>
  <c r="BL34" i="32"/>
  <c r="BK34" i="32"/>
  <c r="BJ34" i="32"/>
  <c r="BI34" i="32"/>
  <c r="BN33" i="32"/>
  <c r="BM33" i="32"/>
  <c r="BL33" i="32"/>
  <c r="BK33" i="32"/>
  <c r="BJ33" i="32"/>
  <c r="BI33" i="32"/>
  <c r="BH33" i="32"/>
  <c r="BG33" i="32"/>
  <c r="BF33" i="32"/>
  <c r="BE33" i="32"/>
  <c r="BD33" i="32"/>
  <c r="BC33" i="32"/>
  <c r="BN32" i="32"/>
  <c r="BM32" i="32"/>
  <c r="BL32" i="32"/>
  <c r="BK32" i="32"/>
  <c r="BJ32" i="32"/>
  <c r="BI32" i="32"/>
  <c r="BH32" i="32"/>
  <c r="BG32" i="32"/>
  <c r="BF32" i="32"/>
  <c r="BE32" i="32"/>
  <c r="BD32" i="32"/>
  <c r="BC32" i="32"/>
  <c r="BN31" i="32"/>
  <c r="BM31" i="32"/>
  <c r="BL31" i="32"/>
  <c r="BK31" i="32"/>
  <c r="BJ31" i="32"/>
  <c r="BI31" i="32"/>
  <c r="BH31" i="32"/>
  <c r="BG31" i="32"/>
  <c r="BF31" i="32"/>
  <c r="BE31" i="32"/>
  <c r="BD31" i="32"/>
  <c r="BC31" i="32"/>
  <c r="BN30" i="32"/>
  <c r="BM30" i="32"/>
  <c r="BL30" i="32"/>
  <c r="BK30" i="32"/>
  <c r="BJ30" i="32"/>
  <c r="BI30" i="32"/>
  <c r="BH30" i="32"/>
  <c r="BG30" i="32"/>
  <c r="BF30" i="32"/>
  <c r="BE30" i="32"/>
  <c r="BD30" i="32"/>
  <c r="BC30" i="32"/>
  <c r="BN29" i="32"/>
  <c r="BM29" i="32"/>
  <c r="BL29" i="32"/>
  <c r="BK29" i="32"/>
  <c r="BJ29" i="32"/>
  <c r="BI29" i="32"/>
  <c r="BH29" i="32"/>
  <c r="BG29" i="32"/>
  <c r="BF29" i="32"/>
  <c r="BE29" i="32"/>
  <c r="BD29" i="32"/>
  <c r="BC29" i="32"/>
  <c r="BN28" i="32"/>
  <c r="BM28" i="32"/>
  <c r="BL28" i="32"/>
  <c r="BK28" i="32"/>
  <c r="BJ28" i="32"/>
  <c r="BI28" i="32"/>
  <c r="BH28" i="32"/>
  <c r="BG28" i="32"/>
  <c r="BF28" i="32"/>
  <c r="BE28" i="32"/>
  <c r="BD28" i="32"/>
  <c r="BC28" i="32"/>
  <c r="BN27" i="32"/>
  <c r="BM27" i="32"/>
  <c r="BL27" i="32"/>
  <c r="BK27" i="32"/>
  <c r="BJ27" i="32"/>
  <c r="BI27" i="32"/>
  <c r="BH27" i="32"/>
  <c r="BG27" i="32"/>
  <c r="BF27" i="32"/>
  <c r="BE27" i="32"/>
  <c r="BD27" i="32"/>
  <c r="BC27" i="32"/>
  <c r="BN26" i="32"/>
  <c r="BM26" i="32"/>
  <c r="BL26" i="32"/>
  <c r="BK26" i="32"/>
  <c r="BJ26" i="32"/>
  <c r="BI26" i="32"/>
  <c r="BH26" i="32"/>
  <c r="BG26" i="32"/>
  <c r="BF26" i="32"/>
  <c r="BE26" i="32"/>
  <c r="BD26" i="32"/>
  <c r="BC26" i="32"/>
  <c r="BN25" i="32"/>
  <c r="BN36" i="32" s="1"/>
  <c r="BM25" i="32"/>
  <c r="BL25" i="32"/>
  <c r="BK25" i="32"/>
  <c r="BJ25" i="32"/>
  <c r="BI25" i="32"/>
  <c r="BI36" i="32" s="1"/>
  <c r="BH25" i="32"/>
  <c r="BH36" i="32" s="1"/>
  <c r="BG25" i="32"/>
  <c r="BG36" i="32" s="1"/>
  <c r="BF25" i="32"/>
  <c r="BF36" i="32" s="1"/>
  <c r="BE25" i="32"/>
  <c r="BD25" i="32"/>
  <c r="BC25" i="32"/>
  <c r="BN23" i="32"/>
  <c r="BM23" i="32"/>
  <c r="BL23" i="32"/>
  <c r="BK23" i="32"/>
  <c r="BK36" i="32" s="1"/>
  <c r="BJ23" i="32"/>
  <c r="BJ36" i="32" s="1"/>
  <c r="BI23" i="32"/>
  <c r="BH23" i="32"/>
  <c r="BG23" i="32"/>
  <c r="BF23" i="32"/>
  <c r="BE23" i="32"/>
  <c r="BD23" i="32"/>
  <c r="BC23" i="32"/>
  <c r="BC36" i="32" s="1"/>
  <c r="BN17" i="32"/>
  <c r="BM17" i="32"/>
  <c r="BL17" i="32"/>
  <c r="BK17" i="32"/>
  <c r="BJ17" i="32"/>
  <c r="BI17" i="32"/>
  <c r="BH17" i="32"/>
  <c r="BG17" i="32"/>
  <c r="BF17" i="32"/>
  <c r="BE17" i="32"/>
  <c r="BD17" i="32"/>
  <c r="BC17" i="32"/>
  <c r="BN16" i="32"/>
  <c r="BM16" i="32"/>
  <c r="BL16" i="32"/>
  <c r="BK16" i="32"/>
  <c r="BJ16" i="32"/>
  <c r="BI16" i="32"/>
  <c r="BH16" i="32"/>
  <c r="BG16" i="32"/>
  <c r="BF16" i="32"/>
  <c r="BE16" i="32"/>
  <c r="BD16" i="32"/>
  <c r="BC16" i="32"/>
  <c r="BN15" i="32"/>
  <c r="BM15" i="32"/>
  <c r="BL15" i="32"/>
  <c r="BK15" i="32"/>
  <c r="BJ15" i="32"/>
  <c r="BI15" i="32"/>
  <c r="BH15" i="32"/>
  <c r="BG15" i="32"/>
  <c r="BF15" i="32"/>
  <c r="BE15" i="32"/>
  <c r="BD15" i="32"/>
  <c r="BC15" i="32"/>
  <c r="BN14" i="32"/>
  <c r="BN19" i="32" s="1"/>
  <c r="BM14" i="32"/>
  <c r="BL14" i="32"/>
  <c r="BK14" i="32"/>
  <c r="BJ14" i="32"/>
  <c r="BI14" i="32"/>
  <c r="BI19" i="32" s="1"/>
  <c r="BH14" i="32"/>
  <c r="BH19" i="32" s="1"/>
  <c r="BG14" i="32"/>
  <c r="BG19" i="32" s="1"/>
  <c r="BF14" i="32"/>
  <c r="BF19" i="32" s="1"/>
  <c r="BE14" i="32"/>
  <c r="BD14" i="32"/>
  <c r="BC14" i="32"/>
  <c r="BN12" i="32"/>
  <c r="BM12" i="32"/>
  <c r="BM19" i="32" s="1"/>
  <c r="BL12" i="32"/>
  <c r="BL19" i="32" s="1"/>
  <c r="BK12" i="32"/>
  <c r="BK19" i="32" s="1"/>
  <c r="BJ12" i="32"/>
  <c r="BJ19" i="32" s="1"/>
  <c r="BI12" i="32"/>
  <c r="BH12" i="32"/>
  <c r="BG12" i="32"/>
  <c r="BF12" i="32"/>
  <c r="BE12" i="32"/>
  <c r="BE19" i="32" s="1"/>
  <c r="BD12" i="32"/>
  <c r="BD19" i="32" s="1"/>
  <c r="BC12" i="32"/>
  <c r="BC19" i="32" s="1"/>
  <c r="I39" i="15" l="1"/>
  <c r="I57" i="15"/>
  <c r="I28" i="15"/>
  <c r="AD16" i="27"/>
  <c r="AD18" i="27" s="1"/>
  <c r="I27" i="15"/>
  <c r="CG176" i="34"/>
  <c r="CH175" i="34"/>
  <c r="CG128" i="34"/>
  <c r="CH127" i="34"/>
  <c r="BR175" i="34"/>
  <c r="BQ176" i="34"/>
  <c r="BR127" i="34"/>
  <c r="BQ128" i="34"/>
  <c r="N183" i="34"/>
  <c r="P177" i="34"/>
  <c r="N180" i="34"/>
  <c r="N182" i="34" s="1"/>
  <c r="O178" i="34"/>
  <c r="AL176" i="34"/>
  <c r="BC32" i="34"/>
  <c r="BE32" i="34"/>
  <c r="BD32" i="34"/>
  <c r="BJ32" i="34"/>
  <c r="BK32" i="34"/>
  <c r="BD127" i="34"/>
  <c r="BC128" i="34"/>
  <c r="BB128" i="34"/>
  <c r="BH52" i="30"/>
  <c r="BF52" i="30"/>
  <c r="BC52" i="30"/>
  <c r="BK52" i="30"/>
  <c r="BE52" i="30"/>
  <c r="BB52" i="30"/>
  <c r="BJ52" i="30"/>
  <c r="BM41" i="30"/>
  <c r="BM52" i="30" s="1"/>
  <c r="BG41" i="30"/>
  <c r="BG52" i="30" s="1"/>
  <c r="BH41" i="30"/>
  <c r="BF41" i="30"/>
  <c r="BI41" i="30"/>
  <c r="BI52" i="30" s="1"/>
  <c r="D103" i="14"/>
  <c r="D102" i="14"/>
  <c r="BN47" i="25"/>
  <c r="BM47" i="25"/>
  <c r="BL47" i="25"/>
  <c r="BK47" i="25"/>
  <c r="BJ47" i="25"/>
  <c r="BI47" i="25"/>
  <c r="BH47" i="25"/>
  <c r="BG47" i="25"/>
  <c r="BF47" i="25"/>
  <c r="BE47" i="25"/>
  <c r="BD47" i="25"/>
  <c r="BC47" i="25"/>
  <c r="BB47" i="25"/>
  <c r="BA47" i="25"/>
  <c r="AZ47" i="25"/>
  <c r="AY47" i="25"/>
  <c r="AX47" i="25"/>
  <c r="AW47" i="25"/>
  <c r="AV47" i="25"/>
  <c r="AU47" i="25"/>
  <c r="AT47" i="25"/>
  <c r="AS47" i="25"/>
  <c r="AR47" i="25"/>
  <c r="AQ47" i="25"/>
  <c r="AP47" i="25"/>
  <c r="AO47" i="25"/>
  <c r="AN47" i="25"/>
  <c r="AM47" i="25"/>
  <c r="AL47" i="25"/>
  <c r="AK47" i="25"/>
  <c r="AJ47" i="25"/>
  <c r="AA77" i="25"/>
  <c r="Z77" i="25"/>
  <c r="Y77" i="25"/>
  <c r="I71" i="15"/>
  <c r="I70" i="15"/>
  <c r="BN52" i="25"/>
  <c r="BM52" i="25"/>
  <c r="BL52" i="25"/>
  <c r="BK52" i="25"/>
  <c r="BJ52" i="25"/>
  <c r="BI52" i="25"/>
  <c r="BH52" i="25"/>
  <c r="BG52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Q48" i="25"/>
  <c r="AR48" i="25" s="1"/>
  <c r="AS48" i="25" s="1"/>
  <c r="AT48" i="25" s="1"/>
  <c r="AU48" i="25" s="1"/>
  <c r="AV48" i="25" s="1"/>
  <c r="AW48" i="25" s="1"/>
  <c r="AX48" i="25" s="1"/>
  <c r="AY48" i="25" s="1"/>
  <c r="AZ48" i="25" s="1"/>
  <c r="BA48" i="25" s="1"/>
  <c r="BB48" i="25" s="1"/>
  <c r="BC48" i="25" s="1"/>
  <c r="BD48" i="25" s="1"/>
  <c r="BE48" i="25" s="1"/>
  <c r="BF48" i="25" s="1"/>
  <c r="BG48" i="25" s="1"/>
  <c r="BH48" i="25" s="1"/>
  <c r="BI48" i="25" s="1"/>
  <c r="BJ48" i="25" s="1"/>
  <c r="BK48" i="25" s="1"/>
  <c r="BL48" i="25" s="1"/>
  <c r="BM48" i="25" s="1"/>
  <c r="BN48" i="25" s="1"/>
  <c r="BO48" i="25" s="1"/>
  <c r="BN82" i="25"/>
  <c r="BM82" i="25"/>
  <c r="BL82" i="25"/>
  <c r="BK82" i="25"/>
  <c r="BJ82" i="25"/>
  <c r="BI82" i="25"/>
  <c r="BH82" i="25"/>
  <c r="BG82" i="25"/>
  <c r="BF82" i="25"/>
  <c r="BE82" i="25"/>
  <c r="BD82" i="25"/>
  <c r="BC82" i="25"/>
  <c r="BN71" i="25"/>
  <c r="BN85" i="25" s="1"/>
  <c r="BM71" i="25"/>
  <c r="BM85" i="25" s="1"/>
  <c r="BL71" i="25"/>
  <c r="BL85" i="25" s="1"/>
  <c r="BK71" i="25"/>
  <c r="BK85" i="25" s="1"/>
  <c r="BJ71" i="25"/>
  <c r="BJ85" i="25" s="1"/>
  <c r="BI71" i="25"/>
  <c r="BI85" i="25" s="1"/>
  <c r="BH71" i="25"/>
  <c r="BH85" i="25" s="1"/>
  <c r="BG71" i="25"/>
  <c r="BG85" i="25" s="1"/>
  <c r="BF71" i="25"/>
  <c r="BF85" i="25" s="1"/>
  <c r="BE71" i="25"/>
  <c r="BE85" i="25" s="1"/>
  <c r="BD71" i="25"/>
  <c r="BD85" i="25" s="1"/>
  <c r="BC71" i="25"/>
  <c r="BC85" i="25" s="1"/>
  <c r="BN51" i="25"/>
  <c r="BM51" i="25"/>
  <c r="BL51" i="25"/>
  <c r="BK51" i="25"/>
  <c r="BJ51" i="25"/>
  <c r="BI51" i="25"/>
  <c r="BH51" i="25"/>
  <c r="BG51" i="25"/>
  <c r="BF51" i="25"/>
  <c r="BE51" i="25"/>
  <c r="BD51" i="25"/>
  <c r="BC51" i="25"/>
  <c r="BN50" i="25"/>
  <c r="BM50" i="25"/>
  <c r="BL50" i="25"/>
  <c r="BK50" i="25"/>
  <c r="BJ50" i="25"/>
  <c r="BI50" i="25"/>
  <c r="BH50" i="25"/>
  <c r="BG50" i="25"/>
  <c r="BF50" i="25"/>
  <c r="BE50" i="25"/>
  <c r="BD50" i="25"/>
  <c r="BC50" i="25"/>
  <c r="BN49" i="25"/>
  <c r="BM49" i="25"/>
  <c r="BL49" i="25"/>
  <c r="BK49" i="25"/>
  <c r="BJ49" i="25"/>
  <c r="BI49" i="25"/>
  <c r="BH49" i="25"/>
  <c r="BG49" i="25"/>
  <c r="BF49" i="25"/>
  <c r="BE49" i="25"/>
  <c r="BD49" i="25"/>
  <c r="BC49" i="25"/>
  <c r="BN37" i="25"/>
  <c r="BM37" i="25"/>
  <c r="BL37" i="25"/>
  <c r="BK37" i="25"/>
  <c r="BJ37" i="25"/>
  <c r="BI37" i="25"/>
  <c r="BH37" i="25"/>
  <c r="BG37" i="25"/>
  <c r="BF37" i="25"/>
  <c r="BE37" i="25"/>
  <c r="BD37" i="25"/>
  <c r="BC37" i="25"/>
  <c r="BN36" i="25"/>
  <c r="BM36" i="25"/>
  <c r="BL36" i="25"/>
  <c r="BK36" i="25"/>
  <c r="BJ36" i="25"/>
  <c r="BI36" i="25"/>
  <c r="BH36" i="25"/>
  <c r="BG36" i="25"/>
  <c r="BF36" i="25"/>
  <c r="BE36" i="25"/>
  <c r="BD36" i="25"/>
  <c r="BC36" i="25"/>
  <c r="BN34" i="25"/>
  <c r="BM34" i="25"/>
  <c r="BL34" i="25"/>
  <c r="BK34" i="25"/>
  <c r="BJ34" i="25"/>
  <c r="BI34" i="25"/>
  <c r="BH34" i="25"/>
  <c r="BG34" i="25"/>
  <c r="BF34" i="25"/>
  <c r="BE34" i="25"/>
  <c r="BD34" i="25"/>
  <c r="BC34" i="25"/>
  <c r="BJ29" i="25"/>
  <c r="BI34" i="14" s="1"/>
  <c r="BN29" i="25"/>
  <c r="BM34" i="14" s="1"/>
  <c r="BL29" i="25"/>
  <c r="BK34" i="14" s="1"/>
  <c r="BF29" i="25"/>
  <c r="BE34" i="14" s="1"/>
  <c r="BD29" i="25"/>
  <c r="BC34" i="14" s="1"/>
  <c r="BC29" i="25"/>
  <c r="BB34" i="14" s="1"/>
  <c r="BB37" i="25"/>
  <c r="BA37" i="25"/>
  <c r="AZ37" i="25"/>
  <c r="AY37" i="25"/>
  <c r="AX37" i="25"/>
  <c r="AW37" i="25"/>
  <c r="AV37" i="25"/>
  <c r="AU37" i="25"/>
  <c r="AT37" i="25"/>
  <c r="AS37" i="25"/>
  <c r="AR37" i="25"/>
  <c r="AQ37" i="25"/>
  <c r="AP37" i="25"/>
  <c r="AO37" i="25"/>
  <c r="AN37" i="25"/>
  <c r="AM37" i="25"/>
  <c r="AL37" i="25"/>
  <c r="AK37" i="25"/>
  <c r="AJ37" i="25"/>
  <c r="AI37" i="25"/>
  <c r="AH37" i="25"/>
  <c r="AB20" i="25"/>
  <c r="F70" i="15"/>
  <c r="AE16" i="27" l="1"/>
  <c r="AE18" i="27" s="1"/>
  <c r="BP48" i="25"/>
  <c r="CI127" i="34"/>
  <c r="CH128" i="34"/>
  <c r="CI175" i="34"/>
  <c r="CH176" i="34"/>
  <c r="BS127" i="34"/>
  <c r="BR128" i="34"/>
  <c r="BR176" i="34"/>
  <c r="BS175" i="34"/>
  <c r="Q177" i="34"/>
  <c r="O183" i="34"/>
  <c r="O180" i="34"/>
  <c r="O182" i="34" s="1"/>
  <c r="P178" i="34"/>
  <c r="AM176" i="34"/>
  <c r="BD128" i="34"/>
  <c r="BE127" i="34"/>
  <c r="BB110" i="34"/>
  <c r="BE29" i="25"/>
  <c r="BD34" i="14" s="1"/>
  <c r="BM29" i="25"/>
  <c r="BL34" i="14" s="1"/>
  <c r="BI29" i="25"/>
  <c r="BH34" i="14" s="1"/>
  <c r="BH29" i="25"/>
  <c r="BG34" i="14" s="1"/>
  <c r="BG29" i="25"/>
  <c r="BF34" i="14" s="1"/>
  <c r="BK29" i="25"/>
  <c r="BJ34" i="14" s="1"/>
  <c r="C44" i="15"/>
  <c r="AF16" i="27" l="1"/>
  <c r="AF18" i="27" s="1"/>
  <c r="BQ48" i="25"/>
  <c r="CJ127" i="34"/>
  <c r="CI128" i="34"/>
  <c r="CJ175" i="34"/>
  <c r="CI176" i="34"/>
  <c r="BS128" i="34"/>
  <c r="BT127" i="34"/>
  <c r="BS176" i="34"/>
  <c r="BT175" i="34"/>
  <c r="I20" i="15"/>
  <c r="AN176" i="34"/>
  <c r="P183" i="34"/>
  <c r="P180" i="34"/>
  <c r="P182" i="34" s="1"/>
  <c r="Q178" i="34"/>
  <c r="R177" i="34"/>
  <c r="BE128" i="34"/>
  <c r="BF127" i="34"/>
  <c r="T47" i="14"/>
  <c r="S47" i="14"/>
  <c r="R47" i="14"/>
  <c r="T42" i="14"/>
  <c r="S42" i="14"/>
  <c r="R42" i="14"/>
  <c r="T70" i="14"/>
  <c r="S70" i="14"/>
  <c r="R70" i="14"/>
  <c r="S34" i="14"/>
  <c r="AA16" i="32"/>
  <c r="AB16" i="32"/>
  <c r="W51" i="25"/>
  <c r="X51" i="25"/>
  <c r="AG16" i="27" l="1"/>
  <c r="AG18" i="27" s="1"/>
  <c r="BR48" i="25"/>
  <c r="CK175" i="34"/>
  <c r="CK176" i="34" s="1"/>
  <c r="CJ176" i="34"/>
  <c r="CK127" i="34"/>
  <c r="CK128" i="34" s="1"/>
  <c r="CJ128" i="34"/>
  <c r="BT176" i="34"/>
  <c r="BU175" i="34"/>
  <c r="BT128" i="34"/>
  <c r="BU127" i="34"/>
  <c r="Q183" i="34"/>
  <c r="Q180" i="34"/>
  <c r="Q182" i="34" s="1"/>
  <c r="R178" i="34"/>
  <c r="S177" i="34"/>
  <c r="AO176" i="34"/>
  <c r="BF128" i="34"/>
  <c r="BG127" i="34"/>
  <c r="AC16" i="32"/>
  <c r="AD16" i="32"/>
  <c r="AE16" i="32"/>
  <c r="AF16" i="32"/>
  <c r="AG16" i="32"/>
  <c r="AH16" i="32"/>
  <c r="AI16" i="32"/>
  <c r="AJ16" i="32"/>
  <c r="AK16" i="32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R21" i="25"/>
  <c r="Q21" i="25"/>
  <c r="P21" i="25"/>
  <c r="O21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E41" i="15"/>
  <c r="D71" i="15"/>
  <c r="D74" i="15" s="1"/>
  <c r="E49" i="15"/>
  <c r="E51" i="15"/>
  <c r="D51" i="15"/>
  <c r="E50" i="15"/>
  <c r="D50" i="15"/>
  <c r="E46" i="15"/>
  <c r="D56" i="15"/>
  <c r="E28" i="15"/>
  <c r="D28" i="15"/>
  <c r="D44" i="15"/>
  <c r="E23" i="15"/>
  <c r="D23" i="15"/>
  <c r="D14" i="15"/>
  <c r="AH16" i="27" l="1"/>
  <c r="AH18" i="27" s="1"/>
  <c r="BS48" i="25"/>
  <c r="BU128" i="34"/>
  <c r="BV127" i="34"/>
  <c r="BU176" i="34"/>
  <c r="BV175" i="34"/>
  <c r="AP176" i="34"/>
  <c r="T177" i="34"/>
  <c r="S178" i="34"/>
  <c r="R183" i="34"/>
  <c r="R180" i="34"/>
  <c r="R182" i="34" s="1"/>
  <c r="BH127" i="34"/>
  <c r="BG128" i="34"/>
  <c r="D76" i="15"/>
  <c r="D60" i="15"/>
  <c r="D62" i="15" s="1"/>
  <c r="D64" i="15" s="1"/>
  <c r="E60" i="15"/>
  <c r="AI16" i="27" l="1"/>
  <c r="AI18" i="27" s="1"/>
  <c r="BT48" i="25"/>
  <c r="BW175" i="34"/>
  <c r="BV176" i="34"/>
  <c r="BW127" i="34"/>
  <c r="BV128" i="34"/>
  <c r="T178" i="34"/>
  <c r="S183" i="34"/>
  <c r="S180" i="34"/>
  <c r="S182" i="34" s="1"/>
  <c r="U177" i="34"/>
  <c r="AQ176" i="34"/>
  <c r="BI127" i="34"/>
  <c r="BH128" i="34"/>
  <c r="AJ16" i="27" l="1"/>
  <c r="AJ18" i="27" s="1"/>
  <c r="BU48" i="25"/>
  <c r="BX175" i="34"/>
  <c r="BW176" i="34"/>
  <c r="BX127" i="34"/>
  <c r="BW128" i="34"/>
  <c r="AR176" i="34"/>
  <c r="U178" i="34"/>
  <c r="T180" i="34"/>
  <c r="T182" i="34" s="1"/>
  <c r="V177" i="34"/>
  <c r="T183" i="34"/>
  <c r="BI128" i="34"/>
  <c r="BJ127" i="34"/>
  <c r="T100" i="14"/>
  <c r="D100" i="14" s="1"/>
  <c r="AK16" i="27" l="1"/>
  <c r="AK18" i="27" s="1"/>
  <c r="BV48" i="25"/>
  <c r="BY175" i="34"/>
  <c r="BY176" i="34" s="1"/>
  <c r="BX176" i="34"/>
  <c r="BY127" i="34"/>
  <c r="BY128" i="34" s="1"/>
  <c r="BX128" i="34"/>
  <c r="W177" i="34"/>
  <c r="U183" i="34"/>
  <c r="U180" i="34"/>
  <c r="U182" i="34" s="1"/>
  <c r="V178" i="34"/>
  <c r="AS176" i="34"/>
  <c r="BK127" i="34"/>
  <c r="BJ128" i="34"/>
  <c r="G29" i="25"/>
  <c r="H29" i="25"/>
  <c r="I29" i="25"/>
  <c r="J29" i="25"/>
  <c r="K29" i="25"/>
  <c r="L29" i="25"/>
  <c r="M29" i="25"/>
  <c r="N29" i="25"/>
  <c r="G44" i="25"/>
  <c r="H44" i="25"/>
  <c r="I44" i="25"/>
  <c r="J44" i="25"/>
  <c r="K44" i="25"/>
  <c r="L44" i="25"/>
  <c r="M44" i="25"/>
  <c r="N44" i="25"/>
  <c r="F76" i="30"/>
  <c r="G76" i="30"/>
  <c r="H76" i="30"/>
  <c r="I76" i="30"/>
  <c r="J76" i="30"/>
  <c r="K76" i="30"/>
  <c r="L76" i="30"/>
  <c r="M76" i="30"/>
  <c r="N76" i="30"/>
  <c r="O76" i="30"/>
  <c r="AQ23" i="25"/>
  <c r="AR23" i="25" s="1"/>
  <c r="AS23" i="25" s="1"/>
  <c r="AT23" i="25" s="1"/>
  <c r="AU23" i="25" s="1"/>
  <c r="AV23" i="25" s="1"/>
  <c r="AW23" i="25" s="1"/>
  <c r="AX23" i="25" s="1"/>
  <c r="AY23" i="25" s="1"/>
  <c r="AZ23" i="25" s="1"/>
  <c r="BA23" i="25" s="1"/>
  <c r="BB23" i="25" s="1"/>
  <c r="AJ22" i="25"/>
  <c r="AK22" i="25" s="1"/>
  <c r="AL22" i="25" s="1"/>
  <c r="AM22" i="25" s="1"/>
  <c r="AN22" i="25" s="1"/>
  <c r="AO22" i="25" s="1"/>
  <c r="AP22" i="25" s="1"/>
  <c r="AQ22" i="25" s="1"/>
  <c r="AR22" i="25" s="1"/>
  <c r="AS22" i="25" s="1"/>
  <c r="AT22" i="25" s="1"/>
  <c r="AU22" i="25" s="1"/>
  <c r="AV22" i="25" s="1"/>
  <c r="AW22" i="25" s="1"/>
  <c r="AX22" i="25" s="1"/>
  <c r="AY22" i="25" s="1"/>
  <c r="AZ22" i="25" s="1"/>
  <c r="BA22" i="25" s="1"/>
  <c r="BB22" i="25" s="1"/>
  <c r="S75" i="25"/>
  <c r="T75" i="25" s="1"/>
  <c r="U75" i="25" s="1"/>
  <c r="V75" i="25" s="1"/>
  <c r="U58" i="14"/>
  <c r="AB50" i="32"/>
  <c r="AC50" i="32"/>
  <c r="AD50" i="32"/>
  <c r="W17" i="32"/>
  <c r="X17" i="32"/>
  <c r="Y17" i="32"/>
  <c r="Z17" i="32"/>
  <c r="AA17" i="32"/>
  <c r="AB17" i="32"/>
  <c r="AC17" i="32"/>
  <c r="AD17" i="32"/>
  <c r="U11" i="32"/>
  <c r="S11" i="32"/>
  <c r="T11" i="32"/>
  <c r="AP54" i="25"/>
  <c r="AQ54" i="25" s="1"/>
  <c r="AR54" i="25" s="1"/>
  <c r="AS54" i="25" s="1"/>
  <c r="AT54" i="25" s="1"/>
  <c r="AU54" i="25" s="1"/>
  <c r="AV54" i="25" s="1"/>
  <c r="AW54" i="25" s="1"/>
  <c r="AX54" i="25" s="1"/>
  <c r="AY54" i="25" s="1"/>
  <c r="AZ54" i="25" s="1"/>
  <c r="BA54" i="25" s="1"/>
  <c r="BB54" i="25" s="1"/>
  <c r="BC54" i="25" s="1"/>
  <c r="BD54" i="25" s="1"/>
  <c r="BE54" i="25" s="1"/>
  <c r="BF54" i="25" s="1"/>
  <c r="BG54" i="25" s="1"/>
  <c r="BH54" i="25" s="1"/>
  <c r="BI54" i="25" s="1"/>
  <c r="BJ54" i="25" s="1"/>
  <c r="BK54" i="25" s="1"/>
  <c r="BL54" i="25" s="1"/>
  <c r="BM54" i="25" s="1"/>
  <c r="BN54" i="25" s="1"/>
  <c r="BO54" i="25" s="1"/>
  <c r="AR39" i="25"/>
  <c r="AS39" i="25" s="1"/>
  <c r="AT39" i="25" s="1"/>
  <c r="AU39" i="25" s="1"/>
  <c r="AV39" i="25" s="1"/>
  <c r="AW39" i="25" s="1"/>
  <c r="AX39" i="25" s="1"/>
  <c r="AY39" i="25" s="1"/>
  <c r="AZ39" i="25" s="1"/>
  <c r="BA39" i="25" s="1"/>
  <c r="BB39" i="25" s="1"/>
  <c r="BC39" i="25" s="1"/>
  <c r="BD39" i="25" s="1"/>
  <c r="BE39" i="25" s="1"/>
  <c r="BF39" i="25" s="1"/>
  <c r="BG39" i="25" s="1"/>
  <c r="BH39" i="25" s="1"/>
  <c r="BI39" i="25" s="1"/>
  <c r="BJ39" i="25" s="1"/>
  <c r="BK39" i="25" s="1"/>
  <c r="BL39" i="25" s="1"/>
  <c r="BM39" i="25" s="1"/>
  <c r="BN39" i="25" s="1"/>
  <c r="BO39" i="25" s="1"/>
  <c r="BP39" i="25" s="1"/>
  <c r="BQ39" i="25" s="1"/>
  <c r="BR39" i="25" s="1"/>
  <c r="BS39" i="25" s="1"/>
  <c r="BT39" i="25" s="1"/>
  <c r="BU39" i="25" s="1"/>
  <c r="BV39" i="25" s="1"/>
  <c r="BW39" i="25" s="1"/>
  <c r="BX39" i="25" s="1"/>
  <c r="BY39" i="25" s="1"/>
  <c r="BZ39" i="25" s="1"/>
  <c r="CA39" i="25" s="1"/>
  <c r="CB39" i="25" s="1"/>
  <c r="CC39" i="25" s="1"/>
  <c r="CD39" i="25" s="1"/>
  <c r="CE39" i="25" s="1"/>
  <c r="CF39" i="25" s="1"/>
  <c r="CG39" i="25" s="1"/>
  <c r="CH39" i="25" s="1"/>
  <c r="CI39" i="25" s="1"/>
  <c r="CJ39" i="25" s="1"/>
  <c r="CK39" i="25" s="1"/>
  <c r="CL39" i="25" s="1"/>
  <c r="AM38" i="25"/>
  <c r="AN38" i="25" s="1"/>
  <c r="AO38" i="25" s="1"/>
  <c r="AP38" i="25" s="1"/>
  <c r="AQ38" i="25" s="1"/>
  <c r="AR38" i="25" s="1"/>
  <c r="AS38" i="25" s="1"/>
  <c r="AT38" i="25" s="1"/>
  <c r="AU38" i="25" s="1"/>
  <c r="AV38" i="25" s="1"/>
  <c r="AW38" i="25" s="1"/>
  <c r="AX38" i="25" s="1"/>
  <c r="AY38" i="25" s="1"/>
  <c r="AZ38" i="25" s="1"/>
  <c r="BA38" i="25" s="1"/>
  <c r="BB38" i="25" s="1"/>
  <c r="BC38" i="25" s="1"/>
  <c r="BD38" i="25" s="1"/>
  <c r="BE38" i="25" s="1"/>
  <c r="BF38" i="25" s="1"/>
  <c r="BG38" i="25" s="1"/>
  <c r="BH38" i="25" s="1"/>
  <c r="BI38" i="25" s="1"/>
  <c r="BJ38" i="25" s="1"/>
  <c r="BK38" i="25" s="1"/>
  <c r="BL38" i="25" s="1"/>
  <c r="BM38" i="25" s="1"/>
  <c r="BN38" i="25" s="1"/>
  <c r="BO38" i="25" s="1"/>
  <c r="BP38" i="25" s="1"/>
  <c r="BQ38" i="25" s="1"/>
  <c r="BR38" i="25" s="1"/>
  <c r="BS38" i="25" s="1"/>
  <c r="BT38" i="25" s="1"/>
  <c r="BU38" i="25" s="1"/>
  <c r="BV38" i="25" s="1"/>
  <c r="BW38" i="25" s="1"/>
  <c r="BX38" i="25" s="1"/>
  <c r="BY38" i="25" s="1"/>
  <c r="BZ38" i="25" s="1"/>
  <c r="CA38" i="25" s="1"/>
  <c r="CB38" i="25" s="1"/>
  <c r="CC38" i="25" s="1"/>
  <c r="CD38" i="25" s="1"/>
  <c r="CE38" i="25" s="1"/>
  <c r="CF38" i="25" s="1"/>
  <c r="CG38" i="25" s="1"/>
  <c r="CH38" i="25" s="1"/>
  <c r="CI38" i="25" s="1"/>
  <c r="CJ38" i="25" s="1"/>
  <c r="CK38" i="25" s="1"/>
  <c r="CL38" i="25" s="1"/>
  <c r="AL16" i="27" l="1"/>
  <c r="AL18" i="27" s="1"/>
  <c r="BP54" i="25"/>
  <c r="BO57" i="25"/>
  <c r="BN36" i="14" s="1"/>
  <c r="BW48" i="25"/>
  <c r="AT176" i="34"/>
  <c r="V180" i="34"/>
  <c r="V182" i="34" s="1"/>
  <c r="X177" i="34"/>
  <c r="W178" i="34"/>
  <c r="V183" i="34"/>
  <c r="BL127" i="34"/>
  <c r="BK128" i="34"/>
  <c r="BC57" i="25"/>
  <c r="BB36" i="14" s="1"/>
  <c r="V58" i="14"/>
  <c r="E76" i="29"/>
  <c r="E78" i="29"/>
  <c r="D79" i="29"/>
  <c r="D72" i="29"/>
  <c r="AM16" i="27" l="1"/>
  <c r="AM18" i="27" s="1"/>
  <c r="BQ54" i="25"/>
  <c r="BP57" i="25"/>
  <c r="BO36" i="14" s="1"/>
  <c r="BX48" i="25"/>
  <c r="Y177" i="34"/>
  <c r="W183" i="34"/>
  <c r="W180" i="34"/>
  <c r="W182" i="34" s="1"/>
  <c r="X178" i="34"/>
  <c r="AU176" i="34"/>
  <c r="BL128" i="34"/>
  <c r="BM127" i="34"/>
  <c r="BM128" i="34" s="1"/>
  <c r="BD57" i="25"/>
  <c r="BC36" i="14" s="1"/>
  <c r="W58" i="14"/>
  <c r="Q101" i="30"/>
  <c r="P101" i="30"/>
  <c r="B101" i="30"/>
  <c r="B99" i="30"/>
  <c r="C41" i="29"/>
  <c r="C42" i="29"/>
  <c r="D42" i="29"/>
  <c r="E42" i="29"/>
  <c r="F42" i="29"/>
  <c r="D29" i="29"/>
  <c r="E29" i="29"/>
  <c r="F29" i="29"/>
  <c r="D34" i="29"/>
  <c r="E34" i="29"/>
  <c r="F34" i="29"/>
  <c r="D36" i="29"/>
  <c r="E36" i="29"/>
  <c r="F36" i="29"/>
  <c r="D37" i="29"/>
  <c r="E37" i="29"/>
  <c r="F37" i="29"/>
  <c r="D43" i="29"/>
  <c r="E43" i="29"/>
  <c r="F43" i="29"/>
  <c r="D44" i="29"/>
  <c r="E44" i="29"/>
  <c r="F44" i="29"/>
  <c r="D45" i="29"/>
  <c r="E45" i="29"/>
  <c r="F45" i="29"/>
  <c r="D46" i="29"/>
  <c r="E46" i="29"/>
  <c r="F46" i="29"/>
  <c r="D47" i="29"/>
  <c r="E47" i="29"/>
  <c r="F47" i="29"/>
  <c r="D49" i="29"/>
  <c r="E49" i="29"/>
  <c r="F49" i="29"/>
  <c r="D50" i="29"/>
  <c r="E50" i="29"/>
  <c r="F50" i="29"/>
  <c r="D51" i="29"/>
  <c r="E51" i="29"/>
  <c r="F51" i="29"/>
  <c r="D52" i="29"/>
  <c r="E52" i="29"/>
  <c r="F52" i="29"/>
  <c r="D53" i="29"/>
  <c r="E53" i="29"/>
  <c r="F53" i="29"/>
  <c r="E54" i="29"/>
  <c r="F54" i="29"/>
  <c r="D55" i="29"/>
  <c r="E55" i="29"/>
  <c r="F55" i="29"/>
  <c r="D56" i="29"/>
  <c r="E56" i="29"/>
  <c r="F56" i="29"/>
  <c r="D59" i="29"/>
  <c r="E59" i="29"/>
  <c r="F59" i="29"/>
  <c r="D60" i="29"/>
  <c r="E60" i="29"/>
  <c r="F60" i="29"/>
  <c r="D61" i="29"/>
  <c r="E61" i="29"/>
  <c r="F61" i="29"/>
  <c r="D62" i="29"/>
  <c r="E62" i="29"/>
  <c r="F62" i="29"/>
  <c r="C58" i="29"/>
  <c r="C59" i="29"/>
  <c r="C60" i="29"/>
  <c r="C63" i="29"/>
  <c r="C52" i="29"/>
  <c r="C53" i="29"/>
  <c r="C54" i="29"/>
  <c r="C55" i="29"/>
  <c r="C56" i="29"/>
  <c r="C57" i="29"/>
  <c r="C25" i="29"/>
  <c r="C26" i="29"/>
  <c r="C27" i="29"/>
  <c r="C30" i="29"/>
  <c r="C32" i="29"/>
  <c r="C34" i="29"/>
  <c r="C35" i="29"/>
  <c r="C36" i="29"/>
  <c r="C37" i="29"/>
  <c r="C43" i="29"/>
  <c r="C44" i="29"/>
  <c r="C45" i="29"/>
  <c r="C46" i="29"/>
  <c r="C47" i="29"/>
  <c r="C48" i="29"/>
  <c r="C49" i="29"/>
  <c r="C50" i="29"/>
  <c r="C51" i="29"/>
  <c r="C24" i="29"/>
  <c r="E23" i="29"/>
  <c r="F23" i="29"/>
  <c r="D16" i="29"/>
  <c r="D17" i="29"/>
  <c r="C19" i="29"/>
  <c r="C16" i="29"/>
  <c r="C17" i="29"/>
  <c r="C14" i="29"/>
  <c r="D23" i="29"/>
  <c r="C83" i="15"/>
  <c r="H71" i="15"/>
  <c r="H70" i="15"/>
  <c r="G70" i="15"/>
  <c r="G32" i="15"/>
  <c r="H32" i="15"/>
  <c r="G33" i="15"/>
  <c r="H33" i="15"/>
  <c r="G38" i="15"/>
  <c r="H38" i="15"/>
  <c r="G40" i="15"/>
  <c r="H40" i="15"/>
  <c r="G41" i="15"/>
  <c r="H41" i="15"/>
  <c r="G42" i="15"/>
  <c r="H42" i="15"/>
  <c r="G43" i="15"/>
  <c r="H43" i="15"/>
  <c r="G45" i="15"/>
  <c r="H45" i="15"/>
  <c r="G46" i="15"/>
  <c r="H46" i="15"/>
  <c r="G47" i="15"/>
  <c r="H47" i="15"/>
  <c r="G48" i="15"/>
  <c r="H48" i="15"/>
  <c r="G49" i="15"/>
  <c r="H49" i="15"/>
  <c r="G50" i="15"/>
  <c r="H50" i="15"/>
  <c r="G51" i="15"/>
  <c r="H51" i="15"/>
  <c r="G53" i="15"/>
  <c r="H53" i="15"/>
  <c r="F32" i="15"/>
  <c r="F33" i="15"/>
  <c r="F38" i="15"/>
  <c r="F40" i="15"/>
  <c r="F41" i="15"/>
  <c r="F42" i="15"/>
  <c r="F43" i="15"/>
  <c r="F45" i="15"/>
  <c r="F47" i="15"/>
  <c r="F48" i="15"/>
  <c r="F49" i="15"/>
  <c r="F50" i="15"/>
  <c r="F51" i="15"/>
  <c r="F53" i="15"/>
  <c r="C38" i="15"/>
  <c r="C37" i="15"/>
  <c r="C49" i="15"/>
  <c r="C50" i="15"/>
  <c r="C51" i="15"/>
  <c r="C52" i="15"/>
  <c r="C53" i="15"/>
  <c r="C54" i="15"/>
  <c r="C56" i="15"/>
  <c r="C57" i="15"/>
  <c r="C31" i="15"/>
  <c r="C32" i="15"/>
  <c r="C33" i="15"/>
  <c r="C39" i="15"/>
  <c r="C40" i="15"/>
  <c r="C41" i="15"/>
  <c r="C42" i="15"/>
  <c r="C43" i="15"/>
  <c r="C45" i="15"/>
  <c r="C46" i="15"/>
  <c r="C47" i="15"/>
  <c r="C48" i="15"/>
  <c r="C19" i="15"/>
  <c r="C20" i="15"/>
  <c r="C21" i="15"/>
  <c r="C22" i="15"/>
  <c r="C23" i="15"/>
  <c r="C25" i="15"/>
  <c r="C27" i="15"/>
  <c r="C28" i="15"/>
  <c r="C30" i="15"/>
  <c r="C17" i="15"/>
  <c r="Q104" i="14"/>
  <c r="R104" i="14"/>
  <c r="Q60" i="14"/>
  <c r="P60" i="14"/>
  <c r="Q70" i="14"/>
  <c r="P70" i="14"/>
  <c r="P68" i="14"/>
  <c r="Q45" i="14"/>
  <c r="Q42" i="14"/>
  <c r="P42" i="14"/>
  <c r="P45" i="14"/>
  <c r="Q36" i="14"/>
  <c r="P36" i="14"/>
  <c r="T86" i="14"/>
  <c r="AC86" i="14"/>
  <c r="AD86" i="14"/>
  <c r="AE86" i="14"/>
  <c r="AF86" i="14"/>
  <c r="AG86" i="14"/>
  <c r="AH86" i="14"/>
  <c r="AI86" i="14"/>
  <c r="AJ86" i="14"/>
  <c r="AK86" i="14"/>
  <c r="AL86" i="14"/>
  <c r="AM86" i="14"/>
  <c r="AN86" i="14"/>
  <c r="AO86" i="14"/>
  <c r="AP86" i="14"/>
  <c r="AQ86" i="14"/>
  <c r="AR86" i="14"/>
  <c r="AS86" i="14"/>
  <c r="AT86" i="14"/>
  <c r="AU86" i="14"/>
  <c r="AV86" i="14"/>
  <c r="AW86" i="14"/>
  <c r="AX86" i="14"/>
  <c r="AY86" i="14"/>
  <c r="AZ86" i="14"/>
  <c r="BA86" i="14"/>
  <c r="S86" i="14"/>
  <c r="R86" i="14"/>
  <c r="Q27" i="27"/>
  <c r="R27" i="27"/>
  <c r="Q28" i="27"/>
  <c r="P97" i="14" s="1"/>
  <c r="R28" i="27"/>
  <c r="Q97" i="14" s="1"/>
  <c r="Q29" i="27"/>
  <c r="R29" i="27"/>
  <c r="P65" i="30"/>
  <c r="D54" i="29" s="1"/>
  <c r="R69" i="30"/>
  <c r="Q69" i="30"/>
  <c r="P69" i="30"/>
  <c r="P17" i="30"/>
  <c r="Q17" i="30"/>
  <c r="Q18" i="30" s="1"/>
  <c r="P13" i="14"/>
  <c r="Q13" i="14"/>
  <c r="P36" i="34"/>
  <c r="P20" i="34"/>
  <c r="Q20" i="34"/>
  <c r="P33" i="34"/>
  <c r="P42" i="34"/>
  <c r="Q42" i="34"/>
  <c r="P43" i="34"/>
  <c r="P44" i="34" s="1"/>
  <c r="Q43" i="34"/>
  <c r="P54" i="34"/>
  <c r="P56" i="34" s="1"/>
  <c r="Q54" i="34"/>
  <c r="P55" i="34"/>
  <c r="Q55" i="34"/>
  <c r="P66" i="34"/>
  <c r="Q66" i="34"/>
  <c r="P67" i="34"/>
  <c r="P68" i="34" s="1"/>
  <c r="Q67" i="34"/>
  <c r="P78" i="34"/>
  <c r="Q78" i="34"/>
  <c r="P91" i="34"/>
  <c r="Q91" i="34"/>
  <c r="P92" i="34"/>
  <c r="Q92" i="34"/>
  <c r="P93" i="34"/>
  <c r="P98" i="34" s="1"/>
  <c r="Q93" i="34"/>
  <c r="Q98" i="34" s="1"/>
  <c r="Q95" i="34"/>
  <c r="Q97" i="34" s="1"/>
  <c r="P104" i="34"/>
  <c r="P106" i="34" s="1"/>
  <c r="Q104" i="34"/>
  <c r="P105" i="34"/>
  <c r="Q105" i="34"/>
  <c r="P116" i="34"/>
  <c r="Q116" i="34"/>
  <c r="P117" i="34"/>
  <c r="Q117" i="34"/>
  <c r="P118" i="34"/>
  <c r="P123" i="34" s="1"/>
  <c r="Q118" i="34"/>
  <c r="Q123" i="34" s="1"/>
  <c r="Q120" i="34"/>
  <c r="Q122" i="34" s="1"/>
  <c r="P128" i="34"/>
  <c r="P130" i="34" s="1"/>
  <c r="Q128" i="34"/>
  <c r="P129" i="34"/>
  <c r="Q129" i="34"/>
  <c r="P140" i="34"/>
  <c r="Q140" i="34"/>
  <c r="P141" i="34"/>
  <c r="Q141" i="34"/>
  <c r="P142" i="34"/>
  <c r="P147" i="34" s="1"/>
  <c r="Q142" i="34"/>
  <c r="Q147" i="34" s="1"/>
  <c r="P152" i="34"/>
  <c r="Q152" i="34"/>
  <c r="P153" i="34"/>
  <c r="Q153" i="34"/>
  <c r="P164" i="34"/>
  <c r="Q164" i="34"/>
  <c r="P165" i="34"/>
  <c r="Q165" i="34"/>
  <c r="P166" i="34" l="1"/>
  <c r="P154" i="34"/>
  <c r="P159" i="34" s="1"/>
  <c r="Q144" i="34"/>
  <c r="Q146" i="34" s="1"/>
  <c r="AN16" i="27"/>
  <c r="AN18" i="27" s="1"/>
  <c r="BR54" i="25"/>
  <c r="BQ57" i="25"/>
  <c r="BP36" i="14" s="1"/>
  <c r="BY48" i="25"/>
  <c r="AV176" i="34"/>
  <c r="AW175" i="34"/>
  <c r="X183" i="34"/>
  <c r="X180" i="34"/>
  <c r="X182" i="34" s="1"/>
  <c r="Z177" i="34"/>
  <c r="Y178" i="34"/>
  <c r="BE57" i="25"/>
  <c r="BD36" i="14" s="1"/>
  <c r="X58" i="14"/>
  <c r="F46" i="15"/>
  <c r="Q28" i="30"/>
  <c r="P18" i="30"/>
  <c r="Q130" i="34"/>
  <c r="P132" i="34"/>
  <c r="P134" i="34" s="1"/>
  <c r="P135" i="34"/>
  <c r="P46" i="34"/>
  <c r="P48" i="34" s="1"/>
  <c r="P49" i="34"/>
  <c r="Q44" i="34"/>
  <c r="P171" i="34"/>
  <c r="Q166" i="34"/>
  <c r="P168" i="34"/>
  <c r="P170" i="34" s="1"/>
  <c r="P61" i="34"/>
  <c r="Q56" i="34"/>
  <c r="P58" i="34"/>
  <c r="P60" i="34" s="1"/>
  <c r="P70" i="34"/>
  <c r="P72" i="34" s="1"/>
  <c r="Q68" i="34"/>
  <c r="Q70" i="34" s="1"/>
  <c r="Q72" i="34" s="1"/>
  <c r="Q106" i="34"/>
  <c r="P108" i="34"/>
  <c r="P110" i="34" s="1"/>
  <c r="P111" i="34"/>
  <c r="Q154" i="34"/>
  <c r="P156" i="34"/>
  <c r="P158" i="34" s="1"/>
  <c r="P144" i="34"/>
  <c r="P146" i="34" s="1"/>
  <c r="P120" i="34"/>
  <c r="P122" i="34" s="1"/>
  <c r="P95" i="34"/>
  <c r="P97" i="34" s="1"/>
  <c r="BA92" i="30"/>
  <c r="AO16" i="27" l="1"/>
  <c r="AO18" i="27" s="1"/>
  <c r="BS54" i="25"/>
  <c r="BR57" i="25"/>
  <c r="BQ36" i="14" s="1"/>
  <c r="BZ48" i="25"/>
  <c r="AX175" i="34"/>
  <c r="AW176" i="34"/>
  <c r="Y183" i="34"/>
  <c r="Y180" i="34"/>
  <c r="Y182" i="34" s="1"/>
  <c r="Z178" i="34"/>
  <c r="AA177" i="34"/>
  <c r="BF57" i="25"/>
  <c r="BE36" i="14" s="1"/>
  <c r="P28" i="30"/>
  <c r="P29" i="30" s="1"/>
  <c r="Q29" i="30" s="1"/>
  <c r="Q61" i="34"/>
  <c r="Q58" i="34"/>
  <c r="Q60" i="34" s="1"/>
  <c r="Q159" i="34"/>
  <c r="Q156" i="34"/>
  <c r="Q158" i="34" s="1"/>
  <c r="Q132" i="34"/>
  <c r="Q134" i="34" s="1"/>
  <c r="Q135" i="34"/>
  <c r="Q171" i="34"/>
  <c r="Q168" i="34"/>
  <c r="Q170" i="34" s="1"/>
  <c r="Q111" i="34"/>
  <c r="Q108" i="34"/>
  <c r="Q110" i="34" s="1"/>
  <c r="Q46" i="34"/>
  <c r="Q48" i="34" s="1"/>
  <c r="Q49" i="34"/>
  <c r="AP16" i="27" l="1"/>
  <c r="AP18" i="27" s="1"/>
  <c r="BT54" i="25"/>
  <c r="BS57" i="25"/>
  <c r="BR36" i="14" s="1"/>
  <c r="CA48" i="25"/>
  <c r="AA178" i="34"/>
  <c r="AB177" i="34"/>
  <c r="Z183" i="34"/>
  <c r="Z180" i="34"/>
  <c r="Z182" i="34" s="1"/>
  <c r="AX176" i="34"/>
  <c r="AY175" i="34"/>
  <c r="BG57" i="25"/>
  <c r="BF36" i="14" s="1"/>
  <c r="G71" i="15"/>
  <c r="D113" i="35"/>
  <c r="J9" i="35"/>
  <c r="N9" i="35"/>
  <c r="R9" i="35" s="1"/>
  <c r="S9" i="35"/>
  <c r="J10" i="35"/>
  <c r="S10" i="35" s="1"/>
  <c r="N10" i="35"/>
  <c r="N89" i="35" s="1"/>
  <c r="R10" i="35"/>
  <c r="J11" i="35"/>
  <c r="N11" i="35"/>
  <c r="R11" i="35" s="1"/>
  <c r="S11" i="35"/>
  <c r="T11" i="35"/>
  <c r="J12" i="35"/>
  <c r="S12" i="35" s="1"/>
  <c r="T12" i="35" s="1"/>
  <c r="N12" i="35"/>
  <c r="R12" i="35" s="1"/>
  <c r="J13" i="35"/>
  <c r="N13" i="35"/>
  <c r="T13" i="35" s="1"/>
  <c r="R13" i="35"/>
  <c r="S13" i="35"/>
  <c r="J14" i="35"/>
  <c r="S14" i="35" s="1"/>
  <c r="T14" i="35" s="1"/>
  <c r="N14" i="35"/>
  <c r="R14" i="35"/>
  <c r="J15" i="35"/>
  <c r="S15" i="35" s="1"/>
  <c r="N15" i="35"/>
  <c r="R15" i="35" s="1"/>
  <c r="J16" i="35"/>
  <c r="N16" i="35"/>
  <c r="R16" i="35"/>
  <c r="S16" i="35"/>
  <c r="T16" i="35"/>
  <c r="J17" i="35"/>
  <c r="N17" i="35"/>
  <c r="R17" i="35" s="1"/>
  <c r="S17" i="35"/>
  <c r="J18" i="35"/>
  <c r="S18" i="35" s="1"/>
  <c r="N18" i="35"/>
  <c r="R18" i="35"/>
  <c r="J19" i="35"/>
  <c r="N19" i="35"/>
  <c r="R19" i="35" s="1"/>
  <c r="S19" i="35"/>
  <c r="T19" i="35"/>
  <c r="J20" i="35"/>
  <c r="S20" i="35" s="1"/>
  <c r="T20" i="35" s="1"/>
  <c r="N20" i="35"/>
  <c r="R20" i="35"/>
  <c r="I23" i="35"/>
  <c r="J23" i="35"/>
  <c r="S23" i="35" s="1"/>
  <c r="N23" i="35"/>
  <c r="T23" i="35" s="1"/>
  <c r="R23" i="35"/>
  <c r="I24" i="35"/>
  <c r="J24" i="35"/>
  <c r="N24" i="35"/>
  <c r="R24" i="35"/>
  <c r="S24" i="35"/>
  <c r="T24" i="35"/>
  <c r="I25" i="35"/>
  <c r="J25" i="35"/>
  <c r="N25" i="35"/>
  <c r="R25" i="35"/>
  <c r="S25" i="35"/>
  <c r="T25" i="35"/>
  <c r="I26" i="35"/>
  <c r="J26" i="35"/>
  <c r="S26" i="35" s="1"/>
  <c r="T26" i="35" s="1"/>
  <c r="N26" i="35"/>
  <c r="R26" i="35" s="1"/>
  <c r="I27" i="35"/>
  <c r="J27" i="35"/>
  <c r="S27" i="35" s="1"/>
  <c r="N27" i="35"/>
  <c r="T27" i="35" s="1"/>
  <c r="R27" i="35"/>
  <c r="I28" i="35"/>
  <c r="J28" i="35"/>
  <c r="N28" i="35"/>
  <c r="R28" i="35"/>
  <c r="S28" i="35"/>
  <c r="T28" i="35"/>
  <c r="I29" i="35"/>
  <c r="J29" i="35"/>
  <c r="N29" i="35"/>
  <c r="R29" i="35" s="1"/>
  <c r="S29" i="35"/>
  <c r="T29" i="35"/>
  <c r="I30" i="35"/>
  <c r="J30" i="35"/>
  <c r="S30" i="35" s="1"/>
  <c r="T30" i="35" s="1"/>
  <c r="N30" i="35"/>
  <c r="R30" i="35" s="1"/>
  <c r="I31" i="35"/>
  <c r="J31" i="35"/>
  <c r="S31" i="35" s="1"/>
  <c r="N31" i="35"/>
  <c r="R31" i="35"/>
  <c r="I32" i="35"/>
  <c r="J32" i="35"/>
  <c r="N32" i="35"/>
  <c r="R32" i="35"/>
  <c r="S32" i="35"/>
  <c r="T32" i="35"/>
  <c r="I33" i="35"/>
  <c r="J33" i="35"/>
  <c r="N33" i="35"/>
  <c r="R33" i="35" s="1"/>
  <c r="S33" i="35"/>
  <c r="T33" i="35"/>
  <c r="I34" i="35"/>
  <c r="J34" i="35"/>
  <c r="S34" i="35" s="1"/>
  <c r="T34" i="35" s="1"/>
  <c r="N34" i="35"/>
  <c r="R34" i="35" s="1"/>
  <c r="I35" i="35"/>
  <c r="J35" i="35"/>
  <c r="S35" i="35" s="1"/>
  <c r="N35" i="35"/>
  <c r="R35" i="35"/>
  <c r="I36" i="35"/>
  <c r="J36" i="35"/>
  <c r="N36" i="35"/>
  <c r="R36" i="35"/>
  <c r="S36" i="35"/>
  <c r="T36" i="35"/>
  <c r="I37" i="35"/>
  <c r="J37" i="35"/>
  <c r="N37" i="35"/>
  <c r="R37" i="35" s="1"/>
  <c r="S37" i="35"/>
  <c r="T37" i="35"/>
  <c r="I38" i="35"/>
  <c r="J38" i="35"/>
  <c r="S38" i="35" s="1"/>
  <c r="T38" i="35" s="1"/>
  <c r="N38" i="35"/>
  <c r="R38" i="35" s="1"/>
  <c r="I39" i="35"/>
  <c r="J39" i="35"/>
  <c r="S39" i="35" s="1"/>
  <c r="N39" i="35"/>
  <c r="T39" i="35" s="1"/>
  <c r="R39" i="35"/>
  <c r="I40" i="35"/>
  <c r="J40" i="35"/>
  <c r="N40" i="35"/>
  <c r="R40" i="35"/>
  <c r="S40" i="35"/>
  <c r="T40" i="35"/>
  <c r="I41" i="35"/>
  <c r="J41" i="35"/>
  <c r="N41" i="35"/>
  <c r="R41" i="35" s="1"/>
  <c r="S41" i="35"/>
  <c r="T41" i="35"/>
  <c r="I42" i="35"/>
  <c r="J42" i="35"/>
  <c r="S42" i="35" s="1"/>
  <c r="T42" i="35" s="1"/>
  <c r="N42" i="35"/>
  <c r="R42" i="35" s="1"/>
  <c r="I43" i="35"/>
  <c r="J43" i="35"/>
  <c r="S43" i="35" s="1"/>
  <c r="N43" i="35"/>
  <c r="T43" i="35" s="1"/>
  <c r="R43" i="35"/>
  <c r="I44" i="35"/>
  <c r="J44" i="35"/>
  <c r="N44" i="35"/>
  <c r="R44" i="35"/>
  <c r="S44" i="35"/>
  <c r="T44" i="35"/>
  <c r="I45" i="35"/>
  <c r="J45" i="35"/>
  <c r="N45" i="35"/>
  <c r="R45" i="35" s="1"/>
  <c r="S45" i="35"/>
  <c r="T45" i="35"/>
  <c r="I46" i="35"/>
  <c r="J46" i="35"/>
  <c r="S46" i="35" s="1"/>
  <c r="T46" i="35" s="1"/>
  <c r="N46" i="35"/>
  <c r="R46" i="35" s="1"/>
  <c r="I47" i="35"/>
  <c r="J47" i="35"/>
  <c r="S47" i="35" s="1"/>
  <c r="N47" i="35"/>
  <c r="R47" i="35"/>
  <c r="I48" i="35"/>
  <c r="J48" i="35"/>
  <c r="N48" i="35"/>
  <c r="R48" i="35"/>
  <c r="S48" i="35"/>
  <c r="T48" i="35"/>
  <c r="I49" i="35"/>
  <c r="J49" i="35"/>
  <c r="N49" i="35"/>
  <c r="R49" i="35" s="1"/>
  <c r="S49" i="35"/>
  <c r="T49" i="35"/>
  <c r="I50" i="35"/>
  <c r="J50" i="35"/>
  <c r="S50" i="35" s="1"/>
  <c r="T50" i="35" s="1"/>
  <c r="N50" i="35"/>
  <c r="R50" i="35" s="1"/>
  <c r="I51" i="35"/>
  <c r="J51" i="35"/>
  <c r="S51" i="35" s="1"/>
  <c r="N51" i="35"/>
  <c r="R51" i="35"/>
  <c r="I52" i="35"/>
  <c r="J52" i="35"/>
  <c r="N52" i="35"/>
  <c r="R52" i="35"/>
  <c r="S52" i="35"/>
  <c r="T52" i="35"/>
  <c r="I53" i="35"/>
  <c r="J53" i="35"/>
  <c r="N53" i="35"/>
  <c r="R53" i="35" s="1"/>
  <c r="S53" i="35"/>
  <c r="T53" i="35"/>
  <c r="I54" i="35"/>
  <c r="J54" i="35"/>
  <c r="S54" i="35" s="1"/>
  <c r="T54" i="35" s="1"/>
  <c r="N54" i="35"/>
  <c r="R54" i="35" s="1"/>
  <c r="I55" i="35"/>
  <c r="J55" i="35"/>
  <c r="S55" i="35" s="1"/>
  <c r="N55" i="35"/>
  <c r="T55" i="35" s="1"/>
  <c r="R55" i="35"/>
  <c r="I56" i="35"/>
  <c r="J56" i="35"/>
  <c r="N56" i="35"/>
  <c r="R56" i="35"/>
  <c r="S56" i="35"/>
  <c r="T56" i="35"/>
  <c r="I57" i="35"/>
  <c r="J57" i="35"/>
  <c r="N57" i="35"/>
  <c r="R57" i="35" s="1"/>
  <c r="S57" i="35"/>
  <c r="T57" i="35"/>
  <c r="I58" i="35"/>
  <c r="J58" i="35"/>
  <c r="S58" i="35" s="1"/>
  <c r="T58" i="35" s="1"/>
  <c r="N58" i="35"/>
  <c r="R58" i="35" s="1"/>
  <c r="I59" i="35"/>
  <c r="J59" i="35"/>
  <c r="S59" i="35" s="1"/>
  <c r="N59" i="35"/>
  <c r="T59" i="35" s="1"/>
  <c r="R59" i="35"/>
  <c r="I60" i="35"/>
  <c r="J60" i="35"/>
  <c r="N60" i="35"/>
  <c r="R60" i="35"/>
  <c r="S60" i="35"/>
  <c r="T60" i="35"/>
  <c r="I61" i="35"/>
  <c r="J61" i="35"/>
  <c r="N61" i="35"/>
  <c r="R61" i="35" s="1"/>
  <c r="S61" i="35"/>
  <c r="T61" i="35"/>
  <c r="I62" i="35"/>
  <c r="J62" i="35"/>
  <c r="S62" i="35" s="1"/>
  <c r="T62" i="35" s="1"/>
  <c r="N62" i="35"/>
  <c r="R62" i="35" s="1"/>
  <c r="I63" i="35"/>
  <c r="J63" i="35"/>
  <c r="S63" i="35" s="1"/>
  <c r="N63" i="35"/>
  <c r="R63" i="35"/>
  <c r="I64" i="35"/>
  <c r="J64" i="35"/>
  <c r="N64" i="35"/>
  <c r="R64" i="35"/>
  <c r="S64" i="35"/>
  <c r="T64" i="35"/>
  <c r="I65" i="35"/>
  <c r="J65" i="35"/>
  <c r="N65" i="35"/>
  <c r="R65" i="35" s="1"/>
  <c r="S65" i="35"/>
  <c r="T65" i="35"/>
  <c r="I66" i="35"/>
  <c r="J66" i="35"/>
  <c r="S66" i="35" s="1"/>
  <c r="T66" i="35" s="1"/>
  <c r="N66" i="35"/>
  <c r="R66" i="35" s="1"/>
  <c r="I67" i="35"/>
  <c r="J67" i="35"/>
  <c r="S67" i="35" s="1"/>
  <c r="N67" i="35"/>
  <c r="R67" i="35"/>
  <c r="I68" i="35"/>
  <c r="J68" i="35"/>
  <c r="N68" i="35"/>
  <c r="R68" i="35"/>
  <c r="S68" i="35"/>
  <c r="T68" i="35"/>
  <c r="I69" i="35"/>
  <c r="J69" i="35"/>
  <c r="N69" i="35"/>
  <c r="R69" i="35" s="1"/>
  <c r="S69" i="35"/>
  <c r="T69" i="35"/>
  <c r="I70" i="35"/>
  <c r="J70" i="35"/>
  <c r="S70" i="35" s="1"/>
  <c r="T70" i="35" s="1"/>
  <c r="N70" i="35"/>
  <c r="R70" i="35" s="1"/>
  <c r="I71" i="35"/>
  <c r="J71" i="35"/>
  <c r="S71" i="35" s="1"/>
  <c r="N71" i="35"/>
  <c r="T71" i="35" s="1"/>
  <c r="R71" i="35"/>
  <c r="I72" i="35"/>
  <c r="J72" i="35"/>
  <c r="N72" i="35"/>
  <c r="R72" i="35"/>
  <c r="S72" i="35"/>
  <c r="T72" i="35"/>
  <c r="I73" i="35"/>
  <c r="J73" i="35"/>
  <c r="N73" i="35"/>
  <c r="R73" i="35" s="1"/>
  <c r="S73" i="35"/>
  <c r="T73" i="35"/>
  <c r="I74" i="35"/>
  <c r="J74" i="35"/>
  <c r="S74" i="35" s="1"/>
  <c r="T74" i="35" s="1"/>
  <c r="N74" i="35"/>
  <c r="R74" i="35" s="1"/>
  <c r="I75" i="35"/>
  <c r="J75" i="35"/>
  <c r="S75" i="35" s="1"/>
  <c r="N75" i="35"/>
  <c r="T75" i="35" s="1"/>
  <c r="R75" i="35"/>
  <c r="I76" i="35"/>
  <c r="J76" i="35"/>
  <c r="N76" i="35"/>
  <c r="R76" i="35"/>
  <c r="S76" i="35"/>
  <c r="T76" i="35"/>
  <c r="I77" i="35"/>
  <c r="J77" i="35"/>
  <c r="N77" i="35"/>
  <c r="R77" i="35" s="1"/>
  <c r="S77" i="35"/>
  <c r="T77" i="35"/>
  <c r="I78" i="35"/>
  <c r="J78" i="35"/>
  <c r="S78" i="35" s="1"/>
  <c r="T78" i="35" s="1"/>
  <c r="N78" i="35"/>
  <c r="R78" i="35" s="1"/>
  <c r="I79" i="35"/>
  <c r="J79" i="35"/>
  <c r="S79" i="35" s="1"/>
  <c r="N79" i="35"/>
  <c r="R79" i="35"/>
  <c r="I80" i="35"/>
  <c r="J80" i="35"/>
  <c r="N80" i="35"/>
  <c r="R80" i="35"/>
  <c r="S80" i="35"/>
  <c r="T80" i="35"/>
  <c r="I81" i="35"/>
  <c r="J81" i="35"/>
  <c r="N81" i="35"/>
  <c r="R81" i="35" s="1"/>
  <c r="S81" i="35"/>
  <c r="T81" i="35"/>
  <c r="I82" i="35"/>
  <c r="J82" i="35"/>
  <c r="S82" i="35" s="1"/>
  <c r="T82" i="35" s="1"/>
  <c r="N82" i="35"/>
  <c r="R82" i="35" s="1"/>
  <c r="I83" i="35"/>
  <c r="J83" i="35"/>
  <c r="S83" i="35" s="1"/>
  <c r="N83" i="35"/>
  <c r="R83" i="35"/>
  <c r="I84" i="35"/>
  <c r="J84" i="35"/>
  <c r="N84" i="35"/>
  <c r="R84" i="35"/>
  <c r="S84" i="35"/>
  <c r="T84" i="35"/>
  <c r="I85" i="35"/>
  <c r="J85" i="35"/>
  <c r="N85" i="35"/>
  <c r="R85" i="35" s="1"/>
  <c r="S85" i="35"/>
  <c r="T85" i="35"/>
  <c r="I86" i="35"/>
  <c r="J86" i="35"/>
  <c r="S86" i="35" s="1"/>
  <c r="T86" i="35" s="1"/>
  <c r="N86" i="35"/>
  <c r="R86" i="35" s="1"/>
  <c r="I87" i="35"/>
  <c r="J87" i="35"/>
  <c r="S87" i="35" s="1"/>
  <c r="N87" i="35"/>
  <c r="T87" i="35" s="1"/>
  <c r="R87" i="35"/>
  <c r="I88" i="35"/>
  <c r="J88" i="35"/>
  <c r="N88" i="35"/>
  <c r="R88" i="35"/>
  <c r="S88" i="35"/>
  <c r="T88" i="35"/>
  <c r="F89" i="35"/>
  <c r="G89" i="35"/>
  <c r="H89" i="35"/>
  <c r="I89" i="35"/>
  <c r="K89" i="35"/>
  <c r="L89" i="35"/>
  <c r="M89" i="35"/>
  <c r="D94" i="35"/>
  <c r="D95" i="35"/>
  <c r="D96" i="35" s="1"/>
  <c r="D104" i="35" s="1"/>
  <c r="AH41" i="27" s="1"/>
  <c r="AT41" i="27" s="1"/>
  <c r="AQ16" i="27" l="1"/>
  <c r="AQ18" i="27" s="1"/>
  <c r="BR42" i="27"/>
  <c r="BF50" i="27"/>
  <c r="BE98" i="14" s="1"/>
  <c r="BU54" i="25"/>
  <c r="BT57" i="25"/>
  <c r="BS36" i="14" s="1"/>
  <c r="CB48" i="25"/>
  <c r="AY176" i="34"/>
  <c r="AZ175" i="34"/>
  <c r="AB178" i="34"/>
  <c r="AC177" i="34"/>
  <c r="AA183" i="34"/>
  <c r="AA180" i="34"/>
  <c r="AA182" i="34" s="1"/>
  <c r="BH57" i="25"/>
  <c r="BG36" i="14" s="1"/>
  <c r="T79" i="35"/>
  <c r="T63" i="35"/>
  <c r="T47" i="35"/>
  <c r="T31" i="35"/>
  <c r="T18" i="35"/>
  <c r="R89" i="35"/>
  <c r="T83" i="35"/>
  <c r="T67" i="35"/>
  <c r="T51" i="35"/>
  <c r="T35" i="35"/>
  <c r="J89" i="35"/>
  <c r="T17" i="35"/>
  <c r="T9" i="35"/>
  <c r="T15" i="35"/>
  <c r="T10" i="35"/>
  <c r="AR16" i="27" l="1"/>
  <c r="AR18" i="27" s="1"/>
  <c r="CD42" i="27"/>
  <c r="CD50" i="27" s="1"/>
  <c r="CC98" i="14" s="1"/>
  <c r="BR50" i="27"/>
  <c r="BQ98" i="14" s="1"/>
  <c r="BV54" i="25"/>
  <c r="BU57" i="25"/>
  <c r="BT36" i="14" s="1"/>
  <c r="CC48" i="25"/>
  <c r="AC178" i="34"/>
  <c r="AD177" i="34"/>
  <c r="AB183" i="34"/>
  <c r="AB180" i="34"/>
  <c r="AB182" i="34" s="1"/>
  <c r="BA175" i="34"/>
  <c r="AZ176" i="34"/>
  <c r="BI57" i="25"/>
  <c r="BH36" i="14" s="1"/>
  <c r="T89" i="35"/>
  <c r="D98" i="35" s="1"/>
  <c r="AS16" i="27" l="1"/>
  <c r="AS18" i="27" s="1"/>
  <c r="BW54" i="25"/>
  <c r="BV57" i="25"/>
  <c r="BU36" i="14" s="1"/>
  <c r="CD48" i="25"/>
  <c r="BB175" i="34"/>
  <c r="BA176" i="34"/>
  <c r="AC183" i="34"/>
  <c r="AC180" i="34"/>
  <c r="AC182" i="34" s="1"/>
  <c r="AE177" i="34"/>
  <c r="AD178" i="34"/>
  <c r="BJ57" i="25"/>
  <c r="BI36" i="14" s="1"/>
  <c r="D100" i="35"/>
  <c r="D99" i="35"/>
  <c r="AT16" i="27" l="1"/>
  <c r="AT18" i="27" s="1"/>
  <c r="BX54" i="25"/>
  <c r="BW57" i="25"/>
  <c r="BV36" i="14" s="1"/>
  <c r="CE48" i="25"/>
  <c r="AD183" i="34"/>
  <c r="AF177" i="34"/>
  <c r="AD180" i="34"/>
  <c r="AD182" i="34" s="1"/>
  <c r="AE178" i="34"/>
  <c r="BC175" i="34"/>
  <c r="BB176" i="34"/>
  <c r="BK57" i="25"/>
  <c r="BJ36" i="14" s="1"/>
  <c r="D102" i="35"/>
  <c r="D105" i="35" s="1"/>
  <c r="D106" i="35" s="1"/>
  <c r="AU16" i="27" l="1"/>
  <c r="AU18" i="27" s="1"/>
  <c r="BY54" i="25"/>
  <c r="BX57" i="25"/>
  <c r="BW36" i="14" s="1"/>
  <c r="CF48" i="25"/>
  <c r="BC176" i="34"/>
  <c r="BD175" i="34"/>
  <c r="AG177" i="34"/>
  <c r="AF178" i="34"/>
  <c r="AE183" i="34"/>
  <c r="AE180" i="34"/>
  <c r="AE182" i="34" s="1"/>
  <c r="BL57" i="25"/>
  <c r="BK36" i="14" s="1"/>
  <c r="D116" i="35"/>
  <c r="D117" i="35" s="1"/>
  <c r="S27" i="27"/>
  <c r="S28" i="27"/>
  <c r="R97" i="14" s="1"/>
  <c r="U28" i="27"/>
  <c r="S29" i="27"/>
  <c r="T29" i="27"/>
  <c r="X10" i="27"/>
  <c r="W12" i="27"/>
  <c r="AE23" i="30"/>
  <c r="AF23" i="30"/>
  <c r="AG23" i="30"/>
  <c r="AH23" i="30"/>
  <c r="AI23" i="30"/>
  <c r="AJ23" i="30"/>
  <c r="AK23" i="30"/>
  <c r="AL23" i="30"/>
  <c r="AM23" i="30"/>
  <c r="AN23" i="30"/>
  <c r="AO23" i="30"/>
  <c r="AP23" i="30"/>
  <c r="AQ23" i="30"/>
  <c r="AR23" i="30"/>
  <c r="AS23" i="30"/>
  <c r="AT23" i="30"/>
  <c r="AU23" i="30"/>
  <c r="AV23" i="30"/>
  <c r="AW23" i="30"/>
  <c r="AX23" i="30"/>
  <c r="AY23" i="30"/>
  <c r="AZ23" i="30"/>
  <c r="BA23" i="30"/>
  <c r="AD23" i="30"/>
  <c r="S43" i="30"/>
  <c r="T43" i="30"/>
  <c r="U43" i="30"/>
  <c r="V43" i="30"/>
  <c r="W43" i="30"/>
  <c r="X43" i="30"/>
  <c r="Y43" i="30"/>
  <c r="Z43" i="30"/>
  <c r="AA43" i="30"/>
  <c r="AB43" i="30"/>
  <c r="AC43" i="30"/>
  <c r="AD43" i="30"/>
  <c r="AE43" i="30"/>
  <c r="AF43" i="30"/>
  <c r="AG43" i="30"/>
  <c r="AH43" i="30"/>
  <c r="AI43" i="30"/>
  <c r="AJ43" i="30"/>
  <c r="AK43" i="30"/>
  <c r="AL43" i="30"/>
  <c r="AM43" i="30"/>
  <c r="AN43" i="30"/>
  <c r="AO43" i="30"/>
  <c r="AP43" i="30"/>
  <c r="AQ43" i="30"/>
  <c r="AR43" i="30"/>
  <c r="AS43" i="30"/>
  <c r="AT43" i="30"/>
  <c r="AU43" i="30"/>
  <c r="AV43" i="30"/>
  <c r="AW43" i="30"/>
  <c r="AX43" i="30"/>
  <c r="AY43" i="30"/>
  <c r="AZ43" i="30"/>
  <c r="BA43" i="30"/>
  <c r="R43" i="30"/>
  <c r="T64" i="32"/>
  <c r="T67" i="32" s="1"/>
  <c r="U64" i="32"/>
  <c r="U67" i="32" s="1"/>
  <c r="V64" i="32"/>
  <c r="W64" i="32"/>
  <c r="X64" i="32"/>
  <c r="Y64" i="32"/>
  <c r="Z64" i="32"/>
  <c r="AA64" i="32"/>
  <c r="AA67" i="32" s="1"/>
  <c r="AB64" i="32"/>
  <c r="AB67" i="32" s="1"/>
  <c r="AC64" i="32"/>
  <c r="AC67" i="32" s="1"/>
  <c r="AD64" i="32"/>
  <c r="AE64" i="32"/>
  <c r="AF64" i="32"/>
  <c r="AG64" i="32"/>
  <c r="AH64" i="32"/>
  <c r="AI64" i="32"/>
  <c r="AI67" i="32" s="1"/>
  <c r="AJ64" i="32"/>
  <c r="AJ67" i="32" s="1"/>
  <c r="AK64" i="32"/>
  <c r="AK67" i="32" s="1"/>
  <c r="AL64" i="32"/>
  <c r="AM64" i="32"/>
  <c r="AN64" i="32"/>
  <c r="AO64" i="32"/>
  <c r="AP64" i="32"/>
  <c r="AQ64" i="32"/>
  <c r="AQ67" i="32" s="1"/>
  <c r="AR64" i="32"/>
  <c r="AR67" i="32" s="1"/>
  <c r="AS64" i="32"/>
  <c r="AS67" i="32" s="1"/>
  <c r="AT64" i="32"/>
  <c r="AU64" i="32"/>
  <c r="AV64" i="32"/>
  <c r="AW64" i="32"/>
  <c r="AX64" i="32"/>
  <c r="AY64" i="32"/>
  <c r="AY67" i="32" s="1"/>
  <c r="AZ64" i="32"/>
  <c r="AZ67" i="32" s="1"/>
  <c r="BA64" i="32"/>
  <c r="BA67" i="32" s="1"/>
  <c r="BB64" i="32"/>
  <c r="V67" i="32"/>
  <c r="W67" i="32"/>
  <c r="X67" i="32"/>
  <c r="Y67" i="32"/>
  <c r="Z67" i="32"/>
  <c r="AD67" i="32"/>
  <c r="AE67" i="32"/>
  <c r="AF67" i="32"/>
  <c r="AG67" i="32"/>
  <c r="AH67" i="32"/>
  <c r="AL67" i="32"/>
  <c r="AM67" i="32"/>
  <c r="AN67" i="32"/>
  <c r="AO67" i="32"/>
  <c r="AP67" i="32"/>
  <c r="AT67" i="32"/>
  <c r="AU67" i="32"/>
  <c r="AV67" i="32"/>
  <c r="AW67" i="32"/>
  <c r="AX67" i="32"/>
  <c r="BB67" i="32"/>
  <c r="S67" i="32"/>
  <c r="S64" i="32"/>
  <c r="S74" i="25"/>
  <c r="T74" i="25"/>
  <c r="U74" i="25"/>
  <c r="D78" i="25"/>
  <c r="D80" i="25"/>
  <c r="V74" i="25"/>
  <c r="O53" i="34"/>
  <c r="N56" i="34"/>
  <c r="N58" i="34"/>
  <c r="N60" i="34" s="1"/>
  <c r="N61" i="34"/>
  <c r="R43" i="34"/>
  <c r="R44" i="34" s="1"/>
  <c r="N42" i="34"/>
  <c r="N44" i="34" s="1"/>
  <c r="O42" i="34"/>
  <c r="L20" i="34"/>
  <c r="M20" i="34"/>
  <c r="N20" i="34"/>
  <c r="O20" i="34"/>
  <c r="O32" i="34" s="1"/>
  <c r="P32" i="34"/>
  <c r="P34" i="34" s="1"/>
  <c r="Q32" i="34"/>
  <c r="M29" i="34"/>
  <c r="N29" i="34"/>
  <c r="N32" i="34" s="1"/>
  <c r="N34" i="34" s="1"/>
  <c r="O29" i="34"/>
  <c r="P29" i="34"/>
  <c r="Q29" i="34"/>
  <c r="N33" i="34"/>
  <c r="N66" i="34"/>
  <c r="N68" i="34" s="1"/>
  <c r="O66" i="34"/>
  <c r="N78" i="34"/>
  <c r="N80" i="34" s="1"/>
  <c r="O78" i="34"/>
  <c r="N91" i="34"/>
  <c r="O91" i="34"/>
  <c r="N93" i="34"/>
  <c r="O93" i="34" s="1"/>
  <c r="N98" i="34"/>
  <c r="N104" i="34"/>
  <c r="O104" i="34"/>
  <c r="N106" i="34"/>
  <c r="N108" i="34" s="1"/>
  <c r="N110" i="34" s="1"/>
  <c r="O106" i="34"/>
  <c r="N116" i="34"/>
  <c r="N118" i="34" s="1"/>
  <c r="O116" i="34"/>
  <c r="N128" i="34"/>
  <c r="O128" i="34"/>
  <c r="O130" i="34" s="1"/>
  <c r="N130" i="34"/>
  <c r="N132" i="34"/>
  <c r="N134" i="34" s="1"/>
  <c r="N135" i="34"/>
  <c r="N140" i="34"/>
  <c r="N142" i="34" s="1"/>
  <c r="O140" i="34"/>
  <c r="N152" i="34"/>
  <c r="O152" i="34"/>
  <c r="N154" i="34"/>
  <c r="N156" i="34" s="1"/>
  <c r="N158" i="34" s="1"/>
  <c r="O154" i="34"/>
  <c r="N164" i="34"/>
  <c r="N166" i="34" s="1"/>
  <c r="O164" i="34"/>
  <c r="AO32" i="34"/>
  <c r="AP32" i="34"/>
  <c r="AQ32" i="34"/>
  <c r="AR32" i="34"/>
  <c r="AS32" i="34"/>
  <c r="AT32" i="34"/>
  <c r="AU32" i="34"/>
  <c r="AV32" i="34"/>
  <c r="AW32" i="34"/>
  <c r="AX32" i="34"/>
  <c r="AY32" i="34"/>
  <c r="AZ32" i="34"/>
  <c r="BA32" i="34"/>
  <c r="AG53" i="34"/>
  <c r="AH53" i="34" s="1"/>
  <c r="AI53" i="34" s="1"/>
  <c r="AJ53" i="34" s="1"/>
  <c r="AK53" i="34" s="1"/>
  <c r="AL53" i="34" s="1"/>
  <c r="AM53" i="34" s="1"/>
  <c r="AN53" i="34" s="1"/>
  <c r="AO53" i="34" s="1"/>
  <c r="AP53" i="34" s="1"/>
  <c r="AQ53" i="34" s="1"/>
  <c r="AR53" i="34" s="1"/>
  <c r="AS53" i="34" s="1"/>
  <c r="AT53" i="34" s="1"/>
  <c r="AU53" i="34" s="1"/>
  <c r="AV53" i="34" s="1"/>
  <c r="AW53" i="34" s="1"/>
  <c r="AX53" i="34" s="1"/>
  <c r="AY53" i="34" s="1"/>
  <c r="AZ53" i="34" s="1"/>
  <c r="BA53" i="34" s="1"/>
  <c r="BB53" i="34" s="1"/>
  <c r="AL90" i="34"/>
  <c r="AM90" i="34" s="1"/>
  <c r="AN90" i="34" s="1"/>
  <c r="AO90" i="34" s="1"/>
  <c r="AP90" i="34" s="1"/>
  <c r="AQ90" i="34" s="1"/>
  <c r="AR90" i="34" s="1"/>
  <c r="AS90" i="34" s="1"/>
  <c r="AT90" i="34" s="1"/>
  <c r="AU90" i="34" s="1"/>
  <c r="AV90" i="34" s="1"/>
  <c r="AW90" i="34" s="1"/>
  <c r="AX90" i="34" s="1"/>
  <c r="AY90" i="34" s="1"/>
  <c r="AZ90" i="34" s="1"/>
  <c r="BA90" i="34" s="1"/>
  <c r="BB90" i="34" s="1"/>
  <c r="AI103" i="34"/>
  <c r="AJ103" i="34" s="1"/>
  <c r="AK103" i="34" s="1"/>
  <c r="AL103" i="34" s="1"/>
  <c r="AM103" i="34" s="1"/>
  <c r="AN103" i="34" s="1"/>
  <c r="AO103" i="34" s="1"/>
  <c r="AP103" i="34" s="1"/>
  <c r="AQ103" i="34" s="1"/>
  <c r="AR103" i="34" s="1"/>
  <c r="AS103" i="34" s="1"/>
  <c r="AT103" i="34" s="1"/>
  <c r="AU103" i="34" s="1"/>
  <c r="AV103" i="34" s="1"/>
  <c r="AW103" i="34" s="1"/>
  <c r="AX103" i="34" s="1"/>
  <c r="AY103" i="34" s="1"/>
  <c r="AZ103" i="34" s="1"/>
  <c r="BA103" i="34" s="1"/>
  <c r="BB103" i="34" s="1"/>
  <c r="X127" i="34"/>
  <c r="Y127" i="34" s="1"/>
  <c r="Z127" i="34" s="1"/>
  <c r="AA127" i="34" s="1"/>
  <c r="AB127" i="34" s="1"/>
  <c r="AC127" i="34" s="1"/>
  <c r="AD127" i="34" s="1"/>
  <c r="AE127" i="34" s="1"/>
  <c r="AF127" i="34" s="1"/>
  <c r="AG127" i="34" s="1"/>
  <c r="AH127" i="34" s="1"/>
  <c r="AI127" i="34" s="1"/>
  <c r="AJ127" i="34" s="1"/>
  <c r="AK127" i="34" s="1"/>
  <c r="AL127" i="34" s="1"/>
  <c r="AM127" i="34" s="1"/>
  <c r="AN127" i="34" s="1"/>
  <c r="AO127" i="34" s="1"/>
  <c r="AP127" i="34" s="1"/>
  <c r="AQ127" i="34" s="1"/>
  <c r="AR127" i="34" s="1"/>
  <c r="AS127" i="34" s="1"/>
  <c r="AT127" i="34" s="1"/>
  <c r="AU127" i="34" s="1"/>
  <c r="AV127" i="34" s="1"/>
  <c r="AW127" i="34" s="1"/>
  <c r="AX127" i="34" s="1"/>
  <c r="AY127" i="34" s="1"/>
  <c r="AZ127" i="34" s="1"/>
  <c r="BA127" i="34" s="1"/>
  <c r="AK139" i="34"/>
  <c r="AL139" i="34" s="1"/>
  <c r="AM139" i="34" s="1"/>
  <c r="AN139" i="34" s="1"/>
  <c r="AO139" i="34" s="1"/>
  <c r="AP139" i="34" s="1"/>
  <c r="AQ139" i="34" s="1"/>
  <c r="AR139" i="34" s="1"/>
  <c r="AS139" i="34" s="1"/>
  <c r="AT139" i="34" s="1"/>
  <c r="AU139" i="34" s="1"/>
  <c r="AV139" i="34" s="1"/>
  <c r="AW139" i="34" s="1"/>
  <c r="AX139" i="34" s="1"/>
  <c r="AY139" i="34" s="1"/>
  <c r="AZ139" i="34" s="1"/>
  <c r="BA139" i="34" s="1"/>
  <c r="BB139" i="34" s="1"/>
  <c r="AQ151" i="34"/>
  <c r="AR151" i="34" s="1"/>
  <c r="AS151" i="34" s="1"/>
  <c r="AT151" i="34" s="1"/>
  <c r="AU151" i="34" s="1"/>
  <c r="AV151" i="34" s="1"/>
  <c r="AW151" i="34" s="1"/>
  <c r="AX151" i="34" s="1"/>
  <c r="AY151" i="34" s="1"/>
  <c r="AZ151" i="34" s="1"/>
  <c r="BA151" i="34" s="1"/>
  <c r="BB151" i="34" s="1"/>
  <c r="BB152" i="34" l="1"/>
  <c r="BC151" i="34"/>
  <c r="AV16" i="27"/>
  <c r="AV18" i="27" s="1"/>
  <c r="BZ54" i="25"/>
  <c r="BY57" i="25"/>
  <c r="BX36" i="14" s="1"/>
  <c r="CG48" i="25"/>
  <c r="BC53" i="34"/>
  <c r="BB54" i="34"/>
  <c r="BB104" i="34"/>
  <c r="BC103" i="34"/>
  <c r="BB140" i="34"/>
  <c r="BC139" i="34"/>
  <c r="BC90" i="34"/>
  <c r="BB91" i="34"/>
  <c r="AF183" i="34"/>
  <c r="AF180" i="34"/>
  <c r="AF182" i="34" s="1"/>
  <c r="AG178" i="34"/>
  <c r="AH177" i="34"/>
  <c r="BD176" i="34"/>
  <c r="BE175" i="34"/>
  <c r="BN57" i="25"/>
  <c r="BM36" i="14" s="1"/>
  <c r="BM57" i="25"/>
  <c r="BL36" i="14" s="1"/>
  <c r="P79" i="34"/>
  <c r="N82" i="34"/>
  <c r="N84" i="34" s="1"/>
  <c r="N85" i="34"/>
  <c r="O80" i="34"/>
  <c r="AF58" i="14"/>
  <c r="AH11" i="27"/>
  <c r="AI11" i="27" s="1"/>
  <c r="AJ11" i="27" s="1"/>
  <c r="AK11" i="27" s="1"/>
  <c r="AL11" i="27" s="1"/>
  <c r="AM11" i="27" s="1"/>
  <c r="AN11" i="27" s="1"/>
  <c r="AO11" i="27" s="1"/>
  <c r="AP11" i="27" s="1"/>
  <c r="AQ11" i="27" s="1"/>
  <c r="AR11" i="27" s="1"/>
  <c r="AS11" i="27" s="1"/>
  <c r="AT11" i="27" s="1"/>
  <c r="AU11" i="27" s="1"/>
  <c r="AV11" i="27" s="1"/>
  <c r="AW11" i="27" s="1"/>
  <c r="AX11" i="27" s="1"/>
  <c r="AY11" i="27" s="1"/>
  <c r="AZ11" i="27" s="1"/>
  <c r="BA11" i="27" s="1"/>
  <c r="BB11" i="27" s="1"/>
  <c r="BC11" i="27" s="1"/>
  <c r="F32" i="29"/>
  <c r="D32" i="29"/>
  <c r="E32" i="29"/>
  <c r="F17" i="29"/>
  <c r="E17" i="29"/>
  <c r="P37" i="34"/>
  <c r="Q33" i="34"/>
  <c r="Q34" i="34" s="1"/>
  <c r="Q36" i="34" s="1"/>
  <c r="Q37" i="34" s="1"/>
  <c r="T28" i="27"/>
  <c r="S97" i="14" s="1"/>
  <c r="T27" i="27"/>
  <c r="Y10" i="27"/>
  <c r="X12" i="27"/>
  <c r="O56" i="34"/>
  <c r="N46" i="34"/>
  <c r="N48" i="34" s="1"/>
  <c r="N49" i="34"/>
  <c r="O44" i="34"/>
  <c r="O33" i="34"/>
  <c r="O34" i="34"/>
  <c r="O142" i="34"/>
  <c r="N144" i="34"/>
  <c r="N146" i="34" s="1"/>
  <c r="N147" i="34"/>
  <c r="N120" i="34"/>
  <c r="N122" i="34" s="1"/>
  <c r="N123" i="34"/>
  <c r="O118" i="34"/>
  <c r="O95" i="34"/>
  <c r="O97" i="34" s="1"/>
  <c r="O98" i="34"/>
  <c r="O68" i="34"/>
  <c r="N70" i="34"/>
  <c r="N72" i="34" s="1"/>
  <c r="N168" i="34"/>
  <c r="N170" i="34" s="1"/>
  <c r="N171" i="34"/>
  <c r="O166" i="34"/>
  <c r="O135" i="34"/>
  <c r="O132" i="34"/>
  <c r="O134" i="34" s="1"/>
  <c r="N95" i="34"/>
  <c r="N97" i="34" s="1"/>
  <c r="O159" i="34"/>
  <c r="O156" i="34"/>
  <c r="O158" i="34" s="1"/>
  <c r="O111" i="34"/>
  <c r="O108" i="34"/>
  <c r="O110" i="34" s="1"/>
  <c r="N159" i="34"/>
  <c r="N111" i="34"/>
  <c r="BD151" i="34" l="1"/>
  <c r="BC152" i="34"/>
  <c r="BC28" i="27"/>
  <c r="BD11" i="27"/>
  <c r="AW16" i="27"/>
  <c r="AW18" i="27" s="1"/>
  <c r="CA54" i="25"/>
  <c r="BZ57" i="25"/>
  <c r="BY36" i="14" s="1"/>
  <c r="J22" i="15" s="1"/>
  <c r="CH48" i="25"/>
  <c r="I22" i="15"/>
  <c r="BC54" i="34"/>
  <c r="BD53" i="34"/>
  <c r="BD103" i="34"/>
  <c r="BC104" i="34"/>
  <c r="BC140" i="34"/>
  <c r="BD139" i="34"/>
  <c r="BC91" i="34"/>
  <c r="BD90" i="34"/>
  <c r="AG183" i="34"/>
  <c r="AG180" i="34"/>
  <c r="AG182" i="34" s="1"/>
  <c r="AH178" i="34"/>
  <c r="AI177" i="34"/>
  <c r="BE176" i="34"/>
  <c r="BF175" i="34"/>
  <c r="Q79" i="34"/>
  <c r="P80" i="34"/>
  <c r="O82" i="34"/>
  <c r="O84" i="34" s="1"/>
  <c r="O85" i="34"/>
  <c r="AN28" i="27"/>
  <c r="AQ28" i="27"/>
  <c r="AG58" i="14"/>
  <c r="V28" i="27"/>
  <c r="U29" i="27"/>
  <c r="U27" i="27"/>
  <c r="Y12" i="27"/>
  <c r="Z10" i="27"/>
  <c r="O58" i="34"/>
  <c r="O60" i="34" s="1"/>
  <c r="O61" i="34"/>
  <c r="O46" i="34"/>
  <c r="O48" i="34" s="1"/>
  <c r="O49" i="34"/>
  <c r="O120" i="34"/>
  <c r="O122" i="34" s="1"/>
  <c r="O123" i="34"/>
  <c r="O168" i="34"/>
  <c r="O170" i="34" s="1"/>
  <c r="O171" i="34"/>
  <c r="O70" i="34"/>
  <c r="O72" i="34" s="1"/>
  <c r="O144" i="34"/>
  <c r="O146" i="34" s="1"/>
  <c r="O147" i="34"/>
  <c r="BD152" i="34" l="1"/>
  <c r="BE151" i="34"/>
  <c r="BD28" i="27"/>
  <c r="BE11" i="27"/>
  <c r="AX16" i="27"/>
  <c r="AX18" i="27" s="1"/>
  <c r="CB54" i="25"/>
  <c r="CA57" i="25"/>
  <c r="BZ36" i="14" s="1"/>
  <c r="CI48" i="25"/>
  <c r="BD54" i="34"/>
  <c r="BE53" i="34"/>
  <c r="BD104" i="34"/>
  <c r="BE103" i="34"/>
  <c r="BE139" i="34"/>
  <c r="BD140" i="34"/>
  <c r="BE90" i="34"/>
  <c r="BD91" i="34"/>
  <c r="AI178" i="34"/>
  <c r="AH183" i="34"/>
  <c r="AH180" i="34"/>
  <c r="AH182" i="34" s="1"/>
  <c r="AJ177" i="34"/>
  <c r="BF176" i="34"/>
  <c r="BG175" i="34"/>
  <c r="P82" i="34"/>
  <c r="P84" i="34" s="1"/>
  <c r="P10" i="34" s="1"/>
  <c r="P85" i="34"/>
  <c r="Q80" i="34"/>
  <c r="AH58" i="14"/>
  <c r="AI28" i="27"/>
  <c r="V27" i="27"/>
  <c r="Z12" i="27"/>
  <c r="W28" i="27"/>
  <c r="AA10" i="27"/>
  <c r="BE152" i="34" l="1"/>
  <c r="BF151" i="34"/>
  <c r="BF11" i="27"/>
  <c r="BE28" i="27"/>
  <c r="AY16" i="27"/>
  <c r="AY18" i="27" s="1"/>
  <c r="CC54" i="25"/>
  <c r="CB57" i="25"/>
  <c r="CA36" i="14" s="1"/>
  <c r="CJ48" i="25"/>
  <c r="BF53" i="34"/>
  <c r="BE54" i="34"/>
  <c r="BE104" i="34"/>
  <c r="BF103" i="34"/>
  <c r="BF139" i="34"/>
  <c r="BE140" i="34"/>
  <c r="BF90" i="34"/>
  <c r="BE91" i="34"/>
  <c r="BG176" i="34"/>
  <c r="BH175" i="34"/>
  <c r="AK177" i="34"/>
  <c r="AJ178" i="34"/>
  <c r="AI183" i="34"/>
  <c r="AI180" i="34"/>
  <c r="AI182" i="34" s="1"/>
  <c r="Q85" i="34"/>
  <c r="Q82" i="34"/>
  <c r="Q84" i="34" s="1"/>
  <c r="Q10" i="34" s="1"/>
  <c r="P74" i="30"/>
  <c r="P16" i="14"/>
  <c r="P24" i="14" s="1"/>
  <c r="V29" i="27"/>
  <c r="AI58" i="14"/>
  <c r="X28" i="27"/>
  <c r="W29" i="27"/>
  <c r="W27" i="27"/>
  <c r="AB10" i="27"/>
  <c r="AA12" i="27"/>
  <c r="BF152" i="34" l="1"/>
  <c r="BG151" i="34"/>
  <c r="BG11" i="27"/>
  <c r="BF28" i="27"/>
  <c r="AZ16" i="27"/>
  <c r="AZ18" i="27" s="1"/>
  <c r="CD54" i="25"/>
  <c r="CC57" i="25"/>
  <c r="CB36" i="14" s="1"/>
  <c r="CK48" i="25"/>
  <c r="BF54" i="34"/>
  <c r="BG53" i="34"/>
  <c r="BF104" i="34"/>
  <c r="BG103" i="34"/>
  <c r="BG139" i="34"/>
  <c r="BF140" i="34"/>
  <c r="BG90" i="34"/>
  <c r="BF91" i="34"/>
  <c r="AK178" i="34"/>
  <c r="AJ183" i="34"/>
  <c r="AL177" i="34"/>
  <c r="AJ180" i="34"/>
  <c r="AJ182" i="34" s="1"/>
  <c r="BI175" i="34"/>
  <c r="BH176" i="34"/>
  <c r="Q74" i="30"/>
  <c r="Q16" i="14"/>
  <c r="Q24" i="14" s="1"/>
  <c r="P119" i="14"/>
  <c r="P129" i="14"/>
  <c r="P131" i="14"/>
  <c r="P124" i="14"/>
  <c r="P121" i="14"/>
  <c r="P127" i="14"/>
  <c r="P135" i="14"/>
  <c r="P120" i="14"/>
  <c r="P130" i="14"/>
  <c r="AJ58" i="14"/>
  <c r="AB12" i="27"/>
  <c r="AC10" i="27"/>
  <c r="AC12" i="27" s="1"/>
  <c r="Y28" i="27"/>
  <c r="Y27" i="27"/>
  <c r="X27" i="27"/>
  <c r="X29" i="27"/>
  <c r="BH151" i="34" l="1"/>
  <c r="BG152" i="34"/>
  <c r="BH11" i="27"/>
  <c r="BG28" i="27"/>
  <c r="BA16" i="27"/>
  <c r="BA18" i="27" s="1"/>
  <c r="CE54" i="25"/>
  <c r="CD57" i="25"/>
  <c r="CC36" i="14" s="1"/>
  <c r="CL48" i="25"/>
  <c r="BG54" i="34"/>
  <c r="BH53" i="34"/>
  <c r="BG104" i="34"/>
  <c r="BH103" i="34"/>
  <c r="BG140" i="34"/>
  <c r="BH139" i="34"/>
  <c r="BG91" i="34"/>
  <c r="BH90" i="34"/>
  <c r="BJ175" i="34"/>
  <c r="BI176" i="34"/>
  <c r="AK183" i="34"/>
  <c r="AK180" i="34"/>
  <c r="AK182" i="34" s="1"/>
  <c r="AM177" i="34"/>
  <c r="AL178" i="34"/>
  <c r="Q119" i="14"/>
  <c r="Q131" i="14"/>
  <c r="Q124" i="14"/>
  <c r="Q129" i="14"/>
  <c r="Q127" i="14"/>
  <c r="Q121" i="14"/>
  <c r="Q120" i="14"/>
  <c r="Q130" i="14"/>
  <c r="Q135" i="14"/>
  <c r="AD10" i="27"/>
  <c r="AE10" i="27" s="1"/>
  <c r="AK58" i="14"/>
  <c r="Z27" i="27"/>
  <c r="Z28" i="27"/>
  <c r="Y29" i="27"/>
  <c r="BI151" i="34" l="1"/>
  <c r="BH152" i="34"/>
  <c r="BI11" i="27"/>
  <c r="BH28" i="27"/>
  <c r="BB16" i="27"/>
  <c r="BB18" i="27" s="1"/>
  <c r="CF54" i="25"/>
  <c r="CE57" i="25"/>
  <c r="CD36" i="14" s="1"/>
  <c r="BI53" i="34"/>
  <c r="BH54" i="34"/>
  <c r="BI103" i="34"/>
  <c r="BH104" i="34"/>
  <c r="BI139" i="34"/>
  <c r="BH140" i="34"/>
  <c r="BH91" i="34"/>
  <c r="BI90" i="34"/>
  <c r="AN177" i="34"/>
  <c r="AL180" i="34"/>
  <c r="AL182" i="34" s="1"/>
  <c r="AL183" i="34"/>
  <c r="AM178" i="34"/>
  <c r="BK175" i="34"/>
  <c r="BJ176" i="34"/>
  <c r="AD12" i="27"/>
  <c r="AL58" i="14"/>
  <c r="AA27" i="27"/>
  <c r="Z29" i="27"/>
  <c r="AA28" i="27"/>
  <c r="AE12" i="27"/>
  <c r="AF10" i="27"/>
  <c r="BI152" i="34" l="1"/>
  <c r="BJ151" i="34"/>
  <c r="BI28" i="27"/>
  <c r="BJ11" i="27"/>
  <c r="BC16" i="27"/>
  <c r="BC18" i="27" s="1"/>
  <c r="CG54" i="25"/>
  <c r="CF57" i="25"/>
  <c r="CE36" i="14" s="1"/>
  <c r="BI54" i="34"/>
  <c r="BJ53" i="34"/>
  <c r="BI104" i="34"/>
  <c r="BJ103" i="34"/>
  <c r="BI140" i="34"/>
  <c r="BJ139" i="34"/>
  <c r="BI91" i="34"/>
  <c r="BJ90" i="34"/>
  <c r="BK176" i="34"/>
  <c r="BL175" i="34"/>
  <c r="AO177" i="34"/>
  <c r="AM183" i="34"/>
  <c r="AM180" i="34"/>
  <c r="AM182" i="34" s="1"/>
  <c r="AN178" i="34"/>
  <c r="AM58" i="14"/>
  <c r="AB27" i="27"/>
  <c r="AA29" i="27"/>
  <c r="AB28" i="27"/>
  <c r="AG10" i="27"/>
  <c r="AF12" i="27"/>
  <c r="BJ152" i="34" l="1"/>
  <c r="BK151" i="34"/>
  <c r="BJ28" i="27"/>
  <c r="BK11" i="27"/>
  <c r="BD16" i="27"/>
  <c r="BD18" i="27" s="1"/>
  <c r="CH54" i="25"/>
  <c r="CG57" i="25"/>
  <c r="CF36" i="14" s="1"/>
  <c r="BJ54" i="34"/>
  <c r="BK53" i="34"/>
  <c r="BK103" i="34"/>
  <c r="BJ104" i="34"/>
  <c r="BJ140" i="34"/>
  <c r="BK139" i="34"/>
  <c r="BJ91" i="34"/>
  <c r="BK90" i="34"/>
  <c r="AO178" i="34"/>
  <c r="AN183" i="34"/>
  <c r="AN180" i="34"/>
  <c r="AN182" i="34" s="1"/>
  <c r="AP177" i="34"/>
  <c r="BL176" i="34"/>
  <c r="BM175" i="34"/>
  <c r="BM176" i="34" s="1"/>
  <c r="AN58" i="14"/>
  <c r="AB29" i="27"/>
  <c r="F54" i="15" s="1"/>
  <c r="AC27" i="27"/>
  <c r="AC28" i="27"/>
  <c r="AG12" i="27"/>
  <c r="AH10" i="27"/>
  <c r="BL151" i="34" l="1"/>
  <c r="BK152" i="34"/>
  <c r="BK28" i="27"/>
  <c r="BL11" i="27"/>
  <c r="BE16" i="27"/>
  <c r="BE18" i="27" s="1"/>
  <c r="CI54" i="25"/>
  <c r="CH57" i="25"/>
  <c r="CG36" i="14" s="1"/>
  <c r="BK54" i="34"/>
  <c r="BL53" i="34"/>
  <c r="BL103" i="34"/>
  <c r="BK104" i="34"/>
  <c r="BL139" i="34"/>
  <c r="BK140" i="34"/>
  <c r="BL90" i="34"/>
  <c r="BK91" i="34"/>
  <c r="AO183" i="34"/>
  <c r="AO180" i="34"/>
  <c r="AO182" i="34" s="1"/>
  <c r="AP178" i="34"/>
  <c r="AQ177" i="34"/>
  <c r="AO58" i="14"/>
  <c r="AD27" i="27"/>
  <c r="AC29" i="27"/>
  <c r="AD28" i="27"/>
  <c r="AI10" i="27"/>
  <c r="AH12" i="27"/>
  <c r="BL152" i="34" l="1"/>
  <c r="BM151" i="34"/>
  <c r="BL28" i="27"/>
  <c r="BM11" i="27"/>
  <c r="BF16" i="27"/>
  <c r="BF18" i="27" s="1"/>
  <c r="CJ54" i="25"/>
  <c r="CI57" i="25"/>
  <c r="CH36" i="14" s="1"/>
  <c r="BL54" i="34"/>
  <c r="BM53" i="34"/>
  <c r="BM103" i="34"/>
  <c r="BL104" i="34"/>
  <c r="BM139" i="34"/>
  <c r="BL140" i="34"/>
  <c r="BM90" i="34"/>
  <c r="BL91" i="34"/>
  <c r="AQ178" i="34"/>
  <c r="AR177" i="34"/>
  <c r="AP183" i="34"/>
  <c r="AP180" i="34"/>
  <c r="AP182" i="34" s="1"/>
  <c r="AD29" i="27"/>
  <c r="AP58" i="14"/>
  <c r="AE27" i="27"/>
  <c r="AE28" i="27"/>
  <c r="AJ10" i="27"/>
  <c r="AI12" i="27"/>
  <c r="BM152" i="34" l="1"/>
  <c r="BN151" i="34"/>
  <c r="BN11" i="27"/>
  <c r="BM28" i="27"/>
  <c r="BG16" i="27"/>
  <c r="BG18" i="27" s="1"/>
  <c r="CK54" i="25"/>
  <c r="CJ57" i="25"/>
  <c r="CI36" i="14" s="1"/>
  <c r="BM54" i="34"/>
  <c r="BN53" i="34"/>
  <c r="BM104" i="34"/>
  <c r="BN103" i="34"/>
  <c r="BM140" i="34"/>
  <c r="BN139" i="34"/>
  <c r="BM91" i="34"/>
  <c r="BN90" i="34"/>
  <c r="AR178" i="34"/>
  <c r="AS177" i="34"/>
  <c r="AQ183" i="34"/>
  <c r="AQ180" i="34"/>
  <c r="AQ182" i="34" s="1"/>
  <c r="AQ58" i="14"/>
  <c r="AE29" i="27"/>
  <c r="AF27" i="27"/>
  <c r="AF28" i="27"/>
  <c r="AK10" i="27"/>
  <c r="AJ12" i="27"/>
  <c r="BO151" i="34" l="1"/>
  <c r="BN152" i="34"/>
  <c r="BN28" i="27"/>
  <c r="BO11" i="27"/>
  <c r="BH16" i="27"/>
  <c r="BH18" i="27" s="1"/>
  <c r="CL54" i="25"/>
  <c r="CL57" i="25" s="1"/>
  <c r="CK36" i="14" s="1"/>
  <c r="CK57" i="25"/>
  <c r="CJ36" i="14" s="1"/>
  <c r="BO53" i="34"/>
  <c r="BN54" i="34"/>
  <c r="BN104" i="34"/>
  <c r="BO103" i="34"/>
  <c r="BO139" i="34"/>
  <c r="BN140" i="34"/>
  <c r="BN91" i="34"/>
  <c r="BO90" i="34"/>
  <c r="AS178" i="34"/>
  <c r="AR180" i="34"/>
  <c r="AR182" i="34" s="1"/>
  <c r="AT177" i="34"/>
  <c r="AR183" i="34"/>
  <c r="AF29" i="27"/>
  <c r="AR58" i="14"/>
  <c r="AG27" i="27"/>
  <c r="AG28" i="27"/>
  <c r="AL10" i="27"/>
  <c r="AK12" i="27"/>
  <c r="BP151" i="34" l="1"/>
  <c r="BO152" i="34"/>
  <c r="BO28" i="27"/>
  <c r="BI16" i="27"/>
  <c r="BI18" i="27" s="1"/>
  <c r="K22" i="15"/>
  <c r="BO54" i="34"/>
  <c r="BP53" i="34"/>
  <c r="BP103" i="34"/>
  <c r="BO104" i="34"/>
  <c r="BO140" i="34"/>
  <c r="BP139" i="34"/>
  <c r="BO91" i="34"/>
  <c r="BP90" i="34"/>
  <c r="AS180" i="34"/>
  <c r="AS182" i="34" s="1"/>
  <c r="AU177" i="34"/>
  <c r="AT178" i="34"/>
  <c r="AS183" i="34"/>
  <c r="AS58" i="14"/>
  <c r="AH27" i="27"/>
  <c r="AG29" i="27"/>
  <c r="AF68" i="14" s="1"/>
  <c r="AH28" i="27"/>
  <c r="AM10" i="27"/>
  <c r="AL12" i="27"/>
  <c r="BQ151" i="34" l="1"/>
  <c r="BP152" i="34"/>
  <c r="BP28" i="27"/>
  <c r="BJ16" i="27"/>
  <c r="BJ18" i="27" s="1"/>
  <c r="BP54" i="34"/>
  <c r="BQ53" i="34"/>
  <c r="BQ103" i="34"/>
  <c r="BP104" i="34"/>
  <c r="BP140" i="34"/>
  <c r="BQ139" i="34"/>
  <c r="BP91" i="34"/>
  <c r="BQ90" i="34"/>
  <c r="AT183" i="34"/>
  <c r="AT180" i="34"/>
  <c r="AT182" i="34" s="1"/>
  <c r="AV177" i="34"/>
  <c r="AU178" i="34"/>
  <c r="AH29" i="27"/>
  <c r="AG68" i="14" s="1"/>
  <c r="AI27" i="27"/>
  <c r="AT58" i="14"/>
  <c r="AI29" i="27"/>
  <c r="AH68" i="14" s="1"/>
  <c r="AM12" i="27"/>
  <c r="AN10" i="27"/>
  <c r="BQ152" i="34" l="1"/>
  <c r="BR151" i="34"/>
  <c r="BQ28" i="27"/>
  <c r="BK16" i="27"/>
  <c r="BK18" i="27" s="1"/>
  <c r="AJ27" i="27"/>
  <c r="BQ54" i="34"/>
  <c r="BR53" i="34"/>
  <c r="BQ104" i="34"/>
  <c r="BR103" i="34"/>
  <c r="BQ140" i="34"/>
  <c r="BR139" i="34"/>
  <c r="BQ91" i="34"/>
  <c r="BR90" i="34"/>
  <c r="AW177" i="34"/>
  <c r="AU183" i="34"/>
  <c r="AU180" i="34"/>
  <c r="AU182" i="34" s="1"/>
  <c r="AV178" i="34"/>
  <c r="AU58" i="14"/>
  <c r="AJ28" i="27"/>
  <c r="AK27" i="27"/>
  <c r="AJ29" i="27"/>
  <c r="AI68" i="14" s="1"/>
  <c r="AN12" i="27"/>
  <c r="AO10" i="27"/>
  <c r="BR152" i="34" l="1"/>
  <c r="BS151" i="34"/>
  <c r="BR28" i="27"/>
  <c r="BL16" i="27"/>
  <c r="BL18" i="27" s="1"/>
  <c r="BS53" i="34"/>
  <c r="BR54" i="34"/>
  <c r="BR104" i="34"/>
  <c r="BS103" i="34"/>
  <c r="BS139" i="34"/>
  <c r="BR140" i="34"/>
  <c r="BR91" i="34"/>
  <c r="BS90" i="34"/>
  <c r="AV183" i="34"/>
  <c r="AV180" i="34"/>
  <c r="AV182" i="34" s="1"/>
  <c r="AW178" i="34"/>
  <c r="AX177" i="34"/>
  <c r="AV58" i="14"/>
  <c r="AK28" i="27"/>
  <c r="AL27" i="27"/>
  <c r="AK29" i="27"/>
  <c r="AJ68" i="14" s="1"/>
  <c r="AO12" i="27"/>
  <c r="AP10" i="27"/>
  <c r="BT151" i="34" l="1"/>
  <c r="BS152" i="34"/>
  <c r="BS28" i="27"/>
  <c r="BM16" i="27"/>
  <c r="BM18" i="27" s="1"/>
  <c r="BS54" i="34"/>
  <c r="BT53" i="34"/>
  <c r="BT103" i="34"/>
  <c r="BS104" i="34"/>
  <c r="BT139" i="34"/>
  <c r="BS140" i="34"/>
  <c r="BT90" i="34"/>
  <c r="BS91" i="34"/>
  <c r="AW183" i="34"/>
  <c r="AW180" i="34"/>
  <c r="AW182" i="34" s="1"/>
  <c r="AX178" i="34"/>
  <c r="AY177" i="34"/>
  <c r="AW58" i="14"/>
  <c r="AL28" i="27"/>
  <c r="AM27" i="27"/>
  <c r="AL29" i="27"/>
  <c r="AK68" i="14" s="1"/>
  <c r="AP12" i="27"/>
  <c r="AQ10" i="27"/>
  <c r="BT152" i="34" l="1"/>
  <c r="BU151" i="34"/>
  <c r="BT28" i="27"/>
  <c r="BN16" i="27"/>
  <c r="BN18" i="27" s="1"/>
  <c r="BT54" i="34"/>
  <c r="BU53" i="34"/>
  <c r="BT104" i="34"/>
  <c r="BU103" i="34"/>
  <c r="BT140" i="34"/>
  <c r="BU139" i="34"/>
  <c r="BU90" i="34"/>
  <c r="BT91" i="34"/>
  <c r="AZ177" i="34"/>
  <c r="AY178" i="34"/>
  <c r="AX183" i="34"/>
  <c r="AX180" i="34"/>
  <c r="AX182" i="34" s="1"/>
  <c r="AX58" i="14"/>
  <c r="AM28" i="27"/>
  <c r="AM29" i="27"/>
  <c r="AL68" i="14" s="1"/>
  <c r="AR10" i="27"/>
  <c r="AQ12" i="27"/>
  <c r="BU152" i="34" l="1"/>
  <c r="BV151" i="34"/>
  <c r="BU28" i="27"/>
  <c r="BO16" i="27"/>
  <c r="BO18" i="27" s="1"/>
  <c r="BU54" i="34"/>
  <c r="BV53" i="34"/>
  <c r="BV103" i="34"/>
  <c r="BU104" i="34"/>
  <c r="BV139" i="34"/>
  <c r="BU140" i="34"/>
  <c r="BU91" i="34"/>
  <c r="BV90" i="34"/>
  <c r="AZ178" i="34"/>
  <c r="BA177" i="34"/>
  <c r="AY183" i="34"/>
  <c r="AY180" i="34"/>
  <c r="AY182" i="34" s="1"/>
  <c r="AY58" i="14"/>
  <c r="AN27" i="27"/>
  <c r="AO27" i="27"/>
  <c r="AN29" i="27"/>
  <c r="AM68" i="14" s="1"/>
  <c r="G54" i="15" s="1"/>
  <c r="AS10" i="27"/>
  <c r="AR12" i="27"/>
  <c r="BW151" i="34" l="1"/>
  <c r="BV152" i="34"/>
  <c r="BV28" i="27"/>
  <c r="BP16" i="27"/>
  <c r="BW53" i="34"/>
  <c r="BV54" i="34"/>
  <c r="BW103" i="34"/>
  <c r="BV104" i="34"/>
  <c r="BW139" i="34"/>
  <c r="BV140" i="34"/>
  <c r="BW90" i="34"/>
  <c r="BV91" i="34"/>
  <c r="BA178" i="34"/>
  <c r="BB177" i="34"/>
  <c r="AZ183" i="34"/>
  <c r="AZ180" i="34"/>
  <c r="AZ182" i="34" s="1"/>
  <c r="AZ58" i="14"/>
  <c r="AO28" i="27"/>
  <c r="AO29" i="27"/>
  <c r="AN68" i="14" s="1"/>
  <c r="AP27" i="27"/>
  <c r="AT10" i="27"/>
  <c r="AS12" i="27"/>
  <c r="BX151" i="34" l="1"/>
  <c r="BW152" i="34"/>
  <c r="BW28" i="27"/>
  <c r="BX53" i="34"/>
  <c r="BW54" i="34"/>
  <c r="BX103" i="34"/>
  <c r="BW104" i="34"/>
  <c r="BW140" i="34"/>
  <c r="BX139" i="34"/>
  <c r="BX90" i="34"/>
  <c r="BW91" i="34"/>
  <c r="BC177" i="34"/>
  <c r="BA183" i="34"/>
  <c r="BA180" i="34"/>
  <c r="BA182" i="34" s="1"/>
  <c r="BB178" i="34"/>
  <c r="BA58" i="14"/>
  <c r="AP28" i="27"/>
  <c r="AP29" i="27"/>
  <c r="AO68" i="14" s="1"/>
  <c r="AQ27" i="27"/>
  <c r="AT12" i="27"/>
  <c r="AU10" i="27"/>
  <c r="BY151" i="34" l="1"/>
  <c r="BX152" i="34"/>
  <c r="BX28" i="27"/>
  <c r="BY53" i="34"/>
  <c r="BX54" i="34"/>
  <c r="BY103" i="34"/>
  <c r="BX104" i="34"/>
  <c r="BY139" i="34"/>
  <c r="BX140" i="34"/>
  <c r="BX91" i="34"/>
  <c r="BY90" i="34"/>
  <c r="BB58" i="14"/>
  <c r="BD177" i="34"/>
  <c r="BB180" i="34"/>
  <c r="BB182" i="34" s="1"/>
  <c r="BB183" i="34"/>
  <c r="BC178" i="34"/>
  <c r="AR27" i="27"/>
  <c r="AU12" i="27"/>
  <c r="AV10" i="27"/>
  <c r="BY152" i="34" l="1"/>
  <c r="BZ151" i="34"/>
  <c r="BY28" i="27"/>
  <c r="BY54" i="34"/>
  <c r="BZ53" i="34"/>
  <c r="BY104" i="34"/>
  <c r="BZ103" i="34"/>
  <c r="BY140" i="34"/>
  <c r="BZ139" i="34"/>
  <c r="BY91" i="34"/>
  <c r="BZ90" i="34"/>
  <c r="BC58" i="14"/>
  <c r="BE177" i="34"/>
  <c r="BD178" i="34"/>
  <c r="BC183" i="34"/>
  <c r="BC180" i="34"/>
  <c r="BC182" i="34" s="1"/>
  <c r="AQ29" i="27"/>
  <c r="AP68" i="14" s="1"/>
  <c r="AR28" i="27"/>
  <c r="AS27" i="27"/>
  <c r="AR29" i="27"/>
  <c r="AQ68" i="14" s="1"/>
  <c r="AV12" i="27"/>
  <c r="AW10" i="27"/>
  <c r="CA151" i="34" l="1"/>
  <c r="BZ152" i="34"/>
  <c r="BZ28" i="27"/>
  <c r="BZ54" i="34"/>
  <c r="CA53" i="34"/>
  <c r="BZ104" i="34"/>
  <c r="CA103" i="34"/>
  <c r="BZ140" i="34"/>
  <c r="CA139" i="34"/>
  <c r="CA90" i="34"/>
  <c r="BZ91" i="34"/>
  <c r="BD58" i="14"/>
  <c r="BD183" i="34"/>
  <c r="BD180" i="34"/>
  <c r="BD182" i="34" s="1"/>
  <c r="BE178" i="34"/>
  <c r="BF177" i="34"/>
  <c r="AS28" i="27"/>
  <c r="AT27" i="27"/>
  <c r="AS29" i="27"/>
  <c r="AR68" i="14" s="1"/>
  <c r="AW12" i="27"/>
  <c r="AX10" i="27"/>
  <c r="CB151" i="34" l="1"/>
  <c r="CA152" i="34"/>
  <c r="CA28" i="27"/>
  <c r="CA54" i="34"/>
  <c r="CB53" i="34"/>
  <c r="CB103" i="34"/>
  <c r="CA104" i="34"/>
  <c r="CB139" i="34"/>
  <c r="CA140" i="34"/>
  <c r="CB90" i="34"/>
  <c r="CA91" i="34"/>
  <c r="BE58" i="14"/>
  <c r="BE183" i="34"/>
  <c r="BE180" i="34"/>
  <c r="BE182" i="34" s="1"/>
  <c r="BF178" i="34"/>
  <c r="BG177" i="34"/>
  <c r="AT28" i="27"/>
  <c r="AU27" i="27"/>
  <c r="AT29" i="27"/>
  <c r="AS68" i="14" s="1"/>
  <c r="AX12" i="27"/>
  <c r="AY10" i="27"/>
  <c r="CC151" i="34" l="1"/>
  <c r="CB152" i="34"/>
  <c r="CB28" i="27"/>
  <c r="CC53" i="34"/>
  <c r="CB54" i="34"/>
  <c r="CC103" i="34"/>
  <c r="CB104" i="34"/>
  <c r="CB140" i="34"/>
  <c r="CC139" i="34"/>
  <c r="CB91" i="34"/>
  <c r="CC90" i="34"/>
  <c r="BF58" i="14"/>
  <c r="BH177" i="34"/>
  <c r="BG178" i="34"/>
  <c r="BF183" i="34"/>
  <c r="BF180" i="34"/>
  <c r="BF182" i="34" s="1"/>
  <c r="AU28" i="27"/>
  <c r="AV27" i="27"/>
  <c r="AU29" i="27"/>
  <c r="AT68" i="14" s="1"/>
  <c r="AZ10" i="27"/>
  <c r="AY12" i="27"/>
  <c r="CD151" i="34" l="1"/>
  <c r="CC152" i="34"/>
  <c r="CC28" i="27"/>
  <c r="CD53" i="34"/>
  <c r="CC54" i="34"/>
  <c r="CD103" i="34"/>
  <c r="CC104" i="34"/>
  <c r="CC140" i="34"/>
  <c r="CD139" i="34"/>
  <c r="CC91" i="34"/>
  <c r="CD90" i="34"/>
  <c r="BG58" i="14"/>
  <c r="BI177" i="34"/>
  <c r="BH178" i="34"/>
  <c r="BG183" i="34"/>
  <c r="BG180" i="34"/>
  <c r="BG182" i="34" s="1"/>
  <c r="AV28" i="27"/>
  <c r="AW27" i="27"/>
  <c r="AV29" i="27"/>
  <c r="AU68" i="14" s="1"/>
  <c r="BA10" i="27"/>
  <c r="AZ12" i="27"/>
  <c r="CD152" i="34" l="1"/>
  <c r="CE151" i="34"/>
  <c r="CD28" i="27"/>
  <c r="CD54" i="34"/>
  <c r="CE53" i="34"/>
  <c r="CE103" i="34"/>
  <c r="CD104" i="34"/>
  <c r="CD140" i="34"/>
  <c r="CE139" i="34"/>
  <c r="CD91" i="34"/>
  <c r="CE90" i="34"/>
  <c r="BH58" i="14"/>
  <c r="BI178" i="34"/>
  <c r="BJ177" i="34"/>
  <c r="BH180" i="34"/>
  <c r="BH182" i="34" s="1"/>
  <c r="BH183" i="34"/>
  <c r="AW28" i="27"/>
  <c r="AW29" i="27"/>
  <c r="AV68" i="14" s="1"/>
  <c r="AX27" i="27"/>
  <c r="BA12" i="27"/>
  <c r="BB10" i="27"/>
  <c r="BC10" i="27" s="1"/>
  <c r="CE152" i="34" l="1"/>
  <c r="CF151" i="34"/>
  <c r="BD10" i="27"/>
  <c r="BC12" i="27"/>
  <c r="CE28" i="27"/>
  <c r="CF53" i="34"/>
  <c r="CE54" i="34"/>
  <c r="CE104" i="34"/>
  <c r="CF103" i="34"/>
  <c r="CF139" i="34"/>
  <c r="CE140" i="34"/>
  <c r="CF90" i="34"/>
  <c r="CE91" i="34"/>
  <c r="BI58" i="14"/>
  <c r="BK177" i="34"/>
  <c r="BI183" i="34"/>
  <c r="BJ178" i="34"/>
  <c r="BI180" i="34"/>
  <c r="BI182" i="34" s="1"/>
  <c r="AX28" i="27"/>
  <c r="BB12" i="27"/>
  <c r="AX29" i="27"/>
  <c r="AW68" i="14" s="1"/>
  <c r="AY27" i="27"/>
  <c r="CG151" i="34" l="1"/>
  <c r="CF152" i="34"/>
  <c r="CF28" i="27"/>
  <c r="BE10" i="27"/>
  <c r="BD12" i="27"/>
  <c r="CG53" i="34"/>
  <c r="CF54" i="34"/>
  <c r="CF104" i="34"/>
  <c r="CG103" i="34"/>
  <c r="CF140" i="34"/>
  <c r="CG139" i="34"/>
  <c r="CG90" i="34"/>
  <c r="CF91" i="34"/>
  <c r="BJ58" i="14"/>
  <c r="BL177" i="34"/>
  <c r="BJ183" i="34"/>
  <c r="BJ180" i="34"/>
  <c r="BJ182" i="34" s="1"/>
  <c r="BK178" i="34"/>
  <c r="AY28" i="27"/>
  <c r="AY29" i="27"/>
  <c r="AX68" i="14" s="1"/>
  <c r="AZ27" i="27"/>
  <c r="CG152" i="34" l="1"/>
  <c r="CH151" i="34"/>
  <c r="BF10" i="27"/>
  <c r="BE12" i="27"/>
  <c r="CG28" i="27"/>
  <c r="CG54" i="34"/>
  <c r="CH53" i="34"/>
  <c r="CG104" i="34"/>
  <c r="CH103" i="34"/>
  <c r="CH139" i="34"/>
  <c r="CG140" i="34"/>
  <c r="CG91" i="34"/>
  <c r="CH90" i="34"/>
  <c r="BK58" i="14"/>
  <c r="BM177" i="34"/>
  <c r="BK183" i="34"/>
  <c r="BK180" i="34"/>
  <c r="BK182" i="34" s="1"/>
  <c r="BL178" i="34"/>
  <c r="BN177" i="34" s="1"/>
  <c r="AZ28" i="27"/>
  <c r="BA27" i="27"/>
  <c r="AZ29" i="27"/>
  <c r="AY68" i="14" s="1"/>
  <c r="CI151" i="34" l="1"/>
  <c r="CH152" i="34"/>
  <c r="CH28" i="27"/>
  <c r="BG10" i="27"/>
  <c r="BF12" i="27"/>
  <c r="CH54" i="34"/>
  <c r="CI53" i="34"/>
  <c r="CI103" i="34"/>
  <c r="CH104" i="34"/>
  <c r="CH140" i="34"/>
  <c r="CI139" i="34"/>
  <c r="CH91" i="34"/>
  <c r="CI90" i="34"/>
  <c r="BL58" i="14"/>
  <c r="BL183" i="34"/>
  <c r="BL180" i="34"/>
  <c r="BL182" i="34" s="1"/>
  <c r="BM178" i="34"/>
  <c r="BB28" i="27"/>
  <c r="BA28" i="27"/>
  <c r="BA29" i="27"/>
  <c r="AZ68" i="14" s="1"/>
  <c r="BO177" i="34" l="1"/>
  <c r="BN178" i="34"/>
  <c r="CJ151" i="34"/>
  <c r="CI152" i="34"/>
  <c r="BG12" i="27"/>
  <c r="BH10" i="27"/>
  <c r="CI28" i="27"/>
  <c r="BC29" i="27"/>
  <c r="BB68" i="14" s="1"/>
  <c r="BC27" i="27"/>
  <c r="BC31" i="27"/>
  <c r="CI54" i="34"/>
  <c r="CJ53" i="34"/>
  <c r="CJ103" i="34"/>
  <c r="CI104" i="34"/>
  <c r="CI140" i="34"/>
  <c r="CJ139" i="34"/>
  <c r="CJ90" i="34"/>
  <c r="CI91" i="34"/>
  <c r="BM58" i="14"/>
  <c r="BM183" i="34"/>
  <c r="BM180" i="34"/>
  <c r="BM182" i="34" s="1"/>
  <c r="BB29" i="27"/>
  <c r="BA68" i="14" s="1"/>
  <c r="H54" i="15" s="1"/>
  <c r="BB27" i="27"/>
  <c r="BO178" i="34" l="1"/>
  <c r="BP177" i="34"/>
  <c r="BN183" i="34"/>
  <c r="BN180" i="34"/>
  <c r="BN182" i="34" s="1"/>
  <c r="CK151" i="34"/>
  <c r="CK152" i="34" s="1"/>
  <c r="CJ152" i="34"/>
  <c r="CJ28" i="27"/>
  <c r="BH12" i="27"/>
  <c r="BI10" i="27"/>
  <c r="BD27" i="27"/>
  <c r="BD29" i="27"/>
  <c r="BC68" i="14" s="1"/>
  <c r="BD31" i="27"/>
  <c r="CK53" i="34"/>
  <c r="CK54" i="34" s="1"/>
  <c r="CJ54" i="34"/>
  <c r="CK103" i="34"/>
  <c r="CK104" i="34" s="1"/>
  <c r="CJ104" i="34"/>
  <c r="CJ140" i="34"/>
  <c r="CK139" i="34"/>
  <c r="CK140" i="34" s="1"/>
  <c r="CJ91" i="34"/>
  <c r="CK90" i="34"/>
  <c r="CK91" i="34" s="1"/>
  <c r="BN58" i="14"/>
  <c r="I44" i="15"/>
  <c r="S71" i="14"/>
  <c r="AH71" i="14"/>
  <c r="AI71" i="14"/>
  <c r="AP71" i="14"/>
  <c r="AQ71" i="14"/>
  <c r="AX71" i="14"/>
  <c r="AY71" i="14"/>
  <c r="R20" i="34"/>
  <c r="R32" i="34" s="1"/>
  <c r="S20" i="34"/>
  <c r="S32" i="34" s="1"/>
  <c r="T20" i="34"/>
  <c r="T32" i="34" s="1"/>
  <c r="U20" i="34"/>
  <c r="U32" i="34" s="1"/>
  <c r="V20" i="34"/>
  <c r="V32" i="34" s="1"/>
  <c r="W20" i="34"/>
  <c r="W32" i="34" s="1"/>
  <c r="X20" i="34"/>
  <c r="X32" i="34" s="1"/>
  <c r="Y20" i="34"/>
  <c r="Y32" i="34" s="1"/>
  <c r="Z20" i="34"/>
  <c r="Z32" i="34" s="1"/>
  <c r="AA20" i="34"/>
  <c r="AA32" i="34" s="1"/>
  <c r="AB20" i="34"/>
  <c r="AB32" i="34" s="1"/>
  <c r="AC20" i="34"/>
  <c r="AC32" i="34" s="1"/>
  <c r="AD20" i="34"/>
  <c r="AD32" i="34" s="1"/>
  <c r="AE20" i="34"/>
  <c r="AE32" i="34" s="1"/>
  <c r="AF20" i="34"/>
  <c r="AF32" i="34" s="1"/>
  <c r="AG20" i="34"/>
  <c r="AG32" i="34" s="1"/>
  <c r="AH20" i="34"/>
  <c r="AH32" i="34" s="1"/>
  <c r="AI20" i="34"/>
  <c r="AI32" i="34" s="1"/>
  <c r="AJ20" i="34"/>
  <c r="AJ32" i="34" s="1"/>
  <c r="AK20" i="34"/>
  <c r="AK32" i="34" s="1"/>
  <c r="AL20" i="34"/>
  <c r="AL32" i="34" s="1"/>
  <c r="AM20" i="34"/>
  <c r="AM32" i="34" s="1"/>
  <c r="AN20" i="34"/>
  <c r="AN32" i="34" s="1"/>
  <c r="AO20" i="34"/>
  <c r="AP20" i="34"/>
  <c r="AQ20" i="34"/>
  <c r="AR20" i="34"/>
  <c r="AS20" i="34"/>
  <c r="AT20" i="34"/>
  <c r="AU20" i="34"/>
  <c r="AV20" i="34"/>
  <c r="AW20" i="34"/>
  <c r="AX20" i="34"/>
  <c r="AY20" i="34"/>
  <c r="AZ20" i="34"/>
  <c r="BA20" i="34"/>
  <c r="R29" i="34"/>
  <c r="S29" i="34"/>
  <c r="T29" i="34"/>
  <c r="T71" i="14" s="1"/>
  <c r="U29" i="34"/>
  <c r="V29" i="34"/>
  <c r="V71" i="14" s="1"/>
  <c r="W29" i="34"/>
  <c r="W71" i="14" s="1"/>
  <c r="X29" i="34"/>
  <c r="X71" i="14" s="1"/>
  <c r="Y29" i="34"/>
  <c r="Y71" i="14" s="1"/>
  <c r="Z29" i="34"/>
  <c r="AA29" i="34"/>
  <c r="AB29" i="34"/>
  <c r="AC29" i="34"/>
  <c r="AD29" i="34"/>
  <c r="AE29" i="34"/>
  <c r="AF29" i="34"/>
  <c r="AF71" i="14" s="1"/>
  <c r="AG29" i="34"/>
  <c r="AG71" i="14" s="1"/>
  <c r="AH29" i="34"/>
  <c r="AI29" i="34"/>
  <c r="AJ29" i="34"/>
  <c r="AJ71" i="14" s="1"/>
  <c r="AK29" i="34"/>
  <c r="AK71" i="14" s="1"/>
  <c r="AL29" i="34"/>
  <c r="AL71" i="14" s="1"/>
  <c r="AM29" i="34"/>
  <c r="AM71" i="14" s="1"/>
  <c r="AN29" i="34"/>
  <c r="AN71" i="14" s="1"/>
  <c r="AO29" i="34"/>
  <c r="AP29" i="34"/>
  <c r="AQ29" i="34"/>
  <c r="AR29" i="34"/>
  <c r="AR71" i="14" s="1"/>
  <c r="AS29" i="34"/>
  <c r="AT29" i="34"/>
  <c r="AT71" i="14" s="1"/>
  <c r="AU29" i="34"/>
  <c r="AU71" i="14" s="1"/>
  <c r="AV29" i="34"/>
  <c r="AV71" i="14" s="1"/>
  <c r="AW29" i="34"/>
  <c r="AX29" i="34"/>
  <c r="AY29" i="34"/>
  <c r="AZ29" i="34"/>
  <c r="AZ71" i="14" s="1"/>
  <c r="BA29" i="34"/>
  <c r="C36" i="34"/>
  <c r="V41" i="34"/>
  <c r="V42" i="34" s="1"/>
  <c r="W42" i="34"/>
  <c r="R42" i="34"/>
  <c r="S42" i="34"/>
  <c r="T42" i="34"/>
  <c r="U42" i="34"/>
  <c r="R54" i="34"/>
  <c r="S54" i="34"/>
  <c r="T54" i="34"/>
  <c r="U54" i="34"/>
  <c r="V54" i="34"/>
  <c r="W54" i="34"/>
  <c r="X54" i="34"/>
  <c r="R66" i="34"/>
  <c r="S66" i="34"/>
  <c r="T66" i="34"/>
  <c r="U66" i="34"/>
  <c r="V66" i="34"/>
  <c r="W66" i="34"/>
  <c r="X66" i="34"/>
  <c r="R78" i="34"/>
  <c r="S78" i="34"/>
  <c r="T78" i="34"/>
  <c r="U78" i="34"/>
  <c r="V78" i="34"/>
  <c r="AL78" i="34"/>
  <c r="AM78" i="34"/>
  <c r="AN78" i="34"/>
  <c r="AO78" i="34"/>
  <c r="AP78" i="34"/>
  <c r="AQ78" i="34"/>
  <c r="AR78" i="34"/>
  <c r="AS78" i="34"/>
  <c r="AT78" i="34"/>
  <c r="AU78" i="34"/>
  <c r="AV78" i="34"/>
  <c r="AW78" i="34"/>
  <c r="AX78" i="34"/>
  <c r="AY78" i="34"/>
  <c r="AZ78" i="34"/>
  <c r="BA78" i="34"/>
  <c r="X91" i="34"/>
  <c r="R91" i="34"/>
  <c r="S91" i="34"/>
  <c r="T91" i="34"/>
  <c r="U91" i="34"/>
  <c r="V91" i="34"/>
  <c r="W91" i="34"/>
  <c r="R104" i="34"/>
  <c r="S104" i="34"/>
  <c r="T104" i="34"/>
  <c r="U104" i="34"/>
  <c r="V104" i="34"/>
  <c r="W104" i="34"/>
  <c r="X104" i="34"/>
  <c r="Y104" i="34"/>
  <c r="Z104" i="34"/>
  <c r="AA104" i="34"/>
  <c r="R116" i="34"/>
  <c r="S116" i="34"/>
  <c r="T116" i="34"/>
  <c r="U116" i="34"/>
  <c r="V116" i="34"/>
  <c r="W116" i="34"/>
  <c r="X116" i="34"/>
  <c r="R128" i="34"/>
  <c r="S128" i="34"/>
  <c r="T128" i="34"/>
  <c r="U128" i="34"/>
  <c r="V128" i="34"/>
  <c r="W128" i="34"/>
  <c r="X128" i="34"/>
  <c r="Y128" i="34"/>
  <c r="Y140" i="34"/>
  <c r="Z140" i="34"/>
  <c r="R140" i="34"/>
  <c r="S140" i="34"/>
  <c r="T140" i="34"/>
  <c r="U140" i="34"/>
  <c r="V140" i="34"/>
  <c r="W140" i="34"/>
  <c r="X140" i="34"/>
  <c r="R152" i="34"/>
  <c r="S152" i="34"/>
  <c r="T152" i="34"/>
  <c r="U152" i="34"/>
  <c r="V152" i="34"/>
  <c r="W152" i="34"/>
  <c r="X152" i="34"/>
  <c r="Y152" i="34"/>
  <c r="AE164" i="34"/>
  <c r="R164" i="34"/>
  <c r="S164" i="34"/>
  <c r="T164" i="34"/>
  <c r="U164" i="34"/>
  <c r="V164" i="34"/>
  <c r="W164" i="34"/>
  <c r="X164" i="34"/>
  <c r="Y164" i="34"/>
  <c r="Z164" i="34"/>
  <c r="AA164" i="34"/>
  <c r="AB164" i="34"/>
  <c r="AC164" i="34"/>
  <c r="AD164" i="34"/>
  <c r="BO180" i="34" l="1"/>
  <c r="BO182" i="34" s="1"/>
  <c r="BQ177" i="34"/>
  <c r="BO183" i="34"/>
  <c r="BP178" i="34"/>
  <c r="CL28" i="27"/>
  <c r="CK28" i="27"/>
  <c r="BI12" i="27"/>
  <c r="BJ10" i="27"/>
  <c r="BE29" i="27"/>
  <c r="BD68" i="14" s="1"/>
  <c r="BE31" i="27"/>
  <c r="BE27" i="27"/>
  <c r="BO58" i="14"/>
  <c r="N36" i="34"/>
  <c r="N37" i="34" s="1"/>
  <c r="O36" i="34"/>
  <c r="O37" i="34" s="1"/>
  <c r="AW71" i="14"/>
  <c r="AO71" i="14"/>
  <c r="F57" i="15"/>
  <c r="BA71" i="14"/>
  <c r="AS71" i="14"/>
  <c r="G57" i="15"/>
  <c r="Z152" i="34"/>
  <c r="AB104" i="34"/>
  <c r="Z128" i="34"/>
  <c r="Y116" i="34"/>
  <c r="Y91" i="34"/>
  <c r="Y66" i="34"/>
  <c r="W78" i="34"/>
  <c r="W5" i="34" s="1"/>
  <c r="R5" i="34"/>
  <c r="S5" i="34"/>
  <c r="U5" i="34"/>
  <c r="Y54" i="34"/>
  <c r="V5" i="34"/>
  <c r="T5" i="34"/>
  <c r="BP183" i="34" l="1"/>
  <c r="BP180" i="34"/>
  <c r="BP182" i="34" s="1"/>
  <c r="BQ178" i="34"/>
  <c r="BR177" i="34"/>
  <c r="BK10" i="27"/>
  <c r="BJ12" i="27"/>
  <c r="BF27" i="27"/>
  <c r="BF31" i="27"/>
  <c r="BF29" i="27"/>
  <c r="BE68" i="14" s="1"/>
  <c r="BP58" i="14"/>
  <c r="X42" i="34"/>
  <c r="H57" i="15"/>
  <c r="W10" i="30"/>
  <c r="U10" i="30"/>
  <c r="T10" i="30"/>
  <c r="S10" i="30"/>
  <c r="R10" i="30"/>
  <c r="V10" i="30"/>
  <c r="R67" i="34"/>
  <c r="Z116" i="34"/>
  <c r="AA128" i="34"/>
  <c r="AA140" i="34"/>
  <c r="Z91" i="34"/>
  <c r="Z54" i="34"/>
  <c r="Z66" i="34"/>
  <c r="AC104" i="34"/>
  <c r="X78" i="34"/>
  <c r="R79" i="34"/>
  <c r="R55" i="34"/>
  <c r="R92" i="34"/>
  <c r="AF164" i="34"/>
  <c r="AA152" i="34"/>
  <c r="BQ183" i="34" l="1"/>
  <c r="BQ180" i="34"/>
  <c r="BQ182" i="34" s="1"/>
  <c r="BS177" i="34"/>
  <c r="BR178" i="34"/>
  <c r="BK12" i="27"/>
  <c r="BL10" i="27"/>
  <c r="BG29" i="27"/>
  <c r="BF68" i="14" s="1"/>
  <c r="BG27" i="27"/>
  <c r="BG31" i="27"/>
  <c r="BQ58" i="14"/>
  <c r="X5" i="34"/>
  <c r="X10" i="30" s="1"/>
  <c r="Y42" i="34"/>
  <c r="Y78" i="34"/>
  <c r="AD104" i="34"/>
  <c r="R141" i="34"/>
  <c r="AG164" i="34"/>
  <c r="S55" i="34"/>
  <c r="R165" i="34"/>
  <c r="R153" i="34"/>
  <c r="AB128" i="34"/>
  <c r="R80" i="34"/>
  <c r="S79" i="34"/>
  <c r="AA66" i="34"/>
  <c r="AB140" i="34"/>
  <c r="R129" i="34"/>
  <c r="AA91" i="34"/>
  <c r="AA54" i="34"/>
  <c r="R117" i="34"/>
  <c r="AA116" i="34"/>
  <c r="R93" i="34"/>
  <c r="S92" i="34"/>
  <c r="AB152" i="34"/>
  <c r="R105" i="34"/>
  <c r="R68" i="34"/>
  <c r="R73" i="34" s="1"/>
  <c r="S67" i="34"/>
  <c r="BR183" i="34" l="1"/>
  <c r="BR180" i="34"/>
  <c r="BR182" i="34" s="1"/>
  <c r="BT177" i="34"/>
  <c r="BS178" i="34"/>
  <c r="BL12" i="27"/>
  <c r="BM10" i="27"/>
  <c r="BH27" i="27"/>
  <c r="BH29" i="27"/>
  <c r="BG68" i="14" s="1"/>
  <c r="BH31" i="27"/>
  <c r="BR58" i="14"/>
  <c r="Y5" i="34"/>
  <c r="Y10" i="14" s="1"/>
  <c r="Z42" i="34"/>
  <c r="R33" i="34"/>
  <c r="R6" i="34" s="1"/>
  <c r="R154" i="34"/>
  <c r="S153" i="34"/>
  <c r="R130" i="34"/>
  <c r="S129" i="34"/>
  <c r="S165" i="34"/>
  <c r="R166" i="34"/>
  <c r="AH164" i="34"/>
  <c r="Z78" i="34"/>
  <c r="R61" i="34"/>
  <c r="S56" i="34"/>
  <c r="T55" i="34"/>
  <c r="R82" i="34"/>
  <c r="R84" i="34" s="1"/>
  <c r="R85" i="34"/>
  <c r="S80" i="34"/>
  <c r="T79" i="34"/>
  <c r="S117" i="34"/>
  <c r="R118" i="34"/>
  <c r="AE104" i="34"/>
  <c r="AC140" i="34"/>
  <c r="S43" i="34"/>
  <c r="AC128" i="34"/>
  <c r="R70" i="34"/>
  <c r="R72" i="34" s="1"/>
  <c r="S68" i="34"/>
  <c r="S73" i="34" s="1"/>
  <c r="T67" i="34"/>
  <c r="R106" i="34"/>
  <c r="S105" i="34"/>
  <c r="R95" i="34"/>
  <c r="R97" i="34" s="1"/>
  <c r="R98" i="34"/>
  <c r="S93" i="34"/>
  <c r="T92" i="34"/>
  <c r="AB54" i="34"/>
  <c r="AC152" i="34"/>
  <c r="S141" i="34"/>
  <c r="R142" i="34"/>
  <c r="AB116" i="34"/>
  <c r="AB91" i="34"/>
  <c r="AB66" i="34"/>
  <c r="BS183" i="34" l="1"/>
  <c r="BU177" i="34"/>
  <c r="BS180" i="34"/>
  <c r="BS182" i="34" s="1"/>
  <c r="BT178" i="34"/>
  <c r="BM12" i="27"/>
  <c r="BN10" i="27"/>
  <c r="BI27" i="27"/>
  <c r="BI29" i="27"/>
  <c r="BH68" i="14" s="1"/>
  <c r="BI31" i="27"/>
  <c r="BS58" i="14"/>
  <c r="Z5" i="34"/>
  <c r="Z10" i="14" s="1"/>
  <c r="Y10" i="30"/>
  <c r="AA42" i="34"/>
  <c r="R11" i="30"/>
  <c r="R108" i="34"/>
  <c r="R110" i="34" s="1"/>
  <c r="R111" i="34"/>
  <c r="S106" i="34"/>
  <c r="T105" i="34"/>
  <c r="S58" i="34"/>
  <c r="S60" i="34" s="1"/>
  <c r="S61" i="34"/>
  <c r="T56" i="34"/>
  <c r="U55" i="34"/>
  <c r="R156" i="34"/>
  <c r="R158" i="34" s="1"/>
  <c r="R159" i="34"/>
  <c r="S154" i="34"/>
  <c r="T153" i="34"/>
  <c r="AC116" i="34"/>
  <c r="AC66" i="34"/>
  <c r="AC54" i="34"/>
  <c r="S118" i="34"/>
  <c r="T117" i="34"/>
  <c r="R120" i="34"/>
  <c r="R122" i="34" s="1"/>
  <c r="R123" i="34"/>
  <c r="T165" i="34"/>
  <c r="S166" i="34"/>
  <c r="R168" i="34"/>
  <c r="R170" i="34" s="1"/>
  <c r="R171" i="34"/>
  <c r="S142" i="34"/>
  <c r="T141" i="34"/>
  <c r="R147" i="34"/>
  <c r="R144" i="34"/>
  <c r="R146" i="34" s="1"/>
  <c r="T43" i="34"/>
  <c r="S44" i="34"/>
  <c r="R49" i="34"/>
  <c r="R46" i="34"/>
  <c r="U67" i="34"/>
  <c r="S70" i="34"/>
  <c r="S72" i="34" s="1"/>
  <c r="T68" i="34"/>
  <c r="T73" i="34" s="1"/>
  <c r="AA78" i="34"/>
  <c r="R132" i="34"/>
  <c r="R134" i="34" s="1"/>
  <c r="R135" i="34"/>
  <c r="S130" i="34"/>
  <c r="T129" i="34"/>
  <c r="AC91" i="34"/>
  <c r="U92" i="34"/>
  <c r="S95" i="34"/>
  <c r="S97" i="34" s="1"/>
  <c r="S98" i="34"/>
  <c r="T93" i="34"/>
  <c r="AD140" i="34"/>
  <c r="S82" i="34"/>
  <c r="S84" i="34" s="1"/>
  <c r="S85" i="34"/>
  <c r="T80" i="34"/>
  <c r="U79" i="34"/>
  <c r="AD152" i="34"/>
  <c r="AD128" i="34"/>
  <c r="AF104" i="34"/>
  <c r="AI164" i="34"/>
  <c r="R34" i="34"/>
  <c r="BT180" i="34" l="1"/>
  <c r="BT182" i="34" s="1"/>
  <c r="BV177" i="34"/>
  <c r="BT183" i="34"/>
  <c r="BU178" i="34"/>
  <c r="Z10" i="30"/>
  <c r="BO10" i="27"/>
  <c r="BN12" i="27"/>
  <c r="BJ27" i="27"/>
  <c r="BJ31" i="27"/>
  <c r="BJ29" i="27"/>
  <c r="BI68" i="14" s="1"/>
  <c r="BT58" i="14"/>
  <c r="AA5" i="34"/>
  <c r="AA10" i="14" s="1"/>
  <c r="F6" i="15" s="1"/>
  <c r="AB42" i="34"/>
  <c r="R9" i="34"/>
  <c r="R48" i="34"/>
  <c r="AA10" i="30"/>
  <c r="D6" i="29" s="1"/>
  <c r="T82" i="34"/>
  <c r="T84" i="34" s="1"/>
  <c r="T85" i="34"/>
  <c r="U80" i="34"/>
  <c r="V79" i="34"/>
  <c r="AD91" i="34"/>
  <c r="AD116" i="34"/>
  <c r="AE140" i="34"/>
  <c r="U68" i="34"/>
  <c r="U73" i="34" s="1"/>
  <c r="V67" i="34"/>
  <c r="T70" i="34"/>
  <c r="T72" i="34" s="1"/>
  <c r="AB78" i="34"/>
  <c r="T44" i="34"/>
  <c r="S49" i="34"/>
  <c r="S46" i="34"/>
  <c r="U43" i="34"/>
  <c r="AG104" i="34"/>
  <c r="AE128" i="34"/>
  <c r="AE152" i="34"/>
  <c r="S144" i="34"/>
  <c r="S146" i="34" s="1"/>
  <c r="S147" i="34"/>
  <c r="T142" i="34"/>
  <c r="U141" i="34"/>
  <c r="T118" i="34"/>
  <c r="U117" i="34"/>
  <c r="S120" i="34"/>
  <c r="S122" i="34" s="1"/>
  <c r="S123" i="34"/>
  <c r="S156" i="34"/>
  <c r="S158" i="34" s="1"/>
  <c r="S159" i="34"/>
  <c r="T154" i="34"/>
  <c r="U153" i="34"/>
  <c r="S108" i="34"/>
  <c r="S110" i="34" s="1"/>
  <c r="S111" i="34"/>
  <c r="T106" i="34"/>
  <c r="U105" i="34"/>
  <c r="T58" i="34"/>
  <c r="T60" i="34" s="1"/>
  <c r="T61" i="34"/>
  <c r="V55" i="34"/>
  <c r="U56" i="34"/>
  <c r="S132" i="34"/>
  <c r="S134" i="34" s="1"/>
  <c r="S135" i="34"/>
  <c r="T130" i="34"/>
  <c r="U129" i="34"/>
  <c r="R7" i="34"/>
  <c r="S33" i="34"/>
  <c r="S6" i="34" s="1"/>
  <c r="R36" i="34"/>
  <c r="T95" i="34"/>
  <c r="T97" i="34" s="1"/>
  <c r="T98" i="34"/>
  <c r="U93" i="34"/>
  <c r="V92" i="34"/>
  <c r="AJ164" i="34"/>
  <c r="AD54" i="34"/>
  <c r="T166" i="34"/>
  <c r="U165" i="34"/>
  <c r="S171" i="34"/>
  <c r="S168" i="34"/>
  <c r="S170" i="34" s="1"/>
  <c r="AD66" i="34"/>
  <c r="BU183" i="34" l="1"/>
  <c r="BU180" i="34"/>
  <c r="BU182" i="34" s="1"/>
  <c r="BW177" i="34"/>
  <c r="BV178" i="34"/>
  <c r="AB5" i="34"/>
  <c r="BP10" i="27"/>
  <c r="BO12" i="27"/>
  <c r="BK29" i="27"/>
  <c r="BJ68" i="14" s="1"/>
  <c r="BK27" i="27"/>
  <c r="BK31" i="27"/>
  <c r="BU58" i="14"/>
  <c r="AC42" i="34"/>
  <c r="S34" i="34"/>
  <c r="S36" i="34" s="1"/>
  <c r="S8" i="34" s="1"/>
  <c r="S9" i="34"/>
  <c r="S11" i="30"/>
  <c r="R12" i="30"/>
  <c r="S48" i="34"/>
  <c r="AB10" i="14"/>
  <c r="AB10" i="30"/>
  <c r="R17" i="30"/>
  <c r="T132" i="34"/>
  <c r="T134" i="34" s="1"/>
  <c r="T135" i="34"/>
  <c r="U130" i="34"/>
  <c r="V129" i="34"/>
  <c r="T46" i="34"/>
  <c r="T49" i="34"/>
  <c r="V43" i="34"/>
  <c r="U44" i="34"/>
  <c r="AC78" i="34"/>
  <c r="AE116" i="34"/>
  <c r="AF65" i="34"/>
  <c r="AE66" i="34"/>
  <c r="U118" i="34"/>
  <c r="T120" i="34"/>
  <c r="T122" i="34" s="1"/>
  <c r="V117" i="34"/>
  <c r="T123" i="34"/>
  <c r="AF128" i="34"/>
  <c r="AE91" i="34"/>
  <c r="T108" i="34"/>
  <c r="T110" i="34" s="1"/>
  <c r="U106" i="34"/>
  <c r="V105" i="34"/>
  <c r="T111" i="34"/>
  <c r="AH104" i="34"/>
  <c r="T156" i="34"/>
  <c r="T158" i="34" s="1"/>
  <c r="T159" i="34"/>
  <c r="U154" i="34"/>
  <c r="V153" i="34"/>
  <c r="V141" i="34"/>
  <c r="T144" i="34"/>
  <c r="T146" i="34" s="1"/>
  <c r="T147" i="34"/>
  <c r="U142" i="34"/>
  <c r="V56" i="34"/>
  <c r="U58" i="34"/>
  <c r="U60" i="34" s="1"/>
  <c r="W55" i="34"/>
  <c r="U61" i="34"/>
  <c r="AK164" i="34"/>
  <c r="U70" i="34"/>
  <c r="U72" i="34" s="1"/>
  <c r="V68" i="34"/>
  <c r="V73" i="34" s="1"/>
  <c r="W67" i="34"/>
  <c r="U82" i="34"/>
  <c r="U84" i="34" s="1"/>
  <c r="V80" i="34"/>
  <c r="U85" i="34"/>
  <c r="W79" i="34"/>
  <c r="AE54" i="34"/>
  <c r="R37" i="34"/>
  <c r="T168" i="34"/>
  <c r="T170" i="34" s="1"/>
  <c r="T171" i="34"/>
  <c r="U166" i="34"/>
  <c r="V165" i="34"/>
  <c r="AF140" i="34"/>
  <c r="U95" i="34"/>
  <c r="U97" i="34" s="1"/>
  <c r="U98" i="34"/>
  <c r="V93" i="34"/>
  <c r="W92" i="34"/>
  <c r="AF152" i="34"/>
  <c r="BV183" i="34" l="1"/>
  <c r="BV180" i="34"/>
  <c r="BV182" i="34" s="1"/>
  <c r="BW178" i="34"/>
  <c r="BX177" i="34"/>
  <c r="BL27" i="27"/>
  <c r="BL29" i="27"/>
  <c r="BK68" i="14" s="1"/>
  <c r="BL31" i="27"/>
  <c r="BV58" i="14"/>
  <c r="AC5" i="34"/>
  <c r="AC10" i="14" s="1"/>
  <c r="AD42" i="34"/>
  <c r="AE41" i="34"/>
  <c r="R20" i="30"/>
  <c r="T33" i="34"/>
  <c r="T6" i="34" s="1"/>
  <c r="T11" i="30" s="1"/>
  <c r="S7" i="34"/>
  <c r="T9" i="34"/>
  <c r="R74" i="30"/>
  <c r="R16" i="14"/>
  <c r="S17" i="30"/>
  <c r="S20" i="30" s="1"/>
  <c r="T48" i="34"/>
  <c r="V44" i="34"/>
  <c r="W43" i="34"/>
  <c r="U49" i="34"/>
  <c r="U46" i="34"/>
  <c r="V70" i="34"/>
  <c r="V72" i="34" s="1"/>
  <c r="X67" i="34"/>
  <c r="W68" i="34"/>
  <c r="W73" i="34" s="1"/>
  <c r="AI104" i="34"/>
  <c r="AF54" i="34"/>
  <c r="AG128" i="34"/>
  <c r="AG152" i="34"/>
  <c r="AL164" i="34"/>
  <c r="AG65" i="34"/>
  <c r="AF66" i="34"/>
  <c r="V58" i="34"/>
  <c r="V60" i="34" s="1"/>
  <c r="W56" i="34"/>
  <c r="X55" i="34"/>
  <c r="V61" i="34"/>
  <c r="AF91" i="34"/>
  <c r="V95" i="34"/>
  <c r="V97" i="34" s="1"/>
  <c r="V98" i="34"/>
  <c r="W93" i="34"/>
  <c r="X92" i="34"/>
  <c r="S37" i="34"/>
  <c r="S10" i="34" s="1"/>
  <c r="AF116" i="34"/>
  <c r="U132" i="34"/>
  <c r="U134" i="34" s="1"/>
  <c r="U135" i="34"/>
  <c r="V130" i="34"/>
  <c r="W129" i="34"/>
  <c r="U168" i="34"/>
  <c r="U170" i="34" s="1"/>
  <c r="U171" i="34"/>
  <c r="V166" i="34"/>
  <c r="W165" i="34"/>
  <c r="U144" i="34"/>
  <c r="U146" i="34" s="1"/>
  <c r="U147" i="34"/>
  <c r="V142" i="34"/>
  <c r="W141" i="34"/>
  <c r="AG140" i="34"/>
  <c r="X79" i="34"/>
  <c r="V85" i="34"/>
  <c r="W80" i="34"/>
  <c r="V82" i="34"/>
  <c r="V84" i="34" s="1"/>
  <c r="U156" i="34"/>
  <c r="U158" i="34" s="1"/>
  <c r="U159" i="34"/>
  <c r="V154" i="34"/>
  <c r="W153" i="34"/>
  <c r="W105" i="34"/>
  <c r="U108" i="34"/>
  <c r="U110" i="34" s="1"/>
  <c r="V106" i="34"/>
  <c r="U111" i="34"/>
  <c r="W117" i="34"/>
  <c r="V118" i="34"/>
  <c r="U120" i="34"/>
  <c r="U122" i="34" s="1"/>
  <c r="U123" i="34"/>
  <c r="AD78" i="34"/>
  <c r="BW183" i="34" l="1"/>
  <c r="BW180" i="34"/>
  <c r="BW182" i="34" s="1"/>
  <c r="BY177" i="34"/>
  <c r="BX178" i="34"/>
  <c r="AD5" i="34"/>
  <c r="BM27" i="27"/>
  <c r="BM29" i="27"/>
  <c r="BL68" i="14" s="1"/>
  <c r="BM31" i="27"/>
  <c r="BW58" i="14"/>
  <c r="AC10" i="30"/>
  <c r="AF41" i="34"/>
  <c r="AE42" i="34"/>
  <c r="S12" i="30"/>
  <c r="T34" i="34"/>
  <c r="T7" i="34" s="1"/>
  <c r="U9" i="34"/>
  <c r="U48" i="34"/>
  <c r="AD10" i="14"/>
  <c r="AD10" i="30"/>
  <c r="S74" i="30"/>
  <c r="X80" i="34"/>
  <c r="Y79" i="34"/>
  <c r="W85" i="34"/>
  <c r="W82" i="34"/>
  <c r="W84" i="34" s="1"/>
  <c r="W95" i="34"/>
  <c r="W97" i="34" s="1"/>
  <c r="W98" i="34"/>
  <c r="X93" i="34"/>
  <c r="Y92" i="34"/>
  <c r="AH128" i="34"/>
  <c r="Y67" i="34"/>
  <c r="W70" i="34"/>
  <c r="W72" i="34" s="1"/>
  <c r="X68" i="34"/>
  <c r="X73" i="34" s="1"/>
  <c r="AE78" i="34"/>
  <c r="V132" i="34"/>
  <c r="V134" i="34" s="1"/>
  <c r="V135" i="34"/>
  <c r="W130" i="34"/>
  <c r="X129" i="34"/>
  <c r="AH65" i="34"/>
  <c r="AG66" i="34"/>
  <c r="AG54" i="34"/>
  <c r="V144" i="34"/>
  <c r="V146" i="34" s="1"/>
  <c r="V147" i="34"/>
  <c r="W142" i="34"/>
  <c r="X141" i="34"/>
  <c r="Y55" i="34"/>
  <c r="W58" i="34"/>
  <c r="W60" i="34" s="1"/>
  <c r="X56" i="34"/>
  <c r="W61" i="34"/>
  <c r="W106" i="34"/>
  <c r="X105" i="34"/>
  <c r="V111" i="34"/>
  <c r="V108" i="34"/>
  <c r="V110" i="34" s="1"/>
  <c r="V171" i="34"/>
  <c r="V168" i="34"/>
  <c r="V170" i="34" s="1"/>
  <c r="W166" i="34"/>
  <c r="X165" i="34"/>
  <c r="AG116" i="34"/>
  <c r="AG91" i="34"/>
  <c r="AH140" i="34"/>
  <c r="X153" i="34"/>
  <c r="V156" i="34"/>
  <c r="V158" i="34" s="1"/>
  <c r="W154" i="34"/>
  <c r="V159" i="34"/>
  <c r="W118" i="34"/>
  <c r="V120" i="34"/>
  <c r="V122" i="34" s="1"/>
  <c r="V123" i="34"/>
  <c r="X117" i="34"/>
  <c r="AH152" i="34"/>
  <c r="AJ104" i="34"/>
  <c r="V46" i="34"/>
  <c r="V49" i="34"/>
  <c r="W44" i="34"/>
  <c r="X43" i="34"/>
  <c r="BZ177" i="34" l="1"/>
  <c r="BX180" i="34"/>
  <c r="BX182" i="34" s="1"/>
  <c r="BY178" i="34"/>
  <c r="BX183" i="34"/>
  <c r="BN29" i="27"/>
  <c r="BM68" i="14" s="1"/>
  <c r="I54" i="15" s="1"/>
  <c r="BN27" i="27"/>
  <c r="BN31" i="27"/>
  <c r="BX58" i="14"/>
  <c r="AE5" i="34"/>
  <c r="AE10" i="14" s="1"/>
  <c r="AG41" i="34"/>
  <c r="AF42" i="34"/>
  <c r="U33" i="34"/>
  <c r="U6" i="34" s="1"/>
  <c r="T36" i="34"/>
  <c r="T8" i="34" s="1"/>
  <c r="T17" i="30" s="1"/>
  <c r="T69" i="30" s="1"/>
  <c r="V9" i="34"/>
  <c r="T12" i="30"/>
  <c r="V48" i="34"/>
  <c r="AH91" i="34"/>
  <c r="AI152" i="34"/>
  <c r="AF78" i="34"/>
  <c r="Z92" i="34"/>
  <c r="X95" i="34"/>
  <c r="X97" i="34" s="1"/>
  <c r="X98" i="34"/>
  <c r="Y93" i="34"/>
  <c r="W46" i="34"/>
  <c r="W49" i="34"/>
  <c r="X44" i="34"/>
  <c r="Y43" i="34"/>
  <c r="W108" i="34"/>
  <c r="W110" i="34" s="1"/>
  <c r="W111" i="34"/>
  <c r="X106" i="34"/>
  <c r="Y105" i="34"/>
  <c r="W144" i="34"/>
  <c r="W146" i="34" s="1"/>
  <c r="W147" i="34"/>
  <c r="X142" i="34"/>
  <c r="Y141" i="34"/>
  <c r="X154" i="34"/>
  <c r="Y153" i="34"/>
  <c r="W156" i="34"/>
  <c r="W158" i="34" s="1"/>
  <c r="W159" i="34"/>
  <c r="Z67" i="34"/>
  <c r="X70" i="34"/>
  <c r="X72" i="34" s="1"/>
  <c r="Y68" i="34"/>
  <c r="Y73" i="34" s="1"/>
  <c r="AH116" i="34"/>
  <c r="AI140" i="34"/>
  <c r="W168" i="34"/>
  <c r="W170" i="34" s="1"/>
  <c r="W171" i="34"/>
  <c r="X166" i="34"/>
  <c r="Y165" i="34"/>
  <c r="AH54" i="34"/>
  <c r="AI65" i="34"/>
  <c r="AH66" i="34"/>
  <c r="Y56" i="34"/>
  <c r="Z55" i="34"/>
  <c r="X61" i="34"/>
  <c r="X58" i="34"/>
  <c r="X60" i="34" s="1"/>
  <c r="AK104" i="34"/>
  <c r="Y117" i="34"/>
  <c r="W120" i="34"/>
  <c r="W122" i="34" s="1"/>
  <c r="W123" i="34"/>
  <c r="X118" i="34"/>
  <c r="W132" i="34"/>
  <c r="W134" i="34" s="1"/>
  <c r="W135" i="34"/>
  <c r="Y129" i="34"/>
  <c r="X130" i="34"/>
  <c r="AI128" i="34"/>
  <c r="X82" i="34"/>
  <c r="X84" i="34" s="1"/>
  <c r="X85" i="34"/>
  <c r="Y80" i="34"/>
  <c r="Z79" i="34"/>
  <c r="BZ178" i="34" l="1"/>
  <c r="CA177" i="34"/>
  <c r="BY183" i="34"/>
  <c r="BY180" i="34"/>
  <c r="BY182" i="34" s="1"/>
  <c r="BO27" i="27"/>
  <c r="BY58" i="14"/>
  <c r="AE10" i="30"/>
  <c r="AF5" i="34"/>
  <c r="AF10" i="30" s="1"/>
  <c r="AH41" i="34"/>
  <c r="AG42" i="34"/>
  <c r="T20" i="30"/>
  <c r="U34" i="34"/>
  <c r="U36" i="34" s="1"/>
  <c r="U11" i="30"/>
  <c r="T37" i="34"/>
  <c r="T10" i="34" s="1"/>
  <c r="W9" i="34"/>
  <c r="W48" i="34"/>
  <c r="AF10" i="14"/>
  <c r="AI66" i="34"/>
  <c r="AJ65" i="34"/>
  <c r="AG78" i="34"/>
  <c r="AH77" i="34"/>
  <c r="X46" i="34"/>
  <c r="Z43" i="34"/>
  <c r="Y44" i="34"/>
  <c r="X49" i="34"/>
  <c r="AJ152" i="34"/>
  <c r="X171" i="34"/>
  <c r="X168" i="34"/>
  <c r="X170" i="34" s="1"/>
  <c r="Z165" i="34"/>
  <c r="Y166" i="34"/>
  <c r="AL104" i="34"/>
  <c r="X144" i="34"/>
  <c r="X146" i="34" s="1"/>
  <c r="X147" i="34"/>
  <c r="Y142" i="34"/>
  <c r="Z141" i="34"/>
  <c r="AI54" i="34"/>
  <c r="AI116" i="34"/>
  <c r="Z93" i="34"/>
  <c r="AA92" i="34"/>
  <c r="Y95" i="34"/>
  <c r="Y97" i="34" s="1"/>
  <c r="Y98" i="34"/>
  <c r="AJ140" i="34"/>
  <c r="Y58" i="34"/>
  <c r="Y60" i="34" s="1"/>
  <c r="Y61" i="34"/>
  <c r="Z56" i="34"/>
  <c r="AA55" i="34"/>
  <c r="X156" i="34"/>
  <c r="X158" i="34" s="1"/>
  <c r="X159" i="34"/>
  <c r="Y154" i="34"/>
  <c r="Z153" i="34"/>
  <c r="X108" i="34"/>
  <c r="X110" i="34" s="1"/>
  <c r="X111" i="34"/>
  <c r="Y106" i="34"/>
  <c r="Z105" i="34"/>
  <c r="Z129" i="34"/>
  <c r="X132" i="34"/>
  <c r="X134" i="34" s="1"/>
  <c r="X135" i="34"/>
  <c r="Y130" i="34"/>
  <c r="Y82" i="34"/>
  <c r="Y84" i="34" s="1"/>
  <c r="Y85" i="34"/>
  <c r="Z80" i="34"/>
  <c r="AA79" i="34"/>
  <c r="Z117" i="34"/>
  <c r="X120" i="34"/>
  <c r="X122" i="34" s="1"/>
  <c r="X123" i="34"/>
  <c r="Y118" i="34"/>
  <c r="AJ128" i="34"/>
  <c r="Z68" i="34"/>
  <c r="Z73" i="34" s="1"/>
  <c r="AA67" i="34"/>
  <c r="Y70" i="34"/>
  <c r="Y72" i="34" s="1"/>
  <c r="AI91" i="34"/>
  <c r="CA178" i="34" l="1"/>
  <c r="CB177" i="34"/>
  <c r="BZ183" i="34"/>
  <c r="BZ180" i="34"/>
  <c r="BZ182" i="34" s="1"/>
  <c r="BP27" i="27"/>
  <c r="BP29" i="27"/>
  <c r="BO68" i="14" s="1"/>
  <c r="BP31" i="27"/>
  <c r="BO31" i="27"/>
  <c r="BO29" i="27"/>
  <c r="BN68" i="14" s="1"/>
  <c r="BZ58" i="14"/>
  <c r="J44" i="15"/>
  <c r="AG5" i="34"/>
  <c r="AG10" i="30" s="1"/>
  <c r="AH42" i="34"/>
  <c r="AI41" i="34"/>
  <c r="U7" i="34"/>
  <c r="U12" i="30" s="1"/>
  <c r="V33" i="34"/>
  <c r="V6" i="34" s="1"/>
  <c r="T74" i="30"/>
  <c r="U17" i="30"/>
  <c r="U20" i="30" s="1"/>
  <c r="X9" i="34"/>
  <c r="X48" i="34"/>
  <c r="AA117" i="34"/>
  <c r="Y120" i="34"/>
  <c r="Y122" i="34" s="1"/>
  <c r="Y123" i="34"/>
  <c r="Z118" i="34"/>
  <c r="AJ54" i="34"/>
  <c r="AJ91" i="34"/>
  <c r="AA43" i="34"/>
  <c r="Y49" i="34"/>
  <c r="Z44" i="34"/>
  <c r="Y46" i="34"/>
  <c r="AA141" i="34"/>
  <c r="Y144" i="34"/>
  <c r="Y146" i="34" s="1"/>
  <c r="Z142" i="34"/>
  <c r="Y147" i="34"/>
  <c r="Z130" i="34"/>
  <c r="AA129" i="34"/>
  <c r="Y132" i="34"/>
  <c r="Y134" i="34" s="1"/>
  <c r="Y135" i="34"/>
  <c r="AH78" i="34"/>
  <c r="AI77" i="34"/>
  <c r="Y108" i="34"/>
  <c r="Y110" i="34" s="1"/>
  <c r="Y111" i="34"/>
  <c r="Z106" i="34"/>
  <c r="AA105" i="34"/>
  <c r="Z82" i="34"/>
  <c r="Z84" i="34" s="1"/>
  <c r="Z85" i="34"/>
  <c r="AA80" i="34"/>
  <c r="AB79" i="34"/>
  <c r="U37" i="34"/>
  <c r="U10" i="34" s="1"/>
  <c r="AA165" i="34"/>
  <c r="Y168" i="34"/>
  <c r="Y170" i="34" s="1"/>
  <c r="Z166" i="34"/>
  <c r="Y171" i="34"/>
  <c r="Z58" i="34"/>
  <c r="Z60" i="34" s="1"/>
  <c r="Z61" i="34"/>
  <c r="AA56" i="34"/>
  <c r="AB55" i="34"/>
  <c r="AA68" i="34"/>
  <c r="AA73" i="34" s="1"/>
  <c r="AB67" i="34"/>
  <c r="Z70" i="34"/>
  <c r="Z72" i="34" s="1"/>
  <c r="Z95" i="34"/>
  <c r="Z97" i="34" s="1"/>
  <c r="Z98" i="34"/>
  <c r="AA93" i="34"/>
  <c r="AB92" i="34"/>
  <c r="AK128" i="34"/>
  <c r="AK140" i="34"/>
  <c r="AK115" i="34"/>
  <c r="AJ116" i="34"/>
  <c r="AM104" i="34"/>
  <c r="AJ66" i="34"/>
  <c r="AK65" i="34"/>
  <c r="Y156" i="34"/>
  <c r="Y158" i="34" s="1"/>
  <c r="Y159" i="34"/>
  <c r="Z154" i="34"/>
  <c r="AA153" i="34"/>
  <c r="CC177" i="34" l="1"/>
  <c r="CA183" i="34"/>
  <c r="CA180" i="34"/>
  <c r="CA182" i="34" s="1"/>
  <c r="CB178" i="34"/>
  <c r="BQ29" i="27"/>
  <c r="BP68" i="14" s="1"/>
  <c r="BQ27" i="27"/>
  <c r="BQ31" i="27"/>
  <c r="CA58" i="14"/>
  <c r="AG10" i="14"/>
  <c r="AH5" i="34"/>
  <c r="AH10" i="14" s="1"/>
  <c r="V34" i="34"/>
  <c r="V7" i="34" s="1"/>
  <c r="V12" i="14" s="1"/>
  <c r="V11" i="30"/>
  <c r="AJ41" i="34"/>
  <c r="AI42" i="34"/>
  <c r="U12" i="14"/>
  <c r="V36" i="34"/>
  <c r="V17" i="30" s="1"/>
  <c r="V20" i="30" s="1"/>
  <c r="W33" i="34"/>
  <c r="W6" i="34" s="1"/>
  <c r="Y9" i="34"/>
  <c r="U74" i="30"/>
  <c r="Y48" i="34"/>
  <c r="Z108" i="34"/>
  <c r="Z110" i="34" s="1"/>
  <c r="Z111" i="34"/>
  <c r="AA106" i="34"/>
  <c r="AB105" i="34"/>
  <c r="Z156" i="34"/>
  <c r="Z158" i="34" s="1"/>
  <c r="Z159" i="34"/>
  <c r="AA154" i="34"/>
  <c r="AB153" i="34"/>
  <c r="AB43" i="34"/>
  <c r="Z46" i="34"/>
  <c r="AA44" i="34"/>
  <c r="Z49" i="34"/>
  <c r="AK54" i="34"/>
  <c r="AK116" i="34"/>
  <c r="AL115" i="34"/>
  <c r="AL140" i="34"/>
  <c r="Z132" i="34"/>
  <c r="Z134" i="34" s="1"/>
  <c r="Z135" i="34"/>
  <c r="AA130" i="34"/>
  <c r="AB129" i="34"/>
  <c r="AA118" i="34"/>
  <c r="AB117" i="34"/>
  <c r="Z120" i="34"/>
  <c r="Z122" i="34" s="1"/>
  <c r="Z123" i="34"/>
  <c r="AC67" i="34"/>
  <c r="AB68" i="34"/>
  <c r="AB73" i="34" s="1"/>
  <c r="AA70" i="34"/>
  <c r="AA72" i="34" s="1"/>
  <c r="AI78" i="34"/>
  <c r="AJ77" i="34"/>
  <c r="AK66" i="34"/>
  <c r="AL65" i="34"/>
  <c r="AL128" i="34"/>
  <c r="AA82" i="34"/>
  <c r="AA84" i="34" s="1"/>
  <c r="AA85" i="34"/>
  <c r="AB80" i="34"/>
  <c r="AC79" i="34"/>
  <c r="AA142" i="34"/>
  <c r="AB141" i="34"/>
  <c r="Z144" i="34"/>
  <c r="Z146" i="34" s="1"/>
  <c r="Z147" i="34"/>
  <c r="AN104" i="34"/>
  <c r="AA58" i="34"/>
  <c r="AA60" i="34" s="1"/>
  <c r="AA61" i="34"/>
  <c r="AB56" i="34"/>
  <c r="AC55" i="34"/>
  <c r="AB165" i="34"/>
  <c r="Z171" i="34"/>
  <c r="Z168" i="34"/>
  <c r="Z170" i="34" s="1"/>
  <c r="AA166" i="34"/>
  <c r="AK91" i="34"/>
  <c r="AA95" i="34"/>
  <c r="AA97" i="34" s="1"/>
  <c r="AA98" i="34"/>
  <c r="AB93" i="34"/>
  <c r="AC92" i="34"/>
  <c r="CD177" i="34" l="1"/>
  <c r="CB183" i="34"/>
  <c r="CB180" i="34"/>
  <c r="CB182" i="34" s="1"/>
  <c r="CC178" i="34"/>
  <c r="BR29" i="27"/>
  <c r="BQ68" i="14" s="1"/>
  <c r="BR27" i="27"/>
  <c r="BR31" i="27"/>
  <c r="AH10" i="30"/>
  <c r="CB58" i="14"/>
  <c r="V12" i="30"/>
  <c r="AI5" i="34"/>
  <c r="AI10" i="30" s="1"/>
  <c r="AJ42" i="34"/>
  <c r="AK41" i="34"/>
  <c r="W34" i="34"/>
  <c r="W7" i="34" s="1"/>
  <c r="W11" i="30"/>
  <c r="V37" i="34"/>
  <c r="V10" i="34" s="1"/>
  <c r="V74" i="30" s="1"/>
  <c r="Z9" i="34"/>
  <c r="Z48" i="34"/>
  <c r="AM128" i="34"/>
  <c r="AM140" i="34"/>
  <c r="AL54" i="34"/>
  <c r="AA156" i="34"/>
  <c r="AA158" i="34" s="1"/>
  <c r="AA159" i="34"/>
  <c r="AB154" i="34"/>
  <c r="AC153" i="34"/>
  <c r="AB166" i="34"/>
  <c r="AC165" i="34"/>
  <c r="AA171" i="34"/>
  <c r="AA168" i="34"/>
  <c r="AA170" i="34" s="1"/>
  <c r="AO104" i="34"/>
  <c r="AL116" i="34"/>
  <c r="AM115" i="34"/>
  <c r="AB118" i="34"/>
  <c r="AC117" i="34"/>
  <c r="AA120" i="34"/>
  <c r="AA122" i="34" s="1"/>
  <c r="AA123" i="34"/>
  <c r="AB44" i="34"/>
  <c r="AA46" i="34"/>
  <c r="AC43" i="34"/>
  <c r="AA49" i="34"/>
  <c r="AR164" i="34"/>
  <c r="AS163" i="34"/>
  <c r="AB82" i="34"/>
  <c r="AB84" i="34" s="1"/>
  <c r="AB85" i="34"/>
  <c r="AC80" i="34"/>
  <c r="AD79" i="34"/>
  <c r="AA132" i="34"/>
  <c r="AA134" i="34" s="1"/>
  <c r="AA135" i="34"/>
  <c r="AB130" i="34"/>
  <c r="AC129" i="34"/>
  <c r="AA108" i="34"/>
  <c r="AA110" i="34" s="1"/>
  <c r="AA111" i="34"/>
  <c r="AB106" i="34"/>
  <c r="AC105" i="34"/>
  <c r="AA144" i="34"/>
  <c r="AA146" i="34" s="1"/>
  <c r="AA147" i="34"/>
  <c r="AB142" i="34"/>
  <c r="AC141" i="34"/>
  <c r="AL91" i="34"/>
  <c r="AM65" i="34"/>
  <c r="AL66" i="34"/>
  <c r="AK77" i="34"/>
  <c r="AK78" i="34" s="1"/>
  <c r="AJ78" i="34"/>
  <c r="AB95" i="34"/>
  <c r="AB97" i="34" s="1"/>
  <c r="AB98" i="34"/>
  <c r="AC93" i="34"/>
  <c r="AD92" i="34"/>
  <c r="AC68" i="34"/>
  <c r="AC73" i="34" s="1"/>
  <c r="AD67" i="34"/>
  <c r="AB70" i="34"/>
  <c r="AB72" i="34" s="1"/>
  <c r="AB58" i="34"/>
  <c r="AB60" i="34" s="1"/>
  <c r="AB61" i="34"/>
  <c r="AD55" i="34"/>
  <c r="AC56" i="34"/>
  <c r="W36" i="34"/>
  <c r="CC183" i="34" l="1"/>
  <c r="CD178" i="34"/>
  <c r="CE177" i="34"/>
  <c r="CC180" i="34"/>
  <c r="CC182" i="34" s="1"/>
  <c r="X33" i="34"/>
  <c r="X6" i="34" s="1"/>
  <c r="BS27" i="27"/>
  <c r="BS29" i="27"/>
  <c r="BR68" i="14" s="1"/>
  <c r="BS31" i="27"/>
  <c r="CC58" i="14"/>
  <c r="AJ5" i="34"/>
  <c r="AJ10" i="14" s="1"/>
  <c r="AI10" i="14"/>
  <c r="AK42" i="34"/>
  <c r="AK5" i="34" s="1"/>
  <c r="AK10" i="30" s="1"/>
  <c r="AL41" i="34"/>
  <c r="W17" i="30"/>
  <c r="W20" i="30" s="1"/>
  <c r="AA9" i="34"/>
  <c r="F56" i="15" s="1"/>
  <c r="X11" i="30"/>
  <c r="AA48" i="34"/>
  <c r="W12" i="30"/>
  <c r="W12" i="14"/>
  <c r="AB144" i="34"/>
  <c r="AB146" i="34" s="1"/>
  <c r="AB147" i="34"/>
  <c r="AC142" i="34"/>
  <c r="AD141" i="34"/>
  <c r="X34" i="34"/>
  <c r="AB168" i="34"/>
  <c r="AB170" i="34" s="1"/>
  <c r="AB171" i="34"/>
  <c r="AC166" i="34"/>
  <c r="AD165" i="34"/>
  <c r="AM54" i="34"/>
  <c r="AM66" i="34"/>
  <c r="AN65" i="34"/>
  <c r="AB111" i="34"/>
  <c r="AB108" i="34"/>
  <c r="AB110" i="34" s="1"/>
  <c r="AC106" i="34"/>
  <c r="AD105" i="34"/>
  <c r="AC82" i="34"/>
  <c r="AC84" i="34" s="1"/>
  <c r="AE79" i="34"/>
  <c r="AD80" i="34"/>
  <c r="AC85" i="34"/>
  <c r="AB46" i="34"/>
  <c r="AB49" i="34"/>
  <c r="AD43" i="34"/>
  <c r="AC44" i="34"/>
  <c r="AM116" i="34"/>
  <c r="AN115" i="34"/>
  <c r="AN140" i="34"/>
  <c r="AB132" i="34"/>
  <c r="AB134" i="34" s="1"/>
  <c r="AB135" i="34"/>
  <c r="AC130" i="34"/>
  <c r="AD129" i="34"/>
  <c r="AC70" i="34"/>
  <c r="AC72" i="34" s="1"/>
  <c r="AD68" i="34"/>
  <c r="AD73" i="34" s="1"/>
  <c r="AE67" i="34"/>
  <c r="AC95" i="34"/>
  <c r="AC97" i="34" s="1"/>
  <c r="AC98" i="34"/>
  <c r="AD93" i="34"/>
  <c r="AE92" i="34"/>
  <c r="AM91" i="34"/>
  <c r="AC118" i="34"/>
  <c r="AD117" i="34"/>
  <c r="AB123" i="34"/>
  <c r="AB120" i="34"/>
  <c r="AB122" i="34" s="1"/>
  <c r="W37" i="34"/>
  <c r="W10" i="34" s="1"/>
  <c r="AD56" i="34"/>
  <c r="AC61" i="34"/>
  <c r="AC58" i="34"/>
  <c r="AC60" i="34" s="1"/>
  <c r="AE55" i="34"/>
  <c r="AP104" i="34"/>
  <c r="AS164" i="34"/>
  <c r="AT163" i="34"/>
  <c r="AB156" i="34"/>
  <c r="AB158" i="34" s="1"/>
  <c r="AB159" i="34"/>
  <c r="AC154" i="34"/>
  <c r="AD153" i="34"/>
  <c r="AN128" i="34"/>
  <c r="CD183" i="34" l="1"/>
  <c r="CD180" i="34"/>
  <c r="CD182" i="34" s="1"/>
  <c r="CE178" i="34"/>
  <c r="CF177" i="34"/>
  <c r="BT27" i="27"/>
  <c r="BT29" i="27"/>
  <c r="BS68" i="14" s="1"/>
  <c r="BT31" i="27"/>
  <c r="AJ10" i="30"/>
  <c r="CD58" i="14"/>
  <c r="AK10" i="14"/>
  <c r="AL42" i="34"/>
  <c r="AL5" i="34" s="1"/>
  <c r="AL10" i="14" s="1"/>
  <c r="AM41" i="34"/>
  <c r="AB9" i="34"/>
  <c r="AB48" i="34"/>
  <c r="W74" i="30"/>
  <c r="AD70" i="34"/>
  <c r="AD72" i="34" s="1"/>
  <c r="AE68" i="34"/>
  <c r="AE73" i="34" s="1"/>
  <c r="AF67" i="34"/>
  <c r="AN66" i="34"/>
  <c r="AO65" i="34"/>
  <c r="AF79" i="34"/>
  <c r="AE80" i="34"/>
  <c r="AD85" i="34"/>
  <c r="AD82" i="34"/>
  <c r="AD84" i="34" s="1"/>
  <c r="X7" i="34"/>
  <c r="Y33" i="34"/>
  <c r="Y6" i="34" s="1"/>
  <c r="X36" i="34"/>
  <c r="AD58" i="34"/>
  <c r="AD60" i="34" s="1"/>
  <c r="AD61" i="34"/>
  <c r="AE56" i="34"/>
  <c r="AF55" i="34"/>
  <c r="AN91" i="34"/>
  <c r="AO115" i="34"/>
  <c r="AN116" i="34"/>
  <c r="AN54" i="34"/>
  <c r="AC156" i="34"/>
  <c r="AC158" i="34" s="1"/>
  <c r="AC159" i="34"/>
  <c r="AD154" i="34"/>
  <c r="AE153" i="34"/>
  <c r="AD44" i="34"/>
  <c r="AE43" i="34"/>
  <c r="AC49" i="34"/>
  <c r="AC46" i="34"/>
  <c r="AE117" i="34"/>
  <c r="AC123" i="34"/>
  <c r="AD118" i="34"/>
  <c r="AC120" i="34"/>
  <c r="AC122" i="34" s="1"/>
  <c r="AO128" i="34"/>
  <c r="AE105" i="34"/>
  <c r="AC111" i="34"/>
  <c r="AC108" i="34"/>
  <c r="AC110" i="34" s="1"/>
  <c r="AD106" i="34"/>
  <c r="AC168" i="34"/>
  <c r="AC170" i="34" s="1"/>
  <c r="AC171" i="34"/>
  <c r="AD166" i="34"/>
  <c r="AE165" i="34"/>
  <c r="AC144" i="34"/>
  <c r="AC146" i="34" s="1"/>
  <c r="AC147" i="34"/>
  <c r="AD142" i="34"/>
  <c r="AE141" i="34"/>
  <c r="AT164" i="34"/>
  <c r="AU163" i="34"/>
  <c r="AC132" i="34"/>
  <c r="AC134" i="34" s="1"/>
  <c r="AC135" i="34"/>
  <c r="AD130" i="34"/>
  <c r="AE129" i="34"/>
  <c r="AD95" i="34"/>
  <c r="AD97" i="34" s="1"/>
  <c r="AD98" i="34"/>
  <c r="AE93" i="34"/>
  <c r="AF92" i="34"/>
  <c r="AQ104" i="34"/>
  <c r="AO140" i="34"/>
  <c r="CE180" i="34" l="1"/>
  <c r="CE182" i="34" s="1"/>
  <c r="CF178" i="34"/>
  <c r="CG177" i="34"/>
  <c r="CE183" i="34"/>
  <c r="BU29" i="27"/>
  <c r="BT68" i="14" s="1"/>
  <c r="BU27" i="27"/>
  <c r="BU31" i="27"/>
  <c r="CE58" i="14"/>
  <c r="AL10" i="30"/>
  <c r="AN41" i="34"/>
  <c r="AM42" i="34"/>
  <c r="AM5" i="34" s="1"/>
  <c r="AM10" i="14" s="1"/>
  <c r="Y34" i="34"/>
  <c r="Y36" i="34" s="1"/>
  <c r="X17" i="30"/>
  <c r="X20" i="30" s="1"/>
  <c r="AC9" i="34"/>
  <c r="Y11" i="14"/>
  <c r="Y11" i="30"/>
  <c r="AC48" i="34"/>
  <c r="X12" i="14"/>
  <c r="X12" i="30"/>
  <c r="AE95" i="34"/>
  <c r="AE97" i="34" s="1"/>
  <c r="AE98" i="34"/>
  <c r="AF93" i="34"/>
  <c r="AG92" i="34"/>
  <c r="AO54" i="34"/>
  <c r="AP152" i="34"/>
  <c r="AF153" i="34"/>
  <c r="AE154" i="34"/>
  <c r="AD159" i="34"/>
  <c r="AD156" i="34"/>
  <c r="AD158" i="34" s="1"/>
  <c r="X37" i="34"/>
  <c r="X10" i="34" s="1"/>
  <c r="AP65" i="34"/>
  <c r="AO66" i="34"/>
  <c r="AG55" i="34"/>
  <c r="AE61" i="34"/>
  <c r="AE58" i="34"/>
  <c r="AE60" i="34" s="1"/>
  <c r="AF56" i="34"/>
  <c r="AD46" i="34"/>
  <c r="AD49" i="34"/>
  <c r="AE44" i="34"/>
  <c r="AF43" i="34"/>
  <c r="AE106" i="34"/>
  <c r="AF105" i="34"/>
  <c r="AD111" i="34"/>
  <c r="AD108" i="34"/>
  <c r="AD110" i="34" s="1"/>
  <c r="AO116" i="34"/>
  <c r="AP115" i="34"/>
  <c r="AP128" i="34"/>
  <c r="AF80" i="34"/>
  <c r="AG79" i="34"/>
  <c r="AE85" i="34"/>
  <c r="AE82" i="34"/>
  <c r="AE84" i="34" s="1"/>
  <c r="AE118" i="34"/>
  <c r="AD120" i="34"/>
  <c r="AD122" i="34" s="1"/>
  <c r="AD123" i="34"/>
  <c r="AF117" i="34"/>
  <c r="AP140" i="34"/>
  <c r="AD132" i="34"/>
  <c r="AD134" i="34" s="1"/>
  <c r="AD135" i="34"/>
  <c r="AE130" i="34"/>
  <c r="AF129" i="34"/>
  <c r="AD144" i="34"/>
  <c r="AD146" i="34" s="1"/>
  <c r="AD147" i="34"/>
  <c r="AE142" i="34"/>
  <c r="AF141" i="34"/>
  <c r="AV163" i="34"/>
  <c r="AU164" i="34"/>
  <c r="AD168" i="34"/>
  <c r="AD170" i="34" s="1"/>
  <c r="AD171" i="34"/>
  <c r="AE166" i="34"/>
  <c r="AF165" i="34"/>
  <c r="AR104" i="34"/>
  <c r="AO91" i="34"/>
  <c r="AE70" i="34"/>
  <c r="AE72" i="34" s="1"/>
  <c r="AF68" i="34"/>
  <c r="AF73" i="34" s="1"/>
  <c r="AG67" i="34"/>
  <c r="CG178" i="34" l="1"/>
  <c r="CH177" i="34"/>
  <c r="CF183" i="34"/>
  <c r="CF180" i="34"/>
  <c r="CF182" i="34" s="1"/>
  <c r="BV29" i="27"/>
  <c r="BU68" i="14" s="1"/>
  <c r="BV27" i="27"/>
  <c r="BV31" i="27"/>
  <c r="CF58" i="14"/>
  <c r="AM10" i="30"/>
  <c r="AO41" i="34"/>
  <c r="AN42" i="34"/>
  <c r="AN5" i="34" s="1"/>
  <c r="AN10" i="14" s="1"/>
  <c r="Z33" i="34"/>
  <c r="Z6" i="34" s="1"/>
  <c r="Z11" i="14" s="1"/>
  <c r="Y7" i="34"/>
  <c r="Y12" i="14" s="1"/>
  <c r="Y17" i="30"/>
  <c r="Y20" i="30" s="1"/>
  <c r="AD9" i="34"/>
  <c r="X74" i="30"/>
  <c r="AD48" i="34"/>
  <c r="AW163" i="34"/>
  <c r="AV164" i="34"/>
  <c r="AE46" i="34"/>
  <c r="AF44" i="34"/>
  <c r="AE49" i="34"/>
  <c r="AG43" i="34"/>
  <c r="AQ65" i="34"/>
  <c r="AP66" i="34"/>
  <c r="AQ140" i="34"/>
  <c r="AP116" i="34"/>
  <c r="AQ115" i="34"/>
  <c r="AP54" i="34"/>
  <c r="AQ152" i="34"/>
  <c r="AE144" i="34"/>
  <c r="AE146" i="34" s="1"/>
  <c r="AE147" i="34"/>
  <c r="AF142" i="34"/>
  <c r="AG141" i="34"/>
  <c r="AE132" i="34"/>
  <c r="AE134" i="34" s="1"/>
  <c r="AE135" i="34"/>
  <c r="AF130" i="34"/>
  <c r="AG129" i="34"/>
  <c r="AQ128" i="34"/>
  <c r="AG56" i="34"/>
  <c r="AH55" i="34"/>
  <c r="AF61" i="34"/>
  <c r="AF58" i="34"/>
  <c r="AF60" i="34" s="1"/>
  <c r="AP91" i="34"/>
  <c r="AS104" i="34"/>
  <c r="AH67" i="34"/>
  <c r="AF70" i="34"/>
  <c r="AF72" i="34" s="1"/>
  <c r="AG68" i="34"/>
  <c r="AG73" i="34" s="1"/>
  <c r="AE168" i="34"/>
  <c r="AE170" i="34" s="1"/>
  <c r="AE171" i="34"/>
  <c r="AF166" i="34"/>
  <c r="AG165" i="34"/>
  <c r="AH92" i="34"/>
  <c r="AF95" i="34"/>
  <c r="AF97" i="34" s="1"/>
  <c r="AF98" i="34"/>
  <c r="AG93" i="34"/>
  <c r="AF82" i="34"/>
  <c r="AF84" i="34" s="1"/>
  <c r="AF85" i="34"/>
  <c r="AG80" i="34"/>
  <c r="AH79" i="34"/>
  <c r="AF154" i="34"/>
  <c r="AG153" i="34"/>
  <c r="AE159" i="34"/>
  <c r="AE156" i="34"/>
  <c r="AE158" i="34" s="1"/>
  <c r="AE120" i="34"/>
  <c r="AE122" i="34" s="1"/>
  <c r="AE123" i="34"/>
  <c r="AG117" i="34"/>
  <c r="AF118" i="34"/>
  <c r="Y37" i="34"/>
  <c r="Y10" i="34" s="1"/>
  <c r="AE108" i="34"/>
  <c r="AE110" i="34" s="1"/>
  <c r="AE111" i="34"/>
  <c r="AF106" i="34"/>
  <c r="AG105" i="34"/>
  <c r="CI177" i="34" l="1"/>
  <c r="CG183" i="34"/>
  <c r="CH178" i="34"/>
  <c r="CG180" i="34"/>
  <c r="CG182" i="34" s="1"/>
  <c r="BW29" i="27"/>
  <c r="BV68" i="14" s="1"/>
  <c r="BW27" i="27"/>
  <c r="BW31" i="27"/>
  <c r="CG58" i="14"/>
  <c r="AN10" i="30"/>
  <c r="Y12" i="30"/>
  <c r="AP41" i="34"/>
  <c r="AO42" i="34"/>
  <c r="AO5" i="34" s="1"/>
  <c r="AO10" i="30" s="1"/>
  <c r="Z11" i="30"/>
  <c r="Z34" i="34"/>
  <c r="AA33" i="34" s="1"/>
  <c r="AA6" i="34" s="1"/>
  <c r="AA11" i="14" s="1"/>
  <c r="F7" i="15" s="1"/>
  <c r="AE9" i="34"/>
  <c r="AE48" i="34"/>
  <c r="Y74" i="30"/>
  <c r="AR152" i="34"/>
  <c r="AF108" i="34"/>
  <c r="AF110" i="34" s="1"/>
  <c r="AF111" i="34"/>
  <c r="AG106" i="34"/>
  <c r="AH105" i="34"/>
  <c r="AF168" i="34"/>
  <c r="AF170" i="34" s="1"/>
  <c r="AF171" i="34"/>
  <c r="AG166" i="34"/>
  <c r="AH165" i="34"/>
  <c r="AH129" i="34"/>
  <c r="AG130" i="34"/>
  <c r="AF132" i="34"/>
  <c r="AF134" i="34" s="1"/>
  <c r="AF135" i="34"/>
  <c r="AI67" i="34"/>
  <c r="AG70" i="34"/>
  <c r="AG72" i="34" s="1"/>
  <c r="AH68" i="34"/>
  <c r="AH73" i="34" s="1"/>
  <c r="AF46" i="34"/>
  <c r="AF49" i="34"/>
  <c r="AH43" i="34"/>
  <c r="AG44" i="34"/>
  <c r="AQ116" i="34"/>
  <c r="AR115" i="34"/>
  <c r="AR140" i="34"/>
  <c r="AQ91" i="34"/>
  <c r="AG58" i="34"/>
  <c r="AG60" i="34" s="1"/>
  <c r="AG61" i="34"/>
  <c r="AH56" i="34"/>
  <c r="AI55" i="34"/>
  <c r="AF144" i="34"/>
  <c r="AF146" i="34" s="1"/>
  <c r="AF147" i="34"/>
  <c r="AG142" i="34"/>
  <c r="AH141" i="34"/>
  <c r="AG82" i="34"/>
  <c r="AG84" i="34" s="1"/>
  <c r="AG85" i="34"/>
  <c r="AH80" i="34"/>
  <c r="AI79" i="34"/>
  <c r="AQ66" i="34"/>
  <c r="AR65" i="34"/>
  <c r="AH93" i="34"/>
  <c r="AI92" i="34"/>
  <c r="AG95" i="34"/>
  <c r="AG97" i="34" s="1"/>
  <c r="AG98" i="34"/>
  <c r="AF156" i="34"/>
  <c r="AF158" i="34" s="1"/>
  <c r="AF159" i="34"/>
  <c r="AG154" i="34"/>
  <c r="AH153" i="34"/>
  <c r="AT104" i="34"/>
  <c r="AR128" i="34"/>
  <c r="AW164" i="34"/>
  <c r="AX163" i="34"/>
  <c r="AQ54" i="34"/>
  <c r="AG118" i="34"/>
  <c r="AF120" i="34"/>
  <c r="AF122" i="34" s="1"/>
  <c r="AF123" i="34"/>
  <c r="AH117" i="34"/>
  <c r="CH180" i="34" l="1"/>
  <c r="CH182" i="34" s="1"/>
  <c r="CI178" i="34"/>
  <c r="CJ177" i="34"/>
  <c r="CH183" i="34"/>
  <c r="BX27" i="27"/>
  <c r="BX29" i="27"/>
  <c r="BW68" i="14" s="1"/>
  <c r="BX31" i="27"/>
  <c r="CH58" i="14"/>
  <c r="AO10" i="14"/>
  <c r="Z7" i="34"/>
  <c r="Z12" i="14" s="1"/>
  <c r="Z36" i="34"/>
  <c r="Z17" i="30" s="1"/>
  <c r="Z20" i="30" s="1"/>
  <c r="AA34" i="34"/>
  <c r="AP42" i="34"/>
  <c r="AP5" i="34" s="1"/>
  <c r="AP10" i="14" s="1"/>
  <c r="AQ41" i="34"/>
  <c r="AA11" i="30"/>
  <c r="D7" i="29" s="1"/>
  <c r="AF9" i="34"/>
  <c r="AF70" i="14" s="1"/>
  <c r="AF48" i="34"/>
  <c r="AG156" i="34"/>
  <c r="AG158" i="34" s="1"/>
  <c r="AG159" i="34"/>
  <c r="AH154" i="34"/>
  <c r="AI153" i="34"/>
  <c r="AH130" i="34"/>
  <c r="AI129" i="34"/>
  <c r="AG132" i="34"/>
  <c r="AG134" i="34" s="1"/>
  <c r="AG135" i="34"/>
  <c r="AS128" i="34"/>
  <c r="AS115" i="34"/>
  <c r="AR116" i="34"/>
  <c r="AG108" i="34"/>
  <c r="AG110" i="34" s="1"/>
  <c r="AG111" i="34"/>
  <c r="AH106" i="34"/>
  <c r="AI105" i="34"/>
  <c r="AH82" i="34"/>
  <c r="AH84" i="34" s="1"/>
  <c r="AH85" i="34"/>
  <c r="AI80" i="34"/>
  <c r="AJ79" i="34"/>
  <c r="AH58" i="34"/>
  <c r="AH60" i="34" s="1"/>
  <c r="AH61" i="34"/>
  <c r="AI56" i="34"/>
  <c r="AJ55" i="34"/>
  <c r="AU104" i="34"/>
  <c r="AJ67" i="34"/>
  <c r="AH70" i="34"/>
  <c r="AH72" i="34" s="1"/>
  <c r="AI68" i="34"/>
  <c r="AI73" i="34" s="1"/>
  <c r="AH95" i="34"/>
  <c r="AH97" i="34" s="1"/>
  <c r="AH98" i="34"/>
  <c r="AI93" i="34"/>
  <c r="AJ92" i="34"/>
  <c r="AS140" i="34"/>
  <c r="AI117" i="34"/>
  <c r="AH118" i="34"/>
  <c r="AG120" i="34"/>
  <c r="AG122" i="34" s="1"/>
  <c r="AG123" i="34"/>
  <c r="AH44" i="34"/>
  <c r="AG46" i="34"/>
  <c r="AG49" i="34"/>
  <c r="AI43" i="34"/>
  <c r="AI165" i="34"/>
  <c r="AG171" i="34"/>
  <c r="AG168" i="34"/>
  <c r="AG170" i="34" s="1"/>
  <c r="AH166" i="34"/>
  <c r="AR54" i="34"/>
  <c r="AR66" i="34"/>
  <c r="AS65" i="34"/>
  <c r="AR91" i="34"/>
  <c r="AX164" i="34"/>
  <c r="AY163" i="34"/>
  <c r="AI141" i="34"/>
  <c r="AH142" i="34"/>
  <c r="AG147" i="34"/>
  <c r="AG144" i="34"/>
  <c r="AG146" i="34" s="1"/>
  <c r="AS152" i="34"/>
  <c r="CI183" i="34" l="1"/>
  <c r="CJ178" i="34"/>
  <c r="CK177" i="34"/>
  <c r="CI180" i="34"/>
  <c r="CI182" i="34" s="1"/>
  <c r="BY27" i="27"/>
  <c r="BY29" i="27"/>
  <c r="BX68" i="14" s="1"/>
  <c r="BY31" i="27"/>
  <c r="CI58" i="14"/>
  <c r="Z12" i="30"/>
  <c r="AP10" i="30"/>
  <c r="Z37" i="34"/>
  <c r="Z10" i="34" s="1"/>
  <c r="Z74" i="30" s="1"/>
  <c r="AA7" i="34"/>
  <c r="AA36" i="34"/>
  <c r="AB33" i="34"/>
  <c r="AR41" i="34"/>
  <c r="AQ42" i="34"/>
  <c r="AQ5" i="34" s="1"/>
  <c r="AQ10" i="14" s="1"/>
  <c r="AG9" i="34"/>
  <c r="AG70" i="14" s="1"/>
  <c r="AG48" i="34"/>
  <c r="AJ43" i="34"/>
  <c r="AI44" i="34"/>
  <c r="AH49" i="34"/>
  <c r="AH46" i="34"/>
  <c r="AI82" i="34"/>
  <c r="AI84" i="34" s="1"/>
  <c r="AI85" i="34"/>
  <c r="AJ80" i="34"/>
  <c r="AK79" i="34"/>
  <c r="AS116" i="34"/>
  <c r="AT115" i="34"/>
  <c r="AT140" i="34"/>
  <c r="AJ165" i="34"/>
  <c r="AH171" i="34"/>
  <c r="AI166" i="34"/>
  <c r="AH168" i="34"/>
  <c r="AH170" i="34" s="1"/>
  <c r="AV104" i="34"/>
  <c r="AT128" i="34"/>
  <c r="AI118" i="34"/>
  <c r="AJ117" i="34"/>
  <c r="AH120" i="34"/>
  <c r="AH122" i="34" s="1"/>
  <c r="AH123" i="34"/>
  <c r="AY164" i="34"/>
  <c r="AZ163" i="34"/>
  <c r="AK67" i="34"/>
  <c r="AJ68" i="34"/>
  <c r="AJ73" i="34" s="1"/>
  <c r="AI70" i="34"/>
  <c r="AI72" i="34" s="1"/>
  <c r="AT152" i="34"/>
  <c r="AS91" i="34"/>
  <c r="AS66" i="34"/>
  <c r="AT65" i="34"/>
  <c r="AI95" i="34"/>
  <c r="AI97" i="34" s="1"/>
  <c r="AI98" i="34"/>
  <c r="AJ93" i="34"/>
  <c r="AK92" i="34"/>
  <c r="AS54" i="34"/>
  <c r="AH132" i="34"/>
  <c r="AH134" i="34" s="1"/>
  <c r="AH135" i="34"/>
  <c r="AI130" i="34"/>
  <c r="AJ129" i="34"/>
  <c r="AI58" i="34"/>
  <c r="AI60" i="34" s="1"/>
  <c r="AI61" i="34"/>
  <c r="AJ56" i="34"/>
  <c r="AK55" i="34"/>
  <c r="AH108" i="34"/>
  <c r="AH110" i="34" s="1"/>
  <c r="AH111" i="34"/>
  <c r="AI106" i="34"/>
  <c r="AJ105" i="34"/>
  <c r="AH156" i="34"/>
  <c r="AH158" i="34" s="1"/>
  <c r="AH159" i="34"/>
  <c r="AI154" i="34"/>
  <c r="AJ153" i="34"/>
  <c r="AI142" i="34"/>
  <c r="AJ141" i="34"/>
  <c r="AH147" i="34"/>
  <c r="AH144" i="34"/>
  <c r="AH146" i="34" s="1"/>
  <c r="CJ183" i="34" l="1"/>
  <c r="CJ180" i="34"/>
  <c r="CJ182" i="34" s="1"/>
  <c r="CK178" i="34"/>
  <c r="AQ10" i="30"/>
  <c r="BZ29" i="27"/>
  <c r="BY68" i="14" s="1"/>
  <c r="J54" i="15" s="1"/>
  <c r="BZ27" i="27"/>
  <c r="BZ31" i="27"/>
  <c r="CJ58" i="14"/>
  <c r="AB6" i="34"/>
  <c r="AB34" i="34"/>
  <c r="AA37" i="34"/>
  <c r="AA10" i="34" s="1"/>
  <c r="AA12" i="30"/>
  <c r="D8" i="29" s="1"/>
  <c r="AA12" i="14"/>
  <c r="F8" i="15" s="1"/>
  <c r="AR42" i="34"/>
  <c r="AR5" i="34" s="1"/>
  <c r="AR10" i="30" s="1"/>
  <c r="AS41" i="34"/>
  <c r="AH9" i="34"/>
  <c r="AH70" i="14" s="1"/>
  <c r="AH48" i="34"/>
  <c r="AU128" i="34"/>
  <c r="AZ164" i="34"/>
  <c r="BA163" i="34"/>
  <c r="AU140" i="34"/>
  <c r="AI156" i="34"/>
  <c r="AI158" i="34" s="1"/>
  <c r="AI159" i="34"/>
  <c r="AJ154" i="34"/>
  <c r="AJ58" i="34"/>
  <c r="AJ60" i="34" s="1"/>
  <c r="AJ61" i="34"/>
  <c r="AL55" i="34"/>
  <c r="AK56" i="34"/>
  <c r="AK68" i="34"/>
  <c r="AK73" i="34" s="1"/>
  <c r="AL67" i="34"/>
  <c r="AJ70" i="34"/>
  <c r="AJ72" i="34" s="1"/>
  <c r="AT54" i="34"/>
  <c r="AT91" i="34"/>
  <c r="AW104" i="34"/>
  <c r="AI132" i="34"/>
  <c r="AI134" i="34" s="1"/>
  <c r="AI135" i="34"/>
  <c r="AJ130" i="34"/>
  <c r="AK129" i="34"/>
  <c r="AU152" i="34"/>
  <c r="AU115" i="34"/>
  <c r="AT116" i="34"/>
  <c r="AI144" i="34"/>
  <c r="AI146" i="34" s="1"/>
  <c r="AI147" i="34"/>
  <c r="AJ142" i="34"/>
  <c r="AK141" i="34"/>
  <c r="AU65" i="34"/>
  <c r="AT66" i="34"/>
  <c r="AJ95" i="34"/>
  <c r="AJ97" i="34" s="1"/>
  <c r="AJ98" i="34"/>
  <c r="AK93" i="34"/>
  <c r="AL92" i="34"/>
  <c r="AI108" i="34"/>
  <c r="AI110" i="34" s="1"/>
  <c r="AI111" i="34"/>
  <c r="AK105" i="34"/>
  <c r="AJ106" i="34"/>
  <c r="AK117" i="34"/>
  <c r="AJ118" i="34"/>
  <c r="AI120" i="34"/>
  <c r="AI122" i="34" s="1"/>
  <c r="AI123" i="34"/>
  <c r="AJ166" i="34"/>
  <c r="AK165" i="34"/>
  <c r="AI171" i="34"/>
  <c r="AI168" i="34"/>
  <c r="AI170" i="34" s="1"/>
  <c r="AJ44" i="34"/>
  <c r="AI46" i="34"/>
  <c r="AI49" i="34"/>
  <c r="AK43" i="34"/>
  <c r="AJ82" i="34"/>
  <c r="AJ84" i="34" s="1"/>
  <c r="AJ85" i="34"/>
  <c r="AK80" i="34"/>
  <c r="AL79" i="34"/>
  <c r="CK183" i="34" l="1"/>
  <c r="CK180" i="34"/>
  <c r="CK182" i="34" s="1"/>
  <c r="CA29" i="27"/>
  <c r="BZ68" i="14" s="1"/>
  <c r="CA31" i="27"/>
  <c r="CA27" i="27"/>
  <c r="BA164" i="34"/>
  <c r="BB163" i="34"/>
  <c r="CK58" i="14"/>
  <c r="AR10" i="14"/>
  <c r="AA74" i="30"/>
  <c r="D63" i="29" s="1"/>
  <c r="AA16" i="14"/>
  <c r="F11" i="15" s="1"/>
  <c r="AA17" i="30"/>
  <c r="F9" i="15"/>
  <c r="AB7" i="34"/>
  <c r="AC33" i="34"/>
  <c r="AC6" i="34" s="1"/>
  <c r="AB36" i="34"/>
  <c r="AB11" i="14"/>
  <c r="AB11" i="30"/>
  <c r="AS42" i="34"/>
  <c r="AS5" i="34" s="1"/>
  <c r="AS10" i="30" s="1"/>
  <c r="AT41" i="34"/>
  <c r="AI9" i="34"/>
  <c r="AI70" i="14" s="1"/>
  <c r="AI48" i="34"/>
  <c r="AJ46" i="34"/>
  <c r="AJ49" i="34"/>
  <c r="AL43" i="34"/>
  <c r="AK44" i="34"/>
  <c r="AL56" i="34"/>
  <c r="AM55" i="34"/>
  <c r="AK61" i="34"/>
  <c r="AK58" i="34"/>
  <c r="AK60" i="34" s="1"/>
  <c r="AV140" i="34"/>
  <c r="AU91" i="34"/>
  <c r="AK106" i="34"/>
  <c r="AL105" i="34"/>
  <c r="AJ111" i="34"/>
  <c r="AJ108" i="34"/>
  <c r="AJ110" i="34" s="1"/>
  <c r="AU116" i="34"/>
  <c r="AV115" i="34"/>
  <c r="AJ132" i="34"/>
  <c r="AJ134" i="34" s="1"/>
  <c r="AJ135" i="34"/>
  <c r="AK130" i="34"/>
  <c r="AL129" i="34"/>
  <c r="AK95" i="34"/>
  <c r="AK97" i="34" s="1"/>
  <c r="AK98" i="34"/>
  <c r="AL93" i="34"/>
  <c r="AM92" i="34"/>
  <c r="AK118" i="34"/>
  <c r="AL117" i="34"/>
  <c r="AJ123" i="34"/>
  <c r="AJ120" i="34"/>
  <c r="AJ122" i="34" s="1"/>
  <c r="AK82" i="34"/>
  <c r="AK84" i="34" s="1"/>
  <c r="AM79" i="34"/>
  <c r="AL80" i="34"/>
  <c r="AK85" i="34"/>
  <c r="AV65" i="34"/>
  <c r="AU66" i="34"/>
  <c r="AV152" i="34"/>
  <c r="AU54" i="34"/>
  <c r="AJ144" i="34"/>
  <c r="AJ146" i="34" s="1"/>
  <c r="AJ147" i="34"/>
  <c r="AK142" i="34"/>
  <c r="AL141" i="34"/>
  <c r="AX104" i="34"/>
  <c r="AJ168" i="34"/>
  <c r="AJ170" i="34" s="1"/>
  <c r="AJ171" i="34"/>
  <c r="AK166" i="34"/>
  <c r="AL165" i="34"/>
  <c r="AK70" i="34"/>
  <c r="AK72" i="34" s="1"/>
  <c r="AL68" i="34"/>
  <c r="AL73" i="34" s="1"/>
  <c r="AM67" i="34"/>
  <c r="AJ156" i="34"/>
  <c r="AJ158" i="34" s="1"/>
  <c r="AJ159" i="34"/>
  <c r="AV128" i="34"/>
  <c r="CB27" i="27" l="1"/>
  <c r="CB29" i="27"/>
  <c r="CA68" i="14" s="1"/>
  <c r="CB31" i="27"/>
  <c r="BC163" i="34"/>
  <c r="BB164" i="34"/>
  <c r="K44" i="15"/>
  <c r="AS10" i="14"/>
  <c r="AC34" i="34"/>
  <c r="AB37" i="34"/>
  <c r="AB10" i="34" s="1"/>
  <c r="D10" i="29"/>
  <c r="AA20" i="30"/>
  <c r="D14" i="29" s="1"/>
  <c r="AC11" i="14"/>
  <c r="AC11" i="30"/>
  <c r="AB12" i="14"/>
  <c r="AB12" i="30"/>
  <c r="AT42" i="34"/>
  <c r="AT5" i="34" s="1"/>
  <c r="AU41" i="34"/>
  <c r="AJ9" i="34"/>
  <c r="AJ70" i="14" s="1"/>
  <c r="AJ48" i="34"/>
  <c r="AW152" i="34"/>
  <c r="AV54" i="34"/>
  <c r="AW65" i="34"/>
  <c r="AV66" i="34"/>
  <c r="AM117" i="34"/>
  <c r="AL118" i="34"/>
  <c r="AK123" i="34"/>
  <c r="AK120" i="34"/>
  <c r="AK122" i="34" s="1"/>
  <c r="AM105" i="34"/>
  <c r="AL106" i="34"/>
  <c r="AK111" i="34"/>
  <c r="AK108" i="34"/>
  <c r="AK110" i="34" s="1"/>
  <c r="AL58" i="34"/>
  <c r="AL60" i="34" s="1"/>
  <c r="AM56" i="34"/>
  <c r="AN55" i="34"/>
  <c r="AL61" i="34"/>
  <c r="AV91" i="34"/>
  <c r="AL44" i="34"/>
  <c r="AM43" i="34"/>
  <c r="AK46" i="34"/>
  <c r="AK49" i="34"/>
  <c r="AK156" i="34"/>
  <c r="AK158" i="34" s="1"/>
  <c r="AK159" i="34"/>
  <c r="AY104" i="34"/>
  <c r="AN79" i="34"/>
  <c r="AL82" i="34"/>
  <c r="AL84" i="34" s="1"/>
  <c r="AL85" i="34"/>
  <c r="AM80" i="34"/>
  <c r="AM85" i="34" s="1"/>
  <c r="AL95" i="34"/>
  <c r="AL97" i="34" s="1"/>
  <c r="AL98" i="34"/>
  <c r="AM93" i="34"/>
  <c r="AN92" i="34"/>
  <c r="AW128" i="34"/>
  <c r="AW115" i="34"/>
  <c r="AV116" i="34"/>
  <c r="AW140" i="34"/>
  <c r="AK132" i="34"/>
  <c r="AK134" i="34" s="1"/>
  <c r="AK135" i="34"/>
  <c r="AL130" i="34"/>
  <c r="AM129" i="34"/>
  <c r="AL70" i="34"/>
  <c r="AL72" i="34" s="1"/>
  <c r="AM68" i="34"/>
  <c r="AM73" i="34" s="1"/>
  <c r="AN67" i="34"/>
  <c r="AK168" i="34"/>
  <c r="AK170" i="34" s="1"/>
  <c r="AK171" i="34"/>
  <c r="AL166" i="34"/>
  <c r="AK144" i="34"/>
  <c r="AK146" i="34" s="1"/>
  <c r="AK147" i="34"/>
  <c r="AL142" i="34"/>
  <c r="AM141" i="34"/>
  <c r="CC27" i="27" l="1"/>
  <c r="BC164" i="34"/>
  <c r="BD163" i="34"/>
  <c r="AB74" i="30"/>
  <c r="AB16" i="14"/>
  <c r="AB13" i="14"/>
  <c r="AB17" i="30"/>
  <c r="AB20" i="30" s="1"/>
  <c r="AC7" i="34"/>
  <c r="AD33" i="34"/>
  <c r="AC36" i="34"/>
  <c r="AV41" i="34"/>
  <c r="AU42" i="34"/>
  <c r="AU5" i="34" s="1"/>
  <c r="AU10" i="14" s="1"/>
  <c r="AT10" i="14"/>
  <c r="AT10" i="30"/>
  <c r="AK9" i="34"/>
  <c r="AK70" i="14" s="1"/>
  <c r="AK48" i="34"/>
  <c r="AL132" i="34"/>
  <c r="AL134" i="34" s="1"/>
  <c r="AL135" i="34"/>
  <c r="AM130" i="34"/>
  <c r="AN129" i="34"/>
  <c r="AX128" i="34"/>
  <c r="AL159" i="34"/>
  <c r="AL156" i="34"/>
  <c r="AL158" i="34" s="1"/>
  <c r="AW91" i="34"/>
  <c r="AL171" i="34"/>
  <c r="AL168" i="34"/>
  <c r="AL170" i="34" s="1"/>
  <c r="AX65" i="34"/>
  <c r="AW66" i="34"/>
  <c r="AM106" i="34"/>
  <c r="AN105" i="34"/>
  <c r="AL108" i="34"/>
  <c r="AL110" i="34" s="1"/>
  <c r="AL111" i="34"/>
  <c r="AX140" i="34"/>
  <c r="AW54" i="34"/>
  <c r="AL144" i="34"/>
  <c r="AL146" i="34" s="1"/>
  <c r="AL147" i="34"/>
  <c r="AM142" i="34"/>
  <c r="AN141" i="34"/>
  <c r="AM70" i="34"/>
  <c r="AM72" i="34" s="1"/>
  <c r="AN68" i="34"/>
  <c r="AN73" i="34" s="1"/>
  <c r="AO67" i="34"/>
  <c r="AM95" i="34"/>
  <c r="AM97" i="34" s="1"/>
  <c r="AN93" i="34"/>
  <c r="AO92" i="34"/>
  <c r="AM98" i="34"/>
  <c r="AN80" i="34"/>
  <c r="AO79" i="34"/>
  <c r="AM82" i="34"/>
  <c r="AM84" i="34" s="1"/>
  <c r="BA104" i="34"/>
  <c r="AZ104" i="34"/>
  <c r="AO55" i="34"/>
  <c r="AM58" i="34"/>
  <c r="AM60" i="34" s="1"/>
  <c r="AN56" i="34"/>
  <c r="AM61" i="34"/>
  <c r="AM118" i="34"/>
  <c r="AL120" i="34"/>
  <c r="AL122" i="34" s="1"/>
  <c r="AL123" i="34"/>
  <c r="AN117" i="34"/>
  <c r="AX152" i="34"/>
  <c r="AW116" i="34"/>
  <c r="AX115" i="34"/>
  <c r="AL46" i="34"/>
  <c r="AL49" i="34"/>
  <c r="AM44" i="34"/>
  <c r="AN43" i="34"/>
  <c r="CD27" i="27" l="1"/>
  <c r="CD29" i="27"/>
  <c r="CC68" i="14" s="1"/>
  <c r="CD31" i="27"/>
  <c r="CC31" i="27"/>
  <c r="CC29" i="27"/>
  <c r="CB68" i="14" s="1"/>
  <c r="BE163" i="34"/>
  <c r="BD164" i="34"/>
  <c r="AU10" i="30"/>
  <c r="AC37" i="34"/>
  <c r="AC10" i="34" s="1"/>
  <c r="AD6" i="34"/>
  <c r="AD34" i="34"/>
  <c r="AC12" i="30"/>
  <c r="AC12" i="14"/>
  <c r="AW41" i="34"/>
  <c r="AV42" i="34"/>
  <c r="AV5" i="34" s="1"/>
  <c r="AV10" i="14" s="1"/>
  <c r="AL9" i="34"/>
  <c r="AL70" i="14" s="1"/>
  <c r="AL48" i="34"/>
  <c r="AN82" i="34"/>
  <c r="AN84" i="34" s="1"/>
  <c r="AN85" i="34"/>
  <c r="AO80" i="34"/>
  <c r="AP79" i="34"/>
  <c r="AY140" i="34"/>
  <c r="AM168" i="34"/>
  <c r="AM170" i="34" s="1"/>
  <c r="AM171" i="34"/>
  <c r="AY152" i="34"/>
  <c r="AM144" i="34"/>
  <c r="AM146" i="34" s="1"/>
  <c r="AM147" i="34"/>
  <c r="AN142" i="34"/>
  <c r="AO141" i="34"/>
  <c r="AY128" i="34"/>
  <c r="AO117" i="34"/>
  <c r="AM120" i="34"/>
  <c r="AM122" i="34" s="1"/>
  <c r="AM123" i="34"/>
  <c r="AN118" i="34"/>
  <c r="AY65" i="34"/>
  <c r="AX66" i="34"/>
  <c r="AP92" i="34"/>
  <c r="AN95" i="34"/>
  <c r="AN97" i="34" s="1"/>
  <c r="AN98" i="34"/>
  <c r="AO93" i="34"/>
  <c r="AN70" i="34"/>
  <c r="AN72" i="34" s="1"/>
  <c r="AO68" i="34"/>
  <c r="AO73" i="34" s="1"/>
  <c r="AP67" i="34"/>
  <c r="AX116" i="34"/>
  <c r="AY115" i="34"/>
  <c r="AO56" i="34"/>
  <c r="AP55" i="34"/>
  <c r="AN61" i="34"/>
  <c r="AN58" i="34"/>
  <c r="AN60" i="34" s="1"/>
  <c r="AM46" i="34"/>
  <c r="AN44" i="34"/>
  <c r="AO43" i="34"/>
  <c r="AM49" i="34"/>
  <c r="AX54" i="34"/>
  <c r="AM108" i="34"/>
  <c r="AM110" i="34" s="1"/>
  <c r="AM111" i="34"/>
  <c r="AN106" i="34"/>
  <c r="AO105" i="34"/>
  <c r="AX91" i="34"/>
  <c r="AM132" i="34"/>
  <c r="AM134" i="34" s="1"/>
  <c r="AM135" i="34"/>
  <c r="AO129" i="34"/>
  <c r="AN130" i="34"/>
  <c r="AM159" i="34"/>
  <c r="AM156" i="34"/>
  <c r="AM158" i="34" s="1"/>
  <c r="CE27" i="27" l="1"/>
  <c r="CE29" i="27"/>
  <c r="CD68" i="14" s="1"/>
  <c r="CE31" i="27"/>
  <c r="BF163" i="34"/>
  <c r="BE164" i="34"/>
  <c r="AV10" i="30"/>
  <c r="AC16" i="14"/>
  <c r="AC74" i="30"/>
  <c r="AD7" i="34"/>
  <c r="AD36" i="34"/>
  <c r="AE33" i="34"/>
  <c r="AE6" i="34" s="1"/>
  <c r="AD11" i="30"/>
  <c r="AD11" i="14"/>
  <c r="AC13" i="14"/>
  <c r="AC17" i="30"/>
  <c r="AC20" i="30" s="1"/>
  <c r="AX41" i="34"/>
  <c r="AW42" i="34"/>
  <c r="AW5" i="34" s="1"/>
  <c r="AW10" i="14" s="1"/>
  <c r="AM9" i="34"/>
  <c r="AM70" i="14" s="1"/>
  <c r="G56" i="15" s="1"/>
  <c r="AM48" i="34"/>
  <c r="AP93" i="34"/>
  <c r="AQ92" i="34"/>
  <c r="AO95" i="34"/>
  <c r="AO97" i="34" s="1"/>
  <c r="AO98" i="34"/>
  <c r="AP117" i="34"/>
  <c r="AN120" i="34"/>
  <c r="AN122" i="34" s="1"/>
  <c r="AN123" i="34"/>
  <c r="AO118" i="34"/>
  <c r="AN144" i="34"/>
  <c r="AN146" i="34" s="1"/>
  <c r="AN147" i="34"/>
  <c r="AO142" i="34"/>
  <c r="AP141" i="34"/>
  <c r="AY91" i="34"/>
  <c r="AO58" i="34"/>
  <c r="AO60" i="34" s="1"/>
  <c r="AO61" i="34"/>
  <c r="AP56" i="34"/>
  <c r="AQ55" i="34"/>
  <c r="AN156" i="34"/>
  <c r="AN158" i="34" s="1"/>
  <c r="AN159" i="34"/>
  <c r="AP153" i="34"/>
  <c r="AZ140" i="34"/>
  <c r="BA140" i="34"/>
  <c r="AY116" i="34"/>
  <c r="AZ115" i="34"/>
  <c r="BA152" i="34"/>
  <c r="AZ152" i="34"/>
  <c r="AP129" i="34"/>
  <c r="AN135" i="34"/>
  <c r="AO130" i="34"/>
  <c r="AN132" i="34"/>
  <c r="AN134" i="34" s="1"/>
  <c r="AN46" i="34"/>
  <c r="AP43" i="34"/>
  <c r="AN49" i="34"/>
  <c r="AO44" i="34"/>
  <c r="AZ128" i="34"/>
  <c r="BA128" i="34"/>
  <c r="AO82" i="34"/>
  <c r="AO84" i="34" s="1"/>
  <c r="AO85" i="34"/>
  <c r="AP80" i="34"/>
  <c r="AQ79" i="34"/>
  <c r="AY54" i="34"/>
  <c r="AN108" i="34"/>
  <c r="AN110" i="34" s="1"/>
  <c r="AN111" i="34"/>
  <c r="AO106" i="34"/>
  <c r="AP105" i="34"/>
  <c r="AO70" i="34"/>
  <c r="AO72" i="34" s="1"/>
  <c r="AP68" i="34"/>
  <c r="AP73" i="34" s="1"/>
  <c r="AQ67" i="34"/>
  <c r="AY66" i="34"/>
  <c r="AZ65" i="34"/>
  <c r="AN171" i="34"/>
  <c r="AN168" i="34"/>
  <c r="AN170" i="34" s="1"/>
  <c r="CF29" i="27" l="1"/>
  <c r="CE68" i="14" s="1"/>
  <c r="CF27" i="27"/>
  <c r="CF31" i="27"/>
  <c r="BF164" i="34"/>
  <c r="BG163" i="34"/>
  <c r="AW10" i="30"/>
  <c r="AE34" i="34"/>
  <c r="AE7" i="34" s="1"/>
  <c r="AE11" i="14"/>
  <c r="AE11" i="30"/>
  <c r="AD37" i="34"/>
  <c r="AD10" i="34" s="1"/>
  <c r="AD12" i="14"/>
  <c r="AD12" i="30"/>
  <c r="AX42" i="34"/>
  <c r="AX5" i="34" s="1"/>
  <c r="AY41" i="34"/>
  <c r="AN9" i="34"/>
  <c r="AN70" i="14" s="1"/>
  <c r="AN48" i="34"/>
  <c r="AQ117" i="34"/>
  <c r="AO120" i="34"/>
  <c r="AO122" i="34" s="1"/>
  <c r="AO123" i="34"/>
  <c r="AP118" i="34"/>
  <c r="AP82" i="34"/>
  <c r="AP84" i="34" s="1"/>
  <c r="AP85" i="34"/>
  <c r="AQ80" i="34"/>
  <c r="AR79" i="34"/>
  <c r="AR67" i="34"/>
  <c r="AP70" i="34"/>
  <c r="AP72" i="34" s="1"/>
  <c r="AQ68" i="34"/>
  <c r="AQ73" i="34" s="1"/>
  <c r="AP130" i="34"/>
  <c r="AQ129" i="34"/>
  <c r="AO135" i="34"/>
  <c r="AO132" i="34"/>
  <c r="AO134" i="34" s="1"/>
  <c r="AO156" i="34"/>
  <c r="AO158" i="34" s="1"/>
  <c r="AO159" i="34"/>
  <c r="AP154" i="34"/>
  <c r="AQ153" i="34"/>
  <c r="AZ66" i="34"/>
  <c r="BA65" i="34"/>
  <c r="AQ43" i="34"/>
  <c r="AO49" i="34"/>
  <c r="AP44" i="34"/>
  <c r="AO46" i="34"/>
  <c r="AQ141" i="34"/>
  <c r="AP142" i="34"/>
  <c r="AO147" i="34"/>
  <c r="AO144" i="34"/>
  <c r="AO146" i="34" s="1"/>
  <c r="AO171" i="34"/>
  <c r="AO168" i="34"/>
  <c r="AO170" i="34" s="1"/>
  <c r="AO108" i="34"/>
  <c r="AO110" i="34" s="1"/>
  <c r="AO111" i="34"/>
  <c r="AP106" i="34"/>
  <c r="AQ105" i="34"/>
  <c r="BA91" i="34"/>
  <c r="AZ91" i="34"/>
  <c r="BA54" i="34"/>
  <c r="AZ54" i="34"/>
  <c r="BA115" i="34"/>
  <c r="AZ116" i="34"/>
  <c r="AP58" i="34"/>
  <c r="AP60" i="34" s="1"/>
  <c r="AP61" i="34"/>
  <c r="AQ56" i="34"/>
  <c r="AR55" i="34"/>
  <c r="AP95" i="34"/>
  <c r="AP97" i="34" s="1"/>
  <c r="AP98" i="34"/>
  <c r="AQ93" i="34"/>
  <c r="AR92" i="34"/>
  <c r="CG27" i="27" l="1"/>
  <c r="BH163" i="34"/>
  <c r="BG164" i="34"/>
  <c r="BA116" i="34"/>
  <c r="BB115" i="34"/>
  <c r="BA66" i="34"/>
  <c r="BB65" i="34"/>
  <c r="AE36" i="34"/>
  <c r="AE37" i="34" s="1"/>
  <c r="AE10" i="34" s="1"/>
  <c r="AF33" i="34"/>
  <c r="AF6" i="34" s="1"/>
  <c r="AF11" i="30" s="1"/>
  <c r="AD17" i="30"/>
  <c r="AD13" i="14"/>
  <c r="AD74" i="30"/>
  <c r="AD16" i="14"/>
  <c r="AE12" i="14"/>
  <c r="AE12" i="30"/>
  <c r="AZ41" i="34"/>
  <c r="AY42" i="34"/>
  <c r="AY5" i="34" s="1"/>
  <c r="AY10" i="30" s="1"/>
  <c r="AX10" i="30"/>
  <c r="AX10" i="14"/>
  <c r="AO9" i="34"/>
  <c r="AO70" i="14" s="1"/>
  <c r="AO48" i="34"/>
  <c r="AQ95" i="34"/>
  <c r="AQ97" i="34" s="1"/>
  <c r="AQ98" i="34"/>
  <c r="AR93" i="34"/>
  <c r="AS92" i="34"/>
  <c r="AQ82" i="34"/>
  <c r="AQ84" i="34" s="1"/>
  <c r="AQ85" i="34"/>
  <c r="AR80" i="34"/>
  <c r="AS79" i="34"/>
  <c r="AQ142" i="34"/>
  <c r="AR141" i="34"/>
  <c r="AP147" i="34"/>
  <c r="AP144" i="34"/>
  <c r="AP146" i="34" s="1"/>
  <c r="AP132" i="34"/>
  <c r="AP134" i="34" s="1"/>
  <c r="AP135" i="34"/>
  <c r="AQ130" i="34"/>
  <c r="AR129" i="34"/>
  <c r="AP108" i="34"/>
  <c r="AP110" i="34" s="1"/>
  <c r="AP111" i="34"/>
  <c r="AQ106" i="34"/>
  <c r="AR105" i="34"/>
  <c r="AP156" i="34"/>
  <c r="AP158" i="34" s="1"/>
  <c r="AP159" i="34"/>
  <c r="AQ154" i="34"/>
  <c r="AR153" i="34"/>
  <c r="AR117" i="34"/>
  <c r="AP120" i="34"/>
  <c r="AP122" i="34" s="1"/>
  <c r="AP123" i="34"/>
  <c r="AQ118" i="34"/>
  <c r="AR165" i="34"/>
  <c r="AP168" i="34"/>
  <c r="AP170" i="34" s="1"/>
  <c r="AP171" i="34"/>
  <c r="AQ58" i="34"/>
  <c r="AQ60" i="34" s="1"/>
  <c r="AQ61" i="34"/>
  <c r="AR56" i="34"/>
  <c r="AS55" i="34"/>
  <c r="AS67" i="34"/>
  <c r="AQ70" i="34"/>
  <c r="AQ72" i="34" s="1"/>
  <c r="AR68" i="34"/>
  <c r="AR73" i="34" s="1"/>
  <c r="AR43" i="34"/>
  <c r="AP46" i="34"/>
  <c r="AP49" i="34"/>
  <c r="AQ44" i="34"/>
  <c r="CH27" i="27" l="1"/>
  <c r="CH31" i="27"/>
  <c r="CH29" i="27"/>
  <c r="CG68" i="14" s="1"/>
  <c r="CG31" i="27"/>
  <c r="CG29" i="27"/>
  <c r="CF68" i="14" s="1"/>
  <c r="BH164" i="34"/>
  <c r="BI163" i="34"/>
  <c r="AE8" i="34"/>
  <c r="AE17" i="30" s="1"/>
  <c r="AE20" i="30" s="1"/>
  <c r="BB116" i="34"/>
  <c r="BC115" i="34"/>
  <c r="BC65" i="34"/>
  <c r="BB66" i="34"/>
  <c r="AY10" i="14"/>
  <c r="AF11" i="14"/>
  <c r="AF34" i="34"/>
  <c r="AF7" i="34" s="1"/>
  <c r="AF12" i="14" s="1"/>
  <c r="AE16" i="14"/>
  <c r="AE74" i="30"/>
  <c r="D73" i="29"/>
  <c r="D74" i="29" s="1"/>
  <c r="AD22" i="30"/>
  <c r="AD20" i="30"/>
  <c r="AZ42" i="34"/>
  <c r="AZ5" i="34" s="1"/>
  <c r="BA41" i="34"/>
  <c r="AP9" i="34"/>
  <c r="AP70" i="14" s="1"/>
  <c r="AP48" i="34"/>
  <c r="AS117" i="34"/>
  <c r="AR118" i="34"/>
  <c r="AQ120" i="34"/>
  <c r="AQ122" i="34" s="1"/>
  <c r="AQ123" i="34"/>
  <c r="AQ132" i="34"/>
  <c r="AQ134" i="34" s="1"/>
  <c r="AQ135" i="34"/>
  <c r="AR130" i="34"/>
  <c r="AS129" i="34"/>
  <c r="AR82" i="34"/>
  <c r="AR84" i="34" s="1"/>
  <c r="AR85" i="34"/>
  <c r="AS80" i="34"/>
  <c r="AT79" i="34"/>
  <c r="AR44" i="34"/>
  <c r="AQ46" i="34"/>
  <c r="AS43" i="34"/>
  <c r="AQ49" i="34"/>
  <c r="AS68" i="34"/>
  <c r="AS73" i="34" s="1"/>
  <c r="AT67" i="34"/>
  <c r="AR70" i="34"/>
  <c r="AR72" i="34" s="1"/>
  <c r="AQ156" i="34"/>
  <c r="AQ158" i="34" s="1"/>
  <c r="AQ159" i="34"/>
  <c r="AR154" i="34"/>
  <c r="AS153" i="34"/>
  <c r="AQ108" i="34"/>
  <c r="AQ110" i="34" s="1"/>
  <c r="AQ111" i="34"/>
  <c r="AR106" i="34"/>
  <c r="AS105" i="34"/>
  <c r="AR95" i="34"/>
  <c r="AR97" i="34" s="1"/>
  <c r="AR98" i="34"/>
  <c r="AS93" i="34"/>
  <c r="AT92" i="34"/>
  <c r="AR58" i="34"/>
  <c r="AR60" i="34" s="1"/>
  <c r="AR61" i="34"/>
  <c r="AT55" i="34"/>
  <c r="AS56" i="34"/>
  <c r="AR166" i="34"/>
  <c r="AS165" i="34"/>
  <c r="AQ168" i="34"/>
  <c r="AQ170" i="34" s="1"/>
  <c r="AQ171" i="34"/>
  <c r="AQ144" i="34"/>
  <c r="AQ146" i="34" s="1"/>
  <c r="AQ147" i="34"/>
  <c r="AR142" i="34"/>
  <c r="AS141" i="34"/>
  <c r="BA42" i="34" l="1"/>
  <c r="BA5" i="34" s="1"/>
  <c r="BA10" i="14" s="1"/>
  <c r="BB41" i="34"/>
  <c r="AE13" i="14"/>
  <c r="CI27" i="27"/>
  <c r="CI29" i="27"/>
  <c r="CH68" i="14" s="1"/>
  <c r="CI31" i="27"/>
  <c r="BI164" i="34"/>
  <c r="BJ163" i="34"/>
  <c r="BC116" i="34"/>
  <c r="BD115" i="34"/>
  <c r="BD65" i="34"/>
  <c r="BC66" i="34"/>
  <c r="AF36" i="34"/>
  <c r="AF8" i="34" s="1"/>
  <c r="AG33" i="34"/>
  <c r="AG6" i="34" s="1"/>
  <c r="AF12" i="30"/>
  <c r="AZ10" i="14"/>
  <c r="AZ10" i="30"/>
  <c r="AQ9" i="34"/>
  <c r="AQ70" i="14" s="1"/>
  <c r="AQ48" i="34"/>
  <c r="AS82" i="34"/>
  <c r="AS84" i="34" s="1"/>
  <c r="AS85" i="34"/>
  <c r="AU79" i="34"/>
  <c r="AT80" i="34"/>
  <c r="AR132" i="34"/>
  <c r="AR134" i="34" s="1"/>
  <c r="AR135" i="34"/>
  <c r="AS130" i="34"/>
  <c r="AT129" i="34"/>
  <c r="AT68" i="34"/>
  <c r="AT73" i="34" s="1"/>
  <c r="AU67" i="34"/>
  <c r="AS70" i="34"/>
  <c r="AS72" i="34" s="1"/>
  <c r="AR144" i="34"/>
  <c r="AR146" i="34" s="1"/>
  <c r="AR147" i="34"/>
  <c r="AS142" i="34"/>
  <c r="AT141" i="34"/>
  <c r="AR108" i="34"/>
  <c r="AR110" i="34" s="1"/>
  <c r="AS106" i="34"/>
  <c r="AT105" i="34"/>
  <c r="AR111" i="34"/>
  <c r="AR168" i="34"/>
  <c r="AR170" i="34" s="1"/>
  <c r="AR171" i="34"/>
  <c r="AS166" i="34"/>
  <c r="AT165" i="34"/>
  <c r="AS95" i="34"/>
  <c r="AS97" i="34" s="1"/>
  <c r="AS98" i="34"/>
  <c r="AT93" i="34"/>
  <c r="AU92" i="34"/>
  <c r="AR156" i="34"/>
  <c r="AR158" i="34" s="1"/>
  <c r="AR159" i="34"/>
  <c r="AS154" i="34"/>
  <c r="AT153" i="34"/>
  <c r="AS118" i="34"/>
  <c r="AT117" i="34"/>
  <c r="AR120" i="34"/>
  <c r="AR122" i="34" s="1"/>
  <c r="AR123" i="34"/>
  <c r="AT56" i="34"/>
  <c r="AS61" i="34"/>
  <c r="AS58" i="34"/>
  <c r="AS60" i="34" s="1"/>
  <c r="AU55" i="34"/>
  <c r="AR46" i="34"/>
  <c r="AR49" i="34"/>
  <c r="AT43" i="34"/>
  <c r="AS44" i="34"/>
  <c r="BA10" i="30" l="1"/>
  <c r="BC41" i="34"/>
  <c r="BB42" i="34"/>
  <c r="BB5" i="34" s="1"/>
  <c r="CJ27" i="27"/>
  <c r="BK163" i="34"/>
  <c r="BJ164" i="34"/>
  <c r="AF37" i="34"/>
  <c r="AF10" i="34" s="1"/>
  <c r="AF16" i="14" s="1"/>
  <c r="BE115" i="34"/>
  <c r="BD116" i="34"/>
  <c r="BD66" i="34"/>
  <c r="BE65" i="34"/>
  <c r="BB10" i="14"/>
  <c r="BB10" i="30"/>
  <c r="G6" i="29" s="1"/>
  <c r="AG34" i="34"/>
  <c r="AG11" i="30"/>
  <c r="AG11" i="14"/>
  <c r="AF13" i="14"/>
  <c r="AF17" i="30"/>
  <c r="AF20" i="30" s="1"/>
  <c r="AR9" i="34"/>
  <c r="AR70" i="14" s="1"/>
  <c r="AR48" i="34"/>
  <c r="AU117" i="34"/>
  <c r="AT118" i="34"/>
  <c r="AS120" i="34"/>
  <c r="AS122" i="34" s="1"/>
  <c r="AS123" i="34"/>
  <c r="AS132" i="34"/>
  <c r="AS134" i="34" s="1"/>
  <c r="AS135" i="34"/>
  <c r="AT130" i="34"/>
  <c r="AU129" i="34"/>
  <c r="AS144" i="34"/>
  <c r="AS146" i="34" s="1"/>
  <c r="AS147" i="34"/>
  <c r="AT142" i="34"/>
  <c r="AU141" i="34"/>
  <c r="AS168" i="34"/>
  <c r="AS170" i="34" s="1"/>
  <c r="AS171" i="34"/>
  <c r="AT166" i="34"/>
  <c r="AU165" i="34"/>
  <c r="AV79" i="34"/>
  <c r="AT82" i="34"/>
  <c r="AT84" i="34" s="1"/>
  <c r="AT85" i="34"/>
  <c r="AU80" i="34"/>
  <c r="AS156" i="34"/>
  <c r="AS158" i="34" s="1"/>
  <c r="AS159" i="34"/>
  <c r="AU153" i="34"/>
  <c r="AT154" i="34"/>
  <c r="AT58" i="34"/>
  <c r="AT60" i="34" s="1"/>
  <c r="AT61" i="34"/>
  <c r="AU56" i="34"/>
  <c r="AV55" i="34"/>
  <c r="AU105" i="34"/>
  <c r="AS111" i="34"/>
  <c r="AS108" i="34"/>
  <c r="AS110" i="34" s="1"/>
  <c r="AT106" i="34"/>
  <c r="AT44" i="34"/>
  <c r="AU43" i="34"/>
  <c r="AS46" i="34"/>
  <c r="AS48" i="34" s="1"/>
  <c r="AS49" i="34"/>
  <c r="AT95" i="34"/>
  <c r="AT97" i="34" s="1"/>
  <c r="AT98" i="34"/>
  <c r="AU93" i="34"/>
  <c r="AV92" i="34"/>
  <c r="AT70" i="34"/>
  <c r="AT72" i="34" s="1"/>
  <c r="AV67" i="34"/>
  <c r="AU68" i="34"/>
  <c r="AU73" i="34" s="1"/>
  <c r="AF74" i="30" l="1"/>
  <c r="BD41" i="34"/>
  <c r="BC42" i="34"/>
  <c r="BC5" i="34" s="1"/>
  <c r="BC10" i="14" s="1"/>
  <c r="CK27" i="27"/>
  <c r="CJ31" i="27"/>
  <c r="CJ29" i="27"/>
  <c r="CI68" i="14" s="1"/>
  <c r="BK164" i="34"/>
  <c r="BL163" i="34"/>
  <c r="BE116" i="34"/>
  <c r="BF115" i="34"/>
  <c r="BF65" i="34"/>
  <c r="BE66" i="34"/>
  <c r="AH33" i="34"/>
  <c r="AH6" i="34" s="1"/>
  <c r="AG36" i="34"/>
  <c r="AG7" i="34"/>
  <c r="AS9" i="34"/>
  <c r="AS70" i="14" s="1"/>
  <c r="AV68" i="34"/>
  <c r="AV73" i="34" s="1"/>
  <c r="AU70" i="34"/>
  <c r="AU72" i="34" s="1"/>
  <c r="AW67" i="34"/>
  <c r="AW55" i="34"/>
  <c r="AU58" i="34"/>
  <c r="AU60" i="34" s="1"/>
  <c r="AU61" i="34"/>
  <c r="AV56" i="34"/>
  <c r="AT171" i="34"/>
  <c r="AT168" i="34"/>
  <c r="AT170" i="34" s="1"/>
  <c r="AU166" i="34"/>
  <c r="AV165" i="34"/>
  <c r="AT46" i="34"/>
  <c r="AT48" i="34" s="1"/>
  <c r="AT49" i="34"/>
  <c r="AU44" i="34"/>
  <c r="AV43" i="34"/>
  <c r="AV153" i="34"/>
  <c r="AT156" i="34"/>
  <c r="AT158" i="34" s="1"/>
  <c r="AT159" i="34"/>
  <c r="AU154" i="34"/>
  <c r="AU95" i="34"/>
  <c r="AU97" i="34" s="1"/>
  <c r="AU98" i="34"/>
  <c r="AV93" i="34"/>
  <c r="AW92" i="34"/>
  <c r="AT144" i="34"/>
  <c r="AT146" i="34" s="1"/>
  <c r="AT147" i="34"/>
  <c r="AU142" i="34"/>
  <c r="AV141" i="34"/>
  <c r="AT132" i="34"/>
  <c r="AT134" i="34" s="1"/>
  <c r="AT135" i="34"/>
  <c r="AU130" i="34"/>
  <c r="AV129" i="34"/>
  <c r="AU106" i="34"/>
  <c r="AV105" i="34"/>
  <c r="AT111" i="34"/>
  <c r="AT108" i="34"/>
  <c r="AT110" i="34" s="1"/>
  <c r="AV80" i="34"/>
  <c r="AW79" i="34"/>
  <c r="AU82" i="34"/>
  <c r="AU84" i="34" s="1"/>
  <c r="AU85" i="34"/>
  <c r="AT120" i="34"/>
  <c r="AT122" i="34" s="1"/>
  <c r="AT123" i="34"/>
  <c r="AU118" i="34"/>
  <c r="AV117" i="34"/>
  <c r="BC10" i="30" l="1"/>
  <c r="BE41" i="34"/>
  <c r="BD42" i="34"/>
  <c r="BD5" i="34" s="1"/>
  <c r="BD10" i="14" s="1"/>
  <c r="CK31" i="27"/>
  <c r="CK29" i="27"/>
  <c r="CJ68" i="14" s="1"/>
  <c r="CL29" i="27"/>
  <c r="CK68" i="14" s="1"/>
  <c r="CL31" i="27"/>
  <c r="CL27" i="27"/>
  <c r="BM163" i="34"/>
  <c r="BL164" i="34"/>
  <c r="AH34" i="34"/>
  <c r="AH36" i="34" s="1"/>
  <c r="BF116" i="34"/>
  <c r="BG115" i="34"/>
  <c r="BD10" i="30"/>
  <c r="BG65" i="34"/>
  <c r="BF66" i="34"/>
  <c r="AG12" i="14"/>
  <c r="AG12" i="30"/>
  <c r="AG8" i="34"/>
  <c r="AG37" i="34"/>
  <c r="AG10" i="34" s="1"/>
  <c r="AH11" i="14"/>
  <c r="AH11" i="30"/>
  <c r="AT9" i="34"/>
  <c r="AT70" i="14" s="1"/>
  <c r="AU120" i="34"/>
  <c r="AU122" i="34" s="1"/>
  <c r="AU123" i="34"/>
  <c r="AV118" i="34"/>
  <c r="AW117" i="34"/>
  <c r="AU46" i="34"/>
  <c r="AU48" i="34" s="1"/>
  <c r="AV44" i="34"/>
  <c r="AW43" i="34"/>
  <c r="AU49" i="34"/>
  <c r="AW56" i="34"/>
  <c r="AX55" i="34"/>
  <c r="AV58" i="34"/>
  <c r="AV60" i="34" s="1"/>
  <c r="AV61" i="34"/>
  <c r="AU108" i="34"/>
  <c r="AU110" i="34" s="1"/>
  <c r="AU111" i="34"/>
  <c r="AV106" i="34"/>
  <c r="AW105" i="34"/>
  <c r="AX92" i="34"/>
  <c r="AV95" i="34"/>
  <c r="AV97" i="34" s="1"/>
  <c r="AV98" i="34"/>
  <c r="AW93" i="34"/>
  <c r="AU144" i="34"/>
  <c r="AU146" i="34" s="1"/>
  <c r="AU147" i="34"/>
  <c r="AV142" i="34"/>
  <c r="AW141" i="34"/>
  <c r="AV154" i="34"/>
  <c r="AW153" i="34"/>
  <c r="AU156" i="34"/>
  <c r="AU158" i="34" s="1"/>
  <c r="AU159" i="34"/>
  <c r="AU132" i="34"/>
  <c r="AU134" i="34" s="1"/>
  <c r="AU135" i="34"/>
  <c r="AW129" i="34"/>
  <c r="AV130" i="34"/>
  <c r="AV82" i="34"/>
  <c r="AV84" i="34" s="1"/>
  <c r="AV85" i="34"/>
  <c r="AW80" i="34"/>
  <c r="AX79" i="34"/>
  <c r="AU168" i="34"/>
  <c r="AU170" i="34" s="1"/>
  <c r="AU171" i="34"/>
  <c r="AV166" i="34"/>
  <c r="AW165" i="34"/>
  <c r="AW68" i="34"/>
  <c r="AW73" i="34" s="1"/>
  <c r="AV70" i="34"/>
  <c r="AV72" i="34" s="1"/>
  <c r="AX67" i="34"/>
  <c r="BF41" i="34" l="1"/>
  <c r="BE42" i="34"/>
  <c r="BE5" i="34" s="1"/>
  <c r="AI33" i="34"/>
  <c r="AI6" i="34" s="1"/>
  <c r="AI11" i="14" s="1"/>
  <c r="AH7" i="34"/>
  <c r="AH12" i="30" s="1"/>
  <c r="K54" i="15"/>
  <c r="BM164" i="34"/>
  <c r="BN163" i="34"/>
  <c r="AI34" i="34"/>
  <c r="AJ33" i="34" s="1"/>
  <c r="AJ6" i="34" s="1"/>
  <c r="BG116" i="34"/>
  <c r="BH115" i="34"/>
  <c r="BG66" i="34"/>
  <c r="BH65" i="34"/>
  <c r="BE10" i="14"/>
  <c r="BE10" i="30"/>
  <c r="AG13" i="14"/>
  <c r="AG17" i="30"/>
  <c r="AG20" i="30" s="1"/>
  <c r="AG16" i="14"/>
  <c r="AG74" i="30"/>
  <c r="AH37" i="34"/>
  <c r="AH10" i="34" s="1"/>
  <c r="AH8" i="34"/>
  <c r="AU9" i="34"/>
  <c r="AU70" i="14" s="1"/>
  <c r="AV156" i="34"/>
  <c r="AV158" i="34" s="1"/>
  <c r="AV159" i="34"/>
  <c r="AW154" i="34"/>
  <c r="AX153" i="34"/>
  <c r="AV46" i="34"/>
  <c r="AV48" i="34" s="1"/>
  <c r="AX43" i="34"/>
  <c r="AW44" i="34"/>
  <c r="AV49" i="34"/>
  <c r="AX68" i="34"/>
  <c r="AX73" i="34" s="1"/>
  <c r="AW70" i="34"/>
  <c r="AW72" i="34" s="1"/>
  <c r="AY67" i="34"/>
  <c r="AX129" i="34"/>
  <c r="AV135" i="34"/>
  <c r="AW130" i="34"/>
  <c r="AV132" i="34"/>
  <c r="AV134" i="34" s="1"/>
  <c r="AV168" i="34"/>
  <c r="AV170" i="34" s="1"/>
  <c r="AV171" i="34"/>
  <c r="AX165" i="34"/>
  <c r="AW166" i="34"/>
  <c r="AV144" i="34"/>
  <c r="AV146" i="34" s="1"/>
  <c r="AV147" i="34"/>
  <c r="AX141" i="34"/>
  <c r="AW142" i="34"/>
  <c r="AV108" i="34"/>
  <c r="AV110" i="34" s="1"/>
  <c r="AV111" i="34"/>
  <c r="AW106" i="34"/>
  <c r="AX105" i="34"/>
  <c r="AV120" i="34"/>
  <c r="AV122" i="34" s="1"/>
  <c r="AV123" i="34"/>
  <c r="AW118" i="34"/>
  <c r="AX117" i="34"/>
  <c r="AX93" i="34"/>
  <c r="AY92" i="34"/>
  <c r="AW95" i="34"/>
  <c r="AW97" i="34" s="1"/>
  <c r="AW98" i="34"/>
  <c r="AW82" i="34"/>
  <c r="AW84" i="34" s="1"/>
  <c r="AW85" i="34"/>
  <c r="AX80" i="34"/>
  <c r="AY79" i="34"/>
  <c r="AW58" i="34"/>
  <c r="AW60" i="34" s="1"/>
  <c r="AW61" i="34"/>
  <c r="AX56" i="34"/>
  <c r="AY55" i="34"/>
  <c r="AI11" i="30" l="1"/>
  <c r="BF42" i="34"/>
  <c r="BF5" i="34" s="1"/>
  <c r="BG41" i="34"/>
  <c r="AH12" i="14"/>
  <c r="AI7" i="34"/>
  <c r="AI12" i="14" s="1"/>
  <c r="AI36" i="34"/>
  <c r="BO163" i="34"/>
  <c r="BN164" i="34"/>
  <c r="BI115" i="34"/>
  <c r="BH116" i="34"/>
  <c r="BI65" i="34"/>
  <c r="BH66" i="34"/>
  <c r="AH74" i="30"/>
  <c r="AH16" i="14"/>
  <c r="AI37" i="34"/>
  <c r="AI10" i="34" s="1"/>
  <c r="AI8" i="34"/>
  <c r="AJ34" i="34"/>
  <c r="AJ11" i="30"/>
  <c r="AJ11" i="14"/>
  <c r="AH17" i="30"/>
  <c r="AH20" i="30" s="1"/>
  <c r="AH13" i="14"/>
  <c r="AV9" i="34"/>
  <c r="AV70" i="14" s="1"/>
  <c r="AW171" i="34"/>
  <c r="AW168" i="34"/>
  <c r="AW170" i="34" s="1"/>
  <c r="AX166" i="34"/>
  <c r="AY165" i="34"/>
  <c r="AX95" i="34"/>
  <c r="AX97" i="34" s="1"/>
  <c r="AX98" i="34"/>
  <c r="AY93" i="34"/>
  <c r="AZ92" i="34"/>
  <c r="AY141" i="34"/>
  <c r="AW144" i="34"/>
  <c r="AW146" i="34" s="1"/>
  <c r="AX142" i="34"/>
  <c r="AW147" i="34"/>
  <c r="AW156" i="34"/>
  <c r="AW158" i="34" s="1"/>
  <c r="AW159" i="34"/>
  <c r="AX154" i="34"/>
  <c r="AY153" i="34"/>
  <c r="AX58" i="34"/>
  <c r="AX60" i="34" s="1"/>
  <c r="AX61" i="34"/>
  <c r="AY56" i="34"/>
  <c r="AZ55" i="34"/>
  <c r="AX82" i="34"/>
  <c r="AX84" i="34" s="1"/>
  <c r="AX85" i="34"/>
  <c r="AY80" i="34"/>
  <c r="AZ79" i="34"/>
  <c r="AY117" i="34"/>
  <c r="AW120" i="34"/>
  <c r="AW122" i="34" s="1"/>
  <c r="AW123" i="34"/>
  <c r="AX118" i="34"/>
  <c r="AX130" i="34"/>
  <c r="AY129" i="34"/>
  <c r="AW135" i="34"/>
  <c r="AW132" i="34"/>
  <c r="AW134" i="34" s="1"/>
  <c r="AW108" i="34"/>
  <c r="AW110" i="34" s="1"/>
  <c r="AW111" i="34"/>
  <c r="AX106" i="34"/>
  <c r="AY105" i="34"/>
  <c r="AY68" i="34"/>
  <c r="AY73" i="34" s="1"/>
  <c r="AX70" i="34"/>
  <c r="AX72" i="34" s="1"/>
  <c r="AZ67" i="34"/>
  <c r="AX44" i="34"/>
  <c r="AW46" i="34"/>
  <c r="AW48" i="34" s="1"/>
  <c r="AY43" i="34"/>
  <c r="AW49" i="34"/>
  <c r="BH41" i="34" l="1"/>
  <c r="BG42" i="34"/>
  <c r="BG5" i="34" s="1"/>
  <c r="BF10" i="14"/>
  <c r="BF10" i="30"/>
  <c r="AI12" i="30"/>
  <c r="BO164" i="34"/>
  <c r="BP163" i="34"/>
  <c r="BJ115" i="34"/>
  <c r="BI116" i="34"/>
  <c r="BJ65" i="34"/>
  <c r="BI66" i="34"/>
  <c r="AI17" i="30"/>
  <c r="AI20" i="30" s="1"/>
  <c r="AI13" i="14"/>
  <c r="AK33" i="34"/>
  <c r="AK6" i="34" s="1"/>
  <c r="AJ7" i="34"/>
  <c r="AJ36" i="34"/>
  <c r="AI74" i="30"/>
  <c r="AI16" i="14"/>
  <c r="AW9" i="34"/>
  <c r="AW70" i="14" s="1"/>
  <c r="AZ117" i="34"/>
  <c r="AX120" i="34"/>
  <c r="AX122" i="34" s="1"/>
  <c r="AX123" i="34"/>
  <c r="AY118" i="34"/>
  <c r="AY58" i="34"/>
  <c r="AY60" i="34" s="1"/>
  <c r="AY61" i="34"/>
  <c r="AZ56" i="34"/>
  <c r="BB55" i="34" s="1"/>
  <c r="BA55" i="34"/>
  <c r="AZ165" i="34"/>
  <c r="AX171" i="34"/>
  <c r="AX168" i="34"/>
  <c r="AX170" i="34" s="1"/>
  <c r="AY166" i="34"/>
  <c r="AX132" i="34"/>
  <c r="AX134" i="34" s="1"/>
  <c r="AX135" i="34"/>
  <c r="AY130" i="34"/>
  <c r="AZ129" i="34"/>
  <c r="AX108" i="34"/>
  <c r="AX110" i="34" s="1"/>
  <c r="AY106" i="34"/>
  <c r="AX111" i="34"/>
  <c r="AZ105" i="34"/>
  <c r="AY142" i="34"/>
  <c r="AZ141" i="34"/>
  <c r="AX147" i="34"/>
  <c r="AX144" i="34"/>
  <c r="AX146" i="34" s="1"/>
  <c r="AZ43" i="34"/>
  <c r="AX49" i="34"/>
  <c r="AY44" i="34"/>
  <c r="AX46" i="34"/>
  <c r="AX48" i="34" s="1"/>
  <c r="BA67" i="34"/>
  <c r="AZ68" i="34"/>
  <c r="AY70" i="34"/>
  <c r="AY72" i="34" s="1"/>
  <c r="AY82" i="34"/>
  <c r="AY84" i="34" s="1"/>
  <c r="AY85" i="34"/>
  <c r="AZ80" i="34"/>
  <c r="BB79" i="34" s="1"/>
  <c r="BA79" i="34"/>
  <c r="AX156" i="34"/>
  <c r="AX158" i="34" s="1"/>
  <c r="AX159" i="34"/>
  <c r="AY154" i="34"/>
  <c r="AZ153" i="34"/>
  <c r="AY95" i="34"/>
  <c r="AY97" i="34" s="1"/>
  <c r="AY98" i="34"/>
  <c r="AZ93" i="34"/>
  <c r="BB92" i="34" s="1"/>
  <c r="BA92" i="34"/>
  <c r="BG10" i="30" l="1"/>
  <c r="BG10" i="14"/>
  <c r="BH42" i="34"/>
  <c r="BH5" i="34" s="1"/>
  <c r="BH10" i="14" s="1"/>
  <c r="BI41" i="34"/>
  <c r="BQ163" i="34"/>
  <c r="BP164" i="34"/>
  <c r="BJ116" i="34"/>
  <c r="BK115" i="34"/>
  <c r="AZ73" i="34"/>
  <c r="BB67" i="34"/>
  <c r="BK65" i="34"/>
  <c r="BJ66" i="34"/>
  <c r="AK34" i="34"/>
  <c r="AK36" i="34" s="1"/>
  <c r="AK8" i="34" s="1"/>
  <c r="AJ37" i="34"/>
  <c r="AJ10" i="34" s="1"/>
  <c r="AJ8" i="34"/>
  <c r="AJ12" i="30"/>
  <c r="AJ12" i="14"/>
  <c r="AK11" i="14"/>
  <c r="AK11" i="30"/>
  <c r="AX9" i="34"/>
  <c r="AX70" i="14" s="1"/>
  <c r="AY132" i="34"/>
  <c r="AY134" i="34" s="1"/>
  <c r="AZ130" i="34"/>
  <c r="BB129" i="34" s="1"/>
  <c r="BA129" i="34"/>
  <c r="AY135" i="34"/>
  <c r="AZ58" i="34"/>
  <c r="AZ60" i="34" s="1"/>
  <c r="AZ61" i="34"/>
  <c r="BA56" i="34"/>
  <c r="AZ95" i="34"/>
  <c r="AZ97" i="34" s="1"/>
  <c r="AZ98" i="34"/>
  <c r="BA93" i="34"/>
  <c r="AZ82" i="34"/>
  <c r="AZ84" i="34" s="1"/>
  <c r="AZ85" i="34"/>
  <c r="BA80" i="34"/>
  <c r="AY144" i="34"/>
  <c r="AY146" i="34" s="1"/>
  <c r="AY147" i="34"/>
  <c r="AZ142" i="34"/>
  <c r="BB141" i="34" s="1"/>
  <c r="BA141" i="34"/>
  <c r="AZ166" i="34"/>
  <c r="BB165" i="34" s="1"/>
  <c r="BA165" i="34"/>
  <c r="AY171" i="34"/>
  <c r="AY168" i="34"/>
  <c r="AY170" i="34" s="1"/>
  <c r="BA117" i="34"/>
  <c r="AY120" i="34"/>
  <c r="AY122" i="34" s="1"/>
  <c r="AY123" i="34"/>
  <c r="AZ118" i="34"/>
  <c r="BB117" i="34" s="1"/>
  <c r="BA68" i="34"/>
  <c r="AZ70" i="34"/>
  <c r="AZ72" i="34" s="1"/>
  <c r="AY108" i="34"/>
  <c r="AY110" i="34" s="1"/>
  <c r="AY111" i="34"/>
  <c r="AZ106" i="34"/>
  <c r="BB105" i="34" s="1"/>
  <c r="BA105" i="34"/>
  <c r="AZ44" i="34"/>
  <c r="BB43" i="34" s="1"/>
  <c r="AY49" i="34"/>
  <c r="AY46" i="34"/>
  <c r="AY48" i="34" s="1"/>
  <c r="BA43" i="34"/>
  <c r="AY156" i="34"/>
  <c r="AY158" i="34" s="1"/>
  <c r="AY159" i="34"/>
  <c r="AZ154" i="34"/>
  <c r="BB153" i="34" s="1"/>
  <c r="BA153" i="34"/>
  <c r="BH10" i="30" l="1"/>
  <c r="BJ41" i="34"/>
  <c r="BI42" i="34"/>
  <c r="BI5" i="34" s="1"/>
  <c r="BQ164" i="34"/>
  <c r="BR163" i="34"/>
  <c r="BC55" i="34"/>
  <c r="BB56" i="34"/>
  <c r="BK116" i="34"/>
  <c r="BL115" i="34"/>
  <c r="BC92" i="34"/>
  <c r="BB93" i="34"/>
  <c r="BL65" i="34"/>
  <c r="BK66" i="34"/>
  <c r="BC67" i="34"/>
  <c r="BB68" i="34"/>
  <c r="BC79" i="34"/>
  <c r="BB80" i="34"/>
  <c r="AK37" i="34"/>
  <c r="AK10" i="34" s="1"/>
  <c r="AK74" i="30" s="1"/>
  <c r="AL33" i="34"/>
  <c r="AL6" i="34" s="1"/>
  <c r="AK7" i="34"/>
  <c r="AJ17" i="30"/>
  <c r="AJ20" i="30" s="1"/>
  <c r="AJ13" i="14"/>
  <c r="AJ16" i="14"/>
  <c r="AJ74" i="30"/>
  <c r="AK17" i="30"/>
  <c r="AK20" i="30" s="1"/>
  <c r="AK13" i="14"/>
  <c r="BA70" i="34"/>
  <c r="BA72" i="34" s="1"/>
  <c r="BA73" i="34"/>
  <c r="AY9" i="34"/>
  <c r="AY70" i="14" s="1"/>
  <c r="BA58" i="34"/>
  <c r="BA60" i="34" s="1"/>
  <c r="BA61" i="34"/>
  <c r="BA82" i="34"/>
  <c r="BA84" i="34" s="1"/>
  <c r="BA85" i="34"/>
  <c r="AZ46" i="34"/>
  <c r="AZ48" i="34" s="1"/>
  <c r="AZ49" i="34"/>
  <c r="BA44" i="34"/>
  <c r="AZ168" i="34"/>
  <c r="AZ170" i="34" s="1"/>
  <c r="AZ171" i="34"/>
  <c r="BA166" i="34"/>
  <c r="BA118" i="34"/>
  <c r="AZ120" i="34"/>
  <c r="AZ122" i="34" s="1"/>
  <c r="AZ123" i="34"/>
  <c r="AZ156" i="34"/>
  <c r="AZ158" i="34" s="1"/>
  <c r="AZ159" i="34"/>
  <c r="BA154" i="34"/>
  <c r="AZ111" i="34"/>
  <c r="AZ108" i="34"/>
  <c r="AZ110" i="34" s="1"/>
  <c r="BA106" i="34"/>
  <c r="AZ144" i="34"/>
  <c r="AZ146" i="34" s="1"/>
  <c r="AZ147" i="34"/>
  <c r="BA142" i="34"/>
  <c r="BA95" i="34"/>
  <c r="BA97" i="34" s="1"/>
  <c r="BA98" i="34"/>
  <c r="AZ132" i="34"/>
  <c r="AZ134" i="34" s="1"/>
  <c r="AZ135" i="34"/>
  <c r="BA130" i="34"/>
  <c r="BC129" i="34" l="1"/>
  <c r="BB130" i="34"/>
  <c r="BI10" i="30"/>
  <c r="BI10" i="14"/>
  <c r="BK41" i="34"/>
  <c r="BJ42" i="34"/>
  <c r="BJ5" i="34" s="1"/>
  <c r="BJ10" i="14" s="1"/>
  <c r="BC43" i="34"/>
  <c r="BB44" i="34"/>
  <c r="BC165" i="34"/>
  <c r="BB166" i="34"/>
  <c r="BS163" i="34"/>
  <c r="BR164" i="34"/>
  <c r="BC153" i="34"/>
  <c r="BB154" i="34"/>
  <c r="BB58" i="34"/>
  <c r="BB60" i="34" s="1"/>
  <c r="BC56" i="34"/>
  <c r="BB61" i="34"/>
  <c r="BD55" i="34"/>
  <c r="BC105" i="34"/>
  <c r="BB106" i="34"/>
  <c r="BM115" i="34"/>
  <c r="BL116" i="34"/>
  <c r="BB118" i="34"/>
  <c r="BC117" i="34"/>
  <c r="BC141" i="34"/>
  <c r="BB142" i="34"/>
  <c r="BB98" i="34"/>
  <c r="BC93" i="34"/>
  <c r="BB95" i="34"/>
  <c r="BB97" i="34" s="1"/>
  <c r="BD92" i="34"/>
  <c r="BD67" i="34"/>
  <c r="BB70" i="34"/>
  <c r="BB72" i="34" s="1"/>
  <c r="BC68" i="34"/>
  <c r="BB73" i="34"/>
  <c r="BM65" i="34"/>
  <c r="BL66" i="34"/>
  <c r="BB85" i="34"/>
  <c r="BB82" i="34"/>
  <c r="BD79" i="34"/>
  <c r="BC80" i="34"/>
  <c r="AL34" i="34"/>
  <c r="AM33" i="34" s="1"/>
  <c r="AM6" i="34" s="1"/>
  <c r="AM11" i="14" s="1"/>
  <c r="AK16" i="14"/>
  <c r="AK12" i="14"/>
  <c r="AK12" i="30"/>
  <c r="AL11" i="30"/>
  <c r="AL11" i="14"/>
  <c r="AZ9" i="34"/>
  <c r="AZ70" i="14" s="1"/>
  <c r="BA111" i="34"/>
  <c r="BA108" i="34"/>
  <c r="BA110" i="34" s="1"/>
  <c r="BA120" i="34"/>
  <c r="BA122" i="34" s="1"/>
  <c r="BA123" i="34"/>
  <c r="BA168" i="34"/>
  <c r="BA170" i="34" s="1"/>
  <c r="BA171" i="34"/>
  <c r="BA132" i="34"/>
  <c r="BA134" i="34" s="1"/>
  <c r="BA135" i="34"/>
  <c r="BA156" i="34"/>
  <c r="BA158" i="34" s="1"/>
  <c r="BA159" i="34"/>
  <c r="BA49" i="34"/>
  <c r="BA46" i="34"/>
  <c r="BA48" i="34" s="1"/>
  <c r="BA144" i="34"/>
  <c r="BA146" i="34" s="1"/>
  <c r="BA147" i="34"/>
  <c r="BD129" i="34" l="1"/>
  <c r="BC130" i="34"/>
  <c r="BB135" i="34"/>
  <c r="BB132" i="34"/>
  <c r="BB134" i="34" s="1"/>
  <c r="BJ10" i="30"/>
  <c r="BL41" i="34"/>
  <c r="BK42" i="34"/>
  <c r="BK5" i="34" s="1"/>
  <c r="BK10" i="30" s="1"/>
  <c r="BD43" i="34"/>
  <c r="BB49" i="34"/>
  <c r="BB46" i="34"/>
  <c r="BB48" i="34" s="1"/>
  <c r="BC44" i="34"/>
  <c r="BT163" i="34"/>
  <c r="BS164" i="34"/>
  <c r="BC166" i="34"/>
  <c r="BB168" i="34"/>
  <c r="BB170" i="34" s="1"/>
  <c r="BD165" i="34"/>
  <c r="BB171" i="34"/>
  <c r="BB156" i="34"/>
  <c r="BB158" i="34" s="1"/>
  <c r="BB159" i="34"/>
  <c r="BD153" i="34"/>
  <c r="BC154" i="34"/>
  <c r="BE55" i="34"/>
  <c r="BC61" i="34"/>
  <c r="BC58" i="34"/>
  <c r="BC60" i="34" s="1"/>
  <c r="BD56" i="34"/>
  <c r="AL36" i="34"/>
  <c r="AL8" i="34" s="1"/>
  <c r="AL17" i="30" s="1"/>
  <c r="AL20" i="30" s="1"/>
  <c r="BB111" i="34"/>
  <c r="BD105" i="34"/>
  <c r="BC106" i="34"/>
  <c r="BB120" i="34"/>
  <c r="BB122" i="34" s="1"/>
  <c r="BB123" i="34"/>
  <c r="BD117" i="34"/>
  <c r="BC118" i="34"/>
  <c r="BM116" i="34"/>
  <c r="BN115" i="34"/>
  <c r="BD141" i="34"/>
  <c r="BC142" i="34"/>
  <c r="BB144" i="34"/>
  <c r="BB146" i="34" s="1"/>
  <c r="BB147" i="34"/>
  <c r="BC98" i="34"/>
  <c r="BC95" i="34"/>
  <c r="BC97" i="34" s="1"/>
  <c r="BE92" i="34"/>
  <c r="BD93" i="34"/>
  <c r="AM11" i="30"/>
  <c r="BD68" i="34"/>
  <c r="BC73" i="34"/>
  <c r="BC70" i="34"/>
  <c r="BC72" i="34" s="1"/>
  <c r="BE67" i="34"/>
  <c r="BM66" i="34"/>
  <c r="BN65" i="34"/>
  <c r="BB84" i="34"/>
  <c r="BC82" i="34"/>
  <c r="BD80" i="34"/>
  <c r="BE79" i="34"/>
  <c r="BC85" i="34"/>
  <c r="AM34" i="34"/>
  <c r="AM36" i="34" s="1"/>
  <c r="AM37" i="34" s="1"/>
  <c r="AM10" i="34" s="1"/>
  <c r="AL7" i="34"/>
  <c r="AL12" i="14" s="1"/>
  <c r="BA9" i="34"/>
  <c r="BA70" i="14" s="1"/>
  <c r="H56" i="15" s="1"/>
  <c r="BK10" i="14" l="1"/>
  <c r="BD130" i="34"/>
  <c r="BE129" i="34"/>
  <c r="BC135" i="34"/>
  <c r="BC132" i="34"/>
  <c r="BC134" i="34" s="1"/>
  <c r="BL42" i="34"/>
  <c r="BL5" i="34" s="1"/>
  <c r="BM41" i="34"/>
  <c r="BC49" i="34"/>
  <c r="BC46" i="34"/>
  <c r="BC48" i="34" s="1"/>
  <c r="BE43" i="34"/>
  <c r="BD44" i="34"/>
  <c r="AL37" i="34"/>
  <c r="AL10" i="34" s="1"/>
  <c r="AL74" i="30" s="1"/>
  <c r="BC168" i="34"/>
  <c r="BC170" i="34" s="1"/>
  <c r="BE165" i="34"/>
  <c r="BD166" i="34"/>
  <c r="BC171" i="34"/>
  <c r="BU163" i="34"/>
  <c r="BT164" i="34"/>
  <c r="BD154" i="34"/>
  <c r="BC156" i="34"/>
  <c r="BC158" i="34" s="1"/>
  <c r="BE153" i="34"/>
  <c r="BC159" i="34"/>
  <c r="AL13" i="14"/>
  <c r="BF55" i="34"/>
  <c r="BD58" i="34"/>
  <c r="BD60" i="34" s="1"/>
  <c r="BE56" i="34"/>
  <c r="BD61" i="34"/>
  <c r="BB9" i="34"/>
  <c r="BB70" i="14" s="1"/>
  <c r="BC111" i="34"/>
  <c r="BE105" i="34"/>
  <c r="BD106" i="34"/>
  <c r="BC108" i="34"/>
  <c r="BC110" i="34" s="1"/>
  <c r="BN116" i="34"/>
  <c r="BO115" i="34"/>
  <c r="BE117" i="34"/>
  <c r="BC120" i="34"/>
  <c r="BC122" i="34" s="1"/>
  <c r="BC123" i="34"/>
  <c r="BD118" i="34"/>
  <c r="BC144" i="34"/>
  <c r="BC146" i="34" s="1"/>
  <c r="BE141" i="34"/>
  <c r="BC147" i="34"/>
  <c r="BD142" i="34"/>
  <c r="BD98" i="34"/>
  <c r="BF92" i="34"/>
  <c r="BE93" i="34"/>
  <c r="BD95" i="34"/>
  <c r="BD97" i="34" s="1"/>
  <c r="BD73" i="34"/>
  <c r="BD70" i="34"/>
  <c r="BD72" i="34" s="1"/>
  <c r="BF67" i="34"/>
  <c r="BE68" i="34"/>
  <c r="BO65" i="34"/>
  <c r="BN66" i="34"/>
  <c r="BC84" i="34"/>
  <c r="BD82" i="34"/>
  <c r="BD85" i="34"/>
  <c r="BF79" i="34"/>
  <c r="BE80" i="34"/>
  <c r="AN33" i="34"/>
  <c r="AN6" i="34" s="1"/>
  <c r="AN11" i="14" s="1"/>
  <c r="AM7" i="34"/>
  <c r="AM12" i="14" s="1"/>
  <c r="AM8" i="34"/>
  <c r="AM13" i="14" s="1"/>
  <c r="AL12" i="30"/>
  <c r="AM16" i="14"/>
  <c r="AM74" i="30"/>
  <c r="BE130" i="34" l="1"/>
  <c r="BD135" i="34"/>
  <c r="BD132" i="34"/>
  <c r="BD134" i="34" s="1"/>
  <c r="BF129" i="34"/>
  <c r="BM42" i="34"/>
  <c r="BM5" i="34" s="1"/>
  <c r="BM10" i="14" s="1"/>
  <c r="BN41" i="34"/>
  <c r="BL10" i="14"/>
  <c r="BL10" i="30"/>
  <c r="AL16" i="14"/>
  <c r="E63" i="29"/>
  <c r="BD46" i="34"/>
  <c r="BD48" i="34" s="1"/>
  <c r="BF43" i="34"/>
  <c r="BE44" i="34"/>
  <c r="BD49" i="34"/>
  <c r="BD171" i="34"/>
  <c r="BD168" i="34"/>
  <c r="BD170" i="34" s="1"/>
  <c r="BF165" i="34"/>
  <c r="BE166" i="34"/>
  <c r="BV163" i="34"/>
  <c r="BU164" i="34"/>
  <c r="BE154" i="34"/>
  <c r="BD159" i="34"/>
  <c r="BD156" i="34"/>
  <c r="BD158" i="34" s="1"/>
  <c r="BF153" i="34"/>
  <c r="BG55" i="34"/>
  <c r="BF56" i="34"/>
  <c r="BE58" i="34"/>
  <c r="BE60" i="34" s="1"/>
  <c r="BE61" i="34"/>
  <c r="AN34" i="34"/>
  <c r="AN36" i="34" s="1"/>
  <c r="BD111" i="34"/>
  <c r="BE106" i="34"/>
  <c r="BD108" i="34"/>
  <c r="BD110" i="34" s="1"/>
  <c r="BF105" i="34"/>
  <c r="BF117" i="34"/>
  <c r="BE118" i="34"/>
  <c r="BD120" i="34"/>
  <c r="BD122" i="34" s="1"/>
  <c r="BD123" i="34"/>
  <c r="BO116" i="34"/>
  <c r="BP115" i="34"/>
  <c r="BC9" i="34"/>
  <c r="BC70" i="14" s="1"/>
  <c r="BD144" i="34"/>
  <c r="BD146" i="34" s="1"/>
  <c r="BD147" i="34"/>
  <c r="BF141" i="34"/>
  <c r="BE142" i="34"/>
  <c r="BE98" i="34"/>
  <c r="BE95" i="34"/>
  <c r="BE97" i="34" s="1"/>
  <c r="BG92" i="34"/>
  <c r="BF93" i="34"/>
  <c r="BO66" i="34"/>
  <c r="BP65" i="34"/>
  <c r="BE73" i="34"/>
  <c r="BG67" i="34"/>
  <c r="BF68" i="34"/>
  <c r="BE70" i="34"/>
  <c r="BE72" i="34" s="1"/>
  <c r="AN11" i="30"/>
  <c r="BM10" i="30"/>
  <c r="BD84" i="34"/>
  <c r="AM12" i="30"/>
  <c r="BF80" i="34"/>
  <c r="BG79" i="34"/>
  <c r="BE85" i="34"/>
  <c r="BE82" i="34"/>
  <c r="AM17" i="30"/>
  <c r="AM20" i="30" s="1"/>
  <c r="E14" i="29" s="1"/>
  <c r="AO33" i="34"/>
  <c r="BF130" i="34" l="1"/>
  <c r="BE132" i="34"/>
  <c r="BE134" i="34" s="1"/>
  <c r="BG129" i="34"/>
  <c r="BE135" i="34"/>
  <c r="I6" i="15"/>
  <c r="BO41" i="34"/>
  <c r="BN42" i="34"/>
  <c r="BN5" i="34" s="1"/>
  <c r="BN10" i="14" s="1"/>
  <c r="BF44" i="34"/>
  <c r="BG43" i="34"/>
  <c r="BE49" i="34"/>
  <c r="BE46" i="34"/>
  <c r="BE48" i="34" s="1"/>
  <c r="AN7" i="34"/>
  <c r="AN12" i="14" s="1"/>
  <c r="BE171" i="34"/>
  <c r="BE168" i="34"/>
  <c r="BE170" i="34" s="1"/>
  <c r="BG165" i="34"/>
  <c r="BF166" i="34"/>
  <c r="BW163" i="34"/>
  <c r="BV164" i="34"/>
  <c r="BE156" i="34"/>
  <c r="BE158" i="34" s="1"/>
  <c r="BF154" i="34"/>
  <c r="BE159" i="34"/>
  <c r="BG153" i="34"/>
  <c r="BD9" i="34"/>
  <c r="BD70" i="14" s="1"/>
  <c r="BG56" i="34"/>
  <c r="BF61" i="34"/>
  <c r="BH55" i="34"/>
  <c r="BF58" i="34"/>
  <c r="BF60" i="34" s="1"/>
  <c r="BF106" i="34"/>
  <c r="BE111" i="34"/>
  <c r="BE108" i="34"/>
  <c r="BE110" i="34" s="1"/>
  <c r="BG105" i="34"/>
  <c r="BP116" i="34"/>
  <c r="BQ115" i="34"/>
  <c r="BE123" i="34"/>
  <c r="BE120" i="34"/>
  <c r="BE122" i="34" s="1"/>
  <c r="BG117" i="34"/>
  <c r="BF118" i="34"/>
  <c r="BE147" i="34"/>
  <c r="BE144" i="34"/>
  <c r="BE146" i="34" s="1"/>
  <c r="BG141" i="34"/>
  <c r="BF142" i="34"/>
  <c r="BF95" i="34"/>
  <c r="BF97" i="34" s="1"/>
  <c r="BF98" i="34"/>
  <c r="BH92" i="34"/>
  <c r="BG93" i="34"/>
  <c r="BF70" i="34"/>
  <c r="BF72" i="34" s="1"/>
  <c r="BH67" i="34"/>
  <c r="BF73" i="34"/>
  <c r="BG68" i="34"/>
  <c r="BP66" i="34"/>
  <c r="BQ65" i="34"/>
  <c r="BF85" i="34"/>
  <c r="BH79" i="34"/>
  <c r="BF82" i="34"/>
  <c r="BG80" i="34"/>
  <c r="BE84" i="34"/>
  <c r="AO6" i="34"/>
  <c r="AO34" i="34"/>
  <c r="AN37" i="34"/>
  <c r="AN10" i="34" s="1"/>
  <c r="AN8" i="34"/>
  <c r="BH129" i="34" l="1"/>
  <c r="BF132" i="34"/>
  <c r="BF134" i="34" s="1"/>
  <c r="BG130" i="34"/>
  <c r="BF135" i="34"/>
  <c r="AN12" i="30"/>
  <c r="BP41" i="34"/>
  <c r="BO42" i="34"/>
  <c r="BO5" i="34" s="1"/>
  <c r="BO10" i="14" s="1"/>
  <c r="BG44" i="34"/>
  <c r="BF49" i="34"/>
  <c r="BF46" i="34"/>
  <c r="BF48" i="34" s="1"/>
  <c r="BH43" i="34"/>
  <c r="BF171" i="34"/>
  <c r="BF168" i="34"/>
  <c r="BF170" i="34" s="1"/>
  <c r="BH165" i="34"/>
  <c r="BG166" i="34"/>
  <c r="BW164" i="34"/>
  <c r="BX163" i="34"/>
  <c r="BH153" i="34"/>
  <c r="BF159" i="34"/>
  <c r="BG154" i="34"/>
  <c r="BF156" i="34"/>
  <c r="BF158" i="34" s="1"/>
  <c r="BE9" i="34"/>
  <c r="BE70" i="14" s="1"/>
  <c r="BG58" i="34"/>
  <c r="BG60" i="34" s="1"/>
  <c r="BI55" i="34"/>
  <c r="BG61" i="34"/>
  <c r="BH56" i="34"/>
  <c r="BG106" i="34"/>
  <c r="BF108" i="34"/>
  <c r="BF110" i="34" s="1"/>
  <c r="BH105" i="34"/>
  <c r="BF111" i="34"/>
  <c r="BF123" i="34"/>
  <c r="BH117" i="34"/>
  <c r="BF120" i="34"/>
  <c r="BF122" i="34" s="1"/>
  <c r="BG118" i="34"/>
  <c r="BQ116" i="34"/>
  <c r="BR115" i="34"/>
  <c r="BF144" i="34"/>
  <c r="BF146" i="34" s="1"/>
  <c r="BF147" i="34"/>
  <c r="BH141" i="34"/>
  <c r="BG142" i="34"/>
  <c r="BG98" i="34"/>
  <c r="BI92" i="34"/>
  <c r="BG95" i="34"/>
  <c r="BG97" i="34" s="1"/>
  <c r="BH93" i="34"/>
  <c r="BQ66" i="34"/>
  <c r="BR65" i="34"/>
  <c r="BG73" i="34"/>
  <c r="BH68" i="34"/>
  <c r="BG70" i="34"/>
  <c r="BG72" i="34" s="1"/>
  <c r="BI67" i="34"/>
  <c r="BH80" i="34"/>
  <c r="BG85" i="34"/>
  <c r="BI79" i="34"/>
  <c r="BG82" i="34"/>
  <c r="BF84" i="34"/>
  <c r="AN17" i="30"/>
  <c r="AN20" i="30" s="1"/>
  <c r="AN13" i="14"/>
  <c r="AN16" i="14"/>
  <c r="AN74" i="30"/>
  <c r="AO36" i="34"/>
  <c r="AO7" i="34"/>
  <c r="AP33" i="34"/>
  <c r="AO11" i="30"/>
  <c r="AO11" i="14"/>
  <c r="BG132" i="34" l="1"/>
  <c r="BG134" i="34" s="1"/>
  <c r="BG135" i="34"/>
  <c r="BI129" i="34"/>
  <c r="BH130" i="34"/>
  <c r="BQ41" i="34"/>
  <c r="BP42" i="34"/>
  <c r="BP5" i="34" s="1"/>
  <c r="BP10" i="14" s="1"/>
  <c r="BH44" i="34"/>
  <c r="BI43" i="34"/>
  <c r="BG49" i="34"/>
  <c r="BG46" i="34"/>
  <c r="BG48" i="34" s="1"/>
  <c r="BY163" i="34"/>
  <c r="BX164" i="34"/>
  <c r="BI165" i="34"/>
  <c r="BG171" i="34"/>
  <c r="BH166" i="34"/>
  <c r="BG168" i="34"/>
  <c r="BG170" i="34" s="1"/>
  <c r="BI153" i="34"/>
  <c r="BH154" i="34"/>
  <c r="BG156" i="34"/>
  <c r="BG158" i="34" s="1"/>
  <c r="BG159" i="34"/>
  <c r="BJ55" i="34"/>
  <c r="BH61" i="34"/>
  <c r="BH58" i="34"/>
  <c r="BH60" i="34" s="1"/>
  <c r="BI56" i="34"/>
  <c r="BF9" i="34"/>
  <c r="BF70" i="14" s="1"/>
  <c r="BG108" i="34"/>
  <c r="BG110" i="34" s="1"/>
  <c r="BG111" i="34"/>
  <c r="BH106" i="34"/>
  <c r="BI105" i="34"/>
  <c r="BG123" i="34"/>
  <c r="BI117" i="34"/>
  <c r="BG120" i="34"/>
  <c r="BG122" i="34" s="1"/>
  <c r="BH118" i="34"/>
  <c r="BS115" i="34"/>
  <c r="BR116" i="34"/>
  <c r="BG144" i="34"/>
  <c r="BG146" i="34" s="1"/>
  <c r="BI141" i="34"/>
  <c r="BG147" i="34"/>
  <c r="BH142" i="34"/>
  <c r="BJ92" i="34"/>
  <c r="BH98" i="34"/>
  <c r="BH95" i="34"/>
  <c r="BH97" i="34" s="1"/>
  <c r="BI93" i="34"/>
  <c r="BH73" i="34"/>
  <c r="BH70" i="34"/>
  <c r="BH72" i="34" s="1"/>
  <c r="BI68" i="34"/>
  <c r="BJ67" i="34"/>
  <c r="BS65" i="34"/>
  <c r="BR66" i="34"/>
  <c r="BG84" i="34"/>
  <c r="BI80" i="34"/>
  <c r="BJ79" i="34"/>
  <c r="BH82" i="34"/>
  <c r="BH85" i="34"/>
  <c r="AP6" i="34"/>
  <c r="AP34" i="34"/>
  <c r="AO12" i="30"/>
  <c r="AO12" i="14"/>
  <c r="AO37" i="34"/>
  <c r="AO10" i="34" s="1"/>
  <c r="AO8" i="34"/>
  <c r="BH132" i="34" l="1"/>
  <c r="BH134" i="34" s="1"/>
  <c r="BI130" i="34"/>
  <c r="BJ129" i="34"/>
  <c r="BH135" i="34"/>
  <c r="BR41" i="34"/>
  <c r="BQ42" i="34"/>
  <c r="BQ5" i="34" s="1"/>
  <c r="BQ10" i="14" s="1"/>
  <c r="BH46" i="34"/>
  <c r="BH48" i="34" s="1"/>
  <c r="BJ43" i="34"/>
  <c r="BH49" i="34"/>
  <c r="BI44" i="34"/>
  <c r="BH171" i="34"/>
  <c r="BH168" i="34"/>
  <c r="BH170" i="34" s="1"/>
  <c r="BI166" i="34"/>
  <c r="BJ165" i="34"/>
  <c r="BY164" i="34"/>
  <c r="BZ163" i="34"/>
  <c r="BH159" i="34"/>
  <c r="BH156" i="34"/>
  <c r="BH158" i="34" s="1"/>
  <c r="BI154" i="34"/>
  <c r="BJ153" i="34"/>
  <c r="BJ56" i="34"/>
  <c r="BK55" i="34"/>
  <c r="BI61" i="34"/>
  <c r="BI58" i="34"/>
  <c r="BI60" i="34" s="1"/>
  <c r="BG9" i="34"/>
  <c r="BG70" i="14" s="1"/>
  <c r="BJ105" i="34"/>
  <c r="BH111" i="34"/>
  <c r="BI106" i="34"/>
  <c r="BH108" i="34"/>
  <c r="BH110" i="34" s="1"/>
  <c r="BT115" i="34"/>
  <c r="BS116" i="34"/>
  <c r="BH123" i="34"/>
  <c r="BH120" i="34"/>
  <c r="BH122" i="34" s="1"/>
  <c r="BJ117" i="34"/>
  <c r="BI118" i="34"/>
  <c r="BH147" i="34"/>
  <c r="BH144" i="34"/>
  <c r="BH146" i="34" s="1"/>
  <c r="BJ141" i="34"/>
  <c r="BI142" i="34"/>
  <c r="BI95" i="34"/>
  <c r="BI97" i="34" s="1"/>
  <c r="BI98" i="34"/>
  <c r="BK92" i="34"/>
  <c r="BJ93" i="34"/>
  <c r="BS66" i="34"/>
  <c r="BT65" i="34"/>
  <c r="BI70" i="34"/>
  <c r="BI72" i="34" s="1"/>
  <c r="BK67" i="34"/>
  <c r="BJ68" i="34"/>
  <c r="BI73" i="34"/>
  <c r="BH84" i="34"/>
  <c r="BJ80" i="34"/>
  <c r="BI85" i="34"/>
  <c r="BI82" i="34"/>
  <c r="BK79" i="34"/>
  <c r="AO17" i="30"/>
  <c r="AO20" i="30" s="1"/>
  <c r="AO13" i="14"/>
  <c r="AO74" i="30"/>
  <c r="AO16" i="14"/>
  <c r="AQ33" i="34"/>
  <c r="AQ6" i="34" s="1"/>
  <c r="AP7" i="34"/>
  <c r="AP36" i="34"/>
  <c r="AP11" i="14"/>
  <c r="AP11" i="30"/>
  <c r="BI135" i="34" l="1"/>
  <c r="BK129" i="34"/>
  <c r="BI132" i="34"/>
  <c r="BI134" i="34" s="1"/>
  <c r="BJ130" i="34"/>
  <c r="BS41" i="34"/>
  <c r="BR42" i="34"/>
  <c r="BR5" i="34" s="1"/>
  <c r="BR10" i="14" s="1"/>
  <c r="BI49" i="34"/>
  <c r="BK43" i="34"/>
  <c r="BJ44" i="34"/>
  <c r="BI46" i="34"/>
  <c r="BI48" i="34" s="1"/>
  <c r="BZ164" i="34"/>
  <c r="CA163" i="34"/>
  <c r="BI168" i="34"/>
  <c r="BI170" i="34" s="1"/>
  <c r="BI171" i="34"/>
  <c r="BJ166" i="34"/>
  <c r="BK165" i="34"/>
  <c r="BI156" i="34"/>
  <c r="BI158" i="34" s="1"/>
  <c r="BJ154" i="34"/>
  <c r="BK153" i="34"/>
  <c r="BI159" i="34"/>
  <c r="BL55" i="34"/>
  <c r="BJ58" i="34"/>
  <c r="BJ60" i="34" s="1"/>
  <c r="BK56" i="34"/>
  <c r="BJ61" i="34"/>
  <c r="BI108" i="34"/>
  <c r="BI110" i="34" s="1"/>
  <c r="BJ106" i="34"/>
  <c r="BK105" i="34"/>
  <c r="BI111" i="34"/>
  <c r="BH9" i="34"/>
  <c r="BH70" i="14" s="1"/>
  <c r="BK117" i="34"/>
  <c r="BI120" i="34"/>
  <c r="BI122" i="34" s="1"/>
  <c r="BI123" i="34"/>
  <c r="BJ118" i="34"/>
  <c r="BU115" i="34"/>
  <c r="BT116" i="34"/>
  <c r="BI147" i="34"/>
  <c r="BK141" i="34"/>
  <c r="BI144" i="34"/>
  <c r="BI146" i="34" s="1"/>
  <c r="BJ142" i="34"/>
  <c r="BL92" i="34"/>
  <c r="BJ95" i="34"/>
  <c r="BJ97" i="34" s="1"/>
  <c r="BJ98" i="34"/>
  <c r="BK93" i="34"/>
  <c r="BJ73" i="34"/>
  <c r="BJ70" i="34"/>
  <c r="BJ72" i="34" s="1"/>
  <c r="BL67" i="34"/>
  <c r="BK68" i="34"/>
  <c r="BT66" i="34"/>
  <c r="BU65" i="34"/>
  <c r="BI84" i="34"/>
  <c r="BL79" i="34"/>
  <c r="BJ82" i="34"/>
  <c r="BK80" i="34"/>
  <c r="BJ85" i="34"/>
  <c r="AQ34" i="34"/>
  <c r="AQ36" i="34" s="1"/>
  <c r="AP12" i="14"/>
  <c r="AP12" i="30"/>
  <c r="AP8" i="34"/>
  <c r="AP37" i="34"/>
  <c r="AP10" i="34" s="1"/>
  <c r="AQ11" i="30"/>
  <c r="AQ11" i="14"/>
  <c r="BJ132" i="34" l="1"/>
  <c r="BJ134" i="34" s="1"/>
  <c r="BJ135" i="34"/>
  <c r="BK130" i="34"/>
  <c r="BL129" i="34"/>
  <c r="BS42" i="34"/>
  <c r="BS5" i="34" s="1"/>
  <c r="BS10" i="14" s="1"/>
  <c r="BT41" i="34"/>
  <c r="BL43" i="34"/>
  <c r="BJ49" i="34"/>
  <c r="BK44" i="34"/>
  <c r="BJ46" i="34"/>
  <c r="BJ48" i="34" s="1"/>
  <c r="CA164" i="34"/>
  <c r="CB163" i="34"/>
  <c r="BJ171" i="34"/>
  <c r="BK166" i="34"/>
  <c r="BL165" i="34"/>
  <c r="BJ168" i="34"/>
  <c r="BJ170" i="34" s="1"/>
  <c r="BL153" i="34"/>
  <c r="BJ159" i="34"/>
  <c r="BK154" i="34"/>
  <c r="BJ156" i="34"/>
  <c r="BJ158" i="34" s="1"/>
  <c r="BI9" i="34"/>
  <c r="BI70" i="14" s="1"/>
  <c r="BL56" i="34"/>
  <c r="BM55" i="34"/>
  <c r="BK58" i="34"/>
  <c r="BK60" i="34" s="1"/>
  <c r="BK61" i="34"/>
  <c r="BJ108" i="34"/>
  <c r="BJ110" i="34" s="1"/>
  <c r="BJ111" i="34"/>
  <c r="BK106" i="34"/>
  <c r="BL105" i="34"/>
  <c r="BV115" i="34"/>
  <c r="BU116" i="34"/>
  <c r="BL117" i="34"/>
  <c r="BJ123" i="34"/>
  <c r="BJ120" i="34"/>
  <c r="BJ122" i="34" s="1"/>
  <c r="BK118" i="34"/>
  <c r="BJ144" i="34"/>
  <c r="BJ146" i="34" s="1"/>
  <c r="BJ147" i="34"/>
  <c r="BL141" i="34"/>
  <c r="BK142" i="34"/>
  <c r="BL93" i="34"/>
  <c r="BK98" i="34"/>
  <c r="BM92" i="34"/>
  <c r="BK95" i="34"/>
  <c r="BK97" i="34" s="1"/>
  <c r="BV65" i="34"/>
  <c r="BU66" i="34"/>
  <c r="BK70" i="34"/>
  <c r="BK72" i="34" s="1"/>
  <c r="BM67" i="34"/>
  <c r="BL68" i="34"/>
  <c r="BK73" i="34"/>
  <c r="BJ84" i="34"/>
  <c r="BK82" i="34"/>
  <c r="BL80" i="34"/>
  <c r="BK85" i="34"/>
  <c r="BM79" i="34"/>
  <c r="AQ7" i="34"/>
  <c r="AQ12" i="30" s="1"/>
  <c r="AR33" i="34"/>
  <c r="AR6" i="34" s="1"/>
  <c r="AR11" i="14" s="1"/>
  <c r="AP16" i="14"/>
  <c r="AP74" i="30"/>
  <c r="AP13" i="14"/>
  <c r="AP17" i="30"/>
  <c r="AQ8" i="34"/>
  <c r="AQ37" i="34"/>
  <c r="AQ10" i="34" s="1"/>
  <c r="BL130" i="34" l="1"/>
  <c r="BK135" i="34"/>
  <c r="BK132" i="34"/>
  <c r="BK134" i="34" s="1"/>
  <c r="BM129" i="34"/>
  <c r="BT42" i="34"/>
  <c r="BT5" i="34" s="1"/>
  <c r="BT10" i="14" s="1"/>
  <c r="BU41" i="34"/>
  <c r="BM43" i="34"/>
  <c r="BK49" i="34"/>
  <c r="BK46" i="34"/>
  <c r="BK48" i="34" s="1"/>
  <c r="BL44" i="34"/>
  <c r="BL166" i="34"/>
  <c r="BK168" i="34"/>
  <c r="BK170" i="34" s="1"/>
  <c r="BK171" i="34"/>
  <c r="BM165" i="34"/>
  <c r="CB164" i="34"/>
  <c r="CC163" i="34"/>
  <c r="BK156" i="34"/>
  <c r="BK158" i="34" s="1"/>
  <c r="BM153" i="34"/>
  <c r="BL154" i="34"/>
  <c r="BK159" i="34"/>
  <c r="BN55" i="34"/>
  <c r="BL58" i="34"/>
  <c r="BL60" i="34" s="1"/>
  <c r="BL61" i="34"/>
  <c r="BM56" i="34"/>
  <c r="BK111" i="34"/>
  <c r="BM105" i="34"/>
  <c r="BK108" i="34"/>
  <c r="BK110" i="34" s="1"/>
  <c r="BL106" i="34"/>
  <c r="BJ9" i="34"/>
  <c r="BJ70" i="14" s="1"/>
  <c r="BK120" i="34"/>
  <c r="BK122" i="34" s="1"/>
  <c r="BM117" i="34"/>
  <c r="BL118" i="34"/>
  <c r="BK123" i="34"/>
  <c r="BV116" i="34"/>
  <c r="BW115" i="34"/>
  <c r="BK147" i="34"/>
  <c r="BM141" i="34"/>
  <c r="BL142" i="34"/>
  <c r="BK144" i="34"/>
  <c r="BK146" i="34" s="1"/>
  <c r="BN92" i="34"/>
  <c r="BM93" i="34"/>
  <c r="BL98" i="34"/>
  <c r="BL95" i="34"/>
  <c r="BL97" i="34" s="1"/>
  <c r="BN67" i="34"/>
  <c r="BL70" i="34"/>
  <c r="BL72" i="34" s="1"/>
  <c r="BM68" i="34"/>
  <c r="BL73" i="34"/>
  <c r="BW65" i="34"/>
  <c r="BV66" i="34"/>
  <c r="BK84" i="34"/>
  <c r="BN79" i="34"/>
  <c r="BL82" i="34"/>
  <c r="BM80" i="34"/>
  <c r="BL85" i="34"/>
  <c r="AQ12" i="14"/>
  <c r="AR34" i="34"/>
  <c r="AS33" i="34" s="1"/>
  <c r="AS6" i="34" s="1"/>
  <c r="AR11" i="30"/>
  <c r="AQ16" i="14"/>
  <c r="AQ74" i="30"/>
  <c r="AP18" i="30"/>
  <c r="AP20" i="30"/>
  <c r="AQ17" i="30"/>
  <c r="AQ13" i="14"/>
  <c r="BN129" i="34" l="1"/>
  <c r="BM130" i="34"/>
  <c r="BL135" i="34"/>
  <c r="BL132" i="34"/>
  <c r="BL134" i="34" s="1"/>
  <c r="BU42" i="34"/>
  <c r="BU5" i="34" s="1"/>
  <c r="BU10" i="14" s="1"/>
  <c r="BV41" i="34"/>
  <c r="BN43" i="34"/>
  <c r="BL46" i="34"/>
  <c r="BL48" i="34" s="1"/>
  <c r="BM44" i="34"/>
  <c r="BL49" i="34"/>
  <c r="CD163" i="34"/>
  <c r="CC164" i="34"/>
  <c r="BN165" i="34"/>
  <c r="BM166" i="34"/>
  <c r="BL168" i="34"/>
  <c r="BL170" i="34" s="1"/>
  <c r="BL171" i="34"/>
  <c r="BN153" i="34"/>
  <c r="BM154" i="34"/>
  <c r="BL159" i="34"/>
  <c r="BL156" i="34"/>
  <c r="BL158" i="34" s="1"/>
  <c r="BK9" i="34"/>
  <c r="BK70" i="14" s="1"/>
  <c r="BO55" i="34"/>
  <c r="BM58" i="34"/>
  <c r="BM60" i="34" s="1"/>
  <c r="BM61" i="34"/>
  <c r="BN56" i="34"/>
  <c r="BN105" i="34"/>
  <c r="BM106" i="34"/>
  <c r="BL111" i="34"/>
  <c r="BL108" i="34"/>
  <c r="BL110" i="34" s="1"/>
  <c r="BN117" i="34"/>
  <c r="BL123" i="34"/>
  <c r="BL120" i="34"/>
  <c r="BL122" i="34" s="1"/>
  <c r="BM118" i="34"/>
  <c r="BX115" i="34"/>
  <c r="BW116" i="34"/>
  <c r="BN141" i="34"/>
  <c r="BL147" i="34"/>
  <c r="BL144" i="34"/>
  <c r="BL146" i="34" s="1"/>
  <c r="BM142" i="34"/>
  <c r="BO92" i="34"/>
  <c r="BM98" i="34"/>
  <c r="BM95" i="34"/>
  <c r="BM97" i="34" s="1"/>
  <c r="BN93" i="34"/>
  <c r="BW66" i="34"/>
  <c r="BX65" i="34"/>
  <c r="BO67" i="34"/>
  <c r="BM73" i="34"/>
  <c r="BM70" i="34"/>
  <c r="BM72" i="34" s="1"/>
  <c r="BN68" i="34"/>
  <c r="BN80" i="34"/>
  <c r="BO79" i="34"/>
  <c r="BM85" i="34"/>
  <c r="BM82" i="34"/>
  <c r="BL84" i="34"/>
  <c r="AR36" i="34"/>
  <c r="AR8" i="34" s="1"/>
  <c r="AR7" i="34"/>
  <c r="AR12" i="14" s="1"/>
  <c r="AS11" i="30"/>
  <c r="AS11" i="14"/>
  <c r="AQ18" i="30"/>
  <c r="AQ20" i="30"/>
  <c r="AS34" i="34"/>
  <c r="BO129" i="34" l="1"/>
  <c r="BN130" i="34"/>
  <c r="BM132" i="34"/>
  <c r="BM134" i="34" s="1"/>
  <c r="BM135" i="34"/>
  <c r="BW41" i="34"/>
  <c r="BV42" i="34"/>
  <c r="BV5" i="34" s="1"/>
  <c r="BV10" i="14" s="1"/>
  <c r="BO43" i="34"/>
  <c r="BN44" i="34"/>
  <c r="BM49" i="34"/>
  <c r="BM46" i="34"/>
  <c r="BM48" i="34" s="1"/>
  <c r="BN166" i="34"/>
  <c r="BO165" i="34"/>
  <c r="BM171" i="34"/>
  <c r="BM168" i="34"/>
  <c r="BM170" i="34" s="1"/>
  <c r="CE163" i="34"/>
  <c r="CD164" i="34"/>
  <c r="BO153" i="34"/>
  <c r="BN154" i="34"/>
  <c r="BM159" i="34"/>
  <c r="BM156" i="34"/>
  <c r="BM158" i="34" s="1"/>
  <c r="BL9" i="34"/>
  <c r="BL70" i="14" s="1"/>
  <c r="BN58" i="34"/>
  <c r="BN60" i="34" s="1"/>
  <c r="BP55" i="34"/>
  <c r="BO56" i="34"/>
  <c r="BN61" i="34"/>
  <c r="AR37" i="34"/>
  <c r="AR10" i="34" s="1"/>
  <c r="AR74" i="30" s="1"/>
  <c r="BO105" i="34"/>
  <c r="BM111" i="34"/>
  <c r="BM108" i="34"/>
  <c r="BM110" i="34" s="1"/>
  <c r="BN106" i="34"/>
  <c r="BN118" i="34"/>
  <c r="BO117" i="34"/>
  <c r="BM123" i="34"/>
  <c r="BM120" i="34"/>
  <c r="BM122" i="34" s="1"/>
  <c r="BX116" i="34"/>
  <c r="BY115" i="34"/>
  <c r="BO141" i="34"/>
  <c r="BN142" i="34"/>
  <c r="BM147" i="34"/>
  <c r="BM144" i="34"/>
  <c r="BM146" i="34" s="1"/>
  <c r="BN95" i="34"/>
  <c r="BN97" i="34" s="1"/>
  <c r="BP92" i="34"/>
  <c r="BN98" i="34"/>
  <c r="BO93" i="34"/>
  <c r="BN73" i="34"/>
  <c r="BN70" i="34"/>
  <c r="BN72" i="34" s="1"/>
  <c r="BP67" i="34"/>
  <c r="BO68" i="34"/>
  <c r="BX66" i="34"/>
  <c r="BY65" i="34"/>
  <c r="BM84" i="34"/>
  <c r="BP79" i="34"/>
  <c r="BN85" i="34"/>
  <c r="BN82" i="34"/>
  <c r="BO80" i="34"/>
  <c r="AR12" i="30"/>
  <c r="AR17" i="30"/>
  <c r="AR13" i="14"/>
  <c r="AT33" i="34"/>
  <c r="AT6" i="34" s="1"/>
  <c r="AS7" i="34"/>
  <c r="AS36" i="34"/>
  <c r="BP129" i="34" l="1"/>
  <c r="BN132" i="34"/>
  <c r="BN134" i="34" s="1"/>
  <c r="BN135" i="34"/>
  <c r="BO130" i="34"/>
  <c r="BW42" i="34"/>
  <c r="BW5" i="34" s="1"/>
  <c r="BW10" i="14" s="1"/>
  <c r="BX41" i="34"/>
  <c r="BO44" i="34"/>
  <c r="BN49" i="34"/>
  <c r="BP43" i="34"/>
  <c r="BN46" i="34"/>
  <c r="BN48" i="34" s="1"/>
  <c r="CF163" i="34"/>
  <c r="CE164" i="34"/>
  <c r="BP165" i="34"/>
  <c r="BO166" i="34"/>
  <c r="BN171" i="34"/>
  <c r="BN168" i="34"/>
  <c r="BN170" i="34" s="1"/>
  <c r="BP153" i="34"/>
  <c r="BN159" i="34"/>
  <c r="BN156" i="34"/>
  <c r="BN158" i="34" s="1"/>
  <c r="BO154" i="34"/>
  <c r="BM9" i="34"/>
  <c r="BM70" i="14" s="1"/>
  <c r="I56" i="15" s="1"/>
  <c r="BO61" i="34"/>
  <c r="BP56" i="34"/>
  <c r="BQ55" i="34"/>
  <c r="BO58" i="34"/>
  <c r="BO60" i="34" s="1"/>
  <c r="AR16" i="14"/>
  <c r="BN108" i="34"/>
  <c r="BN110" i="34" s="1"/>
  <c r="BP105" i="34"/>
  <c r="BN111" i="34"/>
  <c r="BO106" i="34"/>
  <c r="BY116" i="34"/>
  <c r="BZ115" i="34"/>
  <c r="BO118" i="34"/>
  <c r="BN120" i="34"/>
  <c r="BN122" i="34" s="1"/>
  <c r="BN123" i="34"/>
  <c r="BP117" i="34"/>
  <c r="BO142" i="34"/>
  <c r="BN147" i="34"/>
  <c r="BP141" i="34"/>
  <c r="BN144" i="34"/>
  <c r="BN146" i="34" s="1"/>
  <c r="BO98" i="34"/>
  <c r="BO95" i="34"/>
  <c r="BO97" i="34" s="1"/>
  <c r="BQ92" i="34"/>
  <c r="BP93" i="34"/>
  <c r="BY66" i="34"/>
  <c r="BZ65" i="34"/>
  <c r="BP68" i="34"/>
  <c r="BQ67" i="34"/>
  <c r="BO73" i="34"/>
  <c r="BO70" i="34"/>
  <c r="BO72" i="34" s="1"/>
  <c r="BP80" i="34"/>
  <c r="BQ79" i="34"/>
  <c r="BO85" i="34"/>
  <c r="BO82" i="34"/>
  <c r="BN84" i="34"/>
  <c r="AS12" i="14"/>
  <c r="AS12" i="30"/>
  <c r="AS37" i="34"/>
  <c r="AS10" i="34" s="1"/>
  <c r="AS8" i="34"/>
  <c r="AT34" i="34"/>
  <c r="AT11" i="14"/>
  <c r="AT11" i="30"/>
  <c r="AR18" i="30"/>
  <c r="AR20" i="30"/>
  <c r="BO132" i="34" l="1"/>
  <c r="BO134" i="34" s="1"/>
  <c r="BO135" i="34"/>
  <c r="BQ129" i="34"/>
  <c r="BP130" i="34"/>
  <c r="BX42" i="34"/>
  <c r="BX5" i="34" s="1"/>
  <c r="BX10" i="14" s="1"/>
  <c r="BY41" i="34"/>
  <c r="BO49" i="34"/>
  <c r="BO46" i="34"/>
  <c r="BO48" i="34" s="1"/>
  <c r="BQ43" i="34"/>
  <c r="BP44" i="34"/>
  <c r="BO171" i="34"/>
  <c r="BO168" i="34"/>
  <c r="BO170" i="34" s="1"/>
  <c r="BQ165" i="34"/>
  <c r="BP166" i="34"/>
  <c r="CF164" i="34"/>
  <c r="CG163" i="34"/>
  <c r="BQ153" i="34"/>
  <c r="BO156" i="34"/>
  <c r="BO158" i="34" s="1"/>
  <c r="BP154" i="34"/>
  <c r="BO159" i="34"/>
  <c r="BP58" i="34"/>
  <c r="BP60" i="34" s="1"/>
  <c r="BQ56" i="34"/>
  <c r="BR55" i="34"/>
  <c r="BP61" i="34"/>
  <c r="BN9" i="34"/>
  <c r="BN70" i="14" s="1"/>
  <c r="BQ105" i="34"/>
  <c r="BP106" i="34"/>
  <c r="BO111" i="34"/>
  <c r="BO108" i="34"/>
  <c r="BO110" i="34" s="1"/>
  <c r="BQ117" i="34"/>
  <c r="BO123" i="34"/>
  <c r="BP118" i="34"/>
  <c r="BO120" i="34"/>
  <c r="BO122" i="34" s="1"/>
  <c r="BZ116" i="34"/>
  <c r="CA115" i="34"/>
  <c r="BQ141" i="34"/>
  <c r="BO144" i="34"/>
  <c r="BO146" i="34" s="1"/>
  <c r="BO147" i="34"/>
  <c r="BP142" i="34"/>
  <c r="BQ93" i="34"/>
  <c r="BP95" i="34"/>
  <c r="BP97" i="34" s="1"/>
  <c r="BR92" i="34"/>
  <c r="BP98" i="34"/>
  <c r="BQ68" i="34"/>
  <c r="BP70" i="34"/>
  <c r="BP72" i="34" s="1"/>
  <c r="BP73" i="34"/>
  <c r="BR67" i="34"/>
  <c r="CA65" i="34"/>
  <c r="BZ66" i="34"/>
  <c r="BO84" i="34"/>
  <c r="BP85" i="34"/>
  <c r="BP82" i="34"/>
  <c r="BQ80" i="34"/>
  <c r="BR79" i="34"/>
  <c r="AS74" i="30"/>
  <c r="AS16" i="14"/>
  <c r="AT36" i="34"/>
  <c r="AT7" i="34"/>
  <c r="AU33" i="34"/>
  <c r="AU6" i="34" s="1"/>
  <c r="AS17" i="30"/>
  <c r="AS13" i="14"/>
  <c r="BP132" i="34" l="1"/>
  <c r="BP134" i="34" s="1"/>
  <c r="BR129" i="34"/>
  <c r="BP135" i="34"/>
  <c r="BQ130" i="34"/>
  <c r="BY42" i="34"/>
  <c r="BY5" i="34" s="1"/>
  <c r="BY10" i="14" s="1"/>
  <c r="J6" i="15" s="1"/>
  <c r="BZ41" i="34"/>
  <c r="BP49" i="34"/>
  <c r="BR43" i="34"/>
  <c r="BQ44" i="34"/>
  <c r="BP46" i="34"/>
  <c r="BP48" i="34" s="1"/>
  <c r="CH163" i="34"/>
  <c r="CG164" i="34"/>
  <c r="BQ166" i="34"/>
  <c r="BR165" i="34"/>
  <c r="BP168" i="34"/>
  <c r="BP170" i="34" s="1"/>
  <c r="BP171" i="34"/>
  <c r="BP156" i="34"/>
  <c r="BP158" i="34" s="1"/>
  <c r="BR153" i="34"/>
  <c r="BP159" i="34"/>
  <c r="BQ154" i="34"/>
  <c r="BS55" i="34"/>
  <c r="BQ61" i="34"/>
  <c r="BQ58" i="34"/>
  <c r="BQ60" i="34" s="1"/>
  <c r="BR56" i="34"/>
  <c r="BP111" i="34"/>
  <c r="BP108" i="34"/>
  <c r="BP110" i="34" s="1"/>
  <c r="BQ106" i="34"/>
  <c r="BR105" i="34"/>
  <c r="BO9" i="34"/>
  <c r="BO70" i="14" s="1"/>
  <c r="CA116" i="34"/>
  <c r="CB115" i="34"/>
  <c r="BR117" i="34"/>
  <c r="BQ118" i="34"/>
  <c r="BP123" i="34"/>
  <c r="BP120" i="34"/>
  <c r="BP122" i="34" s="1"/>
  <c r="BP147" i="34"/>
  <c r="BR141" i="34"/>
  <c r="BP144" i="34"/>
  <c r="BP146" i="34" s="1"/>
  <c r="BQ142" i="34"/>
  <c r="BS92" i="34"/>
  <c r="BR93" i="34"/>
  <c r="BQ98" i="34"/>
  <c r="BQ95" i="34"/>
  <c r="BQ97" i="34" s="1"/>
  <c r="CB65" i="34"/>
  <c r="CA66" i="34"/>
  <c r="BQ70" i="34"/>
  <c r="BQ72" i="34" s="1"/>
  <c r="BR68" i="34"/>
  <c r="BQ73" i="34"/>
  <c r="BS67" i="34"/>
  <c r="BR80" i="34"/>
  <c r="BS79" i="34"/>
  <c r="BQ85" i="34"/>
  <c r="BQ82" i="34"/>
  <c r="BP84" i="34"/>
  <c r="AT12" i="14"/>
  <c r="AT21" i="14" s="1"/>
  <c r="AT12" i="30"/>
  <c r="AT25" i="30" s="1"/>
  <c r="AT37" i="34"/>
  <c r="AT10" i="34" s="1"/>
  <c r="AT8" i="34"/>
  <c r="AS18" i="30"/>
  <c r="AS20" i="30"/>
  <c r="AU11" i="30"/>
  <c r="AU11" i="14"/>
  <c r="AU34" i="34"/>
  <c r="BB53" i="32"/>
  <c r="BA39" i="30" s="1"/>
  <c r="AT53" i="32"/>
  <c r="AS39" i="30" s="1"/>
  <c r="AP53" i="32"/>
  <c r="AN53" i="32"/>
  <c r="AL53" i="32"/>
  <c r="AK39" i="30" s="1"/>
  <c r="AH53" i="32"/>
  <c r="AF53" i="32"/>
  <c r="AD53" i="32"/>
  <c r="AC39" i="30" s="1"/>
  <c r="AC53" i="32"/>
  <c r="AB53" i="32"/>
  <c r="AA53" i="32"/>
  <c r="Z53" i="32"/>
  <c r="Y53" i="32"/>
  <c r="X53" i="32"/>
  <c r="W53" i="32"/>
  <c r="V53" i="32"/>
  <c r="U39" i="30" s="1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BB51" i="32"/>
  <c r="BA51" i="32"/>
  <c r="AZ51" i="32"/>
  <c r="AY51" i="32"/>
  <c r="AX51" i="32"/>
  <c r="BB50" i="32"/>
  <c r="BA50" i="32"/>
  <c r="BA53" i="32" s="1"/>
  <c r="AZ39" i="30" s="1"/>
  <c r="AZ50" i="32"/>
  <c r="AZ53" i="32" s="1"/>
  <c r="AY39" i="30" s="1"/>
  <c r="AY50" i="32"/>
  <c r="AY53" i="32" s="1"/>
  <c r="AX39" i="30" s="1"/>
  <c r="AX50" i="32"/>
  <c r="AX53" i="32" s="1"/>
  <c r="AW39" i="30" s="1"/>
  <c r="AW50" i="32"/>
  <c r="AW53" i="32" s="1"/>
  <c r="AV39" i="30" s="1"/>
  <c r="AV50" i="32"/>
  <c r="AV53" i="32" s="1"/>
  <c r="AU39" i="30" s="1"/>
  <c r="AU50" i="32"/>
  <c r="AU53" i="32" s="1"/>
  <c r="AT39" i="30" s="1"/>
  <c r="AT50" i="32"/>
  <c r="AS50" i="32"/>
  <c r="AS53" i="32" s="1"/>
  <c r="AR39" i="30" s="1"/>
  <c r="AR50" i="32"/>
  <c r="AR53" i="32" s="1"/>
  <c r="AQ39" i="30" s="1"/>
  <c r="AQ50" i="32"/>
  <c r="AQ53" i="32" s="1"/>
  <c r="AP39" i="30" s="1"/>
  <c r="AP50" i="32"/>
  <c r="AO50" i="32"/>
  <c r="AO53" i="32" s="1"/>
  <c r="AN39" i="30" s="1"/>
  <c r="AN50" i="32"/>
  <c r="AM50" i="32"/>
  <c r="AM53" i="32" s="1"/>
  <c r="AL39" i="30" s="1"/>
  <c r="AL50" i="32"/>
  <c r="AK50" i="32"/>
  <c r="AK53" i="32" s="1"/>
  <c r="AJ39" i="30" s="1"/>
  <c r="AJ50" i="32"/>
  <c r="AJ53" i="32" s="1"/>
  <c r="AI39" i="30" s="1"/>
  <c r="AI50" i="32"/>
  <c r="AI53" i="32" s="1"/>
  <c r="AH39" i="30" s="1"/>
  <c r="AH50" i="32"/>
  <c r="AG50" i="32"/>
  <c r="AG53" i="32" s="1"/>
  <c r="AF39" i="30" s="1"/>
  <c r="AF50" i="32"/>
  <c r="AE50" i="32"/>
  <c r="AE53" i="32" s="1"/>
  <c r="AD39" i="30" s="1"/>
  <c r="BB49" i="32"/>
  <c r="BA49" i="32"/>
  <c r="AZ49" i="32"/>
  <c r="AY49" i="32"/>
  <c r="AX49" i="32"/>
  <c r="AW49" i="32"/>
  <c r="AV49" i="32"/>
  <c r="AU49" i="32"/>
  <c r="AT49" i="32"/>
  <c r="AS49" i="32"/>
  <c r="AR49" i="32"/>
  <c r="AQ49" i="32"/>
  <c r="BB48" i="32"/>
  <c r="BA48" i="32"/>
  <c r="AZ48" i="32"/>
  <c r="AY48" i="32"/>
  <c r="AX48" i="32"/>
  <c r="AW48" i="32"/>
  <c r="AV48" i="32"/>
  <c r="AU48" i="32"/>
  <c r="AT48" i="32"/>
  <c r="AS48" i="32"/>
  <c r="AR48" i="32"/>
  <c r="AQ48" i="32"/>
  <c r="AP48" i="32"/>
  <c r="AO48" i="32"/>
  <c r="AN48" i="32"/>
  <c r="AM48" i="32"/>
  <c r="AL48" i="32"/>
  <c r="AK48" i="32"/>
  <c r="AJ48" i="32"/>
  <c r="AI48" i="32"/>
  <c r="AH48" i="32"/>
  <c r="AG48" i="32"/>
  <c r="AF48" i="32"/>
  <c r="AE48" i="32"/>
  <c r="BB47" i="32"/>
  <c r="BA47" i="32"/>
  <c r="AZ47" i="32"/>
  <c r="AY47" i="32"/>
  <c r="AX47" i="32"/>
  <c r="AW47" i="32"/>
  <c r="AV47" i="32"/>
  <c r="AU47" i="32"/>
  <c r="AT47" i="32"/>
  <c r="AS47" i="32"/>
  <c r="AR47" i="32"/>
  <c r="AQ47" i="32"/>
  <c r="AP47" i="32"/>
  <c r="AO47" i="32"/>
  <c r="AN47" i="32"/>
  <c r="AM47" i="32"/>
  <c r="AL47" i="32"/>
  <c r="AK47" i="32"/>
  <c r="AJ47" i="32"/>
  <c r="AI47" i="32"/>
  <c r="AH47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U46" i="32"/>
  <c r="T46" i="32"/>
  <c r="S46" i="32"/>
  <c r="BB45" i="32"/>
  <c r="BA45" i="32"/>
  <c r="AZ45" i="32"/>
  <c r="AY45" i="32"/>
  <c r="AX45" i="32"/>
  <c r="AW45" i="32"/>
  <c r="AV45" i="32"/>
  <c r="AU45" i="32"/>
  <c r="AT45" i="32"/>
  <c r="AS45" i="32"/>
  <c r="AR45" i="32"/>
  <c r="AQ45" i="32"/>
  <c r="AP45" i="32"/>
  <c r="AO45" i="32"/>
  <c r="AN45" i="32"/>
  <c r="AM45" i="32"/>
  <c r="AL45" i="32"/>
  <c r="AK45" i="32"/>
  <c r="AJ45" i="32"/>
  <c r="AI45" i="32"/>
  <c r="AH45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BB44" i="32"/>
  <c r="BA44" i="32"/>
  <c r="AZ44" i="32"/>
  <c r="AY44" i="32"/>
  <c r="AX44" i="32"/>
  <c r="AW44" i="32"/>
  <c r="AV44" i="32"/>
  <c r="AU44" i="32"/>
  <c r="AT44" i="32"/>
  <c r="AS44" i="32"/>
  <c r="AR44" i="32"/>
  <c r="AQ44" i="32"/>
  <c r="AP44" i="32"/>
  <c r="AO44" i="32"/>
  <c r="AN44" i="32"/>
  <c r="AM44" i="32"/>
  <c r="AL44" i="32"/>
  <c r="AK44" i="32"/>
  <c r="AJ44" i="32"/>
  <c r="AI44" i="32"/>
  <c r="AH44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BB43" i="32"/>
  <c r="BA43" i="32"/>
  <c r="AZ43" i="32"/>
  <c r="AY43" i="32"/>
  <c r="AX43" i="32"/>
  <c r="AW43" i="32"/>
  <c r="AV43" i="32"/>
  <c r="AU43" i="32"/>
  <c r="AT43" i="32"/>
  <c r="AS43" i="32"/>
  <c r="AR43" i="32"/>
  <c r="AQ43" i="32"/>
  <c r="AP43" i="32"/>
  <c r="AO43" i="32"/>
  <c r="AN43" i="32"/>
  <c r="AM43" i="32"/>
  <c r="AL43" i="32"/>
  <c r="AK43" i="32"/>
  <c r="AJ43" i="32"/>
  <c r="AI43" i="32"/>
  <c r="AH43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BB42" i="32"/>
  <c r="BA42" i="32"/>
  <c r="AZ42" i="32"/>
  <c r="AY42" i="32"/>
  <c r="AX42" i="32"/>
  <c r="AW42" i="32"/>
  <c r="AV42" i="32"/>
  <c r="AU42" i="32"/>
  <c r="AT42" i="32"/>
  <c r="AS42" i="32"/>
  <c r="AR42" i="32"/>
  <c r="AQ42" i="32"/>
  <c r="AP42" i="32"/>
  <c r="AO42" i="32"/>
  <c r="AN42" i="32"/>
  <c r="AM42" i="32"/>
  <c r="AL42" i="32"/>
  <c r="AK42" i="32"/>
  <c r="AJ42" i="32"/>
  <c r="AI42" i="32"/>
  <c r="AH42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BB41" i="32"/>
  <c r="BA41" i="32"/>
  <c r="AZ41" i="32"/>
  <c r="AY41" i="32"/>
  <c r="AX41" i="32"/>
  <c r="AW41" i="32"/>
  <c r="AV41" i="32"/>
  <c r="AU41" i="32"/>
  <c r="AT41" i="32"/>
  <c r="AS41" i="32"/>
  <c r="AR41" i="32"/>
  <c r="AQ41" i="32"/>
  <c r="AP41" i="32"/>
  <c r="AO41" i="32"/>
  <c r="AN41" i="32"/>
  <c r="AM41" i="32"/>
  <c r="AL41" i="32"/>
  <c r="AK41" i="32"/>
  <c r="AJ41" i="32"/>
  <c r="AI41" i="32"/>
  <c r="AH41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BB40" i="32"/>
  <c r="BA40" i="32"/>
  <c r="AZ40" i="32"/>
  <c r="AY40" i="32"/>
  <c r="AX40" i="32"/>
  <c r="AW40" i="32"/>
  <c r="AV40" i="32"/>
  <c r="AU40" i="32"/>
  <c r="AT40" i="32"/>
  <c r="AS40" i="32"/>
  <c r="AR40" i="32"/>
  <c r="AQ40" i="32"/>
  <c r="AP40" i="32"/>
  <c r="AO40" i="32"/>
  <c r="AN40" i="32"/>
  <c r="AM40" i="32"/>
  <c r="AL40" i="32"/>
  <c r="AK40" i="32"/>
  <c r="AJ40" i="32"/>
  <c r="AI40" i="32"/>
  <c r="AH40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BB39" i="32"/>
  <c r="BA39" i="32"/>
  <c r="AZ39" i="32"/>
  <c r="AY39" i="32"/>
  <c r="AX39" i="32"/>
  <c r="AW39" i="32"/>
  <c r="AV39" i="32"/>
  <c r="AU39" i="32"/>
  <c r="AT39" i="32"/>
  <c r="AS39" i="32"/>
  <c r="AR39" i="32"/>
  <c r="AQ39" i="32"/>
  <c r="AP39" i="32"/>
  <c r="AO39" i="32"/>
  <c r="AN39" i="32"/>
  <c r="AM39" i="32"/>
  <c r="AL39" i="32"/>
  <c r="AK39" i="32"/>
  <c r="AJ39" i="32"/>
  <c r="AI39" i="32"/>
  <c r="AH39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BB36" i="32"/>
  <c r="BA36" i="32"/>
  <c r="AZ36" i="32"/>
  <c r="AY36" i="32"/>
  <c r="AX36" i="32"/>
  <c r="AW36" i="32"/>
  <c r="AV36" i="32"/>
  <c r="AU36" i="32"/>
  <c r="AT36" i="32"/>
  <c r="AS36" i="32"/>
  <c r="AR36" i="32"/>
  <c r="AQ36" i="32"/>
  <c r="AP36" i="32"/>
  <c r="AO36" i="32"/>
  <c r="AN36" i="32"/>
  <c r="AM36" i="32"/>
  <c r="AL36" i="32"/>
  <c r="AK36" i="32"/>
  <c r="AJ36" i="32"/>
  <c r="AI36" i="32"/>
  <c r="AH36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BB34" i="32"/>
  <c r="BA34" i="32"/>
  <c r="AZ34" i="32"/>
  <c r="AY34" i="32"/>
  <c r="AX34" i="32"/>
  <c r="AW34" i="32"/>
  <c r="BB33" i="32"/>
  <c r="BA33" i="32"/>
  <c r="AZ33" i="32"/>
  <c r="AY33" i="32"/>
  <c r="AX33" i="32"/>
  <c r="AW33" i="32"/>
  <c r="AV33" i="32"/>
  <c r="AU33" i="32"/>
  <c r="AT33" i="32"/>
  <c r="AS33" i="32"/>
  <c r="AR33" i="32"/>
  <c r="AQ33" i="32"/>
  <c r="BB32" i="32"/>
  <c r="BA32" i="32"/>
  <c r="AZ32" i="32"/>
  <c r="AY32" i="32"/>
  <c r="AX32" i="32"/>
  <c r="AW32" i="32"/>
  <c r="AV32" i="32"/>
  <c r="AU32" i="32"/>
  <c r="AT32" i="32"/>
  <c r="AS32" i="32"/>
  <c r="AR32" i="32"/>
  <c r="AQ32" i="32"/>
  <c r="AP32" i="32"/>
  <c r="AO32" i="32"/>
  <c r="AN32" i="32"/>
  <c r="AM32" i="32"/>
  <c r="AL32" i="32"/>
  <c r="AK32" i="32"/>
  <c r="AJ32" i="32"/>
  <c r="BB31" i="32"/>
  <c r="BA31" i="32"/>
  <c r="AZ31" i="32"/>
  <c r="AY31" i="32"/>
  <c r="AX31" i="32"/>
  <c r="AW31" i="32"/>
  <c r="AV31" i="32"/>
  <c r="AU31" i="32"/>
  <c r="AT31" i="32"/>
  <c r="AS31" i="32"/>
  <c r="AR31" i="32"/>
  <c r="AQ31" i="32"/>
  <c r="AP31" i="32"/>
  <c r="AO31" i="32"/>
  <c r="AN31" i="32"/>
  <c r="AM31" i="32"/>
  <c r="AL31" i="32"/>
  <c r="AK31" i="32"/>
  <c r="AJ31" i="32"/>
  <c r="AI31" i="32"/>
  <c r="AH31" i="32"/>
  <c r="AG31" i="32"/>
  <c r="AF31" i="32"/>
  <c r="AE31" i="32"/>
  <c r="BB30" i="32"/>
  <c r="BA30" i="32"/>
  <c r="AZ30" i="32"/>
  <c r="AY30" i="32"/>
  <c r="AX30" i="32"/>
  <c r="AW30" i="32"/>
  <c r="AV30" i="32"/>
  <c r="AU30" i="32"/>
  <c r="AT30" i="32"/>
  <c r="AS30" i="32"/>
  <c r="AR30" i="32"/>
  <c r="AQ30" i="32"/>
  <c r="AP30" i="32"/>
  <c r="AO30" i="32"/>
  <c r="AN30" i="32"/>
  <c r="AM30" i="32"/>
  <c r="AL30" i="32"/>
  <c r="AK30" i="32"/>
  <c r="AJ30" i="32"/>
  <c r="AI30" i="32"/>
  <c r="AH30" i="32"/>
  <c r="AG30" i="32"/>
  <c r="AF30" i="32"/>
  <c r="AE30" i="32"/>
  <c r="AD30" i="32"/>
  <c r="AC30" i="32"/>
  <c r="AB30" i="32"/>
  <c r="BB29" i="32"/>
  <c r="BA29" i="32"/>
  <c r="AZ29" i="32"/>
  <c r="AY29" i="32"/>
  <c r="AX29" i="32"/>
  <c r="AW29" i="32"/>
  <c r="AV29" i="32"/>
  <c r="AU29" i="32"/>
  <c r="AT29" i="32"/>
  <c r="AS29" i="32"/>
  <c r="AR29" i="32"/>
  <c r="AQ29" i="32"/>
  <c r="AP29" i="32"/>
  <c r="AO29" i="32"/>
  <c r="AN29" i="32"/>
  <c r="AM29" i="32"/>
  <c r="AL29" i="32"/>
  <c r="AK29" i="32"/>
  <c r="AJ29" i="32"/>
  <c r="AI29" i="32"/>
  <c r="AH29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BB28" i="32"/>
  <c r="BA28" i="32"/>
  <c r="AZ28" i="32"/>
  <c r="AY28" i="32"/>
  <c r="AX28" i="32"/>
  <c r="AW28" i="32"/>
  <c r="AV28" i="32"/>
  <c r="AU28" i="32"/>
  <c r="AT28" i="32"/>
  <c r="AS28" i="32"/>
  <c r="AR28" i="32"/>
  <c r="AQ28" i="32"/>
  <c r="AP28" i="32"/>
  <c r="AO28" i="32"/>
  <c r="AN28" i="32"/>
  <c r="AM28" i="32"/>
  <c r="AL28" i="32"/>
  <c r="AK28" i="32"/>
  <c r="AJ28" i="32"/>
  <c r="AI28" i="32"/>
  <c r="AH28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BB27" i="32"/>
  <c r="BA27" i="32"/>
  <c r="AZ27" i="32"/>
  <c r="AY27" i="32"/>
  <c r="AX27" i="32"/>
  <c r="AW27" i="32"/>
  <c r="AV27" i="32"/>
  <c r="AU27" i="32"/>
  <c r="AT27" i="32"/>
  <c r="AS27" i="32"/>
  <c r="AR27" i="32"/>
  <c r="AQ27" i="32"/>
  <c r="AP27" i="32"/>
  <c r="AO27" i="32"/>
  <c r="AN27" i="32"/>
  <c r="AM27" i="32"/>
  <c r="AL27" i="32"/>
  <c r="AK27" i="32"/>
  <c r="AJ27" i="32"/>
  <c r="AI27" i="32"/>
  <c r="AH27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BB26" i="32"/>
  <c r="BA26" i="32"/>
  <c r="AZ26" i="32"/>
  <c r="AY26" i="32"/>
  <c r="AX26" i="32"/>
  <c r="AW26" i="32"/>
  <c r="AV26" i="32"/>
  <c r="AU26" i="32"/>
  <c r="AT26" i="32"/>
  <c r="AS26" i="32"/>
  <c r="AR26" i="32"/>
  <c r="AQ26" i="32"/>
  <c r="AP26" i="32"/>
  <c r="AO26" i="32"/>
  <c r="AN26" i="32"/>
  <c r="AM26" i="32"/>
  <c r="AL26" i="32"/>
  <c r="AK26" i="32"/>
  <c r="AJ26" i="32"/>
  <c r="AI26" i="32"/>
  <c r="AH26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BB25" i="32"/>
  <c r="BA25" i="32"/>
  <c r="AZ25" i="32"/>
  <c r="AY25" i="32"/>
  <c r="AX25" i="32"/>
  <c r="AW25" i="32"/>
  <c r="AV25" i="32"/>
  <c r="AU25" i="32"/>
  <c r="AT25" i="32"/>
  <c r="AS25" i="32"/>
  <c r="AR25" i="32"/>
  <c r="AQ25" i="32"/>
  <c r="AP25" i="32"/>
  <c r="AO25" i="32"/>
  <c r="AN25" i="32"/>
  <c r="AM25" i="32"/>
  <c r="AL25" i="32"/>
  <c r="AK25" i="32"/>
  <c r="AJ25" i="32"/>
  <c r="AI25" i="32"/>
  <c r="AH25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Y24" i="32"/>
  <c r="X24" i="32"/>
  <c r="W24" i="32"/>
  <c r="V24" i="32"/>
  <c r="U24" i="32"/>
  <c r="T24" i="32"/>
  <c r="S24" i="32"/>
  <c r="BB23" i="32"/>
  <c r="BA23" i="32"/>
  <c r="AZ23" i="32"/>
  <c r="AY23" i="32"/>
  <c r="AX23" i="32"/>
  <c r="AW23" i="32"/>
  <c r="AV23" i="32"/>
  <c r="AU23" i="32"/>
  <c r="AT23" i="32"/>
  <c r="AS23" i="32"/>
  <c r="AR23" i="32"/>
  <c r="AQ23" i="32"/>
  <c r="AP23" i="32"/>
  <c r="AO23" i="32"/>
  <c r="AN23" i="32"/>
  <c r="AM23" i="32"/>
  <c r="AL23" i="32"/>
  <c r="AK23" i="32"/>
  <c r="AJ23" i="32"/>
  <c r="AI23" i="32"/>
  <c r="AH23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BA19" i="32"/>
  <c r="AX19" i="32"/>
  <c r="AV19" i="32"/>
  <c r="AU19" i="32"/>
  <c r="AT37" i="30" s="1"/>
  <c r="AS19" i="32"/>
  <c r="AR37" i="30" s="1"/>
  <c r="AP19" i="32"/>
  <c r="AO37" i="30" s="1"/>
  <c r="AN19" i="32"/>
  <c r="AM37" i="30" s="1"/>
  <c r="AM19" i="32"/>
  <c r="AL37" i="30" s="1"/>
  <c r="AK19" i="32"/>
  <c r="AH19" i="32"/>
  <c r="AF19" i="32"/>
  <c r="AE19" i="32"/>
  <c r="AD37" i="30" s="1"/>
  <c r="AC19" i="32"/>
  <c r="AB37" i="30" s="1"/>
  <c r="Z19" i="32"/>
  <c r="Y37" i="30" s="1"/>
  <c r="X19" i="32"/>
  <c r="W37" i="30" s="1"/>
  <c r="W19" i="32"/>
  <c r="V37" i="30" s="1"/>
  <c r="U19" i="32"/>
  <c r="T37" i="30" s="1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BB17" i="32"/>
  <c r="BA17" i="32"/>
  <c r="AZ17" i="32"/>
  <c r="AY17" i="32"/>
  <c r="AX17" i="32"/>
  <c r="AW17" i="32"/>
  <c r="AV17" i="32"/>
  <c r="AU17" i="32"/>
  <c r="AT17" i="32"/>
  <c r="AS17" i="32"/>
  <c r="AR17" i="32"/>
  <c r="AQ17" i="32"/>
  <c r="AP17" i="32"/>
  <c r="AO17" i="32"/>
  <c r="AN17" i="32"/>
  <c r="AM17" i="32"/>
  <c r="AL17" i="32"/>
  <c r="AK17" i="32"/>
  <c r="AJ17" i="32"/>
  <c r="AI17" i="32"/>
  <c r="AH17" i="32"/>
  <c r="AG17" i="32"/>
  <c r="AF17" i="32"/>
  <c r="AE17" i="32"/>
  <c r="BB16" i="32"/>
  <c r="BA16" i="32"/>
  <c r="AZ16" i="32"/>
  <c r="AY16" i="32"/>
  <c r="AX16" i="32"/>
  <c r="AW16" i="32"/>
  <c r="AV16" i="32"/>
  <c r="AU16" i="32"/>
  <c r="AT16" i="32"/>
  <c r="AS16" i="32"/>
  <c r="AR16" i="32"/>
  <c r="AQ16" i="32"/>
  <c r="AP16" i="32"/>
  <c r="AO16" i="32"/>
  <c r="AN16" i="32"/>
  <c r="AM16" i="32"/>
  <c r="AL16" i="32"/>
  <c r="BB15" i="32"/>
  <c r="BA15" i="32"/>
  <c r="AZ15" i="32"/>
  <c r="AY15" i="32"/>
  <c r="AX15" i="32"/>
  <c r="AW15" i="32"/>
  <c r="AV15" i="32"/>
  <c r="AU15" i="32"/>
  <c r="AT15" i="32"/>
  <c r="AS15" i="32"/>
  <c r="AR15" i="32"/>
  <c r="AQ15" i="32"/>
  <c r="AP15" i="32"/>
  <c r="AO15" i="32"/>
  <c r="AN15" i="32"/>
  <c r="AM15" i="32"/>
  <c r="AL15" i="32"/>
  <c r="AK15" i="32"/>
  <c r="AJ15" i="32"/>
  <c r="AI15" i="32"/>
  <c r="AH15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BB14" i="32"/>
  <c r="BA14" i="32"/>
  <c r="AZ14" i="32"/>
  <c r="AY14" i="32"/>
  <c r="AX14" i="32"/>
  <c r="AW14" i="32"/>
  <c r="AV14" i="32"/>
  <c r="AU14" i="32"/>
  <c r="AT14" i="32"/>
  <c r="AS14" i="32"/>
  <c r="AR14" i="32"/>
  <c r="AQ14" i="32"/>
  <c r="AP14" i="32"/>
  <c r="AO14" i="32"/>
  <c r="AN14" i="32"/>
  <c r="AM14" i="32"/>
  <c r="AL14" i="32"/>
  <c r="AK14" i="32"/>
  <c r="AJ14" i="32"/>
  <c r="AI14" i="32"/>
  <c r="AH14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V13" i="32"/>
  <c r="U13" i="32"/>
  <c r="T13" i="32"/>
  <c r="S13" i="32"/>
  <c r="BB12" i="32"/>
  <c r="BA12" i="32"/>
  <c r="AZ12" i="32"/>
  <c r="AY12" i="32"/>
  <c r="AX12" i="32"/>
  <c r="AW12" i="32"/>
  <c r="AV12" i="32"/>
  <c r="AU12" i="32"/>
  <c r="AT12" i="32"/>
  <c r="AS12" i="32"/>
  <c r="AR12" i="32"/>
  <c r="AQ12" i="32"/>
  <c r="AP12" i="32"/>
  <c r="AO12" i="32"/>
  <c r="AN12" i="32"/>
  <c r="AM12" i="32"/>
  <c r="AL12" i="32"/>
  <c r="AK12" i="32"/>
  <c r="AJ12" i="32"/>
  <c r="AI12" i="32"/>
  <c r="AH12" i="32"/>
  <c r="AG12" i="32"/>
  <c r="AF12" i="32"/>
  <c r="AE12" i="32"/>
  <c r="T12" i="32"/>
  <c r="S12" i="32"/>
  <c r="BB19" i="32"/>
  <c r="BA37" i="30" s="1"/>
  <c r="AZ19" i="32"/>
  <c r="AY37" i="30" s="1"/>
  <c r="AY19" i="32"/>
  <c r="AX37" i="30" s="1"/>
  <c r="AW19" i="32"/>
  <c r="AV37" i="30" s="1"/>
  <c r="AT19" i="32"/>
  <c r="AS37" i="30" s="1"/>
  <c r="AR19" i="32"/>
  <c r="AQ37" i="30" s="1"/>
  <c r="AQ19" i="32"/>
  <c r="AP37" i="30" s="1"/>
  <c r="AO19" i="32"/>
  <c r="AN37" i="30" s="1"/>
  <c r="AL19" i="32"/>
  <c r="AK37" i="30" s="1"/>
  <c r="AJ19" i="32"/>
  <c r="AI37" i="30" s="1"/>
  <c r="AI19" i="32"/>
  <c r="AH37" i="30" s="1"/>
  <c r="AG19" i="32"/>
  <c r="AF37" i="30" s="1"/>
  <c r="AD19" i="32"/>
  <c r="AC37" i="30" s="1"/>
  <c r="AB19" i="32"/>
  <c r="AA37" i="30" s="1"/>
  <c r="AA19" i="32"/>
  <c r="Z37" i="30" s="1"/>
  <c r="Y19" i="32"/>
  <c r="X37" i="30" s="1"/>
  <c r="V19" i="32"/>
  <c r="U37" i="30" s="1"/>
  <c r="V10" i="32"/>
  <c r="U10" i="32"/>
  <c r="T10" i="32"/>
  <c r="S10" i="32"/>
  <c r="AS69" i="30"/>
  <c r="AR69" i="30"/>
  <c r="AQ69" i="30"/>
  <c r="AP69" i="30"/>
  <c r="AO69" i="30"/>
  <c r="AN69" i="30"/>
  <c r="AM69" i="30"/>
  <c r="AL69" i="30"/>
  <c r="AK69" i="30"/>
  <c r="AJ69" i="30"/>
  <c r="AI69" i="30"/>
  <c r="AH69" i="30"/>
  <c r="AG69" i="30"/>
  <c r="AF69" i="30"/>
  <c r="AE69" i="30"/>
  <c r="AD69" i="30"/>
  <c r="AC69" i="30"/>
  <c r="AB69" i="30"/>
  <c r="AA69" i="30"/>
  <c r="Z69" i="30"/>
  <c r="Y69" i="30"/>
  <c r="X69" i="30"/>
  <c r="W69" i="30"/>
  <c r="V69" i="30"/>
  <c r="U69" i="30"/>
  <c r="S69" i="30"/>
  <c r="AS68" i="30"/>
  <c r="AR68" i="30"/>
  <c r="AQ68" i="30"/>
  <c r="AP68" i="30"/>
  <c r="AO68" i="30"/>
  <c r="AN68" i="30"/>
  <c r="AM68" i="30"/>
  <c r="AL68" i="30"/>
  <c r="AK68" i="30"/>
  <c r="AJ68" i="30"/>
  <c r="AI68" i="30"/>
  <c r="AH68" i="30"/>
  <c r="AG68" i="30"/>
  <c r="AF68" i="30"/>
  <c r="AE68" i="30"/>
  <c r="AD68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R59" i="30"/>
  <c r="Q52" i="30"/>
  <c r="Q76" i="30" s="1"/>
  <c r="Q78" i="30" s="1"/>
  <c r="P52" i="30"/>
  <c r="P76" i="30" s="1"/>
  <c r="P78" i="30" s="1"/>
  <c r="O52" i="30"/>
  <c r="N52" i="30"/>
  <c r="M52" i="30"/>
  <c r="L52" i="30"/>
  <c r="K52" i="30"/>
  <c r="J52" i="30"/>
  <c r="I52" i="30"/>
  <c r="H52" i="30"/>
  <c r="G52" i="30"/>
  <c r="F52" i="30"/>
  <c r="AS46" i="30"/>
  <c r="F35" i="29" s="1"/>
  <c r="AH46" i="30"/>
  <c r="AG46" i="30"/>
  <c r="U46" i="30"/>
  <c r="D35" i="29" s="1"/>
  <c r="AO39" i="30"/>
  <c r="AM39" i="30"/>
  <c r="AG39" i="30"/>
  <c r="AE39" i="30"/>
  <c r="AB39" i="30"/>
  <c r="AA39" i="30"/>
  <c r="Z39" i="30"/>
  <c r="Y39" i="30"/>
  <c r="X39" i="30"/>
  <c r="W39" i="30"/>
  <c r="V39" i="30"/>
  <c r="T39" i="30"/>
  <c r="S39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AZ37" i="30"/>
  <c r="AW37" i="30"/>
  <c r="AU37" i="30"/>
  <c r="AJ37" i="30"/>
  <c r="AG37" i="30"/>
  <c r="AE37" i="30"/>
  <c r="S37" i="30"/>
  <c r="L28" i="30"/>
  <c r="K28" i="30"/>
  <c r="J28" i="30"/>
  <c r="I28" i="30"/>
  <c r="H28" i="30"/>
  <c r="G28" i="30"/>
  <c r="F28" i="30"/>
  <c r="F29" i="30" s="1"/>
  <c r="AS25" i="30"/>
  <c r="AR25" i="30"/>
  <c r="AQ25" i="30"/>
  <c r="AP25" i="30"/>
  <c r="AO25" i="30"/>
  <c r="AN25" i="30"/>
  <c r="AM25" i="30"/>
  <c r="AL25" i="30"/>
  <c r="AK25" i="30"/>
  <c r="AJ25" i="30"/>
  <c r="AI25" i="30"/>
  <c r="AH25" i="30"/>
  <c r="AG25" i="30"/>
  <c r="AF25" i="30"/>
  <c r="AE25" i="30"/>
  <c r="AD25" i="30"/>
  <c r="AC25" i="30"/>
  <c r="AB25" i="30"/>
  <c r="AA25" i="30"/>
  <c r="Z25" i="30"/>
  <c r="Y25" i="30"/>
  <c r="X25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W28" i="30" s="1"/>
  <c r="V18" i="30"/>
  <c r="V28" i="30" s="1"/>
  <c r="U18" i="30"/>
  <c r="U28" i="30" s="1"/>
  <c r="T18" i="30"/>
  <c r="T28" i="30" s="1"/>
  <c r="S18" i="30"/>
  <c r="S28" i="30" s="1"/>
  <c r="R18" i="30"/>
  <c r="S14" i="30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AG14" i="30" s="1"/>
  <c r="AH14" i="30" s="1"/>
  <c r="AI14" i="30" s="1"/>
  <c r="AJ14" i="30" s="1"/>
  <c r="AK14" i="30" s="1"/>
  <c r="AL14" i="30" s="1"/>
  <c r="AM14" i="30" s="1"/>
  <c r="AN14" i="30" s="1"/>
  <c r="AO14" i="30" s="1"/>
  <c r="AP14" i="30" s="1"/>
  <c r="AQ14" i="30" s="1"/>
  <c r="AR14" i="30" s="1"/>
  <c r="AS14" i="30" s="1"/>
  <c r="AT14" i="30" s="1"/>
  <c r="AU14" i="30" s="1"/>
  <c r="AV14" i="30" s="1"/>
  <c r="AW14" i="30" s="1"/>
  <c r="AX14" i="30" s="1"/>
  <c r="AY14" i="30" s="1"/>
  <c r="AZ14" i="30" s="1"/>
  <c r="BA14" i="30" s="1"/>
  <c r="E10" i="29"/>
  <c r="E8" i="29"/>
  <c r="E7" i="29"/>
  <c r="F6" i="29"/>
  <c r="E6" i="29"/>
  <c r="S73" i="33"/>
  <c r="S72" i="33"/>
  <c r="S24" i="33"/>
  <c r="S23" i="33"/>
  <c r="BB50" i="27"/>
  <c r="BA98" i="14" s="1"/>
  <c r="BA50" i="27"/>
  <c r="AZ98" i="14" s="1"/>
  <c r="AZ50" i="27"/>
  <c r="AY98" i="14" s="1"/>
  <c r="AY50" i="27"/>
  <c r="AX98" i="14" s="1"/>
  <c r="AX50" i="27"/>
  <c r="AW98" i="14" s="1"/>
  <c r="AW50" i="27"/>
  <c r="AV98" i="14" s="1"/>
  <c r="AV50" i="27"/>
  <c r="AU98" i="14" s="1"/>
  <c r="AU50" i="27"/>
  <c r="AT98" i="14" s="1"/>
  <c r="AT50" i="27"/>
  <c r="AS98" i="14" s="1"/>
  <c r="AS50" i="27"/>
  <c r="AR98" i="14" s="1"/>
  <c r="AR50" i="27"/>
  <c r="AQ98" i="14" s="1"/>
  <c r="AQ50" i="27"/>
  <c r="AP98" i="14" s="1"/>
  <c r="AP50" i="27"/>
  <c r="AO98" i="14" s="1"/>
  <c r="AO50" i="27"/>
  <c r="AN98" i="14" s="1"/>
  <c r="AN50" i="27"/>
  <c r="AM98" i="14" s="1"/>
  <c r="AM50" i="27"/>
  <c r="AL98" i="14" s="1"/>
  <c r="AL50" i="27"/>
  <c r="AK98" i="14" s="1"/>
  <c r="AK50" i="27"/>
  <c r="AJ50" i="27"/>
  <c r="AI98" i="14" s="1"/>
  <c r="AI50" i="27"/>
  <c r="AH98" i="14" s="1"/>
  <c r="AH50" i="27"/>
  <c r="AG98" i="14" s="1"/>
  <c r="AG50" i="27"/>
  <c r="AF98" i="14" s="1"/>
  <c r="AF50" i="27"/>
  <c r="AE98" i="14" s="1"/>
  <c r="AE50" i="27"/>
  <c r="AD98" i="14" s="1"/>
  <c r="AC50" i="27"/>
  <c r="AB98" i="14" s="1"/>
  <c r="AB50" i="27"/>
  <c r="AA98" i="14" s="1"/>
  <c r="AA50" i="27"/>
  <c r="Z50" i="27"/>
  <c r="Y98" i="14" s="1"/>
  <c r="Y50" i="27"/>
  <c r="X98" i="14" s="1"/>
  <c r="X50" i="27"/>
  <c r="W50" i="27"/>
  <c r="V98" i="14" s="1"/>
  <c r="V50" i="27"/>
  <c r="U98" i="14" s="1"/>
  <c r="U50" i="27"/>
  <c r="T98" i="14" s="1"/>
  <c r="T50" i="27"/>
  <c r="S50" i="27"/>
  <c r="R98" i="14" s="1"/>
  <c r="R50" i="27"/>
  <c r="Q50" i="27"/>
  <c r="P50" i="27"/>
  <c r="O50" i="27"/>
  <c r="N50" i="27"/>
  <c r="C50" i="27"/>
  <c r="AD50" i="27"/>
  <c r="AC98" i="14" s="1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BB71" i="25"/>
  <c r="BA71" i="25"/>
  <c r="AZ71" i="25"/>
  <c r="AY71" i="25"/>
  <c r="AX41" i="14" s="1"/>
  <c r="AX71" i="25"/>
  <c r="AW41" i="14" s="1"/>
  <c r="AW71" i="25"/>
  <c r="AV71" i="25"/>
  <c r="AU41" i="14" s="1"/>
  <c r="AU71" i="25"/>
  <c r="AT41" i="14" s="1"/>
  <c r="AT71" i="25"/>
  <c r="AS71" i="25"/>
  <c r="AR71" i="25"/>
  <c r="AQ71" i="25"/>
  <c r="AP41" i="14" s="1"/>
  <c r="AP71" i="25"/>
  <c r="AO71" i="25"/>
  <c r="AN41" i="14" s="1"/>
  <c r="AN71" i="25"/>
  <c r="AM41" i="14" s="1"/>
  <c r="AM71" i="25"/>
  <c r="AL41" i="14" s="1"/>
  <c r="AL71" i="25"/>
  <c r="AK71" i="25"/>
  <c r="AJ71" i="25"/>
  <c r="AI71" i="25"/>
  <c r="AH71" i="25"/>
  <c r="AG41" i="14" s="1"/>
  <c r="AG71" i="25"/>
  <c r="AF71" i="25"/>
  <c r="AE71" i="25"/>
  <c r="AD71" i="25"/>
  <c r="AC71" i="25"/>
  <c r="AB71" i="25"/>
  <c r="AA71" i="25"/>
  <c r="Z71" i="25"/>
  <c r="Y71" i="25"/>
  <c r="X71" i="25"/>
  <c r="W71" i="25"/>
  <c r="V68" i="25"/>
  <c r="U68" i="25"/>
  <c r="T68" i="25"/>
  <c r="S68" i="25"/>
  <c r="V67" i="25"/>
  <c r="U67" i="25"/>
  <c r="T67" i="25"/>
  <c r="R57" i="25"/>
  <c r="Q57" i="25"/>
  <c r="P57" i="25"/>
  <c r="O57" i="25"/>
  <c r="N57" i="25"/>
  <c r="M57" i="25"/>
  <c r="L57" i="25"/>
  <c r="K57" i="25"/>
  <c r="J57" i="25"/>
  <c r="I57" i="25"/>
  <c r="H57" i="25"/>
  <c r="G57" i="25"/>
  <c r="D53" i="25"/>
  <c r="W53" i="25" s="1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T57" i="25"/>
  <c r="S57" i="25"/>
  <c r="AM82" i="25"/>
  <c r="AL82" i="25"/>
  <c r="AE82" i="25"/>
  <c r="AD82" i="25"/>
  <c r="AB80" i="25"/>
  <c r="AA80" i="25"/>
  <c r="Z80" i="25"/>
  <c r="Y80" i="25"/>
  <c r="X80" i="25"/>
  <c r="W80" i="25"/>
  <c r="W82" i="25" s="1"/>
  <c r="V80" i="25"/>
  <c r="V82" i="25" s="1"/>
  <c r="AK42" i="25"/>
  <c r="AL42" i="25" s="1"/>
  <c r="AM42" i="25" s="1"/>
  <c r="AN42" i="25" s="1"/>
  <c r="AO42" i="25" s="1"/>
  <c r="AP42" i="25" s="1"/>
  <c r="AQ42" i="25" s="1"/>
  <c r="AR42" i="25" s="1"/>
  <c r="AS42" i="25" s="1"/>
  <c r="AT42" i="25" s="1"/>
  <c r="AU42" i="25" s="1"/>
  <c r="AV42" i="25" s="1"/>
  <c r="AW42" i="25" s="1"/>
  <c r="AX42" i="25" s="1"/>
  <c r="AY42" i="25" s="1"/>
  <c r="AZ42" i="25" s="1"/>
  <c r="BA42" i="25" s="1"/>
  <c r="BB42" i="25" s="1"/>
  <c r="BC42" i="25" s="1"/>
  <c r="BD42" i="25" s="1"/>
  <c r="BE42" i="25" s="1"/>
  <c r="BF42" i="25" s="1"/>
  <c r="BG42" i="25" s="1"/>
  <c r="BH42" i="25" s="1"/>
  <c r="BI42" i="25" s="1"/>
  <c r="BJ42" i="25" s="1"/>
  <c r="BK42" i="25" s="1"/>
  <c r="BL42" i="25" s="1"/>
  <c r="BM42" i="25" s="1"/>
  <c r="BN42" i="25" s="1"/>
  <c r="BO42" i="25" s="1"/>
  <c r="BP42" i="25" s="1"/>
  <c r="BQ42" i="25" s="1"/>
  <c r="BR42" i="25" s="1"/>
  <c r="BS42" i="25" s="1"/>
  <c r="BT42" i="25" s="1"/>
  <c r="BU42" i="25" s="1"/>
  <c r="BV42" i="25" s="1"/>
  <c r="BW42" i="25" s="1"/>
  <c r="BX42" i="25" s="1"/>
  <c r="BY42" i="25" s="1"/>
  <c r="BZ42" i="25" s="1"/>
  <c r="CA42" i="25" s="1"/>
  <c r="CB42" i="25" s="1"/>
  <c r="CC42" i="25" s="1"/>
  <c r="CD42" i="25" s="1"/>
  <c r="CE42" i="25" s="1"/>
  <c r="CF42" i="25" s="1"/>
  <c r="CG42" i="25" s="1"/>
  <c r="CH42" i="25" s="1"/>
  <c r="CI42" i="25" s="1"/>
  <c r="CJ42" i="25" s="1"/>
  <c r="CK42" i="25" s="1"/>
  <c r="CL42" i="25" s="1"/>
  <c r="AN41" i="25"/>
  <c r="AO41" i="25" s="1"/>
  <c r="AP41" i="25" s="1"/>
  <c r="AQ41" i="25" s="1"/>
  <c r="AR41" i="25" s="1"/>
  <c r="AS41" i="25" s="1"/>
  <c r="AT41" i="25" s="1"/>
  <c r="AU41" i="25" s="1"/>
  <c r="AV41" i="25" s="1"/>
  <c r="AW41" i="25" s="1"/>
  <c r="AX41" i="25" s="1"/>
  <c r="AY41" i="25" s="1"/>
  <c r="AZ41" i="25" s="1"/>
  <c r="BA41" i="25" s="1"/>
  <c r="BB41" i="25" s="1"/>
  <c r="BC41" i="25" s="1"/>
  <c r="BD41" i="25" s="1"/>
  <c r="BE41" i="25" s="1"/>
  <c r="BF41" i="25" s="1"/>
  <c r="BG41" i="25" s="1"/>
  <c r="BH41" i="25" s="1"/>
  <c r="BI41" i="25" s="1"/>
  <c r="BJ41" i="25" s="1"/>
  <c r="BK41" i="25" s="1"/>
  <c r="BL41" i="25" s="1"/>
  <c r="BM41" i="25" s="1"/>
  <c r="BN41" i="25" s="1"/>
  <c r="BO41" i="25" s="1"/>
  <c r="BP41" i="25" s="1"/>
  <c r="BQ41" i="25" s="1"/>
  <c r="BR41" i="25" s="1"/>
  <c r="BS41" i="25" s="1"/>
  <c r="BT41" i="25" s="1"/>
  <c r="BU41" i="25" s="1"/>
  <c r="BV41" i="25" s="1"/>
  <c r="BW41" i="25" s="1"/>
  <c r="BX41" i="25" s="1"/>
  <c r="BY41" i="25" s="1"/>
  <c r="BZ41" i="25" s="1"/>
  <c r="CA41" i="25" s="1"/>
  <c r="CB41" i="25" s="1"/>
  <c r="CC41" i="25" s="1"/>
  <c r="CD41" i="25" s="1"/>
  <c r="CE41" i="25" s="1"/>
  <c r="CF41" i="25" s="1"/>
  <c r="CG41" i="25" s="1"/>
  <c r="CH41" i="25" s="1"/>
  <c r="CI41" i="25" s="1"/>
  <c r="CJ41" i="25" s="1"/>
  <c r="CK41" i="25" s="1"/>
  <c r="CL41" i="25" s="1"/>
  <c r="AD40" i="25"/>
  <c r="AE40" i="25" s="1"/>
  <c r="AF40" i="25" s="1"/>
  <c r="AT40" i="25" s="1"/>
  <c r="AU40" i="25" s="1"/>
  <c r="AV40" i="25" s="1"/>
  <c r="AW40" i="25" s="1"/>
  <c r="AX40" i="25" s="1"/>
  <c r="AY40" i="25" s="1"/>
  <c r="AZ40" i="25" s="1"/>
  <c r="BA40" i="25" s="1"/>
  <c r="BB40" i="25" s="1"/>
  <c r="BC40" i="25" s="1"/>
  <c r="BD40" i="25" s="1"/>
  <c r="BE40" i="25" s="1"/>
  <c r="BF40" i="25" s="1"/>
  <c r="BG40" i="25" s="1"/>
  <c r="BH40" i="25" s="1"/>
  <c r="BI40" i="25" s="1"/>
  <c r="BJ40" i="25" s="1"/>
  <c r="BK40" i="25" s="1"/>
  <c r="BL40" i="25" s="1"/>
  <c r="BM40" i="25" s="1"/>
  <c r="BN40" i="25" s="1"/>
  <c r="BO40" i="25" s="1"/>
  <c r="BP40" i="25" s="1"/>
  <c r="BQ40" i="25" s="1"/>
  <c r="BR40" i="25" s="1"/>
  <c r="BS40" i="25" s="1"/>
  <c r="BT40" i="25" s="1"/>
  <c r="BU40" i="25" s="1"/>
  <c r="BV40" i="25" s="1"/>
  <c r="BW40" i="25" s="1"/>
  <c r="BX40" i="25" s="1"/>
  <c r="BY40" i="25" s="1"/>
  <c r="BZ40" i="25" s="1"/>
  <c r="CA40" i="25" s="1"/>
  <c r="CB40" i="25" s="1"/>
  <c r="CC40" i="25" s="1"/>
  <c r="CD40" i="25" s="1"/>
  <c r="CE40" i="25" s="1"/>
  <c r="CF40" i="25" s="1"/>
  <c r="CG40" i="25" s="1"/>
  <c r="CH40" i="25" s="1"/>
  <c r="CI40" i="25" s="1"/>
  <c r="CJ40" i="25" s="1"/>
  <c r="CK40" i="25" s="1"/>
  <c r="CL40" i="25" s="1"/>
  <c r="AC40" i="25"/>
  <c r="AB40" i="25"/>
  <c r="AA40" i="25"/>
  <c r="Z40" i="25"/>
  <c r="Y40" i="25"/>
  <c r="R37" i="25"/>
  <c r="Q37" i="25"/>
  <c r="P37" i="25"/>
  <c r="O37" i="25"/>
  <c r="BB36" i="25"/>
  <c r="BA36" i="25"/>
  <c r="AZ36" i="25"/>
  <c r="AY36" i="25"/>
  <c r="AX36" i="25"/>
  <c r="AW36" i="25"/>
  <c r="AV36" i="25"/>
  <c r="AU36" i="25"/>
  <c r="AT36" i="25"/>
  <c r="AS36" i="25"/>
  <c r="AR36" i="25"/>
  <c r="AQ36" i="25"/>
  <c r="AP36" i="25"/>
  <c r="AO36" i="25"/>
  <c r="AN36" i="25"/>
  <c r="AM36" i="25"/>
  <c r="AL36" i="25"/>
  <c r="AK36" i="25"/>
  <c r="AJ36" i="25"/>
  <c r="AI36" i="25"/>
  <c r="AH36" i="25"/>
  <c r="X36" i="25"/>
  <c r="W36" i="25"/>
  <c r="V36" i="25"/>
  <c r="U36" i="25"/>
  <c r="T36" i="25"/>
  <c r="T44" i="25" s="1"/>
  <c r="S36" i="25"/>
  <c r="R36" i="25"/>
  <c r="Q36" i="25"/>
  <c r="P36" i="25"/>
  <c r="O36" i="25"/>
  <c r="AJ35" i="25"/>
  <c r="AK35" i="25" s="1"/>
  <c r="AL35" i="25" s="1"/>
  <c r="AM35" i="25" s="1"/>
  <c r="AN35" i="25" s="1"/>
  <c r="AO35" i="25" s="1"/>
  <c r="AP35" i="25" s="1"/>
  <c r="AQ35" i="25" s="1"/>
  <c r="AR35" i="25" s="1"/>
  <c r="AS35" i="25" s="1"/>
  <c r="AT35" i="25" s="1"/>
  <c r="AU35" i="25" s="1"/>
  <c r="AV35" i="25" s="1"/>
  <c r="AW35" i="25" s="1"/>
  <c r="AX35" i="25" s="1"/>
  <c r="AY35" i="25" s="1"/>
  <c r="AZ35" i="25" s="1"/>
  <c r="BA35" i="25" s="1"/>
  <c r="BB35" i="25" s="1"/>
  <c r="BC35" i="25" s="1"/>
  <c r="BB82" i="25"/>
  <c r="BA42" i="14" s="1"/>
  <c r="AX82" i="25"/>
  <c r="AW42" i="14" s="1"/>
  <c r="AW82" i="25"/>
  <c r="AV42" i="14" s="1"/>
  <c r="AV82" i="25"/>
  <c r="AU42" i="14" s="1"/>
  <c r="AU82" i="25"/>
  <c r="AT42" i="14" s="1"/>
  <c r="AT82" i="25"/>
  <c r="AS42" i="14" s="1"/>
  <c r="U76" i="25"/>
  <c r="U82" i="25" s="1"/>
  <c r="T76" i="25"/>
  <c r="T82" i="25" s="1"/>
  <c r="S76" i="25"/>
  <c r="S82" i="25" s="1"/>
  <c r="AA33" i="25"/>
  <c r="Z33" i="25"/>
  <c r="Y33" i="25"/>
  <c r="X33" i="25"/>
  <c r="W33" i="25"/>
  <c r="R33" i="25"/>
  <c r="Q33" i="25"/>
  <c r="Q44" i="25" s="1"/>
  <c r="P33" i="25"/>
  <c r="O33" i="25"/>
  <c r="D27" i="25"/>
  <c r="W27" i="25" s="1"/>
  <c r="X27" i="25" s="1"/>
  <c r="Y27" i="25" s="1"/>
  <c r="Z27" i="25" s="1"/>
  <c r="D26" i="25"/>
  <c r="W26" i="25" s="1"/>
  <c r="X26" i="25" s="1"/>
  <c r="Y26" i="25" s="1"/>
  <c r="Z26" i="25" s="1"/>
  <c r="S24" i="25"/>
  <c r="T24" i="25" s="1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V17" i="25"/>
  <c r="U17" i="25"/>
  <c r="T17" i="25"/>
  <c r="S17" i="25"/>
  <c r="R17" i="25"/>
  <c r="Q17" i="25"/>
  <c r="P17" i="25"/>
  <c r="O17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BB15" i="25"/>
  <c r="BA15" i="25"/>
  <c r="AZ15" i="25"/>
  <c r="AY15" i="25"/>
  <c r="AX15" i="25"/>
  <c r="AW15" i="25"/>
  <c r="AV15" i="25"/>
  <c r="AU15" i="25"/>
  <c r="AT15" i="25"/>
  <c r="AS15" i="25"/>
  <c r="AR15" i="25"/>
  <c r="AQ15" i="25"/>
  <c r="AP15" i="25"/>
  <c r="AO15" i="25"/>
  <c r="AN15" i="25"/>
  <c r="AM15" i="25"/>
  <c r="AL15" i="25"/>
  <c r="AK15" i="25"/>
  <c r="AJ15" i="25"/>
  <c r="AI15" i="25"/>
  <c r="AH15" i="25"/>
  <c r="AG15" i="25"/>
  <c r="AF15" i="25"/>
  <c r="AE15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O14" i="25"/>
  <c r="AD13" i="25"/>
  <c r="AE13" i="25" s="1"/>
  <c r="AF13" i="25" s="1"/>
  <c r="AG13" i="25" s="1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V12" i="25"/>
  <c r="U12" i="25"/>
  <c r="T12" i="25"/>
  <c r="S12" i="25"/>
  <c r="R12" i="25"/>
  <c r="Q12" i="25"/>
  <c r="P12" i="25"/>
  <c r="O12" i="25"/>
  <c r="BB11" i="25"/>
  <c r="BA11" i="25"/>
  <c r="AZ11" i="25"/>
  <c r="AY11" i="25"/>
  <c r="AX11" i="25"/>
  <c r="AW11" i="25"/>
  <c r="AV11" i="25"/>
  <c r="AU11" i="25"/>
  <c r="AT11" i="25"/>
  <c r="AS11" i="25"/>
  <c r="AR11" i="25"/>
  <c r="AQ11" i="25"/>
  <c r="AP11" i="25"/>
  <c r="AO11" i="25"/>
  <c r="AN11" i="25"/>
  <c r="AM11" i="25"/>
  <c r="AL11" i="25"/>
  <c r="AK11" i="25"/>
  <c r="AJ11" i="25"/>
  <c r="AI11" i="25"/>
  <c r="AH11" i="25"/>
  <c r="AG11" i="25"/>
  <c r="AF11" i="25"/>
  <c r="AE11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BB10" i="25"/>
  <c r="BA10" i="25"/>
  <c r="AZ10" i="25"/>
  <c r="AY10" i="25"/>
  <c r="AX10" i="25"/>
  <c r="AW10" i="25"/>
  <c r="AV10" i="25"/>
  <c r="AU10" i="25"/>
  <c r="AT10" i="25"/>
  <c r="AS10" i="25"/>
  <c r="AR10" i="25"/>
  <c r="AQ10" i="25"/>
  <c r="AP10" i="25"/>
  <c r="AO10" i="25"/>
  <c r="AN10" i="25"/>
  <c r="AM10" i="25"/>
  <c r="AL10" i="25"/>
  <c r="AK10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AJ98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S45" i="14"/>
  <c r="H31" i="15" s="1"/>
  <c r="AG45" i="14"/>
  <c r="G31" i="15" s="1"/>
  <c r="F31" i="15"/>
  <c r="AV41" i="14"/>
  <c r="AO41" i="14"/>
  <c r="AF41" i="14"/>
  <c r="Q37" i="14"/>
  <c r="P37" i="14"/>
  <c r="P122" i="14" s="1"/>
  <c r="O37" i="14"/>
  <c r="O51" i="14" s="1"/>
  <c r="O73" i="14" s="1"/>
  <c r="N37" i="14"/>
  <c r="N51" i="14" s="1"/>
  <c r="N73" i="14" s="1"/>
  <c r="M37" i="14"/>
  <c r="M51" i="14" s="1"/>
  <c r="M73" i="14" s="1"/>
  <c r="L37" i="14"/>
  <c r="L51" i="14" s="1"/>
  <c r="L73" i="14" s="1"/>
  <c r="K37" i="14"/>
  <c r="K51" i="14" s="1"/>
  <c r="K73" i="14" s="1"/>
  <c r="J37" i="14"/>
  <c r="J51" i="14" s="1"/>
  <c r="J73" i="14" s="1"/>
  <c r="I37" i="14"/>
  <c r="I51" i="14" s="1"/>
  <c r="I73" i="14" s="1"/>
  <c r="H37" i="14"/>
  <c r="H51" i="14" s="1"/>
  <c r="H73" i="14" s="1"/>
  <c r="G37" i="14"/>
  <c r="G51" i="14" s="1"/>
  <c r="G73" i="14" s="1"/>
  <c r="F37" i="14"/>
  <c r="F51" i="14" s="1"/>
  <c r="O24" i="14"/>
  <c r="N24" i="14"/>
  <c r="M24" i="14"/>
  <c r="L24" i="14"/>
  <c r="K24" i="14"/>
  <c r="J24" i="14"/>
  <c r="I24" i="14"/>
  <c r="H24" i="14"/>
  <c r="G24" i="14"/>
  <c r="F24" i="14"/>
  <c r="F25" i="14" s="1"/>
  <c r="AS21" i="14"/>
  <c r="AR21" i="14"/>
  <c r="AR24" i="14" s="1"/>
  <c r="AQ21" i="14"/>
  <c r="AQ24" i="14" s="1"/>
  <c r="AP21" i="14"/>
  <c r="AP24" i="14" s="1"/>
  <c r="AO21" i="14"/>
  <c r="AO24" i="14" s="1"/>
  <c r="AN21" i="14"/>
  <c r="AN24" i="14" s="1"/>
  <c r="AM21" i="14"/>
  <c r="AL21" i="14"/>
  <c r="AL24" i="14" s="1"/>
  <c r="AK21" i="14"/>
  <c r="AJ21" i="14"/>
  <c r="AJ24" i="14" s="1"/>
  <c r="AI21" i="14"/>
  <c r="AI24" i="14" s="1"/>
  <c r="AH21" i="14"/>
  <c r="AH24" i="14" s="1"/>
  <c r="AG21" i="14"/>
  <c r="AG24" i="14" s="1"/>
  <c r="AF21" i="14"/>
  <c r="AF24" i="14" s="1"/>
  <c r="AE21" i="14"/>
  <c r="AD21" i="14"/>
  <c r="AD24" i="14" s="1"/>
  <c r="AC21" i="14"/>
  <c r="AB21" i="14"/>
  <c r="AB24" i="14" s="1"/>
  <c r="AA21" i="14"/>
  <c r="AA24" i="14" s="1"/>
  <c r="Z21" i="14"/>
  <c r="Z24" i="14" s="1"/>
  <c r="Y21" i="14"/>
  <c r="X21" i="14"/>
  <c r="X24" i="14" s="1"/>
  <c r="V24" i="14"/>
  <c r="T24" i="14"/>
  <c r="R24" i="14"/>
  <c r="O16" i="14"/>
  <c r="N16" i="14"/>
  <c r="M16" i="14"/>
  <c r="L16" i="14"/>
  <c r="K16" i="14"/>
  <c r="J16" i="14"/>
  <c r="I16" i="14"/>
  <c r="H16" i="14"/>
  <c r="G16" i="14"/>
  <c r="F16" i="14"/>
  <c r="C9" i="15"/>
  <c r="E74" i="15"/>
  <c r="G9" i="15"/>
  <c r="G8" i="15"/>
  <c r="E8" i="15"/>
  <c r="G7" i="15"/>
  <c r="E7" i="15"/>
  <c r="H6" i="15"/>
  <c r="G6" i="15"/>
  <c r="E6" i="15"/>
  <c r="BQ135" i="34" l="1"/>
  <c r="BQ132" i="34"/>
  <c r="BQ134" i="34" s="1"/>
  <c r="BS129" i="34"/>
  <c r="BR130" i="34"/>
  <c r="CA41" i="34"/>
  <c r="BZ42" i="34"/>
  <c r="BZ5" i="34" s="1"/>
  <c r="BZ10" i="14" s="1"/>
  <c r="BS43" i="34"/>
  <c r="BR44" i="34"/>
  <c r="BQ49" i="34"/>
  <c r="BQ46" i="34"/>
  <c r="BQ48" i="34" s="1"/>
  <c r="BD35" i="25"/>
  <c r="BC44" i="25"/>
  <c r="BB35" i="14" s="1"/>
  <c r="BQ168" i="34"/>
  <c r="BQ170" i="34" s="1"/>
  <c r="BS165" i="34"/>
  <c r="BQ171" i="34"/>
  <c r="BR166" i="34"/>
  <c r="CH164" i="34"/>
  <c r="CI163" i="34"/>
  <c r="BQ159" i="34"/>
  <c r="BQ156" i="34"/>
  <c r="BQ158" i="34" s="1"/>
  <c r="BS153" i="34"/>
  <c r="BR154" i="34"/>
  <c r="BR58" i="34"/>
  <c r="BR60" i="34" s="1"/>
  <c r="BT55" i="34"/>
  <c r="BS56" i="34"/>
  <c r="BR61" i="34"/>
  <c r="BP9" i="34"/>
  <c r="BP70" i="14" s="1"/>
  <c r="BQ111" i="34"/>
  <c r="BQ108" i="34"/>
  <c r="BQ110" i="34" s="1"/>
  <c r="BS105" i="34"/>
  <c r="BR106" i="34"/>
  <c r="CC115" i="34"/>
  <c r="CB116" i="34"/>
  <c r="BQ120" i="34"/>
  <c r="BQ122" i="34" s="1"/>
  <c r="BS117" i="34"/>
  <c r="BR118" i="34"/>
  <c r="BQ123" i="34"/>
  <c r="BS141" i="34"/>
  <c r="BQ147" i="34"/>
  <c r="BQ144" i="34"/>
  <c r="BQ146" i="34" s="1"/>
  <c r="BR142" i="34"/>
  <c r="BT92" i="34"/>
  <c r="BS93" i="34"/>
  <c r="BR95" i="34"/>
  <c r="BR97" i="34" s="1"/>
  <c r="BR98" i="34"/>
  <c r="BR73" i="34"/>
  <c r="BT67" i="34"/>
  <c r="BR70" i="34"/>
  <c r="BR72" i="34" s="1"/>
  <c r="BS68" i="34"/>
  <c r="CC65" i="34"/>
  <c r="CB66" i="34"/>
  <c r="BS80" i="34"/>
  <c r="BR82" i="34"/>
  <c r="BT79" i="34"/>
  <c r="BR85" i="34"/>
  <c r="BQ84" i="34"/>
  <c r="I72" i="15"/>
  <c r="I74" i="15" s="1"/>
  <c r="J72" i="15"/>
  <c r="J74" i="15" s="1"/>
  <c r="K72" i="15"/>
  <c r="K74" i="15" s="1"/>
  <c r="AT74" i="30"/>
  <c r="AT16" i="14"/>
  <c r="AT13" i="14"/>
  <c r="AT17" i="30"/>
  <c r="AU7" i="34"/>
  <c r="AU36" i="34"/>
  <c r="AV33" i="34"/>
  <c r="AV6" i="34" s="1"/>
  <c r="R44" i="25"/>
  <c r="P44" i="25"/>
  <c r="X82" i="25"/>
  <c r="AF82" i="25"/>
  <c r="AN82" i="25"/>
  <c r="O44" i="25"/>
  <c r="AG82" i="25"/>
  <c r="O29" i="25"/>
  <c r="AO82" i="25"/>
  <c r="Q29" i="25"/>
  <c r="Y82" i="25"/>
  <c r="R29" i="25"/>
  <c r="P29" i="25"/>
  <c r="E76" i="15"/>
  <c r="P98" i="14"/>
  <c r="Q98" i="14"/>
  <c r="W98" i="14"/>
  <c r="S44" i="25"/>
  <c r="R120" i="14" s="1"/>
  <c r="Z82" i="25"/>
  <c r="AH82" i="25"/>
  <c r="AP82" i="25"/>
  <c r="AO42" i="14" s="1"/>
  <c r="Q51" i="14"/>
  <c r="Q73" i="14" s="1"/>
  <c r="Q134" i="14" s="1"/>
  <c r="Q122" i="14"/>
  <c r="E26" i="29"/>
  <c r="E57" i="29"/>
  <c r="E16" i="29"/>
  <c r="E35" i="29"/>
  <c r="G72" i="15"/>
  <c r="P51" i="14"/>
  <c r="P73" i="14" s="1"/>
  <c r="P134" i="14" s="1"/>
  <c r="H72" i="15"/>
  <c r="F25" i="29"/>
  <c r="D27" i="29"/>
  <c r="R28" i="30"/>
  <c r="D12" i="29"/>
  <c r="H39" i="15"/>
  <c r="F39" i="15"/>
  <c r="D19" i="29"/>
  <c r="E27" i="29"/>
  <c r="E25" i="29"/>
  <c r="D58" i="29"/>
  <c r="D25" i="29"/>
  <c r="F26" i="29"/>
  <c r="D57" i="29"/>
  <c r="E58" i="29"/>
  <c r="G39" i="15"/>
  <c r="E19" i="29"/>
  <c r="D26" i="29"/>
  <c r="F27" i="29"/>
  <c r="P79" i="30"/>
  <c r="Q79" i="30" s="1"/>
  <c r="P89" i="30"/>
  <c r="P87" i="14"/>
  <c r="P92" i="30" s="1"/>
  <c r="P85" i="14"/>
  <c r="P90" i="30" s="1"/>
  <c r="Q89" i="30"/>
  <c r="Q87" i="14"/>
  <c r="Q92" i="30" s="1"/>
  <c r="Q85" i="14"/>
  <c r="Q90" i="30" s="1"/>
  <c r="AP41" i="30"/>
  <c r="AP52" i="30" s="1"/>
  <c r="AD28" i="30"/>
  <c r="T41" i="30"/>
  <c r="T52" i="30" s="1"/>
  <c r="AB41" i="30"/>
  <c r="AJ41" i="30"/>
  <c r="AJ52" i="30" s="1"/>
  <c r="AR41" i="30"/>
  <c r="AR52" i="30" s="1"/>
  <c r="X41" i="30"/>
  <c r="X52" i="30" s="1"/>
  <c r="AF41" i="30"/>
  <c r="AF52" i="30" s="1"/>
  <c r="L75" i="14"/>
  <c r="L84" i="14" s="1"/>
  <c r="M75" i="14"/>
  <c r="M84" i="14" s="1"/>
  <c r="I75" i="14"/>
  <c r="I84" i="14" s="1"/>
  <c r="J75" i="14"/>
  <c r="J84" i="14" s="1"/>
  <c r="H75" i="14"/>
  <c r="H84" i="14" s="1"/>
  <c r="G25" i="14"/>
  <c r="H25" i="14" s="1"/>
  <c r="I25" i="14" s="1"/>
  <c r="J25" i="14" s="1"/>
  <c r="K25" i="14" s="1"/>
  <c r="L25" i="14" s="1"/>
  <c r="M25" i="14" s="1"/>
  <c r="N25" i="14" s="1"/>
  <c r="O25" i="14" s="1"/>
  <c r="N75" i="14"/>
  <c r="N84" i="14" s="1"/>
  <c r="W41" i="30"/>
  <c r="W52" i="30" s="1"/>
  <c r="AE41" i="30"/>
  <c r="AE52" i="30" s="1"/>
  <c r="AM41" i="30"/>
  <c r="AM52" i="30" s="1"/>
  <c r="AU41" i="30"/>
  <c r="AU52" i="30" s="1"/>
  <c r="AA41" i="30"/>
  <c r="AA52" i="30" s="1"/>
  <c r="AI41" i="30"/>
  <c r="AI52" i="30" s="1"/>
  <c r="U44" i="25"/>
  <c r="T120" i="14" s="1"/>
  <c r="AC82" i="25"/>
  <c r="AK82" i="25"/>
  <c r="AS82" i="25"/>
  <c r="AR42" i="14" s="1"/>
  <c r="BA82" i="25"/>
  <c r="AZ42" i="14" s="1"/>
  <c r="Z127" i="14"/>
  <c r="AS57" i="25"/>
  <c r="AR36" i="14" s="1"/>
  <c r="AR121" i="14" s="1"/>
  <c r="AJ41" i="14"/>
  <c r="AJ127" i="14" s="1"/>
  <c r="AR41" i="14"/>
  <c r="AR127" i="14" s="1"/>
  <c r="AZ41" i="14"/>
  <c r="S71" i="25"/>
  <c r="S85" i="25" s="1"/>
  <c r="AC57" i="25"/>
  <c r="AY41" i="14"/>
  <c r="AA82" i="25"/>
  <c r="AI82" i="25"/>
  <c r="AQ82" i="25"/>
  <c r="AP42" i="14" s="1"/>
  <c r="AY82" i="25"/>
  <c r="AX42" i="14" s="1"/>
  <c r="AD85" i="25"/>
  <c r="AK41" i="14"/>
  <c r="AL85" i="25"/>
  <c r="AS41" i="14"/>
  <c r="AT85" i="25"/>
  <c r="BB85" i="25"/>
  <c r="BA41" i="14"/>
  <c r="AA127" i="14"/>
  <c r="AB82" i="25"/>
  <c r="AJ82" i="25"/>
  <c r="AR82" i="25"/>
  <c r="AQ42" i="14" s="1"/>
  <c r="AZ82" i="25"/>
  <c r="AY42" i="14" s="1"/>
  <c r="V41" i="14"/>
  <c r="W85" i="25"/>
  <c r="AE85" i="25"/>
  <c r="AM85" i="25"/>
  <c r="AU85" i="25"/>
  <c r="W41" i="14"/>
  <c r="AN85" i="25"/>
  <c r="AV85" i="25"/>
  <c r="AK57" i="25"/>
  <c r="AJ36" i="14" s="1"/>
  <c r="AJ121" i="14" s="1"/>
  <c r="AI41" i="14"/>
  <c r="AI127" i="14" s="1"/>
  <c r="X41" i="14"/>
  <c r="X127" i="14" s="1"/>
  <c r="AW85" i="25"/>
  <c r="BA57" i="25"/>
  <c r="AZ36" i="14" s="1"/>
  <c r="AQ41" i="14"/>
  <c r="AQ127" i="14" s="1"/>
  <c r="AH41" i="14"/>
  <c r="AH127" i="14" s="1"/>
  <c r="Y41" i="14"/>
  <c r="AX85" i="25"/>
  <c r="G75" i="14"/>
  <c r="G84" i="14" s="1"/>
  <c r="K75" i="14"/>
  <c r="K84" i="14" s="1"/>
  <c r="O75" i="14"/>
  <c r="O84" i="14" s="1"/>
  <c r="F73" i="14"/>
  <c r="F75" i="14" s="1"/>
  <c r="F84" i="14" s="1"/>
  <c r="E14" i="15"/>
  <c r="E62" i="15" s="1"/>
  <c r="E64" i="15" s="1"/>
  <c r="AT57" i="25"/>
  <c r="AS36" i="14" s="1"/>
  <c r="AL57" i="25"/>
  <c r="AK36" i="14" s="1"/>
  <c r="T71" i="25"/>
  <c r="V57" i="25"/>
  <c r="BB57" i="25"/>
  <c r="BA36" i="14" s="1"/>
  <c r="AH57" i="25"/>
  <c r="AG36" i="14" s="1"/>
  <c r="AG121" i="14" s="1"/>
  <c r="AP57" i="25"/>
  <c r="AO36" i="14" s="1"/>
  <c r="AO121" i="14" s="1"/>
  <c r="AX57" i="25"/>
  <c r="AW36" i="14" s="1"/>
  <c r="AD57" i="25"/>
  <c r="AF57" i="25"/>
  <c r="V29" i="25"/>
  <c r="AD29" i="25"/>
  <c r="AG57" i="25"/>
  <c r="AF121" i="14" s="1"/>
  <c r="AO57" i="25"/>
  <c r="AN36" i="14" s="1"/>
  <c r="AW57" i="25"/>
  <c r="AV36" i="14" s="1"/>
  <c r="U71" i="25"/>
  <c r="V71" i="25"/>
  <c r="AA57" i="25"/>
  <c r="Z121" i="14" s="1"/>
  <c r="AI57" i="25"/>
  <c r="AH36" i="14" s="1"/>
  <c r="AH121" i="14" s="1"/>
  <c r="AQ57" i="25"/>
  <c r="AP36" i="14" s="1"/>
  <c r="AP121" i="14" s="1"/>
  <c r="AY57" i="25"/>
  <c r="AX36" i="14" s="1"/>
  <c r="AB57" i="25"/>
  <c r="AA121" i="14" s="1"/>
  <c r="AJ57" i="25"/>
  <c r="AI36" i="14" s="1"/>
  <c r="AI121" i="14" s="1"/>
  <c r="AR57" i="25"/>
  <c r="AQ36" i="14" s="1"/>
  <c r="AQ121" i="14" s="1"/>
  <c r="AZ57" i="25"/>
  <c r="AY36" i="14" s="1"/>
  <c r="AN57" i="25"/>
  <c r="AM36" i="14" s="1"/>
  <c r="AV57" i="25"/>
  <c r="AU36" i="14" s="1"/>
  <c r="W29" i="25"/>
  <c r="V119" i="14" s="1"/>
  <c r="AE29" i="25"/>
  <c r="AD119" i="14" s="1"/>
  <c r="U29" i="25"/>
  <c r="AC29" i="25"/>
  <c r="AE57" i="25"/>
  <c r="AD121" i="14" s="1"/>
  <c r="AM57" i="25"/>
  <c r="AL36" i="14" s="1"/>
  <c r="AL121" i="14" s="1"/>
  <c r="AU57" i="25"/>
  <c r="AT36" i="14" s="1"/>
  <c r="S29" i="25"/>
  <c r="AA29" i="25"/>
  <c r="Z119" i="14" s="1"/>
  <c r="U57" i="25"/>
  <c r="T121" i="14" s="1"/>
  <c r="T29" i="25"/>
  <c r="AB29" i="25"/>
  <c r="AA119" i="14" s="1"/>
  <c r="X29" i="25"/>
  <c r="AF29" i="25"/>
  <c r="Y29" i="25"/>
  <c r="X119" i="14" s="1"/>
  <c r="X53" i="25"/>
  <c r="Y53" i="25" s="1"/>
  <c r="Z53" i="25" s="1"/>
  <c r="Z57" i="25" s="1"/>
  <c r="W57" i="25"/>
  <c r="Z29" i="25"/>
  <c r="AG29" i="25"/>
  <c r="AF119" i="14" s="1"/>
  <c r="AH13" i="25"/>
  <c r="AK44" i="25"/>
  <c r="AJ35" i="14" s="1"/>
  <c r="AJ120" i="14" s="1"/>
  <c r="V44" i="25"/>
  <c r="AD44" i="25"/>
  <c r="AL44" i="25"/>
  <c r="AK35" i="14" s="1"/>
  <c r="AT44" i="25"/>
  <c r="AS35" i="14" s="1"/>
  <c r="BB44" i="25"/>
  <c r="BA35" i="14" s="1"/>
  <c r="AS44" i="25"/>
  <c r="AR35" i="14" s="1"/>
  <c r="AR120" i="14" s="1"/>
  <c r="W44" i="25"/>
  <c r="AE44" i="25"/>
  <c r="AD120" i="14" s="1"/>
  <c r="AM44" i="25"/>
  <c r="AL35" i="14" s="1"/>
  <c r="AL120" i="14" s="1"/>
  <c r="AU44" i="25"/>
  <c r="AT35" i="14" s="1"/>
  <c r="X44" i="25"/>
  <c r="AF44" i="25"/>
  <c r="AN44" i="25"/>
  <c r="AM35" i="14" s="1"/>
  <c r="AV44" i="25"/>
  <c r="AU35" i="14" s="1"/>
  <c r="AC44" i="25"/>
  <c r="Y44" i="25"/>
  <c r="AG44" i="25"/>
  <c r="AF120" i="14" s="1"/>
  <c r="AO44" i="25"/>
  <c r="AN35" i="14" s="1"/>
  <c r="AW44" i="25"/>
  <c r="AV35" i="14" s="1"/>
  <c r="BA44" i="25"/>
  <c r="AZ35" i="14" s="1"/>
  <c r="Z44" i="25"/>
  <c r="AH44" i="25"/>
  <c r="AG35" i="14" s="1"/>
  <c r="AG120" i="14" s="1"/>
  <c r="AP44" i="25"/>
  <c r="AO35" i="14" s="1"/>
  <c r="AO120" i="14" s="1"/>
  <c r="AX44" i="25"/>
  <c r="AW35" i="14" s="1"/>
  <c r="AA44" i="25"/>
  <c r="Z120" i="14" s="1"/>
  <c r="AI44" i="25"/>
  <c r="AH35" i="14" s="1"/>
  <c r="AH120" i="14" s="1"/>
  <c r="AQ44" i="25"/>
  <c r="AP35" i="14" s="1"/>
  <c r="AP120" i="14" s="1"/>
  <c r="AY44" i="25"/>
  <c r="AX35" i="14" s="1"/>
  <c r="AB44" i="25"/>
  <c r="AJ44" i="25"/>
  <c r="AI35" i="14" s="1"/>
  <c r="AI120" i="14" s="1"/>
  <c r="AR44" i="25"/>
  <c r="AQ35" i="14" s="1"/>
  <c r="AQ120" i="14" s="1"/>
  <c r="AZ44" i="25"/>
  <c r="AY35" i="14" s="1"/>
  <c r="G29" i="30"/>
  <c r="H29" i="30" s="1"/>
  <c r="I29" i="30" s="1"/>
  <c r="J29" i="30" s="1"/>
  <c r="K29" i="30" s="1"/>
  <c r="L29" i="30" s="1"/>
  <c r="AC28" i="30"/>
  <c r="AK28" i="30"/>
  <c r="AS28" i="30"/>
  <c r="AZ41" i="30"/>
  <c r="AZ52" i="30" s="1"/>
  <c r="Y41" i="30"/>
  <c r="Y52" i="30" s="1"/>
  <c r="V41" i="30"/>
  <c r="V52" i="30" s="1"/>
  <c r="AD41" i="30"/>
  <c r="AD52" i="30" s="1"/>
  <c r="AL41" i="30"/>
  <c r="AL52" i="30" s="1"/>
  <c r="AT41" i="30"/>
  <c r="AT52" i="30" s="1"/>
  <c r="AO41" i="30"/>
  <c r="AO52" i="30" s="1"/>
  <c r="AW41" i="30"/>
  <c r="AW52" i="30" s="1"/>
  <c r="AV41" i="30"/>
  <c r="AV52" i="30" s="1"/>
  <c r="AX41" i="30"/>
  <c r="AX52" i="30" s="1"/>
  <c r="E12" i="29"/>
  <c r="Y28" i="30"/>
  <c r="AG28" i="30"/>
  <c r="AO28" i="30"/>
  <c r="S41" i="30"/>
  <c r="AG41" i="30"/>
  <c r="AG52" i="30" s="1"/>
  <c r="Z41" i="30"/>
  <c r="Z52" i="30" s="1"/>
  <c r="AH41" i="30"/>
  <c r="AH52" i="30" s="1"/>
  <c r="AQ41" i="30"/>
  <c r="AY41" i="30"/>
  <c r="AY52" i="30" s="1"/>
  <c r="S59" i="30"/>
  <c r="T59" i="30" s="1"/>
  <c r="U59" i="30" s="1"/>
  <c r="V59" i="30" s="1"/>
  <c r="W59" i="30" s="1"/>
  <c r="X59" i="30" s="1"/>
  <c r="Y59" i="30" s="1"/>
  <c r="Z59" i="30" s="1"/>
  <c r="AA59" i="30" s="1"/>
  <c r="AB59" i="30" s="1"/>
  <c r="AN41" i="30"/>
  <c r="AS41" i="30"/>
  <c r="AS52" i="30" s="1"/>
  <c r="BA41" i="30"/>
  <c r="BA52" i="30" s="1"/>
  <c r="U41" i="30"/>
  <c r="U52" i="30" s="1"/>
  <c r="AC41" i="30"/>
  <c r="AC52" i="30" s="1"/>
  <c r="AK41" i="30"/>
  <c r="AK52" i="30" s="1"/>
  <c r="Z28" i="30"/>
  <c r="AH28" i="30"/>
  <c r="AP28" i="30"/>
  <c r="AA28" i="30"/>
  <c r="AI28" i="30"/>
  <c r="AQ28" i="30"/>
  <c r="AB28" i="30"/>
  <c r="AJ28" i="30"/>
  <c r="AR28" i="30"/>
  <c r="AL28" i="30"/>
  <c r="AE28" i="30"/>
  <c r="AM28" i="30"/>
  <c r="X28" i="30"/>
  <c r="AF28" i="30"/>
  <c r="AN28" i="30"/>
  <c r="T135" i="14"/>
  <c r="T129" i="14"/>
  <c r="T131" i="14"/>
  <c r="T130" i="14"/>
  <c r="AB135" i="14"/>
  <c r="AB129" i="14"/>
  <c r="AB131" i="14"/>
  <c r="AB130" i="14"/>
  <c r="AJ135" i="14"/>
  <c r="AJ129" i="14"/>
  <c r="AJ131" i="14"/>
  <c r="AJ130" i="14"/>
  <c r="AR135" i="14"/>
  <c r="AR129" i="14"/>
  <c r="AR131" i="14"/>
  <c r="AR130" i="14"/>
  <c r="V131" i="14"/>
  <c r="V130" i="14"/>
  <c r="V135" i="14"/>
  <c r="V129" i="14"/>
  <c r="W24" i="14"/>
  <c r="G11" i="15"/>
  <c r="AE24" i="14"/>
  <c r="AM24" i="14"/>
  <c r="Y24" i="14"/>
  <c r="AG130" i="14"/>
  <c r="AG135" i="14"/>
  <c r="AG129" i="14"/>
  <c r="AG131" i="14"/>
  <c r="AG127" i="14"/>
  <c r="AO130" i="14"/>
  <c r="AO135" i="14"/>
  <c r="AO129" i="14"/>
  <c r="AO127" i="14"/>
  <c r="AO131" i="14"/>
  <c r="AL127" i="14"/>
  <c r="AL131" i="14"/>
  <c r="AL130" i="14"/>
  <c r="AL135" i="14"/>
  <c r="AL129" i="14"/>
  <c r="X131" i="14"/>
  <c r="X130" i="14"/>
  <c r="X135" i="14"/>
  <c r="X129" i="14"/>
  <c r="AF131" i="14"/>
  <c r="AF130" i="14"/>
  <c r="AF135" i="14"/>
  <c r="AF129" i="14"/>
  <c r="AF127" i="14"/>
  <c r="AN131" i="14"/>
  <c r="AN130" i="14"/>
  <c r="AN135" i="14"/>
  <c r="AN129" i="14"/>
  <c r="AN127" i="14"/>
  <c r="AA130" i="14"/>
  <c r="AA135" i="14"/>
  <c r="AA129" i="14"/>
  <c r="AA131" i="14"/>
  <c r="AI135" i="14"/>
  <c r="AI129" i="14"/>
  <c r="AI130" i="14"/>
  <c r="AI131" i="14"/>
  <c r="AD127" i="14"/>
  <c r="AD131" i="14"/>
  <c r="AD130" i="14"/>
  <c r="AD135" i="14"/>
  <c r="AD129" i="14"/>
  <c r="Z130" i="14"/>
  <c r="Z135" i="14"/>
  <c r="Z129" i="14"/>
  <c r="Z131" i="14"/>
  <c r="AH130" i="14"/>
  <c r="AH135" i="14"/>
  <c r="AH129" i="14"/>
  <c r="AH131" i="14"/>
  <c r="AP130" i="14"/>
  <c r="AP135" i="14"/>
  <c r="AP129" i="14"/>
  <c r="AP127" i="14"/>
  <c r="AP131" i="14"/>
  <c r="AQ135" i="14"/>
  <c r="AQ129" i="14"/>
  <c r="AQ130" i="14"/>
  <c r="AQ131" i="14"/>
  <c r="U24" i="14"/>
  <c r="AC24" i="14"/>
  <c r="AK24" i="14"/>
  <c r="AS24" i="14"/>
  <c r="S24" i="14"/>
  <c r="R135" i="14"/>
  <c r="R131" i="14"/>
  <c r="R129" i="14"/>
  <c r="R121" i="14"/>
  <c r="R130" i="14"/>
  <c r="D83" i="15" l="1"/>
  <c r="BS130" i="34"/>
  <c r="BR135" i="34"/>
  <c r="BR132" i="34"/>
  <c r="BR134" i="34" s="1"/>
  <c r="BT129" i="34"/>
  <c r="CB41" i="34"/>
  <c r="CA42" i="34"/>
  <c r="CA5" i="34" s="1"/>
  <c r="CA10" i="14" s="1"/>
  <c r="BT43" i="34"/>
  <c r="BR46" i="34"/>
  <c r="BR48" i="34" s="1"/>
  <c r="BR49" i="34"/>
  <c r="BS44" i="34"/>
  <c r="BB37" i="14"/>
  <c r="BB39" i="14"/>
  <c r="BE35" i="25"/>
  <c r="BD44" i="25"/>
  <c r="BC35" i="14" s="1"/>
  <c r="CJ163" i="34"/>
  <c r="CI164" i="34"/>
  <c r="BT165" i="34"/>
  <c r="BR171" i="34"/>
  <c r="BS166" i="34"/>
  <c r="BR168" i="34"/>
  <c r="BR170" i="34" s="1"/>
  <c r="BR159" i="34"/>
  <c r="BR156" i="34"/>
  <c r="BR158" i="34" s="1"/>
  <c r="BT153" i="34"/>
  <c r="BS154" i="34"/>
  <c r="BT56" i="34"/>
  <c r="BU55" i="34"/>
  <c r="BS58" i="34"/>
  <c r="BS60" i="34" s="1"/>
  <c r="BS61" i="34"/>
  <c r="BS106" i="34"/>
  <c r="BR108" i="34"/>
  <c r="BR110" i="34" s="1"/>
  <c r="BT105" i="34"/>
  <c r="BR111" i="34"/>
  <c r="CC116" i="34"/>
  <c r="CD115" i="34"/>
  <c r="BR123" i="34"/>
  <c r="BS118" i="34"/>
  <c r="BR120" i="34"/>
  <c r="BR122" i="34" s="1"/>
  <c r="BT117" i="34"/>
  <c r="BQ9" i="34"/>
  <c r="BQ70" i="14" s="1"/>
  <c r="BT141" i="34"/>
  <c r="BR147" i="34"/>
  <c r="BS142" i="34"/>
  <c r="BR144" i="34"/>
  <c r="BR146" i="34" s="1"/>
  <c r="BS95" i="34"/>
  <c r="BS97" i="34" s="1"/>
  <c r="BU92" i="34"/>
  <c r="BT93" i="34"/>
  <c r="BS98" i="34"/>
  <c r="CC66" i="34"/>
  <c r="CD65" i="34"/>
  <c r="BS70" i="34"/>
  <c r="BS72" i="34" s="1"/>
  <c r="BT68" i="34"/>
  <c r="BU67" i="34"/>
  <c r="BS73" i="34"/>
  <c r="BR84" i="34"/>
  <c r="BS82" i="34"/>
  <c r="BS85" i="34"/>
  <c r="BT80" i="34"/>
  <c r="BU79" i="34"/>
  <c r="X85" i="25"/>
  <c r="AF85" i="25"/>
  <c r="AU8" i="34"/>
  <c r="AU37" i="34"/>
  <c r="AU10" i="34" s="1"/>
  <c r="AV11" i="14"/>
  <c r="AV11" i="30"/>
  <c r="AU12" i="14"/>
  <c r="AU21" i="14" s="1"/>
  <c r="AU12" i="30"/>
  <c r="AU25" i="30" s="1"/>
  <c r="AT18" i="30"/>
  <c r="AT20" i="30"/>
  <c r="AT68" i="30"/>
  <c r="AT22" i="30"/>
  <c r="AT69" i="30"/>
  <c r="AV34" i="34"/>
  <c r="AT24" i="14"/>
  <c r="F72" i="15"/>
  <c r="D28" i="29"/>
  <c r="Z85" i="25"/>
  <c r="Y85" i="25"/>
  <c r="AP85" i="25"/>
  <c r="AG85" i="25"/>
  <c r="AH85" i="25"/>
  <c r="BA85" i="25"/>
  <c r="AJ85" i="25"/>
  <c r="AO85" i="25"/>
  <c r="V127" i="14"/>
  <c r="R37" i="14"/>
  <c r="R122" i="14" s="1"/>
  <c r="P75" i="14"/>
  <c r="P76" i="14" s="1"/>
  <c r="Q75" i="14"/>
  <c r="AR85" i="25"/>
  <c r="E28" i="29"/>
  <c r="AS85" i="25"/>
  <c r="AZ85" i="25"/>
  <c r="AK85" i="25"/>
  <c r="AI85" i="25"/>
  <c r="AQ85" i="25"/>
  <c r="AY85" i="25"/>
  <c r="AC85" i="25"/>
  <c r="D21" i="29"/>
  <c r="D48" i="29"/>
  <c r="F28" i="15"/>
  <c r="H28" i="15"/>
  <c r="H27" i="15"/>
  <c r="G52" i="15"/>
  <c r="AN120" i="14"/>
  <c r="H21" i="15"/>
  <c r="AB127" i="14"/>
  <c r="G27" i="15"/>
  <c r="AB121" i="14"/>
  <c r="G22" i="15"/>
  <c r="AN121" i="14"/>
  <c r="H22" i="15"/>
  <c r="F21" i="15"/>
  <c r="F44" i="15"/>
  <c r="G21" i="15"/>
  <c r="AB119" i="14"/>
  <c r="F52" i="15"/>
  <c r="S124" i="14"/>
  <c r="F20" i="15"/>
  <c r="G28" i="15"/>
  <c r="S52" i="30"/>
  <c r="D30" i="29"/>
  <c r="D65" i="29" s="1"/>
  <c r="AC59" i="30"/>
  <c r="AD59" i="30" s="1"/>
  <c r="AE59" i="30" s="1"/>
  <c r="AE76" i="30" s="1"/>
  <c r="AN52" i="30"/>
  <c r="F30" i="29"/>
  <c r="AB52" i="30"/>
  <c r="AB76" i="30" s="1"/>
  <c r="AB78" i="30" s="1"/>
  <c r="AB89" i="30" s="1"/>
  <c r="E30" i="29"/>
  <c r="E21" i="29"/>
  <c r="F28" i="29"/>
  <c r="P96" i="30"/>
  <c r="Q87" i="30" s="1"/>
  <c r="Q96" i="30" s="1"/>
  <c r="R87" i="30" s="1"/>
  <c r="P25" i="14"/>
  <c r="Q25" i="14" s="1"/>
  <c r="R25" i="14" s="1"/>
  <c r="S25" i="14" s="1"/>
  <c r="T25" i="14" s="1"/>
  <c r="U25" i="14" s="1"/>
  <c r="V25" i="14" s="1"/>
  <c r="W25" i="14" s="1"/>
  <c r="X25" i="14" s="1"/>
  <c r="Y25" i="14" s="1"/>
  <c r="Z25" i="14" s="1"/>
  <c r="AA25" i="14" s="1"/>
  <c r="AB25" i="14" s="1"/>
  <c r="AC25" i="14" s="1"/>
  <c r="AD25" i="14" s="1"/>
  <c r="AE25" i="14" s="1"/>
  <c r="AF25" i="14" s="1"/>
  <c r="AG25" i="14" s="1"/>
  <c r="AH25" i="14" s="1"/>
  <c r="AI25" i="14" s="1"/>
  <c r="AJ25" i="14" s="1"/>
  <c r="AK25" i="14" s="1"/>
  <c r="AL25" i="14" s="1"/>
  <c r="AM25" i="14" s="1"/>
  <c r="AN25" i="14" s="1"/>
  <c r="AO25" i="14" s="1"/>
  <c r="AP25" i="14" s="1"/>
  <c r="AQ25" i="14" s="1"/>
  <c r="AR25" i="14" s="1"/>
  <c r="AS25" i="14" s="1"/>
  <c r="U76" i="30"/>
  <c r="U78" i="30" s="1"/>
  <c r="U89" i="30" s="1"/>
  <c r="Z76" i="30"/>
  <c r="Z78" i="30" s="1"/>
  <c r="Z89" i="30" s="1"/>
  <c r="V76" i="30"/>
  <c r="V78" i="30" s="1"/>
  <c r="V89" i="30" s="1"/>
  <c r="Y76" i="30"/>
  <c r="Y78" i="30" s="1"/>
  <c r="Y89" i="30" s="1"/>
  <c r="X76" i="30"/>
  <c r="X78" i="30" s="1"/>
  <c r="X89" i="30" s="1"/>
  <c r="S76" i="30"/>
  <c r="S78" i="30" s="1"/>
  <c r="S89" i="30" s="1"/>
  <c r="W76" i="30"/>
  <c r="W78" i="30" s="1"/>
  <c r="W89" i="30" s="1"/>
  <c r="AA76" i="30"/>
  <c r="AA78" i="30" s="1"/>
  <c r="AA89" i="30" s="1"/>
  <c r="T76" i="30"/>
  <c r="T78" i="30" s="1"/>
  <c r="T89" i="30" s="1"/>
  <c r="U124" i="14"/>
  <c r="G74" i="15"/>
  <c r="H74" i="15"/>
  <c r="T127" i="14"/>
  <c r="U85" i="25"/>
  <c r="S127" i="14"/>
  <c r="T85" i="25"/>
  <c r="AB85" i="25"/>
  <c r="T124" i="14"/>
  <c r="U127" i="14"/>
  <c r="V85" i="25"/>
  <c r="AA85" i="25"/>
  <c r="AC124" i="14"/>
  <c r="T37" i="14"/>
  <c r="S37" i="14"/>
  <c r="T119" i="14"/>
  <c r="AE124" i="14"/>
  <c r="AA124" i="14"/>
  <c r="AA122" i="14"/>
  <c r="AF39" i="14"/>
  <c r="AF124" i="14" s="1"/>
  <c r="R119" i="14"/>
  <c r="V37" i="14"/>
  <c r="V122" i="14" s="1"/>
  <c r="V120" i="14"/>
  <c r="V124" i="14"/>
  <c r="Z124" i="14"/>
  <c r="Y124" i="14"/>
  <c r="AA120" i="14"/>
  <c r="V121" i="14"/>
  <c r="AB120" i="14"/>
  <c r="X120" i="14"/>
  <c r="AH29" i="25"/>
  <c r="AG34" i="14" s="1"/>
  <c r="AI13" i="25"/>
  <c r="AF37" i="14"/>
  <c r="AF122" i="14" s="1"/>
  <c r="Y57" i="25"/>
  <c r="X121" i="14" s="1"/>
  <c r="U37" i="14"/>
  <c r="AD124" i="14"/>
  <c r="X57" i="25"/>
  <c r="Y37" i="14"/>
  <c r="Y122" i="14" s="1"/>
  <c r="AD122" i="14"/>
  <c r="F14" i="15"/>
  <c r="G14" i="15"/>
  <c r="AQ52" i="30"/>
  <c r="R52" i="30"/>
  <c r="R76" i="30" s="1"/>
  <c r="R29" i="30"/>
  <c r="S29" i="30" s="1"/>
  <c r="T29" i="30" s="1"/>
  <c r="U29" i="30" s="1"/>
  <c r="V29" i="30" s="1"/>
  <c r="W29" i="30" s="1"/>
  <c r="X29" i="30" s="1"/>
  <c r="Y29" i="30" s="1"/>
  <c r="Z29" i="30" s="1"/>
  <c r="AA29" i="30" s="1"/>
  <c r="AB29" i="30" s="1"/>
  <c r="AC29" i="30" s="1"/>
  <c r="AD29" i="30" s="1"/>
  <c r="AE29" i="30" s="1"/>
  <c r="AF29" i="30" s="1"/>
  <c r="AG29" i="30" s="1"/>
  <c r="AH29" i="30" s="1"/>
  <c r="AI29" i="30" s="1"/>
  <c r="AJ29" i="30" s="1"/>
  <c r="AK29" i="30" s="1"/>
  <c r="AL29" i="30" s="1"/>
  <c r="AM29" i="30" s="1"/>
  <c r="AN29" i="30" s="1"/>
  <c r="AO29" i="30" s="1"/>
  <c r="AP29" i="30" s="1"/>
  <c r="AQ29" i="30" s="1"/>
  <c r="AR29" i="30" s="1"/>
  <c r="AS29" i="30" s="1"/>
  <c r="W131" i="14"/>
  <c r="W119" i="14"/>
  <c r="W120" i="14"/>
  <c r="W130" i="14"/>
  <c r="W127" i="14"/>
  <c r="W135" i="14"/>
  <c r="W129" i="14"/>
  <c r="AS127" i="14"/>
  <c r="AS120" i="14"/>
  <c r="AS121" i="14"/>
  <c r="AS131" i="14"/>
  <c r="AS130" i="14"/>
  <c r="AS135" i="14"/>
  <c r="AS129" i="14"/>
  <c r="AM127" i="14"/>
  <c r="AM131" i="14"/>
  <c r="AM130" i="14"/>
  <c r="AM120" i="14"/>
  <c r="AM135" i="14"/>
  <c r="AM129" i="14"/>
  <c r="AM121" i="14"/>
  <c r="AK127" i="14"/>
  <c r="AK120" i="14"/>
  <c r="AK131" i="14"/>
  <c r="AK135" i="14"/>
  <c r="AK129" i="14"/>
  <c r="AK130" i="14"/>
  <c r="AK121" i="14"/>
  <c r="AE131" i="14"/>
  <c r="AE119" i="14"/>
  <c r="AE120" i="14"/>
  <c r="AE130" i="14"/>
  <c r="AE135" i="14"/>
  <c r="AE129" i="14"/>
  <c r="AE121" i="14"/>
  <c r="AE127" i="14"/>
  <c r="AC127" i="14"/>
  <c r="AC120" i="14"/>
  <c r="AC129" i="14"/>
  <c r="AC135" i="14"/>
  <c r="AC131" i="14"/>
  <c r="AC119" i="14"/>
  <c r="AC121" i="14"/>
  <c r="AC130" i="14"/>
  <c r="U121" i="14"/>
  <c r="U120" i="14"/>
  <c r="U129" i="14"/>
  <c r="U131" i="14"/>
  <c r="U119" i="14"/>
  <c r="U130" i="14"/>
  <c r="U135" i="14"/>
  <c r="Y130" i="14"/>
  <c r="Y135" i="14"/>
  <c r="Y129" i="14"/>
  <c r="Y121" i="14"/>
  <c r="Y127" i="14"/>
  <c r="Y120" i="14"/>
  <c r="Y131" i="14"/>
  <c r="Y119" i="14"/>
  <c r="S135" i="14"/>
  <c r="S121" i="14"/>
  <c r="S119" i="14"/>
  <c r="S130" i="14"/>
  <c r="S120" i="14"/>
  <c r="S129" i="14"/>
  <c r="S131" i="14"/>
  <c r="BS135" i="34" l="1"/>
  <c r="BT130" i="34"/>
  <c r="BS132" i="34"/>
  <c r="BS134" i="34" s="1"/>
  <c r="BU129" i="34"/>
  <c r="CB42" i="34"/>
  <c r="CB5" i="34" s="1"/>
  <c r="CB10" i="14" s="1"/>
  <c r="CC41" i="34"/>
  <c r="BS49" i="34"/>
  <c r="BT44" i="34"/>
  <c r="BU43" i="34"/>
  <c r="BS46" i="34"/>
  <c r="BS48" i="34" s="1"/>
  <c r="BC39" i="14"/>
  <c r="BC37" i="14"/>
  <c r="BF35" i="25"/>
  <c r="BE44" i="25"/>
  <c r="BD35" i="14" s="1"/>
  <c r="BB51" i="14"/>
  <c r="BB73" i="14" s="1"/>
  <c r="BS171" i="34"/>
  <c r="BU165" i="34"/>
  <c r="BS168" i="34"/>
  <c r="BS170" i="34" s="1"/>
  <c r="BT166" i="34"/>
  <c r="CJ164" i="34"/>
  <c r="CK163" i="34"/>
  <c r="CK164" i="34" s="1"/>
  <c r="BS156" i="34"/>
  <c r="BS158" i="34" s="1"/>
  <c r="BU153" i="34"/>
  <c r="BS159" i="34"/>
  <c r="BT154" i="34"/>
  <c r="BT58" i="34"/>
  <c r="BT60" i="34" s="1"/>
  <c r="BU56" i="34"/>
  <c r="BT61" i="34"/>
  <c r="BV55" i="34"/>
  <c r="BR9" i="34"/>
  <c r="BR70" i="14" s="1"/>
  <c r="BT106" i="34"/>
  <c r="BS108" i="34"/>
  <c r="BS110" i="34" s="1"/>
  <c r="BU105" i="34"/>
  <c r="BS111" i="34"/>
  <c r="BU117" i="34"/>
  <c r="BS120" i="34"/>
  <c r="BS122" i="34" s="1"/>
  <c r="BT118" i="34"/>
  <c r="BS123" i="34"/>
  <c r="CE115" i="34"/>
  <c r="CD116" i="34"/>
  <c r="BU141" i="34"/>
  <c r="BS147" i="34"/>
  <c r="BS144" i="34"/>
  <c r="BS146" i="34" s="1"/>
  <c r="BT142" i="34"/>
  <c r="BV92" i="34"/>
  <c r="BU93" i="34"/>
  <c r="BT98" i="34"/>
  <c r="BT95" i="34"/>
  <c r="BT97" i="34" s="1"/>
  <c r="BT70" i="34"/>
  <c r="BT72" i="34" s="1"/>
  <c r="BV67" i="34"/>
  <c r="BT73" i="34"/>
  <c r="BU68" i="34"/>
  <c r="CE65" i="34"/>
  <c r="CD66" i="34"/>
  <c r="BU80" i="34"/>
  <c r="BV79" i="34"/>
  <c r="BT85" i="34"/>
  <c r="BT82" i="34"/>
  <c r="BS84" i="34"/>
  <c r="D89" i="15"/>
  <c r="F74" i="15"/>
  <c r="F76" i="15" s="1"/>
  <c r="G76" i="15" s="1"/>
  <c r="H76" i="15" s="1"/>
  <c r="I76" i="15" s="1"/>
  <c r="J76" i="15" s="1"/>
  <c r="K76" i="15" s="1"/>
  <c r="AT25" i="14"/>
  <c r="AT28" i="30"/>
  <c r="AT29" i="30" s="1"/>
  <c r="AW33" i="34"/>
  <c r="AW6" i="34" s="1"/>
  <c r="AV36" i="34"/>
  <c r="AV7" i="34"/>
  <c r="AT127" i="14"/>
  <c r="AT131" i="14"/>
  <c r="AT130" i="14"/>
  <c r="AT135" i="14"/>
  <c r="AT129" i="14"/>
  <c r="AT121" i="14"/>
  <c r="AU16" i="14"/>
  <c r="AU24" i="14" s="1"/>
  <c r="AU74" i="30"/>
  <c r="AT120" i="14"/>
  <c r="AU13" i="14"/>
  <c r="AU17" i="30"/>
  <c r="P84" i="14"/>
  <c r="P108" i="14" s="1"/>
  <c r="Q82" i="14" s="1"/>
  <c r="P77" i="14"/>
  <c r="Q84" i="14"/>
  <c r="Q77" i="14"/>
  <c r="D67" i="29"/>
  <c r="T51" i="14"/>
  <c r="T73" i="14" s="1"/>
  <c r="T134" i="14" s="1"/>
  <c r="R124" i="14"/>
  <c r="AB124" i="14"/>
  <c r="AB122" i="14"/>
  <c r="G44" i="15"/>
  <c r="F22" i="15"/>
  <c r="R127" i="14"/>
  <c r="F27" i="15"/>
  <c r="AD76" i="30"/>
  <c r="AD78" i="30" s="1"/>
  <c r="AD89" i="30" s="1"/>
  <c r="AC76" i="30"/>
  <c r="AC78" i="30" s="1"/>
  <c r="AC89" i="30" s="1"/>
  <c r="Q76" i="14"/>
  <c r="S85" i="14"/>
  <c r="S90" i="30" s="1"/>
  <c r="S87" i="14"/>
  <c r="S92" i="30" s="1"/>
  <c r="AB87" i="14"/>
  <c r="AB92" i="30" s="1"/>
  <c r="AB85" i="14"/>
  <c r="AB90" i="30" s="1"/>
  <c r="V87" i="14"/>
  <c r="V92" i="30" s="1"/>
  <c r="V85" i="14"/>
  <c r="V90" i="30" s="1"/>
  <c r="Z85" i="14"/>
  <c r="Z90" i="30" s="1"/>
  <c r="Z87" i="14"/>
  <c r="Z92" i="30" s="1"/>
  <c r="Y85" i="14"/>
  <c r="Y90" i="30" s="1"/>
  <c r="Y87" i="14"/>
  <c r="Y92" i="30" s="1"/>
  <c r="W87" i="14"/>
  <c r="W92" i="30" s="1"/>
  <c r="W85" i="14"/>
  <c r="W90" i="30" s="1"/>
  <c r="T85" i="14"/>
  <c r="T90" i="30" s="1"/>
  <c r="T87" i="14"/>
  <c r="T92" i="30" s="1"/>
  <c r="U85" i="14"/>
  <c r="U90" i="30" s="1"/>
  <c r="U87" i="14"/>
  <c r="U92" i="30" s="1"/>
  <c r="AA85" i="14"/>
  <c r="AA90" i="30" s="1"/>
  <c r="AA87" i="14"/>
  <c r="AA92" i="30" s="1"/>
  <c r="X87" i="14"/>
  <c r="X92" i="30" s="1"/>
  <c r="X85" i="14"/>
  <c r="X90" i="30" s="1"/>
  <c r="S51" i="14"/>
  <c r="S73" i="14" s="1"/>
  <c r="S134" i="14" s="1"/>
  <c r="U51" i="14"/>
  <c r="U134" i="14" s="1"/>
  <c r="AE73" i="14"/>
  <c r="AE134" i="14" s="1"/>
  <c r="AC73" i="14"/>
  <c r="AC75" i="14" s="1"/>
  <c r="T122" i="14"/>
  <c r="R51" i="14"/>
  <c r="S122" i="14"/>
  <c r="AB73" i="14"/>
  <c r="Y51" i="14"/>
  <c r="Y75" i="14" s="1"/>
  <c r="AD73" i="14"/>
  <c r="AA51" i="14"/>
  <c r="AA73" i="14" s="1"/>
  <c r="AA134" i="14" s="1"/>
  <c r="AE122" i="14"/>
  <c r="X37" i="14"/>
  <c r="X122" i="14" s="1"/>
  <c r="X124" i="14"/>
  <c r="V51" i="14"/>
  <c r="U122" i="14"/>
  <c r="AC122" i="14"/>
  <c r="W124" i="14"/>
  <c r="W121" i="14"/>
  <c r="Z51" i="14"/>
  <c r="Z122" i="14"/>
  <c r="AF51" i="14"/>
  <c r="AF73" i="14" s="1"/>
  <c r="AF134" i="14" s="1"/>
  <c r="W37" i="14"/>
  <c r="AJ13" i="25"/>
  <c r="AI29" i="25"/>
  <c r="AH34" i="14" s="1"/>
  <c r="AG37" i="14"/>
  <c r="AG122" i="14" s="1"/>
  <c r="AG39" i="14"/>
  <c r="AG119" i="14"/>
  <c r="AF59" i="30"/>
  <c r="AF76" i="30" s="1"/>
  <c r="AE78" i="30"/>
  <c r="AE89" i="30" s="1"/>
  <c r="R78" i="30"/>
  <c r="R89" i="30" s="1"/>
  <c r="BT132" i="34" l="1"/>
  <c r="BT134" i="34" s="1"/>
  <c r="BV129" i="34"/>
  <c r="BT135" i="34"/>
  <c r="BU130" i="34"/>
  <c r="CC42" i="34"/>
  <c r="CC5" i="34" s="1"/>
  <c r="CC10" i="14" s="1"/>
  <c r="CD41" i="34"/>
  <c r="BT46" i="34"/>
  <c r="BT48" i="34" s="1"/>
  <c r="BU44" i="34"/>
  <c r="BT49" i="34"/>
  <c r="BV43" i="34"/>
  <c r="BC51" i="14"/>
  <c r="BC73" i="14" s="1"/>
  <c r="BG35" i="25"/>
  <c r="BF44" i="25"/>
  <c r="BE35" i="14" s="1"/>
  <c r="BD39" i="14"/>
  <c r="BD37" i="14"/>
  <c r="BV165" i="34"/>
  <c r="BU166" i="34"/>
  <c r="BT171" i="34"/>
  <c r="BT168" i="34"/>
  <c r="BT170" i="34" s="1"/>
  <c r="BT156" i="34"/>
  <c r="BT158" i="34" s="1"/>
  <c r="BV153" i="34"/>
  <c r="BT159" i="34"/>
  <c r="BU154" i="34"/>
  <c r="BV56" i="34"/>
  <c r="BU61" i="34"/>
  <c r="BW55" i="34"/>
  <c r="BU58" i="34"/>
  <c r="BU60" i="34" s="1"/>
  <c r="BS9" i="34"/>
  <c r="BS70" i="14" s="1"/>
  <c r="BU106" i="34"/>
  <c r="BT108" i="34"/>
  <c r="BT110" i="34" s="1"/>
  <c r="BV105" i="34"/>
  <c r="BT111" i="34"/>
  <c r="CE116" i="34"/>
  <c r="CF115" i="34"/>
  <c r="BT123" i="34"/>
  <c r="BV117" i="34"/>
  <c r="BT120" i="34"/>
  <c r="BT122" i="34" s="1"/>
  <c r="BU118" i="34"/>
  <c r="BV141" i="34"/>
  <c r="BU142" i="34"/>
  <c r="BT147" i="34"/>
  <c r="BT144" i="34"/>
  <c r="BT146" i="34" s="1"/>
  <c r="BU95" i="34"/>
  <c r="BU97" i="34" s="1"/>
  <c r="BV93" i="34"/>
  <c r="BW92" i="34"/>
  <c r="BU98" i="34"/>
  <c r="CE66" i="34"/>
  <c r="CF65" i="34"/>
  <c r="BW67" i="34"/>
  <c r="BU70" i="34"/>
  <c r="BU72" i="34" s="1"/>
  <c r="BU73" i="34"/>
  <c r="BV68" i="34"/>
  <c r="BU82" i="34"/>
  <c r="BV80" i="34"/>
  <c r="BW79" i="34"/>
  <c r="BU85" i="34"/>
  <c r="BT84" i="34"/>
  <c r="F83" i="15"/>
  <c r="F84" i="15"/>
  <c r="F82" i="15"/>
  <c r="E88" i="15"/>
  <c r="E89" i="15" s="1"/>
  <c r="F87" i="15" s="1"/>
  <c r="V75" i="14"/>
  <c r="V77" i="14" s="1"/>
  <c r="AV12" i="30"/>
  <c r="AV25" i="30" s="1"/>
  <c r="AV12" i="14"/>
  <c r="AV21" i="14" s="1"/>
  <c r="AU127" i="14"/>
  <c r="AU135" i="14"/>
  <c r="AU129" i="14"/>
  <c r="AU121" i="14"/>
  <c r="AU131" i="14"/>
  <c r="AU120" i="14"/>
  <c r="AU130" i="14"/>
  <c r="AW34" i="34"/>
  <c r="AV37" i="34"/>
  <c r="AV10" i="34" s="1"/>
  <c r="AV8" i="34"/>
  <c r="AW11" i="30"/>
  <c r="AW11" i="14"/>
  <c r="AU18" i="30"/>
  <c r="AU20" i="30"/>
  <c r="AU22" i="30"/>
  <c r="AU68" i="30"/>
  <c r="AU69" i="30"/>
  <c r="AU25" i="14"/>
  <c r="Q108" i="14"/>
  <c r="Y84" i="14"/>
  <c r="Y77" i="14"/>
  <c r="AC84" i="14"/>
  <c r="AC77" i="14"/>
  <c r="AD85" i="14"/>
  <c r="AD90" i="30" s="1"/>
  <c r="AD87" i="14"/>
  <c r="AD92" i="30" s="1"/>
  <c r="H44" i="15"/>
  <c r="F25" i="15"/>
  <c r="F23" i="15"/>
  <c r="R73" i="14"/>
  <c r="R75" i="14" s="1"/>
  <c r="R77" i="14" s="1"/>
  <c r="AC85" i="14"/>
  <c r="AC90" i="30" s="1"/>
  <c r="AC87" i="14"/>
  <c r="AC92" i="30" s="1"/>
  <c r="AE85" i="14"/>
  <c r="AE90" i="30" s="1"/>
  <c r="AE87" i="14"/>
  <c r="AE92" i="30" s="1"/>
  <c r="R79" i="30"/>
  <c r="S79" i="30" s="1"/>
  <c r="T79" i="30" s="1"/>
  <c r="U79" i="30" s="1"/>
  <c r="V79" i="30" s="1"/>
  <c r="W79" i="30" s="1"/>
  <c r="X79" i="30" s="1"/>
  <c r="Y79" i="30" s="1"/>
  <c r="Z79" i="30" s="1"/>
  <c r="AA79" i="30" s="1"/>
  <c r="AB79" i="30" s="1"/>
  <c r="AC79" i="30" s="1"/>
  <c r="AD79" i="30" s="1"/>
  <c r="AE79" i="30" s="1"/>
  <c r="R85" i="14"/>
  <c r="R87" i="14"/>
  <c r="R92" i="30" s="1"/>
  <c r="S75" i="14"/>
  <c r="U75" i="14"/>
  <c r="U77" i="14" s="1"/>
  <c r="AE75" i="14"/>
  <c r="AE77" i="14" s="1"/>
  <c r="AC134" i="14"/>
  <c r="T75" i="14"/>
  <c r="T77" i="14" s="1"/>
  <c r="AA75" i="14"/>
  <c r="Y134" i="14"/>
  <c r="X51" i="14"/>
  <c r="AB75" i="14"/>
  <c r="AB77" i="14" s="1"/>
  <c r="AB134" i="14"/>
  <c r="V134" i="14"/>
  <c r="Z134" i="14"/>
  <c r="Z75" i="14"/>
  <c r="AH39" i="14"/>
  <c r="AH119" i="14"/>
  <c r="AH37" i="14"/>
  <c r="AF75" i="14"/>
  <c r="AK13" i="25"/>
  <c r="AJ29" i="25"/>
  <c r="AI34" i="14" s="1"/>
  <c r="W51" i="14"/>
  <c r="W122" i="14"/>
  <c r="AG51" i="14"/>
  <c r="AG73" i="14" s="1"/>
  <c r="AG124" i="14"/>
  <c r="AD134" i="14"/>
  <c r="AD75" i="14"/>
  <c r="AD77" i="14" s="1"/>
  <c r="AG59" i="30"/>
  <c r="AG76" i="30" s="1"/>
  <c r="AF78" i="30"/>
  <c r="AF89" i="30" s="1"/>
  <c r="BV130" i="34" l="1"/>
  <c r="BU132" i="34"/>
  <c r="BU134" i="34" s="1"/>
  <c r="BU135" i="34"/>
  <c r="BW129" i="34"/>
  <c r="CE41" i="34"/>
  <c r="CD42" i="34"/>
  <c r="CD5" i="34" s="1"/>
  <c r="CD10" i="14" s="1"/>
  <c r="BT9" i="34"/>
  <c r="BT70" i="14" s="1"/>
  <c r="BW43" i="34"/>
  <c r="BU46" i="34"/>
  <c r="BU48" i="34" s="1"/>
  <c r="BV44" i="34"/>
  <c r="BU49" i="34"/>
  <c r="BD51" i="14"/>
  <c r="BD73" i="14" s="1"/>
  <c r="BE39" i="14"/>
  <c r="BE37" i="14"/>
  <c r="BE51" i="14" s="1"/>
  <c r="BE73" i="14" s="1"/>
  <c r="BH35" i="25"/>
  <c r="BG44" i="25"/>
  <c r="BF35" i="14" s="1"/>
  <c r="BW165" i="34"/>
  <c r="BU171" i="34"/>
  <c r="BU168" i="34"/>
  <c r="BU170" i="34" s="1"/>
  <c r="BV166" i="34"/>
  <c r="BW153" i="34"/>
  <c r="BV154" i="34"/>
  <c r="BU156" i="34"/>
  <c r="BU158" i="34" s="1"/>
  <c r="BU159" i="34"/>
  <c r="BX55" i="34"/>
  <c r="BW56" i="34"/>
  <c r="BV58" i="34"/>
  <c r="BV60" i="34" s="1"/>
  <c r="BV61" i="34"/>
  <c r="BV106" i="34"/>
  <c r="BU111" i="34"/>
  <c r="BU108" i="34"/>
  <c r="BU110" i="34" s="1"/>
  <c r="BW105" i="34"/>
  <c r="BV118" i="34"/>
  <c r="BU123" i="34"/>
  <c r="BU120" i="34"/>
  <c r="BU122" i="34" s="1"/>
  <c r="BW117" i="34"/>
  <c r="CG115" i="34"/>
  <c r="CF116" i="34"/>
  <c r="BU144" i="34"/>
  <c r="BU146" i="34" s="1"/>
  <c r="BV142" i="34"/>
  <c r="BW141" i="34"/>
  <c r="BU147" i="34"/>
  <c r="BV95" i="34"/>
  <c r="BV97" i="34" s="1"/>
  <c r="BV98" i="34"/>
  <c r="BX92" i="34"/>
  <c r="BW93" i="34"/>
  <c r="BV70" i="34"/>
  <c r="BV72" i="34" s="1"/>
  <c r="BV73" i="34"/>
  <c r="BX67" i="34"/>
  <c r="BW68" i="34"/>
  <c r="CF66" i="34"/>
  <c r="CG65" i="34"/>
  <c r="BX79" i="34"/>
  <c r="BV85" i="34"/>
  <c r="BV82" i="34"/>
  <c r="BW80" i="34"/>
  <c r="BU84" i="34"/>
  <c r="F86" i="15"/>
  <c r="V84" i="14"/>
  <c r="F88" i="15"/>
  <c r="X134" i="14"/>
  <c r="AU28" i="30"/>
  <c r="AU29" i="30" s="1"/>
  <c r="AV17" i="30"/>
  <c r="AV13" i="14"/>
  <c r="AW36" i="34"/>
  <c r="AX33" i="34"/>
  <c r="AX6" i="34" s="1"/>
  <c r="AW7" i="34"/>
  <c r="AV74" i="30"/>
  <c r="AV16" i="14"/>
  <c r="AV24" i="14" s="1"/>
  <c r="R111" i="14"/>
  <c r="S111" i="14" s="1"/>
  <c r="T111" i="14" s="1"/>
  <c r="AA84" i="14"/>
  <c r="AA77" i="14"/>
  <c r="Z84" i="14"/>
  <c r="Z77" i="14"/>
  <c r="U84" i="14"/>
  <c r="S84" i="14"/>
  <c r="S77" i="14"/>
  <c r="AF84" i="14"/>
  <c r="AF77" i="14"/>
  <c r="AD84" i="14"/>
  <c r="AB84" i="14"/>
  <c r="T84" i="14"/>
  <c r="AE84" i="14"/>
  <c r="F60" i="15"/>
  <c r="F62" i="15" s="1"/>
  <c r="R134" i="14"/>
  <c r="R84" i="14"/>
  <c r="R108" i="14" s="1"/>
  <c r="S82" i="14" s="1"/>
  <c r="R76" i="14"/>
  <c r="S76" i="14" s="1"/>
  <c r="T76" i="14" s="1"/>
  <c r="U76" i="14" s="1"/>
  <c r="V76" i="14" s="1"/>
  <c r="AH124" i="14"/>
  <c r="R90" i="30"/>
  <c r="R96" i="30" s="1"/>
  <c r="S87" i="30" s="1"/>
  <c r="S96" i="30" s="1"/>
  <c r="T87" i="30" s="1"/>
  <c r="AF87" i="14"/>
  <c r="AF92" i="30" s="1"/>
  <c r="AF85" i="14"/>
  <c r="AF90" i="30" s="1"/>
  <c r="X75" i="14"/>
  <c r="AI39" i="14"/>
  <c r="AI37" i="14"/>
  <c r="AI119" i="14"/>
  <c r="AL13" i="25"/>
  <c r="AK29" i="25"/>
  <c r="AJ34" i="14" s="1"/>
  <c r="AH51" i="14"/>
  <c r="AH122" i="14"/>
  <c r="AG134" i="14"/>
  <c r="AG75" i="14"/>
  <c r="AF79" i="30"/>
  <c r="AH59" i="30"/>
  <c r="AH76" i="30" s="1"/>
  <c r="AG78" i="30"/>
  <c r="AG89" i="30" s="1"/>
  <c r="BW130" i="34" l="1"/>
  <c r="BX129" i="34"/>
  <c r="BV132" i="34"/>
  <c r="BV134" i="34" s="1"/>
  <c r="BV135" i="34"/>
  <c r="CE42" i="34"/>
  <c r="CE5" i="34" s="1"/>
  <c r="CE10" i="14" s="1"/>
  <c r="CF41" i="34"/>
  <c r="BW44" i="34"/>
  <c r="BV49" i="34"/>
  <c r="BV46" i="34"/>
  <c r="BV48" i="34" s="1"/>
  <c r="BX43" i="34"/>
  <c r="BF39" i="14"/>
  <c r="BF37" i="14"/>
  <c r="BI35" i="25"/>
  <c r="BH44" i="25"/>
  <c r="BG35" i="14" s="1"/>
  <c r="BW166" i="34"/>
  <c r="BV171" i="34"/>
  <c r="BV168" i="34"/>
  <c r="BV170" i="34" s="1"/>
  <c r="BX165" i="34"/>
  <c r="BX153" i="34"/>
  <c r="BV156" i="34"/>
  <c r="BV158" i="34" s="1"/>
  <c r="BW154" i="34"/>
  <c r="BV159" i="34"/>
  <c r="BY55" i="34"/>
  <c r="BW58" i="34"/>
  <c r="BW60" i="34" s="1"/>
  <c r="BW61" i="34"/>
  <c r="BX56" i="34"/>
  <c r="BX105" i="34"/>
  <c r="BV111" i="34"/>
  <c r="BV108" i="34"/>
  <c r="BV110" i="34" s="1"/>
  <c r="BW106" i="34"/>
  <c r="BU9" i="34"/>
  <c r="BU70" i="14" s="1"/>
  <c r="CH115" i="34"/>
  <c r="CG116" i="34"/>
  <c r="BV123" i="34"/>
  <c r="BV120" i="34"/>
  <c r="BV122" i="34" s="1"/>
  <c r="BX117" i="34"/>
  <c r="BW118" i="34"/>
  <c r="BV147" i="34"/>
  <c r="BV144" i="34"/>
  <c r="BV146" i="34" s="1"/>
  <c r="BX141" i="34"/>
  <c r="BW142" i="34"/>
  <c r="BY92" i="34"/>
  <c r="BW98" i="34"/>
  <c r="BW95" i="34"/>
  <c r="BW97" i="34" s="1"/>
  <c r="BX93" i="34"/>
  <c r="CH65" i="34"/>
  <c r="CG66" i="34"/>
  <c r="BW70" i="34"/>
  <c r="BW72" i="34" s="1"/>
  <c r="BY67" i="34"/>
  <c r="BX68" i="34"/>
  <c r="BW73" i="34"/>
  <c r="BW85" i="34"/>
  <c r="BW82" i="34"/>
  <c r="BY79" i="34"/>
  <c r="BX80" i="34"/>
  <c r="BV84" i="34"/>
  <c r="AV127" i="14"/>
  <c r="AV131" i="14"/>
  <c r="AV130" i="14"/>
  <c r="AV135" i="14"/>
  <c r="AV129" i="14"/>
  <c r="AV121" i="14"/>
  <c r="AV120" i="14"/>
  <c r="AV25" i="14"/>
  <c r="AX34" i="34"/>
  <c r="AW12" i="30"/>
  <c r="AW25" i="30" s="1"/>
  <c r="AW12" i="14"/>
  <c r="AW21" i="14" s="1"/>
  <c r="AX11" i="14"/>
  <c r="AX11" i="30"/>
  <c r="AW37" i="34"/>
  <c r="AW10" i="34" s="1"/>
  <c r="AW8" i="34"/>
  <c r="AV18" i="30"/>
  <c r="AV20" i="30"/>
  <c r="AV68" i="30"/>
  <c r="AV22" i="30"/>
  <c r="AV69" i="30"/>
  <c r="U111" i="14"/>
  <c r="V111" i="14" s="1"/>
  <c r="S108" i="14"/>
  <c r="T82" i="14" s="1"/>
  <c r="T108" i="14" s="1"/>
  <c r="U82" i="14" s="1"/>
  <c r="U108" i="14" s="1"/>
  <c r="AG84" i="14"/>
  <c r="AG77" i="14"/>
  <c r="X84" i="14"/>
  <c r="X77" i="14"/>
  <c r="G63" i="15"/>
  <c r="H63" i="15" s="1"/>
  <c r="I63" i="15" s="1"/>
  <c r="S101" i="30"/>
  <c r="R101" i="30"/>
  <c r="T96" i="30"/>
  <c r="U87" i="30" s="1"/>
  <c r="U96" i="30" s="1"/>
  <c r="V87" i="30" s="1"/>
  <c r="V96" i="30" s="1"/>
  <c r="W87" i="30" s="1"/>
  <c r="W96" i="30" s="1"/>
  <c r="X87" i="30" s="1"/>
  <c r="X96" i="30" s="1"/>
  <c r="Y87" i="30" s="1"/>
  <c r="Y96" i="30" s="1"/>
  <c r="Z87" i="30" s="1"/>
  <c r="Z96" i="30" s="1"/>
  <c r="AA87" i="30" s="1"/>
  <c r="AA96" i="30" s="1"/>
  <c r="AB87" i="30" s="1"/>
  <c r="AB96" i="30" s="1"/>
  <c r="AC87" i="30" s="1"/>
  <c r="AC96" i="30" s="1"/>
  <c r="AD87" i="30" s="1"/>
  <c r="AD96" i="30" s="1"/>
  <c r="AE87" i="30" s="1"/>
  <c r="AE96" i="30" s="1"/>
  <c r="AF87" i="30" s="1"/>
  <c r="AF96" i="30" s="1"/>
  <c r="AG87" i="30" s="1"/>
  <c r="D76" i="29"/>
  <c r="H52" i="15"/>
  <c r="AG85" i="14"/>
  <c r="AG90" i="30" s="1"/>
  <c r="AG87" i="14"/>
  <c r="AG92" i="30" s="1"/>
  <c r="AI124" i="14"/>
  <c r="AH73" i="14"/>
  <c r="AJ39" i="14"/>
  <c r="AJ124" i="14" s="1"/>
  <c r="AJ37" i="14"/>
  <c r="AJ119" i="14"/>
  <c r="AM13" i="25"/>
  <c r="AL29" i="25"/>
  <c r="AK34" i="14" s="1"/>
  <c r="W134" i="14"/>
  <c r="W75" i="14"/>
  <c r="AI51" i="14"/>
  <c r="AI73" i="14" s="1"/>
  <c r="AI122" i="14"/>
  <c r="AG79" i="30"/>
  <c r="AI59" i="30"/>
  <c r="AI76" i="30" s="1"/>
  <c r="AH78" i="30"/>
  <c r="AH89" i="30" s="1"/>
  <c r="BY129" i="34" l="1"/>
  <c r="BW135" i="34"/>
  <c r="BW132" i="34"/>
  <c r="BW134" i="34" s="1"/>
  <c r="BX130" i="34"/>
  <c r="CF42" i="34"/>
  <c r="CF5" i="34" s="1"/>
  <c r="CF10" i="14" s="1"/>
  <c r="CG41" i="34"/>
  <c r="BW49" i="34"/>
  <c r="BW46" i="34"/>
  <c r="BW48" i="34" s="1"/>
  <c r="BX44" i="34"/>
  <c r="BY43" i="34"/>
  <c r="BF51" i="14"/>
  <c r="BF73" i="14" s="1"/>
  <c r="BJ35" i="25"/>
  <c r="BI44" i="25"/>
  <c r="BH35" i="14" s="1"/>
  <c r="BG37" i="14"/>
  <c r="BG39" i="14"/>
  <c r="BW168" i="34"/>
  <c r="BW170" i="34" s="1"/>
  <c r="BW171" i="34"/>
  <c r="BX166" i="34"/>
  <c r="BY165" i="34"/>
  <c r="BW156" i="34"/>
  <c r="BW158" i="34" s="1"/>
  <c r="BX154" i="34"/>
  <c r="BY153" i="34"/>
  <c r="BW159" i="34"/>
  <c r="BV9" i="34"/>
  <c r="BV70" i="14" s="1"/>
  <c r="BZ55" i="34"/>
  <c r="BX61" i="34"/>
  <c r="BX58" i="34"/>
  <c r="BX60" i="34" s="1"/>
  <c r="BY56" i="34"/>
  <c r="BX106" i="34"/>
  <c r="BY105" i="34"/>
  <c r="BW111" i="34"/>
  <c r="BW108" i="34"/>
  <c r="BW110" i="34" s="1"/>
  <c r="BW123" i="34"/>
  <c r="BX118" i="34"/>
  <c r="BW120" i="34"/>
  <c r="BW122" i="34" s="1"/>
  <c r="BY117" i="34"/>
  <c r="CH116" i="34"/>
  <c r="CI115" i="34"/>
  <c r="BW144" i="34"/>
  <c r="BW146" i="34" s="1"/>
  <c r="BW147" i="34"/>
  <c r="BY141" i="34"/>
  <c r="BX142" i="34"/>
  <c r="BZ92" i="34"/>
  <c r="BY93" i="34"/>
  <c r="BX98" i="34"/>
  <c r="BX95" i="34"/>
  <c r="BX97" i="34" s="1"/>
  <c r="BZ67" i="34"/>
  <c r="BX73" i="34"/>
  <c r="BX70" i="34"/>
  <c r="BX72" i="34" s="1"/>
  <c r="BY68" i="34"/>
  <c r="CH66" i="34"/>
  <c r="CI65" i="34"/>
  <c r="BZ79" i="34"/>
  <c r="BX85" i="34"/>
  <c r="BX82" i="34"/>
  <c r="BY80" i="34"/>
  <c r="BW84" i="34"/>
  <c r="J63" i="15"/>
  <c r="AV28" i="30"/>
  <c r="AV29" i="30" s="1"/>
  <c r="AW17" i="30"/>
  <c r="AW13" i="14"/>
  <c r="AW16" i="14"/>
  <c r="AW24" i="14" s="1"/>
  <c r="AW74" i="30"/>
  <c r="AX7" i="34"/>
  <c r="AX36" i="34"/>
  <c r="AY33" i="34"/>
  <c r="AY6" i="34" s="1"/>
  <c r="F64" i="15"/>
  <c r="W84" i="14"/>
  <c r="W77" i="14"/>
  <c r="V82" i="14"/>
  <c r="V108" i="14" s="1"/>
  <c r="AG96" i="30"/>
  <c r="AH87" i="30" s="1"/>
  <c r="AH85" i="14"/>
  <c r="AH90" i="30" s="1"/>
  <c r="AH87" i="14"/>
  <c r="AH92" i="30" s="1"/>
  <c r="W76" i="14"/>
  <c r="X76" i="14" s="1"/>
  <c r="Y76" i="14" s="1"/>
  <c r="Z76" i="14" s="1"/>
  <c r="AA76" i="14" s="1"/>
  <c r="AB76" i="14" s="1"/>
  <c r="AC76" i="14" s="1"/>
  <c r="AD76" i="14" s="1"/>
  <c r="AE76" i="14" s="1"/>
  <c r="AF76" i="14" s="1"/>
  <c r="AG76" i="14" s="1"/>
  <c r="AN13" i="25"/>
  <c r="AM29" i="25"/>
  <c r="AL34" i="14" s="1"/>
  <c r="AJ51" i="14"/>
  <c r="AJ73" i="14" s="1"/>
  <c r="AJ122" i="14"/>
  <c r="AH134" i="14"/>
  <c r="AH75" i="14"/>
  <c r="AI134" i="14"/>
  <c r="AI75" i="14"/>
  <c r="AK39" i="14"/>
  <c r="AK124" i="14" s="1"/>
  <c r="AK37" i="14"/>
  <c r="AK119" i="14"/>
  <c r="AH79" i="30"/>
  <c r="AJ59" i="30"/>
  <c r="AJ76" i="30" s="1"/>
  <c r="AI78" i="30"/>
  <c r="AI89" i="30" s="1"/>
  <c r="BZ129" i="34" l="1"/>
  <c r="BX135" i="34"/>
  <c r="BX132" i="34"/>
  <c r="BX134" i="34" s="1"/>
  <c r="BY130" i="34"/>
  <c r="CG42" i="34"/>
  <c r="CG5" i="34" s="1"/>
  <c r="CG10" i="14" s="1"/>
  <c r="CH41" i="34"/>
  <c r="BZ43" i="34"/>
  <c r="BX49" i="34"/>
  <c r="BY44" i="34"/>
  <c r="BX46" i="34"/>
  <c r="BX48" i="34" s="1"/>
  <c r="BG51" i="14"/>
  <c r="BG73" i="14" s="1"/>
  <c r="BH39" i="14"/>
  <c r="BH37" i="14"/>
  <c r="BH51" i="14" s="1"/>
  <c r="BH73" i="14" s="1"/>
  <c r="BK35" i="25"/>
  <c r="BJ44" i="25"/>
  <c r="BI35" i="14" s="1"/>
  <c r="BZ165" i="34"/>
  <c r="BX168" i="34"/>
  <c r="BX170" i="34" s="1"/>
  <c r="BY166" i="34"/>
  <c r="BX171" i="34"/>
  <c r="BZ153" i="34"/>
  <c r="BX159" i="34"/>
  <c r="BX156" i="34"/>
  <c r="BX158" i="34" s="1"/>
  <c r="BY154" i="34"/>
  <c r="CA55" i="34"/>
  <c r="BY58" i="34"/>
  <c r="BY60" i="34" s="1"/>
  <c r="BY61" i="34"/>
  <c r="BZ56" i="34"/>
  <c r="BW9" i="34"/>
  <c r="BW70" i="14" s="1"/>
  <c r="BZ105" i="34"/>
  <c r="BX111" i="34"/>
  <c r="BX108" i="34"/>
  <c r="BX110" i="34" s="1"/>
  <c r="BY106" i="34"/>
  <c r="CI116" i="34"/>
  <c r="CJ115" i="34"/>
  <c r="BZ117" i="34"/>
  <c r="BX123" i="34"/>
  <c r="BX120" i="34"/>
  <c r="BX122" i="34" s="1"/>
  <c r="BY118" i="34"/>
  <c r="BZ141" i="34"/>
  <c r="BY142" i="34"/>
  <c r="BX144" i="34"/>
  <c r="BX146" i="34" s="1"/>
  <c r="BX147" i="34"/>
  <c r="CA92" i="34"/>
  <c r="BY98" i="34"/>
  <c r="BY95" i="34"/>
  <c r="BY97" i="34" s="1"/>
  <c r="BZ93" i="34"/>
  <c r="CJ65" i="34"/>
  <c r="CI66" i="34"/>
  <c r="BZ68" i="34"/>
  <c r="CA67" i="34"/>
  <c r="BY73" i="34"/>
  <c r="BY70" i="34"/>
  <c r="BY72" i="34" s="1"/>
  <c r="CA79" i="34"/>
  <c r="BZ80" i="34"/>
  <c r="BY82" i="34"/>
  <c r="BY85" i="34"/>
  <c r="BX84" i="34"/>
  <c r="K63" i="15"/>
  <c r="AX12" i="30"/>
  <c r="AX25" i="30" s="1"/>
  <c r="AX12" i="14"/>
  <c r="AX21" i="14" s="1"/>
  <c r="AX37" i="34"/>
  <c r="AX10" i="34" s="1"/>
  <c r="AX8" i="34"/>
  <c r="AW68" i="30"/>
  <c r="AW20" i="30"/>
  <c r="AW69" i="30"/>
  <c r="AW22" i="30"/>
  <c r="AW18" i="30"/>
  <c r="AW130" i="14"/>
  <c r="AW121" i="14"/>
  <c r="AW127" i="14"/>
  <c r="AW129" i="14"/>
  <c r="AW135" i="14"/>
  <c r="AW120" i="14"/>
  <c r="AW131" i="14"/>
  <c r="AY34" i="34"/>
  <c r="AW25" i="14"/>
  <c r="AY11" i="30"/>
  <c r="AY11" i="14"/>
  <c r="W111" i="14"/>
  <c r="AI84" i="14"/>
  <c r="AI77" i="14"/>
  <c r="AH84" i="14"/>
  <c r="AH77" i="14"/>
  <c r="W82" i="14"/>
  <c r="W108" i="14" s="1"/>
  <c r="T101" i="30"/>
  <c r="U101" i="30"/>
  <c r="AH96" i="30"/>
  <c r="AI87" i="30" s="1"/>
  <c r="AI85" i="14"/>
  <c r="AI90" i="30" s="1"/>
  <c r="AI87" i="14"/>
  <c r="AI92" i="30" s="1"/>
  <c r="AH76" i="14"/>
  <c r="AI76" i="14" s="1"/>
  <c r="AJ134" i="14"/>
  <c r="AJ75" i="14"/>
  <c r="AL37" i="14"/>
  <c r="AL122" i="14" s="1"/>
  <c r="AL39" i="14"/>
  <c r="AL119" i="14"/>
  <c r="AK51" i="14"/>
  <c r="AK122" i="14"/>
  <c r="AO13" i="25"/>
  <c r="AN29" i="25"/>
  <c r="AM34" i="14" s="1"/>
  <c r="G20" i="15" s="1"/>
  <c r="AI79" i="30"/>
  <c r="AK59" i="30"/>
  <c r="AK76" i="30" s="1"/>
  <c r="AJ78" i="30"/>
  <c r="AJ89" i="30" s="1"/>
  <c r="CA129" i="34" l="1"/>
  <c r="BZ130" i="34"/>
  <c r="BY135" i="34"/>
  <c r="BY132" i="34"/>
  <c r="BY134" i="34" s="1"/>
  <c r="CI41" i="34"/>
  <c r="CH42" i="34"/>
  <c r="CH5" i="34" s="1"/>
  <c r="CH10" i="14" s="1"/>
  <c r="CA43" i="34"/>
  <c r="BZ44" i="34"/>
  <c r="BY49" i="34"/>
  <c r="BY46" i="34"/>
  <c r="BY48" i="34" s="1"/>
  <c r="BI37" i="14"/>
  <c r="BI39" i="14"/>
  <c r="BL35" i="25"/>
  <c r="BK44" i="25"/>
  <c r="BJ35" i="14" s="1"/>
  <c r="CA165" i="34"/>
  <c r="BY168" i="34"/>
  <c r="BY170" i="34" s="1"/>
  <c r="BY171" i="34"/>
  <c r="BZ166" i="34"/>
  <c r="CA153" i="34"/>
  <c r="BZ154" i="34"/>
  <c r="BY159" i="34"/>
  <c r="BY156" i="34"/>
  <c r="BY158" i="34" s="1"/>
  <c r="BX9" i="34"/>
  <c r="BX70" i="14" s="1"/>
  <c r="CB55" i="34"/>
  <c r="BZ58" i="34"/>
  <c r="BZ60" i="34" s="1"/>
  <c r="BZ61" i="34"/>
  <c r="CA56" i="34"/>
  <c r="BZ106" i="34"/>
  <c r="CA105" i="34"/>
  <c r="BY111" i="34"/>
  <c r="BY108" i="34"/>
  <c r="BY110" i="34" s="1"/>
  <c r="CA117" i="34"/>
  <c r="BY123" i="34"/>
  <c r="BY120" i="34"/>
  <c r="BY122" i="34" s="1"/>
  <c r="BZ118" i="34"/>
  <c r="CJ116" i="34"/>
  <c r="CK115" i="34"/>
  <c r="CK116" i="34" s="1"/>
  <c r="CA141" i="34"/>
  <c r="BY144" i="34"/>
  <c r="BY146" i="34" s="1"/>
  <c r="BY147" i="34"/>
  <c r="BZ142" i="34"/>
  <c r="BZ98" i="34"/>
  <c r="CB92" i="34"/>
  <c r="CA93" i="34"/>
  <c r="BZ95" i="34"/>
  <c r="BZ97" i="34" s="1"/>
  <c r="CA68" i="34"/>
  <c r="BZ73" i="34"/>
  <c r="BZ70" i="34"/>
  <c r="BZ72" i="34" s="1"/>
  <c r="CB67" i="34"/>
  <c r="CJ66" i="34"/>
  <c r="CK65" i="34"/>
  <c r="CK66" i="34" s="1"/>
  <c r="BY84" i="34"/>
  <c r="CA80" i="34"/>
  <c r="BZ85" i="34"/>
  <c r="BZ82" i="34"/>
  <c r="CB79" i="34"/>
  <c r="AW28" i="30"/>
  <c r="AW29" i="30" s="1"/>
  <c r="AX17" i="30"/>
  <c r="AX13" i="14"/>
  <c r="AX16" i="14"/>
  <c r="AX24" i="14" s="1"/>
  <c r="AX25" i="14" s="1"/>
  <c r="AX74" i="30"/>
  <c r="AY36" i="34"/>
  <c r="AZ33" i="34"/>
  <c r="AZ6" i="34" s="1"/>
  <c r="AY7" i="34"/>
  <c r="X111" i="14"/>
  <c r="AJ84" i="14"/>
  <c r="AJ77" i="14"/>
  <c r="X82" i="14"/>
  <c r="V101" i="30"/>
  <c r="AI96" i="30"/>
  <c r="AJ87" i="30" s="1"/>
  <c r="AJ85" i="14"/>
  <c r="AJ90" i="30" s="1"/>
  <c r="AJ87" i="14"/>
  <c r="AJ76" i="14"/>
  <c r="AO29" i="25"/>
  <c r="AN34" i="14" s="1"/>
  <c r="AP13" i="25"/>
  <c r="AL51" i="14"/>
  <c r="AL73" i="14" s="1"/>
  <c r="AL124" i="14"/>
  <c r="AK73" i="14"/>
  <c r="AM37" i="14"/>
  <c r="AM39" i="14"/>
  <c r="G25" i="15" s="1"/>
  <c r="AM119" i="14"/>
  <c r="AJ79" i="30"/>
  <c r="AL59" i="30"/>
  <c r="AL76" i="30" s="1"/>
  <c r="AK78" i="30"/>
  <c r="AK89" i="30" s="1"/>
  <c r="CB129" i="34" l="1"/>
  <c r="BZ135" i="34"/>
  <c r="BZ132" i="34"/>
  <c r="BZ134" i="34" s="1"/>
  <c r="CA130" i="34"/>
  <c r="CJ41" i="34"/>
  <c r="CI42" i="34"/>
  <c r="CI5" i="34" s="1"/>
  <c r="CI10" i="14" s="1"/>
  <c r="CB43" i="34"/>
  <c r="BZ46" i="34"/>
  <c r="BZ48" i="34" s="1"/>
  <c r="BZ49" i="34"/>
  <c r="CA44" i="34"/>
  <c r="BI51" i="14"/>
  <c r="BI73" i="14" s="1"/>
  <c r="BM35" i="25"/>
  <c r="BL44" i="25"/>
  <c r="BK35" i="14" s="1"/>
  <c r="BJ37" i="14"/>
  <c r="BJ39" i="14"/>
  <c r="BZ168" i="34"/>
  <c r="BZ170" i="34" s="1"/>
  <c r="CB165" i="34"/>
  <c r="BZ171" i="34"/>
  <c r="CA166" i="34"/>
  <c r="CB153" i="34"/>
  <c r="BZ159" i="34"/>
  <c r="BZ156" i="34"/>
  <c r="BZ158" i="34" s="1"/>
  <c r="CA154" i="34"/>
  <c r="CA61" i="34"/>
  <c r="CA58" i="34"/>
  <c r="CA60" i="34" s="1"/>
  <c r="CB56" i="34"/>
  <c r="CC55" i="34"/>
  <c r="BY9" i="34"/>
  <c r="BY70" i="14" s="1"/>
  <c r="CB105" i="34"/>
  <c r="BZ111" i="34"/>
  <c r="BZ108" i="34"/>
  <c r="BZ110" i="34" s="1"/>
  <c r="CA106" i="34"/>
  <c r="BZ120" i="34"/>
  <c r="BZ122" i="34" s="1"/>
  <c r="BZ123" i="34"/>
  <c r="CB117" i="34"/>
  <c r="CA118" i="34"/>
  <c r="CB141" i="34"/>
  <c r="BZ144" i="34"/>
  <c r="BZ146" i="34" s="1"/>
  <c r="BZ147" i="34"/>
  <c r="CA142" i="34"/>
  <c r="CB93" i="34"/>
  <c r="CA98" i="34"/>
  <c r="CA95" i="34"/>
  <c r="CA97" i="34" s="1"/>
  <c r="CC92" i="34"/>
  <c r="CA73" i="34"/>
  <c r="CA70" i="34"/>
  <c r="CA72" i="34" s="1"/>
  <c r="CC67" i="34"/>
  <c r="CB68" i="34"/>
  <c r="BZ84" i="34"/>
  <c r="CA85" i="34"/>
  <c r="CC79" i="34"/>
  <c r="CB80" i="34"/>
  <c r="CA82" i="34"/>
  <c r="AZ34" i="34"/>
  <c r="AY12" i="14"/>
  <c r="AY21" i="14" s="1"/>
  <c r="AY12" i="30"/>
  <c r="AY25" i="30" s="1"/>
  <c r="F19" i="29" s="1"/>
  <c r="AZ11" i="30"/>
  <c r="AZ11" i="14"/>
  <c r="AY8" i="34"/>
  <c r="AY37" i="34"/>
  <c r="AY10" i="34" s="1"/>
  <c r="AX121" i="14"/>
  <c r="AX130" i="14"/>
  <c r="AX129" i="14"/>
  <c r="AX135" i="14"/>
  <c r="AX127" i="14"/>
  <c r="AX131" i="14"/>
  <c r="AX120" i="14"/>
  <c r="AX69" i="30"/>
  <c r="AX18" i="30"/>
  <c r="AX22" i="30"/>
  <c r="AX68" i="30"/>
  <c r="AX20" i="30"/>
  <c r="Y111" i="14"/>
  <c r="X108" i="14"/>
  <c r="W101" i="30"/>
  <c r="AM122" i="14"/>
  <c r="G23" i="15"/>
  <c r="G60" i="15" s="1"/>
  <c r="AJ92" i="30"/>
  <c r="AJ96" i="30" s="1"/>
  <c r="AK87" i="30" s="1"/>
  <c r="AK87" i="14"/>
  <c r="AK92" i="30" s="1"/>
  <c r="AK85" i="14"/>
  <c r="AK90" i="30" s="1"/>
  <c r="AN37" i="14"/>
  <c r="AN119" i="14"/>
  <c r="AN39" i="14"/>
  <c r="AK75" i="14"/>
  <c r="AK77" i="14" s="1"/>
  <c r="AK134" i="14"/>
  <c r="AL134" i="14"/>
  <c r="AL75" i="14"/>
  <c r="AM51" i="14"/>
  <c r="AM124" i="14"/>
  <c r="AP29" i="25"/>
  <c r="AO34" i="14" s="1"/>
  <c r="AQ13" i="25"/>
  <c r="AK79" i="30"/>
  <c r="AM59" i="30"/>
  <c r="AL78" i="30"/>
  <c r="AL89" i="30" s="1"/>
  <c r="CC129" i="34" l="1"/>
  <c r="CA135" i="34"/>
  <c r="CA132" i="34"/>
  <c r="CA134" i="34" s="1"/>
  <c r="CB130" i="34"/>
  <c r="CK41" i="34"/>
  <c r="CK42" i="34" s="1"/>
  <c r="CK5" i="34" s="1"/>
  <c r="CK10" i="14" s="1"/>
  <c r="CJ42" i="34"/>
  <c r="CJ5" i="34" s="1"/>
  <c r="CJ10" i="14" s="1"/>
  <c r="CA49" i="34"/>
  <c r="CA46" i="34"/>
  <c r="CA48" i="34" s="1"/>
  <c r="CC43" i="34"/>
  <c r="CB44" i="34"/>
  <c r="BJ51" i="14"/>
  <c r="BJ73" i="14" s="1"/>
  <c r="BK39" i="14"/>
  <c r="BK37" i="14"/>
  <c r="BN35" i="25"/>
  <c r="BM44" i="25"/>
  <c r="BL35" i="14" s="1"/>
  <c r="CA168" i="34"/>
  <c r="CA170" i="34" s="1"/>
  <c r="CA171" i="34"/>
  <c r="CC165" i="34"/>
  <c r="CB166" i="34"/>
  <c r="CC153" i="34"/>
  <c r="CA159" i="34"/>
  <c r="CA156" i="34"/>
  <c r="CA158" i="34" s="1"/>
  <c r="CB154" i="34"/>
  <c r="J56" i="15"/>
  <c r="CB58" i="34"/>
  <c r="CB60" i="34" s="1"/>
  <c r="CD55" i="34"/>
  <c r="CC56" i="34"/>
  <c r="CB61" i="34"/>
  <c r="CC105" i="34"/>
  <c r="CA108" i="34"/>
  <c r="CA110" i="34" s="1"/>
  <c r="CB106" i="34"/>
  <c r="CA111" i="34"/>
  <c r="CC117" i="34"/>
  <c r="CA123" i="34"/>
  <c r="CA120" i="34"/>
  <c r="CA122" i="34" s="1"/>
  <c r="CB118" i="34"/>
  <c r="BZ9" i="34"/>
  <c r="BZ70" i="14" s="1"/>
  <c r="CC141" i="34"/>
  <c r="CB142" i="34"/>
  <c r="CA144" i="34"/>
  <c r="CA146" i="34" s="1"/>
  <c r="CA147" i="34"/>
  <c r="CB95" i="34"/>
  <c r="CB97" i="34" s="1"/>
  <c r="CC93" i="34"/>
  <c r="CB98" i="34"/>
  <c r="CD92" i="34"/>
  <c r="CB73" i="34"/>
  <c r="CD67" i="34"/>
  <c r="CB70" i="34"/>
  <c r="CB72" i="34" s="1"/>
  <c r="CC68" i="34"/>
  <c r="CA84" i="34"/>
  <c r="CC80" i="34"/>
  <c r="CD79" i="34"/>
  <c r="CB85" i="34"/>
  <c r="CB82" i="34"/>
  <c r="AX28" i="30"/>
  <c r="AX29" i="30" s="1"/>
  <c r="AY74" i="30"/>
  <c r="F63" i="29" s="1"/>
  <c r="AY16" i="14"/>
  <c r="AY17" i="30"/>
  <c r="AY13" i="14"/>
  <c r="BA33" i="34"/>
  <c r="BA6" i="34" s="1"/>
  <c r="AZ7" i="34"/>
  <c r="AZ36" i="34"/>
  <c r="Z111" i="14"/>
  <c r="AL84" i="14"/>
  <c r="AL77" i="14"/>
  <c r="Y82" i="14"/>
  <c r="X101" i="30"/>
  <c r="AN122" i="14"/>
  <c r="AM76" i="30"/>
  <c r="AM78" i="30" s="1"/>
  <c r="AM89" i="30" s="1"/>
  <c r="E48" i="29"/>
  <c r="E65" i="29" s="1"/>
  <c r="AK96" i="30"/>
  <c r="AL87" i="30" s="1"/>
  <c r="AL87" i="14"/>
  <c r="AL92" i="30" s="1"/>
  <c r="AL85" i="14"/>
  <c r="AR13" i="25"/>
  <c r="AQ29" i="25"/>
  <c r="AP34" i="14" s="1"/>
  <c r="AM73" i="14"/>
  <c r="AO37" i="14"/>
  <c r="AO39" i="14"/>
  <c r="AO119" i="14"/>
  <c r="AK84" i="14"/>
  <c r="AK76" i="14"/>
  <c r="AN51" i="14"/>
  <c r="AN73" i="14" s="1"/>
  <c r="AN124" i="14"/>
  <c r="AL79" i="30"/>
  <c r="AN59" i="30"/>
  <c r="CB135" i="34" l="1"/>
  <c r="CB132" i="34"/>
  <c r="CB134" i="34" s="1"/>
  <c r="CD129" i="34"/>
  <c r="CC130" i="34"/>
  <c r="K6" i="15"/>
  <c r="CB46" i="34"/>
  <c r="CB48" i="34" s="1"/>
  <c r="CC44" i="34"/>
  <c r="CD43" i="34"/>
  <c r="CB49" i="34"/>
  <c r="BK51" i="14"/>
  <c r="BK73" i="14" s="1"/>
  <c r="BL39" i="14"/>
  <c r="BL37" i="14"/>
  <c r="BO35" i="25"/>
  <c r="BN44" i="25"/>
  <c r="BM35" i="14" s="1"/>
  <c r="CC166" i="34"/>
  <c r="CD165" i="34"/>
  <c r="CB168" i="34"/>
  <c r="CB170" i="34" s="1"/>
  <c r="CB171" i="34"/>
  <c r="CB159" i="34"/>
  <c r="CB156" i="34"/>
  <c r="CB158" i="34" s="1"/>
  <c r="CD153" i="34"/>
  <c r="CC154" i="34"/>
  <c r="CC61" i="34"/>
  <c r="CC58" i="34"/>
  <c r="CC60" i="34" s="1"/>
  <c r="CE55" i="34"/>
  <c r="CD56" i="34"/>
  <c r="CA9" i="34"/>
  <c r="CA70" i="14" s="1"/>
  <c r="CC106" i="34"/>
  <c r="CD105" i="34"/>
  <c r="CB111" i="34"/>
  <c r="CB108" i="34"/>
  <c r="CB110" i="34" s="1"/>
  <c r="CD117" i="34"/>
  <c r="CB120" i="34"/>
  <c r="CB122" i="34" s="1"/>
  <c r="CB123" i="34"/>
  <c r="CC118" i="34"/>
  <c r="CB147" i="34"/>
  <c r="CD141" i="34"/>
  <c r="CB144" i="34"/>
  <c r="CB146" i="34" s="1"/>
  <c r="CC142" i="34"/>
  <c r="CE92" i="34"/>
  <c r="CD93" i="34"/>
  <c r="CC95" i="34"/>
  <c r="CC97" i="34" s="1"/>
  <c r="CC98" i="34"/>
  <c r="CE67" i="34"/>
  <c r="CC73" i="34"/>
  <c r="CC70" i="34"/>
  <c r="CC72" i="34" s="1"/>
  <c r="CD68" i="34"/>
  <c r="CD80" i="34"/>
  <c r="CC85" i="34"/>
  <c r="CE79" i="34"/>
  <c r="CC82" i="34"/>
  <c r="CB84" i="34"/>
  <c r="BA34" i="34"/>
  <c r="AZ12" i="14"/>
  <c r="AZ21" i="14" s="1"/>
  <c r="AZ12" i="30"/>
  <c r="AZ25" i="30" s="1"/>
  <c r="G19" i="29" s="1"/>
  <c r="AY22" i="30"/>
  <c r="F16" i="29" s="1"/>
  <c r="AY68" i="30"/>
  <c r="F57" i="29" s="1"/>
  <c r="AY20" i="30"/>
  <c r="F14" i="29" s="1"/>
  <c r="AY18" i="30"/>
  <c r="AY69" i="30"/>
  <c r="F58" i="29" s="1"/>
  <c r="AY24" i="14"/>
  <c r="AZ37" i="34"/>
  <c r="AZ10" i="34" s="1"/>
  <c r="AZ8" i="34"/>
  <c r="BA11" i="14"/>
  <c r="H7" i="15" s="1"/>
  <c r="BA11" i="30"/>
  <c r="AO122" i="14"/>
  <c r="AO51" i="14"/>
  <c r="AA111" i="14"/>
  <c r="Y108" i="14"/>
  <c r="Y101" i="30"/>
  <c r="AN76" i="30"/>
  <c r="AN78" i="30" s="1"/>
  <c r="AN89" i="30" s="1"/>
  <c r="AL90" i="30"/>
  <c r="AL96" i="30" s="1"/>
  <c r="AM87" i="30" s="1"/>
  <c r="AM87" i="14"/>
  <c r="AM92" i="30" s="1"/>
  <c r="AM85" i="14"/>
  <c r="AO124" i="14"/>
  <c r="AM134" i="14"/>
  <c r="AM75" i="14"/>
  <c r="AM77" i="14" s="1"/>
  <c r="AN134" i="14"/>
  <c r="AN75" i="14"/>
  <c r="AP39" i="14"/>
  <c r="AP124" i="14" s="1"/>
  <c r="AP119" i="14"/>
  <c r="AP37" i="14"/>
  <c r="AL76" i="14"/>
  <c r="AS13" i="25"/>
  <c r="AR29" i="25"/>
  <c r="AQ34" i="14" s="1"/>
  <c r="AM79" i="30"/>
  <c r="AO59" i="30"/>
  <c r="AO76" i="30" s="1"/>
  <c r="CC135" i="34" l="1"/>
  <c r="CD130" i="34"/>
  <c r="CC132" i="34"/>
  <c r="CC134" i="34" s="1"/>
  <c r="CE129" i="34"/>
  <c r="CC49" i="34"/>
  <c r="CE43" i="34"/>
  <c r="CD44" i="34"/>
  <c r="CC46" i="34"/>
  <c r="CC48" i="34" s="1"/>
  <c r="BL51" i="14"/>
  <c r="BL73" i="14" s="1"/>
  <c r="BP35" i="25"/>
  <c r="BO44" i="25"/>
  <c r="BN35" i="14" s="1"/>
  <c r="BM37" i="14"/>
  <c r="BM39" i="14"/>
  <c r="I25" i="15" s="1"/>
  <c r="I21" i="15"/>
  <c r="CE165" i="34"/>
  <c r="CC168" i="34"/>
  <c r="CC170" i="34" s="1"/>
  <c r="CC171" i="34"/>
  <c r="CD166" i="34"/>
  <c r="CC156" i="34"/>
  <c r="CC158" i="34" s="1"/>
  <c r="CD154" i="34"/>
  <c r="CE153" i="34"/>
  <c r="CC159" i="34"/>
  <c r="CD58" i="34"/>
  <c r="CD60" i="34" s="1"/>
  <c r="CE56" i="34"/>
  <c r="CF55" i="34"/>
  <c r="CD61" i="34"/>
  <c r="BB33" i="34"/>
  <c r="BB6" i="34" s="1"/>
  <c r="BB34" i="34"/>
  <c r="CB9" i="34"/>
  <c r="CB70" i="14" s="1"/>
  <c r="CD106" i="34"/>
  <c r="CC111" i="34"/>
  <c r="CE105" i="34"/>
  <c r="CC108" i="34"/>
  <c r="CC110" i="34" s="1"/>
  <c r="CE117" i="34"/>
  <c r="CC120" i="34"/>
  <c r="CC122" i="34" s="1"/>
  <c r="CC123" i="34"/>
  <c r="CD118" i="34"/>
  <c r="CC144" i="34"/>
  <c r="CC146" i="34" s="1"/>
  <c r="CC147" i="34"/>
  <c r="CE141" i="34"/>
  <c r="CD142" i="34"/>
  <c r="CF92" i="34"/>
  <c r="CD95" i="34"/>
  <c r="CD97" i="34" s="1"/>
  <c r="CE93" i="34"/>
  <c r="CD98" i="34"/>
  <c r="CE68" i="34"/>
  <c r="CF67" i="34"/>
  <c r="CD70" i="34"/>
  <c r="CD72" i="34" s="1"/>
  <c r="CD73" i="34"/>
  <c r="CC84" i="34"/>
  <c r="F7" i="29"/>
  <c r="CE80" i="34"/>
  <c r="CF79" i="34"/>
  <c r="CD82" i="34"/>
  <c r="CD85" i="34"/>
  <c r="AY28" i="30"/>
  <c r="AY29" i="30" s="1"/>
  <c r="AY135" i="14"/>
  <c r="AY129" i="14"/>
  <c r="AY130" i="14"/>
  <c r="AY131" i="14"/>
  <c r="AY120" i="14"/>
  <c r="AY121" i="14"/>
  <c r="AY127" i="14"/>
  <c r="AY25" i="14"/>
  <c r="AZ16" i="14"/>
  <c r="AZ74" i="30"/>
  <c r="G63" i="29" s="1"/>
  <c r="AZ13" i="14"/>
  <c r="AZ17" i="30"/>
  <c r="BA36" i="34"/>
  <c r="BA7" i="34"/>
  <c r="AB111" i="14"/>
  <c r="AN84" i="14"/>
  <c r="AN77" i="14"/>
  <c r="AM84" i="14"/>
  <c r="Z82" i="14"/>
  <c r="Z101" i="30"/>
  <c r="AM90" i="30"/>
  <c r="AM96" i="30" s="1"/>
  <c r="AN87" i="30" s="1"/>
  <c r="AN87" i="14"/>
  <c r="AN92" i="30" s="1"/>
  <c r="AN85" i="14"/>
  <c r="AQ39" i="14"/>
  <c r="AQ124" i="14" s="1"/>
  <c r="AQ37" i="14"/>
  <c r="AQ119" i="14"/>
  <c r="AT13" i="25"/>
  <c r="AS29" i="25"/>
  <c r="AR34" i="14" s="1"/>
  <c r="AM76" i="14"/>
  <c r="AP51" i="14"/>
  <c r="AP122" i="14"/>
  <c r="AO73" i="14"/>
  <c r="G62" i="15"/>
  <c r="AN79" i="30"/>
  <c r="AP59" i="30"/>
  <c r="AP76" i="30" s="1"/>
  <c r="AO78" i="30"/>
  <c r="AO89" i="30" s="1"/>
  <c r="E67" i="29"/>
  <c r="CE130" i="34" l="1"/>
  <c r="CD135" i="34"/>
  <c r="CF129" i="34"/>
  <c r="CD132" i="34"/>
  <c r="CD134" i="34" s="1"/>
  <c r="CD49" i="34"/>
  <c r="CF43" i="34"/>
  <c r="CE44" i="34"/>
  <c r="CD46" i="34"/>
  <c r="CD48" i="34" s="1"/>
  <c r="BM51" i="14"/>
  <c r="BM73" i="14" s="1"/>
  <c r="I23" i="15"/>
  <c r="I60" i="15" s="1"/>
  <c r="BN39" i="14"/>
  <c r="BN37" i="14"/>
  <c r="BP44" i="25"/>
  <c r="BO35" i="14" s="1"/>
  <c r="BQ35" i="25"/>
  <c r="CD168" i="34"/>
  <c r="CD170" i="34" s="1"/>
  <c r="CE166" i="34"/>
  <c r="CF165" i="34"/>
  <c r="CD171" i="34"/>
  <c r="CE154" i="34"/>
  <c r="CF153" i="34"/>
  <c r="CD159" i="34"/>
  <c r="CD156" i="34"/>
  <c r="CD158" i="34" s="1"/>
  <c r="CE61" i="34"/>
  <c r="CE58" i="34"/>
  <c r="CE60" i="34" s="1"/>
  <c r="CG55" i="34"/>
  <c r="CF56" i="34"/>
  <c r="BB36" i="34"/>
  <c r="BC33" i="34"/>
  <c r="BC6" i="34" s="1"/>
  <c r="BC34" i="34"/>
  <c r="BB7" i="34"/>
  <c r="BB11" i="14"/>
  <c r="BB11" i="30"/>
  <c r="G7" i="29" s="1"/>
  <c r="CE106" i="34"/>
  <c r="CD108" i="34"/>
  <c r="CD110" i="34" s="1"/>
  <c r="CF105" i="34"/>
  <c r="CD111" i="34"/>
  <c r="CC9" i="34"/>
  <c r="CC70" i="14" s="1"/>
  <c r="CF117" i="34"/>
  <c r="CD120" i="34"/>
  <c r="CD122" i="34" s="1"/>
  <c r="CD123" i="34"/>
  <c r="CE118" i="34"/>
  <c r="CD144" i="34"/>
  <c r="CD146" i="34" s="1"/>
  <c r="CE142" i="34"/>
  <c r="CF141" i="34"/>
  <c r="CD147" i="34"/>
  <c r="CE98" i="34"/>
  <c r="CE95" i="34"/>
  <c r="CE97" i="34" s="1"/>
  <c r="CG92" i="34"/>
  <c r="CF93" i="34"/>
  <c r="CE70" i="34"/>
  <c r="CE72" i="34" s="1"/>
  <c r="CF68" i="34"/>
  <c r="CG67" i="34"/>
  <c r="CE73" i="34"/>
  <c r="CG79" i="34"/>
  <c r="CF80" i="34"/>
  <c r="CE82" i="34"/>
  <c r="CE85" i="34"/>
  <c r="CD84" i="34"/>
  <c r="G64" i="15"/>
  <c r="BA12" i="30"/>
  <c r="BA12" i="14"/>
  <c r="BA37" i="34"/>
  <c r="BA10" i="34" s="1"/>
  <c r="BA8" i="34"/>
  <c r="AZ69" i="30"/>
  <c r="G58" i="29" s="1"/>
  <c r="AZ18" i="30"/>
  <c r="AZ22" i="30"/>
  <c r="G16" i="29" s="1"/>
  <c r="AZ20" i="30"/>
  <c r="G14" i="29" s="1"/>
  <c r="AZ68" i="30"/>
  <c r="G57" i="29" s="1"/>
  <c r="AZ24" i="14"/>
  <c r="AZ25" i="14" s="1"/>
  <c r="AC111" i="14"/>
  <c r="Z108" i="14"/>
  <c r="AA101" i="30"/>
  <c r="AN90" i="30"/>
  <c r="AN96" i="30" s="1"/>
  <c r="AO87" i="30" s="1"/>
  <c r="AO79" i="30"/>
  <c r="AO85" i="14"/>
  <c r="AO90" i="30" s="1"/>
  <c r="AO87" i="14"/>
  <c r="AO92" i="30" s="1"/>
  <c r="AP73" i="14"/>
  <c r="AN76" i="14"/>
  <c r="AR39" i="14"/>
  <c r="AR124" i="14" s="1"/>
  <c r="AR119" i="14"/>
  <c r="AR37" i="14"/>
  <c r="AU13" i="25"/>
  <c r="AT29" i="25"/>
  <c r="AS34" i="14" s="1"/>
  <c r="AQ51" i="14"/>
  <c r="AQ73" i="14" s="1"/>
  <c r="AQ122" i="14"/>
  <c r="AO75" i="14"/>
  <c r="AO134" i="14"/>
  <c r="AQ59" i="30"/>
  <c r="AQ76" i="30" s="1"/>
  <c r="AP78" i="30"/>
  <c r="AP89" i="30" s="1"/>
  <c r="CF130" i="34" l="1"/>
  <c r="CE135" i="34"/>
  <c r="CG129" i="34"/>
  <c r="CE132" i="34"/>
  <c r="CE134" i="34" s="1"/>
  <c r="CF44" i="34"/>
  <c r="CE49" i="34"/>
  <c r="CE46" i="34"/>
  <c r="CE48" i="34" s="1"/>
  <c r="CG43" i="34"/>
  <c r="BR35" i="25"/>
  <c r="BQ44" i="25"/>
  <c r="BP35" i="14" s="1"/>
  <c r="BO39" i="14"/>
  <c r="BO37" i="14"/>
  <c r="BN51" i="14"/>
  <c r="BN73" i="14" s="1"/>
  <c r="CE168" i="34"/>
  <c r="CE170" i="34" s="1"/>
  <c r="CF166" i="34"/>
  <c r="CG165" i="34"/>
  <c r="CE171" i="34"/>
  <c r="CE159" i="34"/>
  <c r="CE156" i="34"/>
  <c r="CE158" i="34" s="1"/>
  <c r="CG153" i="34"/>
  <c r="CF154" i="34"/>
  <c r="CD9" i="34"/>
  <c r="CD70" i="14" s="1"/>
  <c r="CH55" i="34"/>
  <c r="CF61" i="34"/>
  <c r="CF58" i="34"/>
  <c r="CF60" i="34" s="1"/>
  <c r="CG56" i="34"/>
  <c r="BC11" i="30"/>
  <c r="BC11" i="14"/>
  <c r="BB12" i="14"/>
  <c r="BB12" i="30"/>
  <c r="BC36" i="34"/>
  <c r="BD33" i="34"/>
  <c r="BD6" i="34" s="1"/>
  <c r="BC7" i="34"/>
  <c r="BB37" i="34"/>
  <c r="BB10" i="34" s="1"/>
  <c r="BB8" i="34"/>
  <c r="CF106" i="34"/>
  <c r="CE108" i="34"/>
  <c r="CE110" i="34" s="1"/>
  <c r="CG105" i="34"/>
  <c r="CE111" i="34"/>
  <c r="CE120" i="34"/>
  <c r="CE122" i="34" s="1"/>
  <c r="CG117" i="34"/>
  <c r="CF118" i="34"/>
  <c r="CE123" i="34"/>
  <c r="CE147" i="34"/>
  <c r="CE144" i="34"/>
  <c r="CE146" i="34" s="1"/>
  <c r="CG141" i="34"/>
  <c r="CF142" i="34"/>
  <c r="CF98" i="34"/>
  <c r="CF95" i="34"/>
  <c r="CF97" i="34" s="1"/>
  <c r="CH92" i="34"/>
  <c r="CG93" i="34"/>
  <c r="G65" i="29"/>
  <c r="CH67" i="34"/>
  <c r="CG68" i="34"/>
  <c r="CF70" i="34"/>
  <c r="CF72" i="34" s="1"/>
  <c r="CF73" i="34"/>
  <c r="CE84" i="34"/>
  <c r="CF85" i="34"/>
  <c r="CF82" i="34"/>
  <c r="CG80" i="34"/>
  <c r="CH79" i="34"/>
  <c r="AZ28" i="30"/>
  <c r="AZ29" i="30" s="1"/>
  <c r="BA17" i="30"/>
  <c r="BA13" i="14"/>
  <c r="H9" i="15" s="1"/>
  <c r="AZ121" i="14"/>
  <c r="AZ135" i="14"/>
  <c r="AZ129" i="14"/>
  <c r="AZ120" i="14"/>
  <c r="AZ127" i="14"/>
  <c r="AZ131" i="14"/>
  <c r="AZ130" i="14"/>
  <c r="BA74" i="30"/>
  <c r="BA16" i="14"/>
  <c r="H8" i="15"/>
  <c r="BA21" i="14"/>
  <c r="BA25" i="30"/>
  <c r="F8" i="29"/>
  <c r="AO84" i="14"/>
  <c r="AO77" i="14"/>
  <c r="AA82" i="14"/>
  <c r="AB101" i="30"/>
  <c r="AO96" i="30"/>
  <c r="AP87" i="30" s="1"/>
  <c r="AP79" i="30"/>
  <c r="AP85" i="14"/>
  <c r="AP90" i="30" s="1"/>
  <c r="AP87" i="14"/>
  <c r="AP92" i="30" s="1"/>
  <c r="AR51" i="14"/>
  <c r="AR73" i="14" s="1"/>
  <c r="AR122" i="14"/>
  <c r="AV13" i="25"/>
  <c r="AU29" i="25"/>
  <c r="AT34" i="14" s="1"/>
  <c r="AQ134" i="14"/>
  <c r="AQ75" i="14"/>
  <c r="AO76" i="14"/>
  <c r="AS39" i="14"/>
  <c r="AS124" i="14" s="1"/>
  <c r="AS37" i="14"/>
  <c r="AS119" i="14"/>
  <c r="AP134" i="14"/>
  <c r="AP75" i="14"/>
  <c r="AR59" i="30"/>
  <c r="AR76" i="30" s="1"/>
  <c r="AQ78" i="30"/>
  <c r="AQ89" i="30" s="1"/>
  <c r="CF135" i="34" l="1"/>
  <c r="CH129" i="34"/>
  <c r="CG130" i="34"/>
  <c r="CF132" i="34"/>
  <c r="CF134" i="34" s="1"/>
  <c r="CF46" i="34"/>
  <c r="CF48" i="34" s="1"/>
  <c r="CH43" i="34"/>
  <c r="CG44" i="34"/>
  <c r="CF49" i="34"/>
  <c r="BO51" i="14"/>
  <c r="BO73" i="14" s="1"/>
  <c r="BP37" i="14"/>
  <c r="BP39" i="14"/>
  <c r="BR44" i="25"/>
  <c r="BQ35" i="14" s="1"/>
  <c r="BS35" i="25"/>
  <c r="CF168" i="34"/>
  <c r="CF170" i="34" s="1"/>
  <c r="CG166" i="34"/>
  <c r="CH165" i="34"/>
  <c r="CF171" i="34"/>
  <c r="CH153" i="34"/>
  <c r="CF156" i="34"/>
  <c r="CF158" i="34" s="1"/>
  <c r="CF159" i="34"/>
  <c r="CG154" i="34"/>
  <c r="CI55" i="34"/>
  <c r="CG61" i="34"/>
  <c r="CG58" i="34"/>
  <c r="CG60" i="34" s="1"/>
  <c r="CH56" i="34"/>
  <c r="BD11" i="14"/>
  <c r="BD11" i="30"/>
  <c r="BD34" i="34"/>
  <c r="BC37" i="34"/>
  <c r="BC10" i="34" s="1"/>
  <c r="BC8" i="34"/>
  <c r="BB25" i="30"/>
  <c r="G8" i="29"/>
  <c r="BB21" i="14"/>
  <c r="BB13" i="14"/>
  <c r="BB17" i="30"/>
  <c r="G10" i="29" s="1"/>
  <c r="BB16" i="14"/>
  <c r="BB74" i="30"/>
  <c r="BC12" i="14"/>
  <c r="BC21" i="14" s="1"/>
  <c r="BC12" i="30"/>
  <c r="BC25" i="30" s="1"/>
  <c r="CE9" i="34"/>
  <c r="CE70" i="14" s="1"/>
  <c r="CF108" i="34"/>
  <c r="CF110" i="34" s="1"/>
  <c r="CG106" i="34"/>
  <c r="CH105" i="34"/>
  <c r="CF111" i="34"/>
  <c r="CG118" i="34"/>
  <c r="CH117" i="34"/>
  <c r="CF123" i="34"/>
  <c r="CF120" i="34"/>
  <c r="CF122" i="34" s="1"/>
  <c r="CF144" i="34"/>
  <c r="CF146" i="34" s="1"/>
  <c r="CH141" i="34"/>
  <c r="CF147" i="34"/>
  <c r="CG142" i="34"/>
  <c r="CG98" i="34"/>
  <c r="CG95" i="34"/>
  <c r="CG97" i="34" s="1"/>
  <c r="CI92" i="34"/>
  <c r="CH93" i="34"/>
  <c r="CG70" i="34"/>
  <c r="CG72" i="34" s="1"/>
  <c r="CH68" i="34"/>
  <c r="CI67" i="34"/>
  <c r="CG73" i="34"/>
  <c r="CI79" i="34"/>
  <c r="CG85" i="34"/>
  <c r="CG82" i="34"/>
  <c r="CH80" i="34"/>
  <c r="CF84" i="34"/>
  <c r="BA24" i="14"/>
  <c r="H11" i="15"/>
  <c r="H14" i="15" s="1"/>
  <c r="BA22" i="30"/>
  <c r="BA68" i="30"/>
  <c r="BA69" i="30"/>
  <c r="BA20" i="30"/>
  <c r="BA18" i="30"/>
  <c r="F10" i="29"/>
  <c r="AP84" i="14"/>
  <c r="AP77" i="14"/>
  <c r="AQ84" i="14"/>
  <c r="AQ77" i="14"/>
  <c r="AA108" i="14"/>
  <c r="AD111" i="14"/>
  <c r="AC101" i="30"/>
  <c r="D78" i="29" s="1"/>
  <c r="AP96" i="30"/>
  <c r="AQ87" i="30" s="1"/>
  <c r="AQ79" i="30"/>
  <c r="AQ85" i="14"/>
  <c r="AQ90" i="30" s="1"/>
  <c r="AQ87" i="14"/>
  <c r="AQ92" i="30" s="1"/>
  <c r="AP76" i="14"/>
  <c r="AT37" i="14"/>
  <c r="AT119" i="14"/>
  <c r="AT39" i="14"/>
  <c r="AW13" i="25"/>
  <c r="AV29" i="25"/>
  <c r="AU34" i="14" s="1"/>
  <c r="AU37" i="14" s="1"/>
  <c r="AS51" i="14"/>
  <c r="AS122" i="14"/>
  <c r="AR134" i="14"/>
  <c r="AR75" i="14"/>
  <c r="AS59" i="30"/>
  <c r="AS76" i="30" s="1"/>
  <c r="AR78" i="30"/>
  <c r="CG132" i="34" l="1"/>
  <c r="CG134" i="34" s="1"/>
  <c r="CG135" i="34"/>
  <c r="CI129" i="34"/>
  <c r="CH130" i="34"/>
  <c r="CI43" i="34"/>
  <c r="CG49" i="34"/>
  <c r="CG46" i="34"/>
  <c r="CG48" i="34" s="1"/>
  <c r="CH44" i="34"/>
  <c r="BT35" i="25"/>
  <c r="BS44" i="25"/>
  <c r="BR35" i="14" s="1"/>
  <c r="BP51" i="14"/>
  <c r="BP73" i="14" s="1"/>
  <c r="BQ37" i="14"/>
  <c r="BQ39" i="14"/>
  <c r="CI165" i="34"/>
  <c r="CG171" i="34"/>
  <c r="CG168" i="34"/>
  <c r="CG170" i="34" s="1"/>
  <c r="CH166" i="34"/>
  <c r="CI153" i="34"/>
  <c r="CG156" i="34"/>
  <c r="CG158" i="34" s="1"/>
  <c r="CH154" i="34"/>
  <c r="CG159" i="34"/>
  <c r="CF9" i="34"/>
  <c r="CF70" i="14" s="1"/>
  <c r="CH58" i="34"/>
  <c r="CH60" i="34" s="1"/>
  <c r="CH61" i="34"/>
  <c r="CJ55" i="34"/>
  <c r="CI56" i="34"/>
  <c r="BC74" i="30"/>
  <c r="BC16" i="14"/>
  <c r="BC24" i="14" s="1"/>
  <c r="BC13" i="14"/>
  <c r="BC17" i="30"/>
  <c r="BB68" i="30"/>
  <c r="BB18" i="30"/>
  <c r="BB20" i="30"/>
  <c r="BB22" i="30"/>
  <c r="BB69" i="30"/>
  <c r="BD36" i="34"/>
  <c r="BE33" i="34"/>
  <c r="BE6" i="34" s="1"/>
  <c r="BE34" i="34"/>
  <c r="BD7" i="34"/>
  <c r="BB24" i="14"/>
  <c r="CG111" i="34"/>
  <c r="CH106" i="34"/>
  <c r="CI105" i="34"/>
  <c r="CG108" i="34"/>
  <c r="CG110" i="34" s="1"/>
  <c r="CG120" i="34"/>
  <c r="CG122" i="34" s="1"/>
  <c r="CH118" i="34"/>
  <c r="CI117" i="34"/>
  <c r="CG123" i="34"/>
  <c r="CG147" i="34"/>
  <c r="CG144" i="34"/>
  <c r="CG146" i="34" s="1"/>
  <c r="CH142" i="34"/>
  <c r="CI141" i="34"/>
  <c r="CH95" i="34"/>
  <c r="CH97" i="34" s="1"/>
  <c r="CH98" i="34"/>
  <c r="CI93" i="34"/>
  <c r="CJ92" i="34"/>
  <c r="CJ67" i="34"/>
  <c r="CH73" i="34"/>
  <c r="CH70" i="34"/>
  <c r="CH72" i="34" s="1"/>
  <c r="CI68" i="34"/>
  <c r="CG84" i="34"/>
  <c r="F12" i="29"/>
  <c r="F21" i="29" s="1"/>
  <c r="CI80" i="34"/>
  <c r="CJ79" i="34"/>
  <c r="CH85" i="34"/>
  <c r="CH82" i="34"/>
  <c r="BA28" i="30"/>
  <c r="BA29" i="30" s="1"/>
  <c r="BA130" i="14"/>
  <c r="BA131" i="14"/>
  <c r="BA127" i="14"/>
  <c r="BA135" i="14"/>
  <c r="BA121" i="14"/>
  <c r="BA129" i="14"/>
  <c r="BA120" i="14"/>
  <c r="BA25" i="14"/>
  <c r="AR89" i="30"/>
  <c r="AR87" i="14"/>
  <c r="AR84" i="14"/>
  <c r="AR77" i="14"/>
  <c r="AB82" i="14"/>
  <c r="AE111" i="14"/>
  <c r="AD101" i="30"/>
  <c r="AQ96" i="30"/>
  <c r="AR87" i="30" s="1"/>
  <c r="AR79" i="30"/>
  <c r="AR85" i="14"/>
  <c r="AR90" i="30" s="1"/>
  <c r="AU122" i="14"/>
  <c r="AU39" i="14"/>
  <c r="AU119" i="14"/>
  <c r="AW29" i="25"/>
  <c r="AV34" i="14" s="1"/>
  <c r="AX13" i="25"/>
  <c r="AT124" i="14"/>
  <c r="AT122" i="14"/>
  <c r="AT51" i="14"/>
  <c r="AT73" i="14" s="1"/>
  <c r="AS73" i="14"/>
  <c r="AQ76" i="14"/>
  <c r="AR76" i="14" s="1"/>
  <c r="AT59" i="30"/>
  <c r="AT76" i="30" s="1"/>
  <c r="AS78" i="30"/>
  <c r="CJ129" i="34" l="1"/>
  <c r="CH135" i="34"/>
  <c r="CH132" i="34"/>
  <c r="CH134" i="34" s="1"/>
  <c r="CI130" i="34"/>
  <c r="CJ43" i="34"/>
  <c r="CI44" i="34"/>
  <c r="CH49" i="34"/>
  <c r="CH46" i="34"/>
  <c r="CH48" i="34" s="1"/>
  <c r="BR37" i="14"/>
  <c r="BR39" i="14"/>
  <c r="BQ51" i="14"/>
  <c r="BQ73" i="14" s="1"/>
  <c r="BT44" i="25"/>
  <c r="BS35" i="14" s="1"/>
  <c r="BU35" i="25"/>
  <c r="CH168" i="34"/>
  <c r="CH170" i="34" s="1"/>
  <c r="CJ165" i="34"/>
  <c r="CH171" i="34"/>
  <c r="CI166" i="34"/>
  <c r="CI154" i="34"/>
  <c r="CJ153" i="34"/>
  <c r="CH159" i="34"/>
  <c r="CH156" i="34"/>
  <c r="CH158" i="34" s="1"/>
  <c r="BB76" i="30"/>
  <c r="CK55" i="34"/>
  <c r="CI58" i="34"/>
  <c r="CI60" i="34" s="1"/>
  <c r="CI61" i="34"/>
  <c r="CJ56" i="34"/>
  <c r="BB28" i="30"/>
  <c r="BB29" i="30" s="1"/>
  <c r="G12" i="29"/>
  <c r="G21" i="29" s="1"/>
  <c r="G67" i="29" s="1"/>
  <c r="BD12" i="14"/>
  <c r="BD12" i="30"/>
  <c r="BD25" i="30" s="1"/>
  <c r="BE36" i="34"/>
  <c r="BF33" i="34"/>
  <c r="BF6" i="34" s="1"/>
  <c r="BE7" i="34"/>
  <c r="BB122" i="14"/>
  <c r="BB130" i="14"/>
  <c r="BB127" i="14"/>
  <c r="BB124" i="14"/>
  <c r="BB135" i="14"/>
  <c r="BB129" i="14"/>
  <c r="BB75" i="14"/>
  <c r="BB131" i="14"/>
  <c r="BB134" i="14"/>
  <c r="BB119" i="14"/>
  <c r="BB120" i="14"/>
  <c r="BB121" i="14"/>
  <c r="BE11" i="14"/>
  <c r="BE11" i="30"/>
  <c r="BC18" i="30"/>
  <c r="BC68" i="30"/>
  <c r="BC69" i="30"/>
  <c r="BC20" i="30"/>
  <c r="BC22" i="30"/>
  <c r="BD37" i="34"/>
  <c r="BD10" i="34" s="1"/>
  <c r="BD8" i="34"/>
  <c r="BC127" i="14"/>
  <c r="BC122" i="14"/>
  <c r="BC124" i="14"/>
  <c r="BC121" i="14"/>
  <c r="BC130" i="14"/>
  <c r="BC135" i="14"/>
  <c r="BC119" i="14"/>
  <c r="BC75" i="14"/>
  <c r="BC120" i="14"/>
  <c r="BC134" i="14"/>
  <c r="BC131" i="14"/>
  <c r="BC129" i="14"/>
  <c r="BB25" i="14"/>
  <c r="BC25" i="14" s="1"/>
  <c r="CG9" i="34"/>
  <c r="CG70" i="14" s="1"/>
  <c r="CJ105" i="34"/>
  <c r="CH108" i="34"/>
  <c r="CH110" i="34" s="1"/>
  <c r="CI106" i="34"/>
  <c r="CH111" i="34"/>
  <c r="CH120" i="34"/>
  <c r="CH122" i="34" s="1"/>
  <c r="CJ117" i="34"/>
  <c r="CH123" i="34"/>
  <c r="CI118" i="34"/>
  <c r="CH144" i="34"/>
  <c r="CH146" i="34" s="1"/>
  <c r="CJ141" i="34"/>
  <c r="CH147" i="34"/>
  <c r="CI142" i="34"/>
  <c r="CJ93" i="34"/>
  <c r="CI98" i="34"/>
  <c r="CI95" i="34"/>
  <c r="CI97" i="34" s="1"/>
  <c r="CK92" i="34"/>
  <c r="CI70" i="34"/>
  <c r="CI72" i="34" s="1"/>
  <c r="CJ68" i="34"/>
  <c r="CK67" i="34"/>
  <c r="CI73" i="34"/>
  <c r="CI85" i="34"/>
  <c r="CI82" i="34"/>
  <c r="CK79" i="34"/>
  <c r="CJ80" i="34"/>
  <c r="CH84" i="34"/>
  <c r="AS89" i="30"/>
  <c r="AS87" i="14"/>
  <c r="AS92" i="30" s="1"/>
  <c r="AB108" i="14"/>
  <c r="AE101" i="30"/>
  <c r="AF111" i="14"/>
  <c r="AS79" i="30"/>
  <c r="AS85" i="14"/>
  <c r="AV37" i="14"/>
  <c r="AV119" i="14"/>
  <c r="AV39" i="14"/>
  <c r="AX29" i="25"/>
  <c r="AW34" i="14" s="1"/>
  <c r="AY13" i="25"/>
  <c r="AS75" i="14"/>
  <c r="AS134" i="14"/>
  <c r="AT134" i="14"/>
  <c r="AT75" i="14"/>
  <c r="AU51" i="14"/>
  <c r="AU124" i="14"/>
  <c r="AU59" i="30"/>
  <c r="AU76" i="30" s="1"/>
  <c r="AT78" i="30"/>
  <c r="AT87" i="14" s="1"/>
  <c r="CI135" i="34" l="1"/>
  <c r="CI132" i="34"/>
  <c r="CI134" i="34" s="1"/>
  <c r="CJ130" i="34"/>
  <c r="CK129" i="34"/>
  <c r="CI49" i="34"/>
  <c r="CI46" i="34"/>
  <c r="CI48" i="34" s="1"/>
  <c r="CJ44" i="34"/>
  <c r="CK43" i="34"/>
  <c r="BB78" i="30"/>
  <c r="BB85" i="14" s="1"/>
  <c r="BB90" i="30" s="1"/>
  <c r="BU44" i="25"/>
  <c r="BT35" i="14" s="1"/>
  <c r="BV35" i="25"/>
  <c r="BS37" i="14"/>
  <c r="BS39" i="14"/>
  <c r="BR51" i="14"/>
  <c r="BR73" i="14" s="1"/>
  <c r="CI168" i="34"/>
  <c r="CI170" i="34" s="1"/>
  <c r="CK165" i="34"/>
  <c r="CI171" i="34"/>
  <c r="CJ166" i="34"/>
  <c r="CK153" i="34"/>
  <c r="CI159" i="34"/>
  <c r="CI156" i="34"/>
  <c r="CI158" i="34" s="1"/>
  <c r="CJ154" i="34"/>
  <c r="CK56" i="34"/>
  <c r="CJ61" i="34"/>
  <c r="CJ58" i="34"/>
  <c r="CJ60" i="34" s="1"/>
  <c r="BF34" i="34"/>
  <c r="BG33" i="34" s="1"/>
  <c r="BG6" i="34" s="1"/>
  <c r="BC28" i="30"/>
  <c r="BC29" i="30" s="1"/>
  <c r="BE12" i="14"/>
  <c r="BE21" i="14" s="1"/>
  <c r="BE12" i="30"/>
  <c r="BE25" i="30" s="1"/>
  <c r="BB77" i="14"/>
  <c r="BB84" i="14"/>
  <c r="BF7" i="34"/>
  <c r="BD13" i="14"/>
  <c r="BD17" i="30"/>
  <c r="BF11" i="30"/>
  <c r="BF11" i="14"/>
  <c r="BD16" i="14"/>
  <c r="BD74" i="30"/>
  <c r="BE37" i="34"/>
  <c r="BE10" i="34" s="1"/>
  <c r="BE8" i="34"/>
  <c r="BD21" i="14"/>
  <c r="BC76" i="30"/>
  <c r="BC84" i="14"/>
  <c r="BC77" i="14"/>
  <c r="CI108" i="34"/>
  <c r="CI110" i="34" s="1"/>
  <c r="CK105" i="34"/>
  <c r="CI111" i="34"/>
  <c r="CJ106" i="34"/>
  <c r="CI123" i="34"/>
  <c r="CK117" i="34"/>
  <c r="CI120" i="34"/>
  <c r="CI122" i="34" s="1"/>
  <c r="CJ118" i="34"/>
  <c r="CH9" i="34"/>
  <c r="CH70" i="14" s="1"/>
  <c r="CK141" i="34"/>
  <c r="CI147" i="34"/>
  <c r="CI144" i="34"/>
  <c r="CI146" i="34" s="1"/>
  <c r="CJ142" i="34"/>
  <c r="CK93" i="34"/>
  <c r="CJ98" i="34"/>
  <c r="CJ95" i="34"/>
  <c r="CJ97" i="34" s="1"/>
  <c r="CJ70" i="34"/>
  <c r="CJ72" i="34" s="1"/>
  <c r="CJ73" i="34"/>
  <c r="CK68" i="34"/>
  <c r="CK80" i="34"/>
  <c r="CJ85" i="34"/>
  <c r="CJ82" i="34"/>
  <c r="CI84" i="34"/>
  <c r="AT89" i="30"/>
  <c r="AT84" i="14"/>
  <c r="AT77" i="14"/>
  <c r="AS84" i="14"/>
  <c r="AS77" i="14"/>
  <c r="AC82" i="14"/>
  <c r="AF101" i="30"/>
  <c r="AG111" i="14"/>
  <c r="AS90" i="30"/>
  <c r="AT79" i="30"/>
  <c r="AT85" i="14"/>
  <c r="AT90" i="30" s="1"/>
  <c r="AU73" i="14"/>
  <c r="AZ13" i="25"/>
  <c r="AY29" i="25"/>
  <c r="AX34" i="14" s="1"/>
  <c r="AS76" i="14"/>
  <c r="AV124" i="14"/>
  <c r="AW37" i="14"/>
  <c r="AW122" i="14" s="1"/>
  <c r="AW119" i="14"/>
  <c r="AW39" i="14"/>
  <c r="AV51" i="14"/>
  <c r="AV73" i="14" s="1"/>
  <c r="AV122" i="14"/>
  <c r="AV59" i="30"/>
  <c r="AV76" i="30" s="1"/>
  <c r="AU78" i="30"/>
  <c r="CJ135" i="34" l="1"/>
  <c r="CJ132" i="34"/>
  <c r="CJ134" i="34" s="1"/>
  <c r="CK130" i="34"/>
  <c r="BC78" i="30"/>
  <c r="BC89" i="30" s="1"/>
  <c r="BB89" i="30"/>
  <c r="CK44" i="34"/>
  <c r="CJ49" i="34"/>
  <c r="CJ46" i="34"/>
  <c r="CJ48" i="34" s="1"/>
  <c r="BF36" i="34"/>
  <c r="BS51" i="14"/>
  <c r="BS73" i="14" s="1"/>
  <c r="BV44" i="25"/>
  <c r="BU35" i="14" s="1"/>
  <c r="BW35" i="25"/>
  <c r="BT37" i="14"/>
  <c r="BT39" i="14"/>
  <c r="CK166" i="34"/>
  <c r="CJ171" i="34"/>
  <c r="CJ168" i="34"/>
  <c r="CJ170" i="34" s="1"/>
  <c r="CJ159" i="34"/>
  <c r="CJ156" i="34"/>
  <c r="CJ158" i="34" s="1"/>
  <c r="CK154" i="34"/>
  <c r="CI9" i="34"/>
  <c r="CI70" i="14" s="1"/>
  <c r="CK58" i="34"/>
  <c r="CK60" i="34" s="1"/>
  <c r="CK61" i="34"/>
  <c r="BG34" i="34"/>
  <c r="BH33" i="34" s="1"/>
  <c r="BH6" i="34" s="1"/>
  <c r="BE16" i="14"/>
  <c r="BE24" i="14" s="1"/>
  <c r="BE74" i="30"/>
  <c r="BG7" i="34"/>
  <c r="BF37" i="34"/>
  <c r="BF10" i="34" s="1"/>
  <c r="BF8" i="34"/>
  <c r="BD24" i="14"/>
  <c r="BG11" i="30"/>
  <c r="BG11" i="14"/>
  <c r="BD68" i="30"/>
  <c r="BD22" i="30"/>
  <c r="BD69" i="30"/>
  <c r="BD20" i="30"/>
  <c r="BD18" i="30"/>
  <c r="BE13" i="14"/>
  <c r="BE17" i="30"/>
  <c r="BF12" i="30"/>
  <c r="BF25" i="30" s="1"/>
  <c r="BF12" i="14"/>
  <c r="CJ108" i="34"/>
  <c r="CJ110" i="34" s="1"/>
  <c r="CK106" i="34"/>
  <c r="CJ111" i="34"/>
  <c r="CK118" i="34"/>
  <c r="CJ123" i="34"/>
  <c r="CJ120" i="34"/>
  <c r="CJ122" i="34" s="1"/>
  <c r="CK142" i="34"/>
  <c r="CJ147" i="34"/>
  <c r="CJ144" i="34"/>
  <c r="CJ146" i="34" s="1"/>
  <c r="CK98" i="34"/>
  <c r="CK95" i="34"/>
  <c r="CK97" i="34" s="1"/>
  <c r="CK73" i="34"/>
  <c r="CK70" i="34"/>
  <c r="CK72" i="34" s="1"/>
  <c r="AU89" i="30"/>
  <c r="AU87" i="14"/>
  <c r="CJ84" i="34"/>
  <c r="CK82" i="34"/>
  <c r="CK85" i="34"/>
  <c r="AC108" i="14"/>
  <c r="AG101" i="30"/>
  <c r="AH111" i="14"/>
  <c r="AU79" i="30"/>
  <c r="AU85" i="14"/>
  <c r="AU90" i="30" s="1"/>
  <c r="AT76" i="14"/>
  <c r="AX39" i="14"/>
  <c r="AX37" i="14"/>
  <c r="AX119" i="14"/>
  <c r="BA13" i="25"/>
  <c r="AZ29" i="25"/>
  <c r="AY34" i="14" s="1"/>
  <c r="AU134" i="14"/>
  <c r="AU75" i="14"/>
  <c r="AV134" i="14"/>
  <c r="AV75" i="14"/>
  <c r="AW51" i="14"/>
  <c r="AW73" i="14" s="1"/>
  <c r="AW124" i="14"/>
  <c r="AW59" i="30"/>
  <c r="AW76" i="30" s="1"/>
  <c r="AV78" i="30"/>
  <c r="AV87" i="14" s="1"/>
  <c r="CK132" i="34" l="1"/>
  <c r="CK134" i="34" s="1"/>
  <c r="CK135" i="34"/>
  <c r="BC85" i="14"/>
  <c r="BC90" i="30" s="1"/>
  <c r="CK46" i="34"/>
  <c r="CK48" i="34" s="1"/>
  <c r="CK49" i="34"/>
  <c r="BH34" i="34"/>
  <c r="BG36" i="34"/>
  <c r="BW44" i="25"/>
  <c r="BV35" i="14" s="1"/>
  <c r="BX35" i="25"/>
  <c r="BU39" i="14"/>
  <c r="BU37" i="14"/>
  <c r="BT51" i="14"/>
  <c r="BT73" i="14" s="1"/>
  <c r="CK171" i="34"/>
  <c r="CK168" i="34"/>
  <c r="CK170" i="34" s="1"/>
  <c r="CK159" i="34"/>
  <c r="CK156" i="34"/>
  <c r="CK158" i="34" s="1"/>
  <c r="BD76" i="30"/>
  <c r="BD28" i="30"/>
  <c r="BD29" i="30" s="1"/>
  <c r="BG12" i="14"/>
  <c r="BG21" i="14" s="1"/>
  <c r="BG12" i="30"/>
  <c r="BG25" i="30" s="1"/>
  <c r="BE69" i="30"/>
  <c r="BE68" i="30"/>
  <c r="BE22" i="30"/>
  <c r="BE20" i="30"/>
  <c r="BE18" i="30"/>
  <c r="BG37" i="34"/>
  <c r="BG10" i="34" s="1"/>
  <c r="BG8" i="34"/>
  <c r="BH11" i="30"/>
  <c r="BH11" i="14"/>
  <c r="BI33" i="34"/>
  <c r="BI6" i="34" s="1"/>
  <c r="BH36" i="34"/>
  <c r="BH7" i="34"/>
  <c r="BD127" i="14"/>
  <c r="BD120" i="14"/>
  <c r="BD119" i="14"/>
  <c r="BD122" i="14"/>
  <c r="BD124" i="14"/>
  <c r="BD135" i="14"/>
  <c r="BD134" i="14"/>
  <c r="BD75" i="14"/>
  <c r="BD121" i="14"/>
  <c r="BD131" i="14"/>
  <c r="BD129" i="14"/>
  <c r="BD130" i="14"/>
  <c r="BD25" i="14"/>
  <c r="BE25" i="14" s="1"/>
  <c r="BE134" i="14"/>
  <c r="BE131" i="14"/>
  <c r="BE129" i="14"/>
  <c r="BE130" i="14"/>
  <c r="BE124" i="14"/>
  <c r="BE122" i="14"/>
  <c r="BE119" i="14"/>
  <c r="BE75" i="14"/>
  <c r="BE135" i="14"/>
  <c r="BE127" i="14"/>
  <c r="BE120" i="14"/>
  <c r="BE121" i="14"/>
  <c r="BF21" i="14"/>
  <c r="BF13" i="14"/>
  <c r="BF17" i="30"/>
  <c r="BF16" i="14"/>
  <c r="BF74" i="30"/>
  <c r="CK111" i="34"/>
  <c r="CK108" i="34"/>
  <c r="CK110" i="34" s="1"/>
  <c r="CK120" i="34"/>
  <c r="CK122" i="34" s="1"/>
  <c r="CK123" i="34"/>
  <c r="CJ9" i="34"/>
  <c r="CJ70" i="14" s="1"/>
  <c r="CK144" i="34"/>
  <c r="CK146" i="34" s="1"/>
  <c r="CK147" i="34"/>
  <c r="CK84" i="34"/>
  <c r="AV84" i="14"/>
  <c r="AV77" i="14"/>
  <c r="AU84" i="14"/>
  <c r="AU77" i="14"/>
  <c r="AD82" i="14"/>
  <c r="AD108" i="14" s="1"/>
  <c r="AH101" i="30"/>
  <c r="AI111" i="14"/>
  <c r="AV89" i="30"/>
  <c r="AV92" i="30"/>
  <c r="AV79" i="30"/>
  <c r="AV85" i="14"/>
  <c r="BB13" i="25"/>
  <c r="BB29" i="25" s="1"/>
  <c r="BA34" i="14" s="1"/>
  <c r="BA29" i="25"/>
  <c r="AZ34" i="14" s="1"/>
  <c r="AY39" i="14"/>
  <c r="AY124" i="14" s="1"/>
  <c r="AY37" i="14"/>
  <c r="AY119" i="14"/>
  <c r="AW134" i="14"/>
  <c r="AW75" i="14"/>
  <c r="AX51" i="14"/>
  <c r="AX73" i="14" s="1"/>
  <c r="AX122" i="14"/>
  <c r="AX124" i="14"/>
  <c r="AU76" i="14"/>
  <c r="AX59" i="30"/>
  <c r="AX76" i="30" s="1"/>
  <c r="AW78" i="30"/>
  <c r="AW87" i="14" s="1"/>
  <c r="BU51" i="14" l="1"/>
  <c r="BU73" i="14" s="1"/>
  <c r="BY35" i="25"/>
  <c r="BX44" i="25"/>
  <c r="BW35" i="14" s="1"/>
  <c r="BV37" i="14"/>
  <c r="BV39" i="14"/>
  <c r="BD78" i="30"/>
  <c r="BD89" i="30" s="1"/>
  <c r="BE76" i="30"/>
  <c r="BD84" i="14"/>
  <c r="BD77" i="14"/>
  <c r="BH12" i="14"/>
  <c r="BH12" i="30"/>
  <c r="BH25" i="30" s="1"/>
  <c r="BG16" i="14"/>
  <c r="BG24" i="14" s="1"/>
  <c r="BG74" i="30"/>
  <c r="BI34" i="34"/>
  <c r="BE28" i="30"/>
  <c r="BF24" i="14"/>
  <c r="BF25" i="14" s="1"/>
  <c r="BH37" i="34"/>
  <c r="BH10" i="34" s="1"/>
  <c r="BH8" i="34"/>
  <c r="BE84" i="14"/>
  <c r="BE77" i="14"/>
  <c r="BI11" i="14"/>
  <c r="BI11" i="30"/>
  <c r="BF20" i="30"/>
  <c r="BF68" i="30"/>
  <c r="BF69" i="30"/>
  <c r="BF18" i="30"/>
  <c r="BF22" i="30"/>
  <c r="BG13" i="14"/>
  <c r="BG17" i="30"/>
  <c r="CK9" i="34"/>
  <c r="CK70" i="14" s="1"/>
  <c r="K56" i="15" s="1"/>
  <c r="AW84" i="14"/>
  <c r="AW77" i="14"/>
  <c r="AE82" i="14"/>
  <c r="AE108" i="14" s="1"/>
  <c r="AI101" i="30"/>
  <c r="AJ111" i="14"/>
  <c r="H20" i="15"/>
  <c r="AW89" i="30"/>
  <c r="AW92" i="30"/>
  <c r="AV90" i="30"/>
  <c r="AW79" i="30"/>
  <c r="AW85" i="14"/>
  <c r="AX134" i="14"/>
  <c r="AX75" i="14"/>
  <c r="AX77" i="14" s="1"/>
  <c r="AV76" i="14"/>
  <c r="AW76" i="14" s="1"/>
  <c r="AY51" i="14"/>
  <c r="AY73" i="14" s="1"/>
  <c r="AY122" i="14"/>
  <c r="AZ39" i="14"/>
  <c r="AZ37" i="14"/>
  <c r="AZ119" i="14"/>
  <c r="BA39" i="14"/>
  <c r="BA37" i="14"/>
  <c r="BA119" i="14"/>
  <c r="AY59" i="30"/>
  <c r="AX78" i="30"/>
  <c r="AX87" i="14" s="1"/>
  <c r="BD85" i="14" l="1"/>
  <c r="BD90" i="30" s="1"/>
  <c r="BW39" i="14"/>
  <c r="BW37" i="14"/>
  <c r="BZ35" i="25"/>
  <c r="BY44" i="25"/>
  <c r="BX35" i="14" s="1"/>
  <c r="BV51" i="14"/>
  <c r="BV73" i="14" s="1"/>
  <c r="BF28" i="30"/>
  <c r="BE78" i="30"/>
  <c r="BE29" i="30"/>
  <c r="BJ33" i="34"/>
  <c r="BJ6" i="34" s="1"/>
  <c r="BI36" i="34"/>
  <c r="BI7" i="34"/>
  <c r="BG119" i="14"/>
  <c r="BG122" i="14"/>
  <c r="BG127" i="14"/>
  <c r="BG75" i="14"/>
  <c r="BG129" i="14"/>
  <c r="BG135" i="14"/>
  <c r="BG131" i="14"/>
  <c r="BG134" i="14"/>
  <c r="BG130" i="14"/>
  <c r="BG124" i="14"/>
  <c r="BG120" i="14"/>
  <c r="BG121" i="14"/>
  <c r="BF76" i="30"/>
  <c r="BH17" i="30"/>
  <c r="BH13" i="14"/>
  <c r="BH21" i="14"/>
  <c r="BG20" i="30"/>
  <c r="BG18" i="30"/>
  <c r="BG22" i="30"/>
  <c r="BG69" i="30"/>
  <c r="BG68" i="30"/>
  <c r="BH16" i="14"/>
  <c r="BH74" i="30"/>
  <c r="BG25" i="14"/>
  <c r="BF135" i="14"/>
  <c r="BF122" i="14"/>
  <c r="BF75" i="14"/>
  <c r="BF131" i="14"/>
  <c r="BF130" i="14"/>
  <c r="BF124" i="14"/>
  <c r="BF120" i="14"/>
  <c r="BF121" i="14"/>
  <c r="BF127" i="14"/>
  <c r="BF134" i="14"/>
  <c r="BF129" i="14"/>
  <c r="BF119" i="14"/>
  <c r="AX84" i="14"/>
  <c r="AF82" i="14"/>
  <c r="AF108" i="14" s="1"/>
  <c r="AJ101" i="30"/>
  <c r="AK111" i="14"/>
  <c r="H23" i="15"/>
  <c r="BA124" i="14"/>
  <c r="H25" i="15"/>
  <c r="AY76" i="30"/>
  <c r="AY78" i="30" s="1"/>
  <c r="AY87" i="14" s="1"/>
  <c r="F48" i="29"/>
  <c r="F65" i="29" s="1"/>
  <c r="AX89" i="30"/>
  <c r="AX92" i="30"/>
  <c r="AW90" i="30"/>
  <c r="AX79" i="30"/>
  <c r="AX85" i="14"/>
  <c r="AX76" i="14"/>
  <c r="AZ124" i="14"/>
  <c r="AY134" i="14"/>
  <c r="AY75" i="14"/>
  <c r="AZ51" i="14"/>
  <c r="AZ73" i="14" s="1"/>
  <c r="AZ122" i="14"/>
  <c r="BA51" i="14"/>
  <c r="BA122" i="14"/>
  <c r="AZ59" i="30"/>
  <c r="AZ76" i="30" s="1"/>
  <c r="BW51" i="14" l="1"/>
  <c r="BW73" i="14" s="1"/>
  <c r="BF78" i="30"/>
  <c r="BF89" i="30" s="1"/>
  <c r="BF29" i="30"/>
  <c r="BX39" i="14"/>
  <c r="BX37" i="14"/>
  <c r="BZ44" i="25"/>
  <c r="BY35" i="14" s="1"/>
  <c r="CA35" i="25"/>
  <c r="BG76" i="30"/>
  <c r="BJ34" i="34"/>
  <c r="BK33" i="34" s="1"/>
  <c r="BK6" i="34" s="1"/>
  <c r="BH24" i="14"/>
  <c r="BH135" i="14" s="1"/>
  <c r="BH18" i="30"/>
  <c r="BH20" i="30"/>
  <c r="BH22" i="30"/>
  <c r="BH69" i="30"/>
  <c r="BH68" i="30"/>
  <c r="BF84" i="14"/>
  <c r="BF77" i="14"/>
  <c r="BJ11" i="30"/>
  <c r="BJ11" i="14"/>
  <c r="BG84" i="14"/>
  <c r="BG77" i="14"/>
  <c r="BI12" i="30"/>
  <c r="BI25" i="30" s="1"/>
  <c r="BI12" i="14"/>
  <c r="BI21" i="14" s="1"/>
  <c r="BI37" i="34"/>
  <c r="BI10" i="34" s="1"/>
  <c r="BI8" i="34"/>
  <c r="BG28" i="30"/>
  <c r="BE85" i="14"/>
  <c r="BE90" i="30" s="1"/>
  <c r="BE89" i="30"/>
  <c r="AY84" i="14"/>
  <c r="AY77" i="14"/>
  <c r="AG82" i="14"/>
  <c r="AG108" i="14" s="1"/>
  <c r="AK101" i="30"/>
  <c r="AL111" i="14"/>
  <c r="H60" i="15"/>
  <c r="AY89" i="30"/>
  <c r="AY92" i="30"/>
  <c r="AX90" i="30"/>
  <c r="AY79" i="30"/>
  <c r="AY85" i="14"/>
  <c r="AY76" i="14"/>
  <c r="AZ134" i="14"/>
  <c r="AZ75" i="14"/>
  <c r="AZ77" i="14" s="1"/>
  <c r="BA73" i="14"/>
  <c r="BA59" i="30"/>
  <c r="BA76" i="30" s="1"/>
  <c r="BA78" i="30" s="1"/>
  <c r="AZ78" i="30"/>
  <c r="AZ89" i="30" s="1"/>
  <c r="BH119" i="14" l="1"/>
  <c r="BF85" i="14"/>
  <c r="BF90" i="30" s="1"/>
  <c r="BG29" i="30"/>
  <c r="BH122" i="14"/>
  <c r="BH75" i="14"/>
  <c r="BH77" i="14" s="1"/>
  <c r="BH120" i="14"/>
  <c r="BH129" i="14"/>
  <c r="BH25" i="14"/>
  <c r="BH127" i="14"/>
  <c r="BJ7" i="34"/>
  <c r="BJ12" i="30" s="1"/>
  <c r="BJ25" i="30" s="1"/>
  <c r="BH130" i="14"/>
  <c r="BJ36" i="34"/>
  <c r="BX51" i="14"/>
  <c r="BX73" i="14" s="1"/>
  <c r="BY39" i="14"/>
  <c r="J25" i="15" s="1"/>
  <c r="BY37" i="14"/>
  <c r="J21" i="15"/>
  <c r="CB35" i="25"/>
  <c r="CA44" i="25"/>
  <c r="BZ35" i="14" s="1"/>
  <c r="BH134" i="14"/>
  <c r="BH124" i="14"/>
  <c r="BH131" i="14"/>
  <c r="BH121" i="14"/>
  <c r="BK34" i="34"/>
  <c r="BH28" i="30"/>
  <c r="BG78" i="30"/>
  <c r="BG85" i="14" s="1"/>
  <c r="BG90" i="30" s="1"/>
  <c r="BH76" i="30"/>
  <c r="BJ37" i="34"/>
  <c r="BJ10" i="34" s="1"/>
  <c r="BJ8" i="34"/>
  <c r="BL33" i="34"/>
  <c r="BL6" i="34" s="1"/>
  <c r="BK36" i="34"/>
  <c r="BK7" i="34"/>
  <c r="BI17" i="30"/>
  <c r="BI13" i="14"/>
  <c r="BK11" i="30"/>
  <c r="BK11" i="14"/>
  <c r="BI74" i="30"/>
  <c r="BI16" i="14"/>
  <c r="BI24" i="14" s="1"/>
  <c r="AZ84" i="14"/>
  <c r="AH82" i="14"/>
  <c r="AH108" i="14" s="1"/>
  <c r="AL101" i="30"/>
  <c r="AM111" i="14"/>
  <c r="AZ92" i="30"/>
  <c r="AY90" i="30"/>
  <c r="BA85" i="14"/>
  <c r="BA90" i="30" s="1"/>
  <c r="BA89" i="30"/>
  <c r="AZ79" i="30"/>
  <c r="BA79" i="30" s="1"/>
  <c r="BB79" i="30" s="1"/>
  <c r="BC79" i="30" s="1"/>
  <c r="BD79" i="30" s="1"/>
  <c r="BE79" i="30" s="1"/>
  <c r="BF79" i="30" s="1"/>
  <c r="AZ85" i="14"/>
  <c r="AZ76" i="14"/>
  <c r="H62" i="15"/>
  <c r="BA134" i="14"/>
  <c r="BA75" i="14"/>
  <c r="F67" i="29"/>
  <c r="BH29" i="30" l="1"/>
  <c r="BH84" i="14"/>
  <c r="BJ12" i="14"/>
  <c r="BJ21" i="14" s="1"/>
  <c r="CC35" i="25"/>
  <c r="CB44" i="25"/>
  <c r="CA35" i="14" s="1"/>
  <c r="BZ39" i="14"/>
  <c r="BZ37" i="14"/>
  <c r="BY51" i="14"/>
  <c r="BY73" i="14" s="1"/>
  <c r="J23" i="15"/>
  <c r="J60" i="15" s="1"/>
  <c r="BG79" i="30"/>
  <c r="BG89" i="30"/>
  <c r="BH78" i="30"/>
  <c r="BI69" i="30"/>
  <c r="BI68" i="30"/>
  <c r="BI22" i="30"/>
  <c r="BI18" i="30"/>
  <c r="BI20" i="30"/>
  <c r="BI134" i="14"/>
  <c r="BI130" i="14"/>
  <c r="BI122" i="14"/>
  <c r="BI75" i="14"/>
  <c r="BI119" i="14"/>
  <c r="BI127" i="14"/>
  <c r="BI129" i="14"/>
  <c r="BI121" i="14"/>
  <c r="BI124" i="14"/>
  <c r="BI120" i="14"/>
  <c r="BI131" i="14"/>
  <c r="BI135" i="14"/>
  <c r="BK12" i="14"/>
  <c r="BK21" i="14" s="1"/>
  <c r="BK12" i="30"/>
  <c r="BK25" i="30" s="1"/>
  <c r="BI25" i="14"/>
  <c r="BL34" i="34"/>
  <c r="BL11" i="14"/>
  <c r="BL11" i="30"/>
  <c r="BK37" i="34"/>
  <c r="BK10" i="34" s="1"/>
  <c r="BK8" i="34"/>
  <c r="BJ13" i="14"/>
  <c r="BJ17" i="30"/>
  <c r="BJ16" i="14"/>
  <c r="BJ74" i="30"/>
  <c r="H64" i="15"/>
  <c r="BA84" i="14"/>
  <c r="BA77" i="14"/>
  <c r="AI82" i="14"/>
  <c r="AI108" i="14" s="1"/>
  <c r="AM101" i="30"/>
  <c r="AN111" i="14"/>
  <c r="AZ90" i="30"/>
  <c r="BA76" i="14"/>
  <c r="BB76" i="14" s="1"/>
  <c r="BC76" i="14" s="1"/>
  <c r="BD76" i="14" s="1"/>
  <c r="BE76" i="14" s="1"/>
  <c r="BF76" i="14" s="1"/>
  <c r="BG76" i="14" s="1"/>
  <c r="BH76" i="14" s="1"/>
  <c r="BJ24" i="14" l="1"/>
  <c r="BH79" i="30"/>
  <c r="CA37" i="14"/>
  <c r="CA39" i="14"/>
  <c r="BZ51" i="14"/>
  <c r="BZ73" i="14" s="1"/>
  <c r="CD35" i="25"/>
  <c r="CC44" i="25"/>
  <c r="CB35" i="14" s="1"/>
  <c r="BI76" i="14"/>
  <c r="BI28" i="30"/>
  <c r="BI29" i="30" s="1"/>
  <c r="BH85" i="14"/>
  <c r="BH90" i="30" s="1"/>
  <c r="BH89" i="30"/>
  <c r="BJ124" i="14"/>
  <c r="BJ129" i="14"/>
  <c r="BJ119" i="14"/>
  <c r="BJ121" i="14"/>
  <c r="BJ122" i="14"/>
  <c r="BJ120" i="14"/>
  <c r="BJ127" i="14"/>
  <c r="BJ75" i="14"/>
  <c r="BJ130" i="14"/>
  <c r="BJ135" i="14"/>
  <c r="BJ134" i="14"/>
  <c r="BJ131" i="14"/>
  <c r="BJ69" i="30"/>
  <c r="BJ68" i="30"/>
  <c r="BJ20" i="30"/>
  <c r="BJ22" i="30"/>
  <c r="BJ18" i="30"/>
  <c r="BM33" i="34"/>
  <c r="BM6" i="34" s="1"/>
  <c r="BL36" i="34"/>
  <c r="BL7" i="34"/>
  <c r="BJ25" i="14"/>
  <c r="BK17" i="30"/>
  <c r="BK13" i="14"/>
  <c r="BI84" i="14"/>
  <c r="BI77" i="14"/>
  <c r="BI76" i="30"/>
  <c r="BK74" i="30"/>
  <c r="BK16" i="14"/>
  <c r="BK24" i="14" s="1"/>
  <c r="AJ82" i="14"/>
  <c r="AJ108" i="14" s="1"/>
  <c r="AN101" i="30"/>
  <c r="AO111" i="14"/>
  <c r="BI78" i="30" l="1"/>
  <c r="BI85" i="14" s="1"/>
  <c r="BI90" i="30" s="1"/>
  <c r="CE35" i="25"/>
  <c r="CD44" i="25"/>
  <c r="CC35" i="14" s="1"/>
  <c r="CB37" i="14"/>
  <c r="CB39" i="14"/>
  <c r="CA51" i="14"/>
  <c r="CA73" i="14" s="1"/>
  <c r="BJ28" i="30"/>
  <c r="BJ29" i="30" s="1"/>
  <c r="BM34" i="34"/>
  <c r="BM7" i="34" s="1"/>
  <c r="BI89" i="30"/>
  <c r="BJ84" i="14"/>
  <c r="BJ77" i="14"/>
  <c r="BL37" i="34"/>
  <c r="BL10" i="34" s="1"/>
  <c r="BL8" i="34"/>
  <c r="BM11" i="14"/>
  <c r="I7" i="15" s="1"/>
  <c r="BM11" i="30"/>
  <c r="BK18" i="30"/>
  <c r="BK69" i="30"/>
  <c r="BK20" i="30"/>
  <c r="BK22" i="30"/>
  <c r="BK68" i="30"/>
  <c r="BK25" i="14"/>
  <c r="BJ76" i="14"/>
  <c r="BK119" i="14"/>
  <c r="BK135" i="14"/>
  <c r="BK134" i="14"/>
  <c r="BK124" i="14"/>
  <c r="BK131" i="14"/>
  <c r="BK127" i="14"/>
  <c r="BK122" i="14"/>
  <c r="BK130" i="14"/>
  <c r="BK75" i="14"/>
  <c r="BK120" i="14"/>
  <c r="BK129" i="14"/>
  <c r="BK121" i="14"/>
  <c r="BL12" i="14"/>
  <c r="BL21" i="14" s="1"/>
  <c r="BL12" i="30"/>
  <c r="BL25" i="30" s="1"/>
  <c r="BJ76" i="30"/>
  <c r="AK82" i="14"/>
  <c r="AK108" i="14" s="1"/>
  <c r="AO101" i="30"/>
  <c r="AP111" i="14"/>
  <c r="BI79" i="30" l="1"/>
  <c r="BJ78" i="30"/>
  <c r="CB51" i="14"/>
  <c r="CB73" i="14" s="1"/>
  <c r="CC39" i="14"/>
  <c r="CC37" i="14"/>
  <c r="CF35" i="25"/>
  <c r="CE44" i="25"/>
  <c r="CD35" i="14" s="1"/>
  <c r="BN33" i="34"/>
  <c r="BN6" i="34" s="1"/>
  <c r="BN11" i="14" s="1"/>
  <c r="BM36" i="34"/>
  <c r="BK28" i="30"/>
  <c r="BK29" i="30" s="1"/>
  <c r="BK76" i="30"/>
  <c r="BJ89" i="30"/>
  <c r="BJ85" i="14"/>
  <c r="BJ90" i="30" s="1"/>
  <c r="BK76" i="14"/>
  <c r="BL13" i="14"/>
  <c r="BL17" i="30"/>
  <c r="BK84" i="14"/>
  <c r="BK77" i="14"/>
  <c r="BL16" i="14"/>
  <c r="BL24" i="14" s="1"/>
  <c r="BL74" i="30"/>
  <c r="BJ79" i="30"/>
  <c r="BM12" i="30"/>
  <c r="BM25" i="30" s="1"/>
  <c r="BM12" i="14"/>
  <c r="BM37" i="34"/>
  <c r="BM10" i="34" s="1"/>
  <c r="BM8" i="34"/>
  <c r="AQ111" i="14"/>
  <c r="AL82" i="14"/>
  <c r="AL108" i="14" s="1"/>
  <c r="AP101" i="30"/>
  <c r="BN34" i="34" l="1"/>
  <c r="BO33" i="34" s="1"/>
  <c r="BO6" i="34" s="1"/>
  <c r="BO11" i="14" s="1"/>
  <c r="CC51" i="14"/>
  <c r="CC73" i="14" s="1"/>
  <c r="CD39" i="14"/>
  <c r="CD37" i="14"/>
  <c r="CG35" i="25"/>
  <c r="CF44" i="25"/>
  <c r="CE35" i="14" s="1"/>
  <c r="BK78" i="30"/>
  <c r="BK89" i="30" s="1"/>
  <c r="BN36" i="34"/>
  <c r="BN8" i="34" s="1"/>
  <c r="BN13" i="14" s="1"/>
  <c r="BN7" i="34"/>
  <c r="BN12" i="14" s="1"/>
  <c r="BN21" i="14" s="1"/>
  <c r="BN37" i="34"/>
  <c r="BN10" i="34" s="1"/>
  <c r="BN16" i="14" s="1"/>
  <c r="BL68" i="30"/>
  <c r="BL20" i="30"/>
  <c r="BL22" i="30"/>
  <c r="BL69" i="30"/>
  <c r="BL18" i="30"/>
  <c r="BL131" i="14"/>
  <c r="BL129" i="14"/>
  <c r="BL119" i="14"/>
  <c r="BL122" i="14"/>
  <c r="BL121" i="14"/>
  <c r="BL124" i="14"/>
  <c r="BL75" i="14"/>
  <c r="BL76" i="14" s="1"/>
  <c r="BL130" i="14"/>
  <c r="BL127" i="14"/>
  <c r="BL135" i="14"/>
  <c r="BL120" i="14"/>
  <c r="BL134" i="14"/>
  <c r="BM13" i="14"/>
  <c r="I9" i="15" s="1"/>
  <c r="BM17" i="30"/>
  <c r="BM16" i="14"/>
  <c r="BM74" i="30"/>
  <c r="BO34" i="34"/>
  <c r="BM21" i="14"/>
  <c r="I8" i="15"/>
  <c r="BL25" i="14"/>
  <c r="AR111" i="14"/>
  <c r="AM82" i="14"/>
  <c r="AQ101" i="30"/>
  <c r="BK79" i="30" l="1"/>
  <c r="CD51" i="14"/>
  <c r="CD73" i="14" s="1"/>
  <c r="CE37" i="14"/>
  <c r="CE39" i="14"/>
  <c r="CG44" i="25"/>
  <c r="CF35" i="14" s="1"/>
  <c r="CH35" i="25"/>
  <c r="BK85" i="14"/>
  <c r="BK90" i="30" s="1"/>
  <c r="BL76" i="30"/>
  <c r="BN24" i="14"/>
  <c r="BL28" i="30"/>
  <c r="BP33" i="34"/>
  <c r="BP6" i="34" s="1"/>
  <c r="BP11" i="14" s="1"/>
  <c r="BO36" i="34"/>
  <c r="BO7" i="34"/>
  <c r="BO12" i="14" s="1"/>
  <c r="BM24" i="14"/>
  <c r="BM25" i="14" s="1"/>
  <c r="I11" i="15"/>
  <c r="I14" i="15" s="1"/>
  <c r="I62" i="15" s="1"/>
  <c r="BL77" i="14"/>
  <c r="BL84" i="14"/>
  <c r="BM68" i="30"/>
  <c r="BM18" i="30"/>
  <c r="BM69" i="30"/>
  <c r="BM22" i="30"/>
  <c r="BM20" i="30"/>
  <c r="AS111" i="14"/>
  <c r="AT111" i="14" s="1"/>
  <c r="AU111" i="14" s="1"/>
  <c r="AV111" i="14" s="1"/>
  <c r="AM108" i="14"/>
  <c r="AR101" i="30"/>
  <c r="AR92" i="30"/>
  <c r="AR96" i="30" s="1"/>
  <c r="AS87" i="30" s="1"/>
  <c r="AS96" i="30" s="1"/>
  <c r="AT87" i="30" s="1"/>
  <c r="BN25" i="14" l="1"/>
  <c r="CF37" i="14"/>
  <c r="CF39" i="14"/>
  <c r="CI35" i="25"/>
  <c r="CH44" i="25"/>
  <c r="CG35" i="14" s="1"/>
  <c r="CE51" i="14"/>
  <c r="CE73" i="14" s="1"/>
  <c r="BM28" i="30"/>
  <c r="BM76" i="30"/>
  <c r="BP34" i="34"/>
  <c r="BO37" i="34"/>
  <c r="BO10" i="34" s="1"/>
  <c r="BO16" i="14" s="1"/>
  <c r="BO8" i="34"/>
  <c r="BO13" i="14" s="1"/>
  <c r="BL78" i="30"/>
  <c r="BL29" i="30"/>
  <c r="I64" i="15"/>
  <c r="BM129" i="14"/>
  <c r="BM135" i="14"/>
  <c r="BM130" i="14"/>
  <c r="BM134" i="14"/>
  <c r="BM127" i="14"/>
  <c r="BM120" i="14"/>
  <c r="BM122" i="14"/>
  <c r="BM121" i="14"/>
  <c r="BM124" i="14"/>
  <c r="BM131" i="14"/>
  <c r="BM75" i="14"/>
  <c r="BM119" i="14"/>
  <c r="BN131" i="14"/>
  <c r="BN124" i="14"/>
  <c r="BN129" i="14"/>
  <c r="BN121" i="14"/>
  <c r="BN119" i="14"/>
  <c r="BN75" i="14"/>
  <c r="BN127" i="14"/>
  <c r="BN135" i="14"/>
  <c r="BN120" i="14"/>
  <c r="BN134" i="14"/>
  <c r="BN130" i="14"/>
  <c r="BN122" i="14"/>
  <c r="BO21" i="14"/>
  <c r="AW111" i="14"/>
  <c r="AV101" i="30"/>
  <c r="AT92" i="30"/>
  <c r="AT96" i="30" s="1"/>
  <c r="AU87" i="30" s="1"/>
  <c r="AS101" i="30"/>
  <c r="AN82" i="14"/>
  <c r="AN108" i="14" s="1"/>
  <c r="BM29" i="30" l="1"/>
  <c r="CG37" i="14"/>
  <c r="CG39" i="14"/>
  <c r="CJ35" i="25"/>
  <c r="CI44" i="25"/>
  <c r="CH35" i="14" s="1"/>
  <c r="CF51" i="14"/>
  <c r="CF73" i="14" s="1"/>
  <c r="BM78" i="30"/>
  <c r="BM85" i="14" s="1"/>
  <c r="BM90" i="30" s="1"/>
  <c r="BM84" i="14"/>
  <c r="BM77" i="14"/>
  <c r="BM76" i="14"/>
  <c r="BN76" i="14" s="1"/>
  <c r="BL85" i="14"/>
  <c r="BL90" i="30" s="1"/>
  <c r="BL89" i="30"/>
  <c r="BL79" i="30"/>
  <c r="BO24" i="14"/>
  <c r="BN84" i="14"/>
  <c r="BN77" i="14"/>
  <c r="BQ33" i="34"/>
  <c r="BQ6" i="34" s="1"/>
  <c r="BQ11" i="14" s="1"/>
  <c r="BP36" i="34"/>
  <c r="BQ34" i="34"/>
  <c r="BP7" i="34"/>
  <c r="BP12" i="14" s="1"/>
  <c r="AX111" i="14"/>
  <c r="AW101" i="30"/>
  <c r="AU92" i="30"/>
  <c r="AU96" i="30" s="1"/>
  <c r="AV87" i="30" s="1"/>
  <c r="AV96" i="30" s="1"/>
  <c r="AW87" i="30" s="1"/>
  <c r="AW96" i="30" s="1"/>
  <c r="AX87" i="30" s="1"/>
  <c r="AX96" i="30" s="1"/>
  <c r="AY87" i="30" s="1"/>
  <c r="AY96" i="30" s="1"/>
  <c r="AZ87" i="30" s="1"/>
  <c r="AZ96" i="30" s="1"/>
  <c r="BA87" i="30" s="1"/>
  <c r="BA96" i="30" s="1"/>
  <c r="BB87" i="30" s="1"/>
  <c r="BB96" i="30" s="1"/>
  <c r="BC87" i="30" s="1"/>
  <c r="BC96" i="30" s="1"/>
  <c r="BD87" i="30" s="1"/>
  <c r="BD96" i="30" s="1"/>
  <c r="BE87" i="30" s="1"/>
  <c r="BE96" i="30" s="1"/>
  <c r="BF87" i="30" s="1"/>
  <c r="BF96" i="30" s="1"/>
  <c r="BG87" i="30" s="1"/>
  <c r="BG96" i="30" s="1"/>
  <c r="BH87" i="30" s="1"/>
  <c r="BH96" i="30" s="1"/>
  <c r="BI87" i="30" s="1"/>
  <c r="BI96" i="30" s="1"/>
  <c r="BJ87" i="30" s="1"/>
  <c r="BJ96" i="30" s="1"/>
  <c r="BK87" i="30" s="1"/>
  <c r="BK96" i="30" s="1"/>
  <c r="BL87" i="30" s="1"/>
  <c r="AT101" i="30"/>
  <c r="AO82" i="14"/>
  <c r="AO108" i="14" s="1"/>
  <c r="CH39" i="14" l="1"/>
  <c r="CH37" i="14"/>
  <c r="CH51" i="14" s="1"/>
  <c r="CH73" i="14" s="1"/>
  <c r="CJ44" i="25"/>
  <c r="CI35" i="14" s="1"/>
  <c r="CK35" i="25"/>
  <c r="CG51" i="14"/>
  <c r="CG73" i="14" s="1"/>
  <c r="BM79" i="30"/>
  <c r="BM89" i="30"/>
  <c r="BO131" i="14"/>
  <c r="BO120" i="14"/>
  <c r="BO121" i="14"/>
  <c r="BO127" i="14"/>
  <c r="BO134" i="14"/>
  <c r="BO130" i="14"/>
  <c r="BO119" i="14"/>
  <c r="BO135" i="14"/>
  <c r="BO124" i="14"/>
  <c r="BO122" i="14"/>
  <c r="BO129" i="14"/>
  <c r="BO75" i="14"/>
  <c r="BO25" i="14"/>
  <c r="BP21" i="14"/>
  <c r="BP37" i="34"/>
  <c r="BP10" i="34" s="1"/>
  <c r="BP16" i="14" s="1"/>
  <c r="BP8" i="34"/>
  <c r="BP13" i="14" s="1"/>
  <c r="BR33" i="34"/>
  <c r="BR6" i="34" s="1"/>
  <c r="BR11" i="14" s="1"/>
  <c r="BR34" i="34"/>
  <c r="BQ36" i="34"/>
  <c r="BQ7" i="34"/>
  <c r="BQ12" i="14" s="1"/>
  <c r="BQ21" i="14" s="1"/>
  <c r="BL96" i="30"/>
  <c r="BM87" i="30" s="1"/>
  <c r="AY111" i="14"/>
  <c r="AX101" i="30"/>
  <c r="AU101" i="30"/>
  <c r="AP82" i="14"/>
  <c r="N78" i="30"/>
  <c r="N79" i="30" s="1"/>
  <c r="M78" i="30"/>
  <c r="L78" i="30"/>
  <c r="BM96" i="30" l="1"/>
  <c r="CL35" i="25"/>
  <c r="CL44" i="25" s="1"/>
  <c r="CK35" i="14" s="1"/>
  <c r="CK44" i="25"/>
  <c r="CJ35" i="14" s="1"/>
  <c r="CI37" i="14"/>
  <c r="CI39" i="14"/>
  <c r="BP24" i="14"/>
  <c r="BP25" i="14" s="1"/>
  <c r="BQ37" i="34"/>
  <c r="BQ10" i="34" s="1"/>
  <c r="BQ16" i="14" s="1"/>
  <c r="BQ24" i="14" s="1"/>
  <c r="BQ8" i="34"/>
  <c r="BQ13" i="14" s="1"/>
  <c r="BS33" i="34"/>
  <c r="BS6" i="34" s="1"/>
  <c r="BS11" i="14" s="1"/>
  <c r="BR36" i="34"/>
  <c r="BR7" i="34"/>
  <c r="BR12" i="14" s="1"/>
  <c r="BR21" i="14" s="1"/>
  <c r="BO77" i="14"/>
  <c r="BO84" i="14"/>
  <c r="BO76" i="14"/>
  <c r="AZ111" i="14"/>
  <c r="AY101" i="30"/>
  <c r="AP108" i="14"/>
  <c r="CI51" i="14" l="1"/>
  <c r="CI73" i="14" s="1"/>
  <c r="CJ39" i="14"/>
  <c r="CJ37" i="14"/>
  <c r="CK39" i="14"/>
  <c r="K25" i="15" s="1"/>
  <c r="CK37" i="14"/>
  <c r="K21" i="15"/>
  <c r="BQ127" i="14"/>
  <c r="BQ124" i="14"/>
  <c r="BQ120" i="14"/>
  <c r="BQ121" i="14"/>
  <c r="BQ134" i="14"/>
  <c r="BQ119" i="14"/>
  <c r="BQ135" i="14"/>
  <c r="BQ122" i="14"/>
  <c r="BQ131" i="14"/>
  <c r="BQ130" i="14"/>
  <c r="BQ75" i="14"/>
  <c r="BQ129" i="14"/>
  <c r="BS34" i="34"/>
  <c r="BQ25" i="14"/>
  <c r="BR37" i="34"/>
  <c r="BR10" i="34" s="1"/>
  <c r="BR16" i="14" s="1"/>
  <c r="BR24" i="14" s="1"/>
  <c r="BR8" i="34"/>
  <c r="BR13" i="14" s="1"/>
  <c r="BP120" i="14"/>
  <c r="BP127" i="14"/>
  <c r="BP131" i="14"/>
  <c r="BP129" i="14"/>
  <c r="BP134" i="14"/>
  <c r="BP121" i="14"/>
  <c r="BP130" i="14"/>
  <c r="BP75" i="14"/>
  <c r="BP124" i="14"/>
  <c r="BP135" i="14"/>
  <c r="BP122" i="14"/>
  <c r="BP119" i="14"/>
  <c r="BA111" i="14"/>
  <c r="BB111" i="14" s="1"/>
  <c r="AQ82" i="14"/>
  <c r="CJ51" i="14" l="1"/>
  <c r="CJ73" i="14" s="1"/>
  <c r="CK51" i="14"/>
  <c r="CK73" i="14" s="1"/>
  <c r="K23" i="15"/>
  <c r="K60" i="15" s="1"/>
  <c r="BP77" i="14"/>
  <c r="BP84" i="14"/>
  <c r="BP76" i="14"/>
  <c r="BQ76" i="14" s="1"/>
  <c r="BR25" i="14"/>
  <c r="BS36" i="34"/>
  <c r="BT33" i="34"/>
  <c r="BT6" i="34" s="1"/>
  <c r="BT11" i="14" s="1"/>
  <c r="BS7" i="34"/>
  <c r="BS12" i="14" s="1"/>
  <c r="BQ84" i="14"/>
  <c r="BQ77" i="14"/>
  <c r="BR134" i="14"/>
  <c r="BR135" i="14"/>
  <c r="BR124" i="14"/>
  <c r="BR131" i="14"/>
  <c r="BR120" i="14"/>
  <c r="BR119" i="14"/>
  <c r="BR121" i="14"/>
  <c r="BR129" i="14"/>
  <c r="BR122" i="14"/>
  <c r="BR75" i="14"/>
  <c r="BR130" i="14"/>
  <c r="BR127" i="14"/>
  <c r="BB101" i="30"/>
  <c r="BC111" i="14"/>
  <c r="AQ108" i="14"/>
  <c r="BS37" i="34" l="1"/>
  <c r="BS10" i="34" s="1"/>
  <c r="BS16" i="14" s="1"/>
  <c r="BS8" i="34"/>
  <c r="BS13" i="14" s="1"/>
  <c r="BS21" i="14"/>
  <c r="BR76" i="14"/>
  <c r="BT34" i="34"/>
  <c r="BR84" i="14"/>
  <c r="BR77" i="14"/>
  <c r="BD111" i="14"/>
  <c r="BC101" i="30"/>
  <c r="AR82" i="14"/>
  <c r="BS24" i="14" l="1"/>
  <c r="BS25" i="14" s="1"/>
  <c r="BT36" i="34"/>
  <c r="BU33" i="34"/>
  <c r="BU6" i="34" s="1"/>
  <c r="BU11" i="14" s="1"/>
  <c r="BU34" i="34"/>
  <c r="BT7" i="34"/>
  <c r="BT12" i="14" s="1"/>
  <c r="BT21" i="14" s="1"/>
  <c r="BS131" i="14"/>
  <c r="BS134" i="14"/>
  <c r="BS122" i="14"/>
  <c r="BE111" i="14"/>
  <c r="BD101" i="30"/>
  <c r="AR108" i="14"/>
  <c r="BS120" i="14" l="1"/>
  <c r="BS127" i="14"/>
  <c r="BS75" i="14"/>
  <c r="BS76" i="14" s="1"/>
  <c r="BS121" i="14"/>
  <c r="BS124" i="14"/>
  <c r="BS130" i="14"/>
  <c r="BS119" i="14"/>
  <c r="BS135" i="14"/>
  <c r="BS129" i="14"/>
  <c r="BV33" i="34"/>
  <c r="BV6" i="34" s="1"/>
  <c r="BV11" i="14" s="1"/>
  <c r="BU36" i="34"/>
  <c r="BU7" i="34"/>
  <c r="BU12" i="14" s="1"/>
  <c r="BU21" i="14" s="1"/>
  <c r="BT37" i="34"/>
  <c r="BT10" i="34" s="1"/>
  <c r="BT16" i="14" s="1"/>
  <c r="BT24" i="14" s="1"/>
  <c r="BT8" i="34"/>
  <c r="BT13" i="14" s="1"/>
  <c r="BE101" i="30"/>
  <c r="BF111" i="14"/>
  <c r="AS82" i="14"/>
  <c r="BS84" i="14" l="1"/>
  <c r="BS77" i="14"/>
  <c r="BV34" i="34"/>
  <c r="BT130" i="14"/>
  <c r="BT124" i="14"/>
  <c r="BT127" i="14"/>
  <c r="BT135" i="14"/>
  <c r="BT131" i="14"/>
  <c r="BT119" i="14"/>
  <c r="BT129" i="14"/>
  <c r="BT122" i="14"/>
  <c r="BT134" i="14"/>
  <c r="BT75" i="14"/>
  <c r="BT120" i="14"/>
  <c r="BT121" i="14"/>
  <c r="BT25" i="14"/>
  <c r="BW33" i="34"/>
  <c r="BW6" i="34" s="1"/>
  <c r="BW11" i="14" s="1"/>
  <c r="BV36" i="34"/>
  <c r="BV7" i="34"/>
  <c r="BV12" i="14" s="1"/>
  <c r="BV21" i="14" s="1"/>
  <c r="BU37" i="34"/>
  <c r="BU10" i="34" s="1"/>
  <c r="BU16" i="14" s="1"/>
  <c r="BU24" i="14" s="1"/>
  <c r="BU8" i="34"/>
  <c r="BU13" i="14" s="1"/>
  <c r="BF101" i="30"/>
  <c r="BG111" i="14"/>
  <c r="AS108" i="14"/>
  <c r="BU25" i="14" l="1"/>
  <c r="BW34" i="34"/>
  <c r="BV37" i="34"/>
  <c r="BV10" i="34" s="1"/>
  <c r="BV16" i="14" s="1"/>
  <c r="BV24" i="14" s="1"/>
  <c r="BV25" i="14" s="1"/>
  <c r="BV8" i="34"/>
  <c r="BV13" i="14" s="1"/>
  <c r="BU122" i="14"/>
  <c r="BU131" i="14"/>
  <c r="BU124" i="14"/>
  <c r="BU119" i="14"/>
  <c r="BU120" i="14"/>
  <c r="BU127" i="14"/>
  <c r="BU121" i="14"/>
  <c r="BU75" i="14"/>
  <c r="BU135" i="14"/>
  <c r="BU129" i="14"/>
  <c r="BU130" i="14"/>
  <c r="BU134" i="14"/>
  <c r="BT77" i="14"/>
  <c r="BT84" i="14"/>
  <c r="BT76" i="14"/>
  <c r="BG101" i="30"/>
  <c r="BH111" i="14"/>
  <c r="AT82" i="14"/>
  <c r="BU76" i="14" l="1"/>
  <c r="BU84" i="14"/>
  <c r="BU77" i="14"/>
  <c r="BV121" i="14"/>
  <c r="BV124" i="14"/>
  <c r="BV129" i="14"/>
  <c r="BV130" i="14"/>
  <c r="BV131" i="14"/>
  <c r="BV122" i="14"/>
  <c r="BV120" i="14"/>
  <c r="BV75" i="14"/>
  <c r="BV119" i="14"/>
  <c r="BV135" i="14"/>
  <c r="BV127" i="14"/>
  <c r="BV134" i="14"/>
  <c r="BW36" i="34"/>
  <c r="BX33" i="34"/>
  <c r="BX6" i="34" s="1"/>
  <c r="BX11" i="14" s="1"/>
  <c r="BW7" i="34"/>
  <c r="BW12" i="14" s="1"/>
  <c r="BW21" i="14" s="1"/>
  <c r="BH101" i="30"/>
  <c r="BI111" i="14"/>
  <c r="AT108" i="14"/>
  <c r="BX34" i="34" l="1"/>
  <c r="BY33" i="34"/>
  <c r="BY6" i="34" s="1"/>
  <c r="BY11" i="14" s="1"/>
  <c r="J7" i="15" s="1"/>
  <c r="BX36" i="34"/>
  <c r="BX7" i="34"/>
  <c r="BX12" i="14" s="1"/>
  <c r="BX21" i="14" s="1"/>
  <c r="BV77" i="14"/>
  <c r="BV84" i="14"/>
  <c r="BV76" i="14"/>
  <c r="BW37" i="34"/>
  <c r="BW10" i="34" s="1"/>
  <c r="BW16" i="14" s="1"/>
  <c r="BW24" i="14" s="1"/>
  <c r="BW8" i="34"/>
  <c r="BW13" i="14" s="1"/>
  <c r="BJ111" i="14"/>
  <c r="BI101" i="30"/>
  <c r="AU82" i="14"/>
  <c r="AU108" i="14" s="1"/>
  <c r="BY34" i="34" l="1"/>
  <c r="BZ33" i="34" s="1"/>
  <c r="BZ6" i="34" s="1"/>
  <c r="BZ11" i="14" s="1"/>
  <c r="BW131" i="14"/>
  <c r="BW130" i="14"/>
  <c r="BW121" i="14"/>
  <c r="BW122" i="14"/>
  <c r="BW75" i="14"/>
  <c r="BW134" i="14"/>
  <c r="BW129" i="14"/>
  <c r="BW135" i="14"/>
  <c r="BW120" i="14"/>
  <c r="BW124" i="14"/>
  <c r="BW119" i="14"/>
  <c r="BW127" i="14"/>
  <c r="BW25" i="14"/>
  <c r="BY36" i="34"/>
  <c r="BX37" i="34"/>
  <c r="BX10" i="34" s="1"/>
  <c r="BX16" i="14" s="1"/>
  <c r="BX24" i="14" s="1"/>
  <c r="BX8" i="34"/>
  <c r="BX13" i="14" s="1"/>
  <c r="BJ101" i="30"/>
  <c r="BK111" i="14"/>
  <c r="AV82" i="14"/>
  <c r="AV108" i="14" s="1"/>
  <c r="BY7" i="34" l="1"/>
  <c r="BY12" i="14" s="1"/>
  <c r="BY21" i="14" s="1"/>
  <c r="BX25" i="14"/>
  <c r="BY37" i="34"/>
  <c r="BY10" i="34" s="1"/>
  <c r="BY16" i="14" s="1"/>
  <c r="BY8" i="34"/>
  <c r="BY13" i="14" s="1"/>
  <c r="J9" i="15" s="1"/>
  <c r="BW77" i="14"/>
  <c r="BW84" i="14"/>
  <c r="BX120" i="14"/>
  <c r="BX122" i="14"/>
  <c r="BX130" i="14"/>
  <c r="BX124" i="14"/>
  <c r="BX129" i="14"/>
  <c r="BX121" i="14"/>
  <c r="BX75" i="14"/>
  <c r="BX127" i="14"/>
  <c r="BX134" i="14"/>
  <c r="BX119" i="14"/>
  <c r="BX135" i="14"/>
  <c r="BX131" i="14"/>
  <c r="BZ34" i="34"/>
  <c r="BW76" i="14"/>
  <c r="BL111" i="14"/>
  <c r="BK101" i="30"/>
  <c r="AW82" i="14"/>
  <c r="AW108" i="14" s="1"/>
  <c r="J8" i="15" l="1"/>
  <c r="BX84" i="14"/>
  <c r="BX77" i="14"/>
  <c r="BX76" i="14"/>
  <c r="CA33" i="34"/>
  <c r="CA6" i="34" s="1"/>
  <c r="CA11" i="14" s="1"/>
  <c r="BZ36" i="34"/>
  <c r="BZ7" i="34"/>
  <c r="BZ12" i="14" s="1"/>
  <c r="BY24" i="14"/>
  <c r="J11" i="15"/>
  <c r="J14" i="15" s="1"/>
  <c r="J62" i="15" s="1"/>
  <c r="BM111" i="14"/>
  <c r="BN111" i="14" s="1"/>
  <c r="BO111" i="14" s="1"/>
  <c r="BP111" i="14" s="1"/>
  <c r="BQ111" i="14" s="1"/>
  <c r="BR111" i="14" s="1"/>
  <c r="BS111" i="14" s="1"/>
  <c r="BT111" i="14" s="1"/>
  <c r="BU111" i="14" s="1"/>
  <c r="BV111" i="14" s="1"/>
  <c r="BW111" i="14" s="1"/>
  <c r="BX111" i="14" s="1"/>
  <c r="BY111" i="14" s="1"/>
  <c r="BZ111" i="14" s="1"/>
  <c r="CA111" i="14" s="1"/>
  <c r="CB111" i="14" s="1"/>
  <c r="CC111" i="14" s="1"/>
  <c r="CD111" i="14" s="1"/>
  <c r="CE111" i="14" s="1"/>
  <c r="CF111" i="14" s="1"/>
  <c r="CG111" i="14" s="1"/>
  <c r="CH111" i="14" s="1"/>
  <c r="CI111" i="14" s="1"/>
  <c r="CJ111" i="14" s="1"/>
  <c r="CK111" i="14" s="1"/>
  <c r="BL101" i="30"/>
  <c r="AX82" i="14"/>
  <c r="AX108" i="14" s="1"/>
  <c r="CA34" i="34" l="1"/>
  <c r="CB33" i="34" s="1"/>
  <c r="CB6" i="34" s="1"/>
  <c r="CB11" i="14" s="1"/>
  <c r="BY127" i="14"/>
  <c r="BY130" i="14"/>
  <c r="BY124" i="14"/>
  <c r="BY121" i="14"/>
  <c r="BY135" i="14"/>
  <c r="BY131" i="14"/>
  <c r="BY129" i="14"/>
  <c r="BY119" i="14"/>
  <c r="BY75" i="14"/>
  <c r="BY76" i="14" s="1"/>
  <c r="BY122" i="14"/>
  <c r="BY120" i="14"/>
  <c r="BY134" i="14"/>
  <c r="BY25" i="14"/>
  <c r="BZ21" i="14"/>
  <c r="CA36" i="34"/>
  <c r="CA7" i="34"/>
  <c r="CA12" i="14" s="1"/>
  <c r="CA21" i="14" s="1"/>
  <c r="BZ37" i="34"/>
  <c r="BZ10" i="34" s="1"/>
  <c r="BZ16" i="14" s="1"/>
  <c r="BZ8" i="34"/>
  <c r="BZ13" i="14" s="1"/>
  <c r="J64" i="15"/>
  <c r="BM101" i="30"/>
  <c r="AY82" i="14"/>
  <c r="AY108" i="14" s="1"/>
  <c r="BZ24" i="14" l="1"/>
  <c r="BZ131" i="14" s="1"/>
  <c r="CB34" i="34"/>
  <c r="CC33" i="34"/>
  <c r="CC6" i="34" s="1"/>
  <c r="CC11" i="14" s="1"/>
  <c r="CB36" i="34"/>
  <c r="CC34" i="34"/>
  <c r="CB7" i="34"/>
  <c r="CB12" i="14" s="1"/>
  <c r="BZ130" i="14"/>
  <c r="CA37" i="34"/>
  <c r="CA10" i="34" s="1"/>
  <c r="CA16" i="14" s="1"/>
  <c r="CA24" i="14" s="1"/>
  <c r="CA8" i="34"/>
  <c r="CA13" i="14" s="1"/>
  <c r="BY84" i="14"/>
  <c r="BY77" i="14"/>
  <c r="AZ82" i="14"/>
  <c r="AZ108" i="14" s="1"/>
  <c r="BZ122" i="14" l="1"/>
  <c r="BZ124" i="14"/>
  <c r="BZ119" i="14"/>
  <c r="BZ134" i="14"/>
  <c r="BZ75" i="14"/>
  <c r="BZ76" i="14" s="1"/>
  <c r="BZ121" i="14"/>
  <c r="BZ120" i="14"/>
  <c r="BZ25" i="14"/>
  <c r="CA25" i="14" s="1"/>
  <c r="BZ129" i="14"/>
  <c r="BZ127" i="14"/>
  <c r="BZ135" i="14"/>
  <c r="CA131" i="14"/>
  <c r="CA121" i="14"/>
  <c r="CA119" i="14"/>
  <c r="CA130" i="14"/>
  <c r="CA134" i="14"/>
  <c r="CA122" i="14"/>
  <c r="CA120" i="14"/>
  <c r="CA124" i="14"/>
  <c r="CA127" i="14"/>
  <c r="CA135" i="14"/>
  <c r="CA75" i="14"/>
  <c r="CA129" i="14"/>
  <c r="CD33" i="34"/>
  <c r="CD6" i="34" s="1"/>
  <c r="CD11" i="14" s="1"/>
  <c r="CC36" i="34"/>
  <c r="CC7" i="34"/>
  <c r="CC12" i="14" s="1"/>
  <c r="CC21" i="14" s="1"/>
  <c r="CB21" i="14"/>
  <c r="CB37" i="34"/>
  <c r="CB10" i="34" s="1"/>
  <c r="CB16" i="14" s="1"/>
  <c r="CB8" i="34"/>
  <c r="CB13" i="14" s="1"/>
  <c r="BA82" i="14"/>
  <c r="BZ84" i="14" l="1"/>
  <c r="BZ77" i="14"/>
  <c r="CA76" i="14"/>
  <c r="CB24" i="14"/>
  <c r="CB120" i="14" s="1"/>
  <c r="CD34" i="34"/>
  <c r="CE33" i="34" s="1"/>
  <c r="CD36" i="34"/>
  <c r="CD7" i="34"/>
  <c r="CD12" i="14" s="1"/>
  <c r="CD21" i="14" s="1"/>
  <c r="CC37" i="34"/>
  <c r="CC10" i="34" s="1"/>
  <c r="CC16" i="14" s="1"/>
  <c r="CC24" i="14" s="1"/>
  <c r="CC8" i="34"/>
  <c r="CC13" i="14" s="1"/>
  <c r="CA77" i="14"/>
  <c r="CA84" i="14"/>
  <c r="BA108" i="14"/>
  <c r="CB124" i="14" l="1"/>
  <c r="CB122" i="14"/>
  <c r="CB135" i="14"/>
  <c r="CB129" i="14"/>
  <c r="CB130" i="14"/>
  <c r="CB131" i="14"/>
  <c r="CB75" i="14"/>
  <c r="CB76" i="14" s="1"/>
  <c r="CB119" i="14"/>
  <c r="CB127" i="14"/>
  <c r="CB121" i="14"/>
  <c r="CB25" i="14"/>
  <c r="CC25" i="14" s="1"/>
  <c r="CB134" i="14"/>
  <c r="CE6" i="34"/>
  <c r="CE11" i="14" s="1"/>
  <c r="CE34" i="34"/>
  <c r="CE7" i="34" s="1"/>
  <c r="CE12" i="14" s="1"/>
  <c r="CC131" i="14"/>
  <c r="CC130" i="14"/>
  <c r="CC121" i="14"/>
  <c r="CC119" i="14"/>
  <c r="CC120" i="14"/>
  <c r="CC124" i="14"/>
  <c r="CC122" i="14"/>
  <c r="CC134" i="14"/>
  <c r="CC129" i="14"/>
  <c r="CC75" i="14"/>
  <c r="CC135" i="14"/>
  <c r="CC127" i="14"/>
  <c r="CD37" i="34"/>
  <c r="CD10" i="34" s="1"/>
  <c r="CD16" i="14" s="1"/>
  <c r="CD24" i="14" s="1"/>
  <c r="CD8" i="34"/>
  <c r="CD13" i="14" s="1"/>
  <c r="BB82" i="14"/>
  <c r="BB108" i="14" s="1"/>
  <c r="CB77" i="14" l="1"/>
  <c r="CB84" i="14"/>
  <c r="CC76" i="14"/>
  <c r="CF33" i="34"/>
  <c r="CF6" i="34" s="1"/>
  <c r="CF11" i="14" s="1"/>
  <c r="CE36" i="34"/>
  <c r="CE37" i="34"/>
  <c r="CE10" i="34" s="1"/>
  <c r="CE16" i="14" s="1"/>
  <c r="CE8" i="34"/>
  <c r="CE13" i="14" s="1"/>
  <c r="CF34" i="34"/>
  <c r="CD25" i="14"/>
  <c r="CD119" i="14"/>
  <c r="CD122" i="14"/>
  <c r="CD134" i="14"/>
  <c r="CD121" i="14"/>
  <c r="CD124" i="14"/>
  <c r="CD130" i="14"/>
  <c r="CD120" i="14"/>
  <c r="CD127" i="14"/>
  <c r="CD135" i="14"/>
  <c r="CD75" i="14"/>
  <c r="CD131" i="14"/>
  <c r="CD129" i="14"/>
  <c r="CC84" i="14"/>
  <c r="CC77" i="14"/>
  <c r="CE21" i="14"/>
  <c r="BC82" i="14"/>
  <c r="CD76" i="14" l="1"/>
  <c r="CF36" i="34"/>
  <c r="CG33" i="34"/>
  <c r="CG6" i="34" s="1"/>
  <c r="CG11" i="14" s="1"/>
  <c r="CF7" i="34"/>
  <c r="CF12" i="14" s="1"/>
  <c r="CD84" i="14"/>
  <c r="CD77" i="14"/>
  <c r="CE24" i="14"/>
  <c r="CE25" i="14" s="1"/>
  <c r="BC108" i="14"/>
  <c r="CG34" i="34" l="1"/>
  <c r="CF37" i="34"/>
  <c r="CF10" i="34" s="1"/>
  <c r="CF16" i="14" s="1"/>
  <c r="CF8" i="34"/>
  <c r="CF13" i="14" s="1"/>
  <c r="CF21" i="14"/>
  <c r="CE129" i="14"/>
  <c r="CE124" i="14"/>
  <c r="CE119" i="14"/>
  <c r="CE131" i="14"/>
  <c r="CE122" i="14"/>
  <c r="CE127" i="14"/>
  <c r="CE134" i="14"/>
  <c r="CE75" i="14"/>
  <c r="CE130" i="14"/>
  <c r="CE135" i="14"/>
  <c r="CE121" i="14"/>
  <c r="CE120" i="14"/>
  <c r="BD82" i="14"/>
  <c r="BD108" i="14" s="1"/>
  <c r="CF24" i="14" l="1"/>
  <c r="CH33" i="34"/>
  <c r="CH6" i="34" s="1"/>
  <c r="CH11" i="14" s="1"/>
  <c r="CH34" i="34"/>
  <c r="CG36" i="34"/>
  <c r="CG7" i="34"/>
  <c r="CG12" i="14" s="1"/>
  <c r="CG21" i="14" s="1"/>
  <c r="CE77" i="14"/>
  <c r="CE84" i="14"/>
  <c r="CE76" i="14"/>
  <c r="BE82" i="14"/>
  <c r="BE108" i="14" s="1"/>
  <c r="CG37" i="34" l="1"/>
  <c r="CG10" i="34" s="1"/>
  <c r="CG16" i="14" s="1"/>
  <c r="CG24" i="14" s="1"/>
  <c r="CG8" i="34"/>
  <c r="CG13" i="14" s="1"/>
  <c r="CI33" i="34"/>
  <c r="CI6" i="34" s="1"/>
  <c r="CI11" i="14" s="1"/>
  <c r="CH36" i="34"/>
  <c r="CI34" i="34"/>
  <c r="CH7" i="34"/>
  <c r="CH12" i="14" s="1"/>
  <c r="CH21" i="14" s="1"/>
  <c r="CF127" i="14"/>
  <c r="CF130" i="14"/>
  <c r="CF131" i="14"/>
  <c r="CF135" i="14"/>
  <c r="CF122" i="14"/>
  <c r="CF121" i="14"/>
  <c r="CF75" i="14"/>
  <c r="CF124" i="14"/>
  <c r="CF119" i="14"/>
  <c r="CF129" i="14"/>
  <c r="CF120" i="14"/>
  <c r="CF134" i="14"/>
  <c r="CF25" i="14"/>
  <c r="BF82" i="14"/>
  <c r="BF108" i="14" s="1"/>
  <c r="CG25" i="14" l="1"/>
  <c r="CF77" i="14"/>
  <c r="CF84" i="14"/>
  <c r="CJ33" i="34"/>
  <c r="CJ6" i="34" s="1"/>
  <c r="CJ11" i="14" s="1"/>
  <c r="CI36" i="34"/>
  <c r="CJ34" i="34"/>
  <c r="CI7" i="34"/>
  <c r="CI12" i="14" s="1"/>
  <c r="CI21" i="14" s="1"/>
  <c r="CH37" i="34"/>
  <c r="CH10" i="34" s="1"/>
  <c r="CH16" i="14" s="1"/>
  <c r="CH24" i="14" s="1"/>
  <c r="CH8" i="34"/>
  <c r="CH13" i="14" s="1"/>
  <c r="CG127" i="14"/>
  <c r="CG131" i="14"/>
  <c r="CG124" i="14"/>
  <c r="CG130" i="14"/>
  <c r="CG119" i="14"/>
  <c r="CG121" i="14"/>
  <c r="CG122" i="14"/>
  <c r="CG134" i="14"/>
  <c r="CG129" i="14"/>
  <c r="CG75" i="14"/>
  <c r="CG135" i="14"/>
  <c r="CG120" i="14"/>
  <c r="CF76" i="14"/>
  <c r="BG82" i="14"/>
  <c r="BG108" i="14" s="1"/>
  <c r="BH82" i="14" s="1"/>
  <c r="BH108" i="14" s="1"/>
  <c r="CG76" i="14" l="1"/>
  <c r="CH124" i="14"/>
  <c r="CH120" i="14"/>
  <c r="CH122" i="14"/>
  <c r="CH131" i="14"/>
  <c r="CH127" i="14"/>
  <c r="CH129" i="14"/>
  <c r="CH130" i="14"/>
  <c r="CH119" i="14"/>
  <c r="CH121" i="14"/>
  <c r="CH135" i="14"/>
  <c r="CH134" i="14"/>
  <c r="CH75" i="14"/>
  <c r="CI37" i="34"/>
  <c r="CI10" i="34" s="1"/>
  <c r="CI16" i="14" s="1"/>
  <c r="CI24" i="14" s="1"/>
  <c r="CI8" i="34"/>
  <c r="CI13" i="14" s="1"/>
  <c r="CG77" i="14"/>
  <c r="CG84" i="14"/>
  <c r="CJ36" i="34"/>
  <c r="CK33" i="34"/>
  <c r="CK6" i="34" s="1"/>
  <c r="CK11" i="14" s="1"/>
  <c r="K7" i="15" s="1"/>
  <c r="CK34" i="34"/>
  <c r="CJ7" i="34"/>
  <c r="CJ12" i="14" s="1"/>
  <c r="CJ21" i="14" s="1"/>
  <c r="CH25" i="14"/>
  <c r="BI82" i="14"/>
  <c r="BI108" i="14" s="1"/>
  <c r="CI25" i="14" l="1"/>
  <c r="CK36" i="34"/>
  <c r="CK7" i="34"/>
  <c r="CK12" i="14" s="1"/>
  <c r="CH84" i="14"/>
  <c r="CH77" i="14"/>
  <c r="CJ37" i="34"/>
  <c r="CJ10" i="34" s="1"/>
  <c r="CJ16" i="14" s="1"/>
  <c r="CJ24" i="14" s="1"/>
  <c r="CJ8" i="34"/>
  <c r="CJ13" i="14" s="1"/>
  <c r="CI119" i="14"/>
  <c r="CI120" i="14"/>
  <c r="CI122" i="14"/>
  <c r="CI127" i="14"/>
  <c r="CI124" i="14"/>
  <c r="CI130" i="14"/>
  <c r="CI75" i="14"/>
  <c r="CI129" i="14"/>
  <c r="CI134" i="14"/>
  <c r="CI135" i="14"/>
  <c r="CI121" i="14"/>
  <c r="CI131" i="14"/>
  <c r="CH76" i="14"/>
  <c r="BJ82" i="14"/>
  <c r="BJ108" i="14" s="1"/>
  <c r="CJ130" i="14" l="1"/>
  <c r="CJ124" i="14"/>
  <c r="CJ131" i="14"/>
  <c r="CJ122" i="14"/>
  <c r="CJ75" i="14"/>
  <c r="CJ134" i="14"/>
  <c r="CJ119" i="14"/>
  <c r="CJ127" i="14"/>
  <c r="CJ129" i="14"/>
  <c r="CJ121" i="14"/>
  <c r="CJ120" i="14"/>
  <c r="CJ135" i="14"/>
  <c r="CI76" i="14"/>
  <c r="CI84" i="14"/>
  <c r="CI77" i="14"/>
  <c r="CK21" i="14"/>
  <c r="K8" i="15"/>
  <c r="CK37" i="34"/>
  <c r="CK10" i="34" s="1"/>
  <c r="CK16" i="14" s="1"/>
  <c r="CK8" i="34"/>
  <c r="CK13" i="14" s="1"/>
  <c r="K9" i="15" s="1"/>
  <c r="CJ25" i="14"/>
  <c r="BK82" i="14"/>
  <c r="BK108" i="14" s="1"/>
  <c r="CJ76" i="14" l="1"/>
  <c r="CJ77" i="14"/>
  <c r="CJ84" i="14"/>
  <c r="K11" i="15"/>
  <c r="K14" i="15" s="1"/>
  <c r="K62" i="15" s="1"/>
  <c r="CK24" i="14"/>
  <c r="BL82" i="14"/>
  <c r="BL108" i="14" s="1"/>
  <c r="CK119" i="14" l="1"/>
  <c r="CK135" i="14"/>
  <c r="CK131" i="14"/>
  <c r="CK121" i="14"/>
  <c r="CK122" i="14"/>
  <c r="CK127" i="14"/>
  <c r="CK134" i="14"/>
  <c r="CK130" i="14"/>
  <c r="CK124" i="14"/>
  <c r="CK75" i="14"/>
  <c r="CK129" i="14"/>
  <c r="CK120" i="14"/>
  <c r="K64" i="15"/>
  <c r="N62" i="15"/>
  <c r="N64" i="15"/>
  <c r="CK25" i="14"/>
  <c r="BM82" i="14"/>
  <c r="CK84" i="14" l="1"/>
  <c r="CK77" i="14"/>
  <c r="CK76" i="14"/>
  <c r="BM108" i="14"/>
  <c r="BN82" i="14" l="1"/>
  <c r="BN108" i="14" l="1"/>
  <c r="BO82" i="14" s="1"/>
  <c r="BO108" i="14" l="1"/>
  <c r="BP82" i="14" s="1"/>
  <c r="BP108" i="14" s="1"/>
  <c r="BQ82" i="14" s="1"/>
  <c r="BQ108" i="14" s="1"/>
  <c r="BR82" i="14" s="1"/>
  <c r="BR108" i="14" s="1"/>
  <c r="BS82" i="14" s="1"/>
  <c r="BS108" i="14" s="1"/>
  <c r="BT82" i="14" s="1"/>
  <c r="BT108" i="14" s="1"/>
  <c r="BU82" i="14" s="1"/>
  <c r="BU108" i="14" s="1"/>
  <c r="BV82" i="14" s="1"/>
  <c r="BV108" i="14" s="1"/>
  <c r="BW82" i="14" s="1"/>
  <c r="BW108" i="14" s="1"/>
  <c r="BX82" i="14" s="1"/>
  <c r="BX108" i="14" s="1"/>
  <c r="BY82" i="14" s="1"/>
  <c r="BY108" i="14" s="1"/>
  <c r="BZ82" i="14" s="1"/>
  <c r="BZ108" i="14" s="1"/>
  <c r="CA82" i="14" s="1"/>
  <c r="CA108" i="14" s="1"/>
  <c r="CB82" i="14" s="1"/>
  <c r="CB108" i="14" s="1"/>
  <c r="CC82" i="14" s="1"/>
  <c r="CC108" i="14" s="1"/>
  <c r="CD82" i="14" s="1"/>
  <c r="CD108" i="14" s="1"/>
  <c r="CE82" i="14" s="1"/>
  <c r="CE108" i="14" s="1"/>
  <c r="CF82" i="14" s="1"/>
  <c r="CF108" i="14" s="1"/>
  <c r="CG82" i="14" s="1"/>
  <c r="CG108" i="14" s="1"/>
  <c r="CH82" i="14" s="1"/>
  <c r="CH108" i="14" s="1"/>
  <c r="CI82" i="14" s="1"/>
  <c r="CI108" i="14" s="1"/>
  <c r="CJ82" i="14" s="1"/>
  <c r="CJ108" i="14" s="1"/>
  <c r="CK82" i="14" s="1"/>
  <c r="CK108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dsforest1972@hotmail.com</author>
  </authors>
  <commentList>
    <comment ref="C36" authorId="0" shapeId="0" xr:uid="{E15A46B8-5F56-4F4B-A63A-AB4798417F0D}">
      <text>
        <r>
          <rPr>
            <b/>
            <sz val="10"/>
            <color rgb="FF000000"/>
            <rFont val="Tahoma"/>
            <family val="2"/>
          </rPr>
          <t>dsforest1972@hotmail.com: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il est pas dans la liste des employes</t>
        </r>
      </text>
    </comment>
  </commentList>
</comments>
</file>

<file path=xl/sharedStrings.xml><?xml version="1.0" encoding="utf-8"?>
<sst xmlns="http://schemas.openxmlformats.org/spreadsheetml/2006/main" count="818" uniqueCount="382">
  <si>
    <t>TOTAL</t>
  </si>
  <si>
    <t>REVENUS</t>
  </si>
  <si>
    <t>Expenses</t>
  </si>
  <si>
    <t>Salaries</t>
  </si>
  <si>
    <t>IT</t>
  </si>
  <si>
    <t>Rent</t>
  </si>
  <si>
    <t>TOTAL EXPENSES</t>
  </si>
  <si>
    <t>GRANTS</t>
  </si>
  <si>
    <t>NET REVENUES</t>
  </si>
  <si>
    <t>Operations</t>
  </si>
  <si>
    <t>Annual</t>
  </si>
  <si>
    <t>compensation</t>
  </si>
  <si>
    <t>SubTotal Salaries</t>
  </si>
  <si>
    <t>P&amp;L  (Before Taxes Credits)</t>
  </si>
  <si>
    <t>CUMULATIVE P&amp;L (Before Taxes Credit)</t>
  </si>
  <si>
    <t>Events</t>
  </si>
  <si>
    <t>Sales / Marketing</t>
  </si>
  <si>
    <t>EXPENSES</t>
  </si>
  <si>
    <t>Fringes + Bonus</t>
  </si>
  <si>
    <t>P&amp;L</t>
  </si>
  <si>
    <t>CTO</t>
  </si>
  <si>
    <t>Content Marketing</t>
  </si>
  <si>
    <t>Rate</t>
  </si>
  <si>
    <t>Role</t>
  </si>
  <si>
    <t>Contractor</t>
  </si>
  <si>
    <t>Software Developer</t>
  </si>
  <si>
    <t>SALARIES</t>
  </si>
  <si>
    <t>Employee</t>
  </si>
  <si>
    <t>Annual Compesation</t>
  </si>
  <si>
    <t>Sales &amp; Marketing</t>
  </si>
  <si>
    <t>Operation</t>
  </si>
  <si>
    <t>TBH</t>
  </si>
  <si>
    <t>Client acquisition Specialist</t>
  </si>
  <si>
    <t>Controller</t>
  </si>
  <si>
    <t>Office Manager</t>
  </si>
  <si>
    <t>Annual Raise</t>
  </si>
  <si>
    <t>Creditor</t>
  </si>
  <si>
    <t>Value</t>
  </si>
  <si>
    <t>LOAN</t>
  </si>
  <si>
    <t>Grant</t>
  </si>
  <si>
    <t>IRAP</t>
  </si>
  <si>
    <t>TOTAL SALARIES</t>
  </si>
  <si>
    <t>Period (no of months)</t>
  </si>
  <si>
    <t>Insurance</t>
  </si>
  <si>
    <t>Meals and Entertainment</t>
  </si>
  <si>
    <t>Travel Expenses</t>
  </si>
  <si>
    <t>Telecommunication</t>
  </si>
  <si>
    <t>License and Subscriptions</t>
  </si>
  <si>
    <t>Offices Expenses</t>
  </si>
  <si>
    <t>Interest and bank charges</t>
  </si>
  <si>
    <t>CASHFLOW</t>
  </si>
  <si>
    <t>Loans</t>
  </si>
  <si>
    <t>Adwords (search engines)</t>
  </si>
  <si>
    <t>Online Marketing Budget</t>
  </si>
  <si>
    <t>Other</t>
  </si>
  <si>
    <t>Trade activities</t>
  </si>
  <si>
    <t xml:space="preserve">Tradeshows </t>
  </si>
  <si>
    <t>avg</t>
  </si>
  <si>
    <t>Investment</t>
  </si>
  <si>
    <t>Churn</t>
  </si>
  <si>
    <t>DIRECT ACQUISITION</t>
  </si>
  <si>
    <t>Data Scientist</t>
  </si>
  <si>
    <t>CEO</t>
  </si>
  <si>
    <t>HEAD of Production</t>
  </si>
  <si>
    <t>HR Manager</t>
  </si>
  <si>
    <t>CRO</t>
  </si>
  <si>
    <t>Product Owner</t>
  </si>
  <si>
    <t>Channel Manager</t>
  </si>
  <si>
    <t>Marketing Manager</t>
  </si>
  <si>
    <t>Marketing Coordinator</t>
  </si>
  <si>
    <t>HEAD of Pharmacy Operations</t>
  </si>
  <si>
    <t>New Clients</t>
  </si>
  <si>
    <t>Total Clients</t>
  </si>
  <si>
    <t>Sales (Pharmacy)</t>
  </si>
  <si>
    <t>Marketing Expenses (acquisition)</t>
  </si>
  <si>
    <t>CPA (estimated)</t>
  </si>
  <si>
    <t>New Clients Direct</t>
  </si>
  <si>
    <t>TOTAL NEW CLIENTS DIRECT</t>
  </si>
  <si>
    <t>Tootelo</t>
  </si>
  <si>
    <t>New clients per day</t>
  </si>
  <si>
    <t>New clients per month</t>
  </si>
  <si>
    <t>days</t>
  </si>
  <si>
    <t>Avg Order per client</t>
  </si>
  <si>
    <t>TOTAL pharmacy revenus</t>
  </si>
  <si>
    <t>Rev share to Medzy</t>
  </si>
  <si>
    <t>Marketing Fees</t>
  </si>
  <si>
    <t>Total Pharmacy Revenus</t>
  </si>
  <si>
    <t>Rev Share to Medzy</t>
  </si>
  <si>
    <t>Greenshield</t>
  </si>
  <si>
    <t>MedFar</t>
  </si>
  <si>
    <t>REVENUES &amp; KPIS</t>
  </si>
  <si>
    <t>KPIS</t>
  </si>
  <si>
    <t>user base</t>
  </si>
  <si>
    <t>Professionals</t>
  </si>
  <si>
    <t>Accounting Fees</t>
  </si>
  <si>
    <t>Legal Fees</t>
  </si>
  <si>
    <t>Depreciation</t>
  </si>
  <si>
    <t>Recruitment Charges</t>
  </si>
  <si>
    <t>Repair and Maintenance</t>
  </si>
  <si>
    <t>Packaging and Shipping</t>
  </si>
  <si>
    <t>Taxes, Permit</t>
  </si>
  <si>
    <t>MEI AI</t>
  </si>
  <si>
    <t>Warrants</t>
  </si>
  <si>
    <t>Vincent</t>
  </si>
  <si>
    <t>Carl</t>
  </si>
  <si>
    <t>Adrien</t>
  </si>
  <si>
    <t>Thomas</t>
  </si>
  <si>
    <t>Biz Dev</t>
  </si>
  <si>
    <t xml:space="preserve">Austin </t>
  </si>
  <si>
    <t>Charles</t>
  </si>
  <si>
    <t>Mathieu</t>
  </si>
  <si>
    <t>Original Target</t>
  </si>
  <si>
    <t>Rev Share PAID</t>
  </si>
  <si>
    <t>Due to Medzy Reimbursment</t>
  </si>
  <si>
    <t xml:space="preserve">Due to Medzy   </t>
  </si>
  <si>
    <t>Utilities</t>
  </si>
  <si>
    <t>Exchange Gain or Loss</t>
  </si>
  <si>
    <t>COS</t>
  </si>
  <si>
    <t>na</t>
  </si>
  <si>
    <t>Anthony</t>
  </si>
  <si>
    <t>Simon</t>
  </si>
  <si>
    <t>conversion de stagiaire a full time en février</t>
  </si>
  <si>
    <t>conversion de pharmacien en developpeur</t>
  </si>
  <si>
    <t>Data Analyst</t>
  </si>
  <si>
    <t>Yasser</t>
  </si>
  <si>
    <t>Contractuals</t>
  </si>
  <si>
    <t>Sub total</t>
  </si>
  <si>
    <t>BDC</t>
  </si>
  <si>
    <t>PME Montreal</t>
  </si>
  <si>
    <t>90% chance</t>
  </si>
  <si>
    <t>approved</t>
  </si>
  <si>
    <t>75% chance</t>
  </si>
  <si>
    <t>Utiities</t>
  </si>
  <si>
    <t>Cost of Goods</t>
  </si>
  <si>
    <t>SAC</t>
  </si>
  <si>
    <t>ATP</t>
  </si>
  <si>
    <t>Pharmacists</t>
  </si>
  <si>
    <t>CUMULATIVE TOTAL REVENUES</t>
  </si>
  <si>
    <t>no of shipments</t>
  </si>
  <si>
    <t>avg order</t>
  </si>
  <si>
    <t>Shipping</t>
  </si>
  <si>
    <t>Agent</t>
  </si>
  <si>
    <t>David</t>
  </si>
  <si>
    <t>part time</t>
  </si>
  <si>
    <t>Tina</t>
  </si>
  <si>
    <t>Claudia</t>
  </si>
  <si>
    <t>Gabrielle</t>
  </si>
  <si>
    <t>Arianne</t>
  </si>
  <si>
    <t>Lilian</t>
  </si>
  <si>
    <t>Amaralys</t>
  </si>
  <si>
    <t>Team lead SAC</t>
  </si>
  <si>
    <t>Genevieve</t>
  </si>
  <si>
    <t>Head SAC</t>
  </si>
  <si>
    <t>Fatoumata</t>
  </si>
  <si>
    <t>Sabrina</t>
  </si>
  <si>
    <t>Melanie</t>
  </si>
  <si>
    <t>Czarmie</t>
  </si>
  <si>
    <t>Camille</t>
  </si>
  <si>
    <t>Nelly</t>
  </si>
  <si>
    <t>Lead ATP</t>
  </si>
  <si>
    <t>Alessia</t>
  </si>
  <si>
    <t>Head ATP</t>
  </si>
  <si>
    <t>Phamacist</t>
  </si>
  <si>
    <t>Ouafaa</t>
  </si>
  <si>
    <t>Nurse</t>
  </si>
  <si>
    <t>Hubert</t>
  </si>
  <si>
    <t>Stephanie</t>
  </si>
  <si>
    <t>Pharmacist</t>
  </si>
  <si>
    <t>Maggee</t>
  </si>
  <si>
    <t>note: readjusting his salary</t>
  </si>
  <si>
    <t>Lead Pharmacist</t>
  </si>
  <si>
    <t>Phamacists</t>
  </si>
  <si>
    <t>OTC upsell PSB</t>
  </si>
  <si>
    <t>Annual Compensation</t>
  </si>
  <si>
    <t>Medzy Platform Revenues</t>
  </si>
  <si>
    <t>MEDZY TOTAL REVENUES</t>
  </si>
  <si>
    <t xml:space="preserve">Profit or Lost </t>
  </si>
  <si>
    <t>Payables in arrears</t>
  </si>
  <si>
    <t xml:space="preserve"> - Others</t>
  </si>
  <si>
    <t>Remboursement Avances de Sonia Boutin</t>
  </si>
  <si>
    <t>Cash End of Month</t>
  </si>
  <si>
    <t>CASH Beginning of Month</t>
  </si>
  <si>
    <t>135k in May 23</t>
  </si>
  <si>
    <t>Sitech</t>
  </si>
  <si>
    <t>Eric L</t>
  </si>
  <si>
    <t>Developer AI</t>
  </si>
  <si>
    <t>William Intern</t>
  </si>
  <si>
    <t>Ndongo</t>
  </si>
  <si>
    <t>Stagiaire AI Ulaval</t>
  </si>
  <si>
    <t>Mitac</t>
  </si>
  <si>
    <t>Lead DS and AI</t>
  </si>
  <si>
    <t>Nico</t>
  </si>
  <si>
    <t>Naomi</t>
  </si>
  <si>
    <t>Momentum and direct</t>
  </si>
  <si>
    <t>Soft Dev FS - Intern</t>
  </si>
  <si>
    <t>Soft Dev AI - Intern</t>
  </si>
  <si>
    <t>per week (60k/year)</t>
  </si>
  <si>
    <t>Data Analyst - Intern</t>
  </si>
  <si>
    <t>per week (70k/year)</t>
  </si>
  <si>
    <t>Sarah</t>
  </si>
  <si>
    <t>Gabriel</t>
  </si>
  <si>
    <t>CFO Fractional</t>
  </si>
  <si>
    <t>KPIs</t>
  </si>
  <si>
    <t>Salaries / Revenues</t>
  </si>
  <si>
    <t>TOTAL OPERATIONS EXPENSES</t>
  </si>
  <si>
    <t>Total Operations Expenses / Revenus</t>
  </si>
  <si>
    <t>Marketing (Partners, Content&amp;Advertising) / Revenus</t>
  </si>
  <si>
    <t>avg cost of shipping</t>
  </si>
  <si>
    <t>Transactions Fees - Credit Card</t>
  </si>
  <si>
    <t>from 5.5% to 4% of Gross</t>
  </si>
  <si>
    <t>Platform Fees - Medzy</t>
  </si>
  <si>
    <t>Net of Recharge to PSB</t>
  </si>
  <si>
    <t>Distributor Savings</t>
  </si>
  <si>
    <t>Distributor Expenses</t>
  </si>
  <si>
    <t>CT</t>
  </si>
  <si>
    <t>Clinique Spécialitée</t>
  </si>
  <si>
    <t>Platform Fee Medzy</t>
  </si>
  <si>
    <t>Trade and Events</t>
  </si>
  <si>
    <t>CUMULATIVE REVENUES</t>
  </si>
  <si>
    <t>Marketplace (Segic+Preventia)</t>
  </si>
  <si>
    <t>OTC upsell Medzy</t>
  </si>
  <si>
    <t>Contractual Tech Total</t>
  </si>
  <si>
    <t>250h/année_200$/h</t>
  </si>
  <si>
    <t xml:space="preserve">TBH </t>
  </si>
  <si>
    <t>TG - Véro</t>
  </si>
  <si>
    <t>TG - Isabelle</t>
  </si>
  <si>
    <t>Contractual Operations Total</t>
  </si>
  <si>
    <t>Consultants - TOTAL</t>
  </si>
  <si>
    <t>Contractuals - Tech</t>
  </si>
  <si>
    <t>Contractuals - Operations</t>
  </si>
  <si>
    <t>CFO</t>
  </si>
  <si>
    <t>74% now, 73% in 2024, 72% in 2025</t>
  </si>
  <si>
    <t xml:space="preserve">NET REVENUES </t>
  </si>
  <si>
    <t>Pharmacist - Daily</t>
  </si>
  <si>
    <t>Consultant Pharmacy Total</t>
  </si>
  <si>
    <t>Contractuals Pharmacy Total</t>
  </si>
  <si>
    <t>Capital</t>
  </si>
  <si>
    <t>Interest</t>
  </si>
  <si>
    <t>Solde</t>
  </si>
  <si>
    <t>Capital Payments</t>
  </si>
  <si>
    <t>Interest Payments</t>
  </si>
  <si>
    <t>Capital Balance</t>
  </si>
  <si>
    <t xml:space="preserve">Crédits totaux : </t>
  </si>
  <si>
    <t>CDAE :</t>
  </si>
  <si>
    <t>RS&amp;DE :</t>
  </si>
  <si>
    <t>Total des crédits :</t>
  </si>
  <si>
    <t>Crédit total :</t>
  </si>
  <si>
    <t>Crédit d'impôt CDAE (non-remboursable) :</t>
  </si>
  <si>
    <t>Crédit d'impôt CDAE (remboursable) :</t>
  </si>
  <si>
    <t xml:space="preserve">Dépenses admissibles : </t>
  </si>
  <si>
    <t>Calcul du crédit CDAE :</t>
  </si>
  <si>
    <t xml:space="preserve">Crédit d'impôt RS&amp;DE (fédéral) : </t>
  </si>
  <si>
    <t xml:space="preserve">Crédit d'impôt RS&amp;DE (provincial) : </t>
  </si>
  <si>
    <t>Calcul du crédit RS&amp;DE :</t>
  </si>
  <si>
    <t>Totaux</t>
  </si>
  <si>
    <t>OUI</t>
  </si>
  <si>
    <t>x</t>
  </si>
  <si>
    <t>Tech Salaries</t>
  </si>
  <si>
    <t>NON</t>
  </si>
  <si>
    <t>Total</t>
  </si>
  <si>
    <t>Salaire admissible sans R&amp;D</t>
  </si>
  <si>
    <t>Limite annuelle</t>
  </si>
  <si>
    <t>Dépense admissible</t>
  </si>
  <si>
    <t>Pourcentage RS&amp;DE</t>
  </si>
  <si>
    <t>Subventions</t>
  </si>
  <si>
    <t>Heures travaillées</t>
  </si>
  <si>
    <t>Salaire total</t>
  </si>
  <si>
    <t>Bonis</t>
  </si>
  <si>
    <t>Avantages imposables</t>
  </si>
  <si>
    <t>Salaire</t>
  </si>
  <si>
    <t>Jours admissibles</t>
  </si>
  <si>
    <t>RS&amp;DE provinciale</t>
  </si>
  <si>
    <t>Date fin</t>
  </si>
  <si>
    <t>Date début</t>
  </si>
  <si>
    <t>CDAE</t>
  </si>
  <si>
    <t>Titre du poste</t>
  </si>
  <si>
    <t>Employé déterminé?</t>
  </si>
  <si>
    <t>Nom de l'employé</t>
  </si>
  <si>
    <t>No</t>
  </si>
  <si>
    <t>Calcul CDAE</t>
  </si>
  <si>
    <t>Calcul RS&amp;DE</t>
  </si>
  <si>
    <t>Calcul salaire</t>
  </si>
  <si>
    <t>Medzy Inc.</t>
  </si>
  <si>
    <t>Projections de crédits d'impôt à recevoir</t>
  </si>
  <si>
    <t xml:space="preserve"> </t>
  </si>
  <si>
    <t>Exercice financier se terminant le 31 octobre 2023 - 2024 - 2025</t>
  </si>
  <si>
    <t>Total en %age salaires</t>
  </si>
  <si>
    <t>Max 65%-70%</t>
  </si>
  <si>
    <t>Validation</t>
  </si>
  <si>
    <t>Total CDAE + RSDE + IRAP + MEI AI</t>
  </si>
  <si>
    <t>Medteq</t>
  </si>
  <si>
    <t>SRED (estimate) - could finance</t>
  </si>
  <si>
    <t>CDAE (estimate) - could finance</t>
  </si>
  <si>
    <t>Loans Interests</t>
  </si>
  <si>
    <t>Loans Capital Reimbursement</t>
  </si>
  <si>
    <t>Invoiced but not received from PSB</t>
  </si>
  <si>
    <t>PSB Owed to Medzy Balance</t>
  </si>
  <si>
    <t>Loans Received</t>
  </si>
  <si>
    <t>Credit Margin payback</t>
  </si>
  <si>
    <t>Financing Round</t>
  </si>
  <si>
    <t>Cash Beginning</t>
  </si>
  <si>
    <t>Profit/Loss</t>
  </si>
  <si>
    <t>Not Paid to Medzy</t>
  </si>
  <si>
    <t>PSB Payment of Interco Balance</t>
  </si>
  <si>
    <t>Cash End of Period</t>
  </si>
  <si>
    <t>Avance par Sonia</t>
  </si>
  <si>
    <t>Professional Allocations</t>
  </si>
  <si>
    <t>PSB Payment of Interco Partial</t>
  </si>
  <si>
    <t>Oct 31 2022</t>
  </si>
  <si>
    <t>Oct 31 2023</t>
  </si>
  <si>
    <t>Oct 31 2024</t>
  </si>
  <si>
    <t>Oct 31 2025</t>
  </si>
  <si>
    <t>Bridge Loans by Sonia Boutin/Marc Airoldi</t>
  </si>
  <si>
    <t>Grants / Tax Credits</t>
  </si>
  <si>
    <t>Operational Cashflow</t>
  </si>
  <si>
    <t>Bridge/Margin Payback</t>
  </si>
  <si>
    <t>Payables Repayment</t>
  </si>
  <si>
    <t xml:space="preserve">Fiscal Year Ending On </t>
  </si>
  <si>
    <t xml:space="preserve">Pharmacie Sonia Boutin Inc - Forecast </t>
  </si>
  <si>
    <t>Fiscal Year Ending on</t>
  </si>
  <si>
    <t>per month</t>
  </si>
  <si>
    <t>Revenues Increase Break-Even / Now</t>
  </si>
  <si>
    <t>times</t>
  </si>
  <si>
    <t>PSB owed to Medzy - highest</t>
  </si>
  <si>
    <t>PSB payback to Medzy - last payment</t>
  </si>
  <si>
    <t>Pharmacy Revenues</t>
  </si>
  <si>
    <t>PSB STATS</t>
  </si>
  <si>
    <t>Break-Even PSB</t>
  </si>
  <si>
    <t>Pharmacy REV for Break-Even PSB</t>
  </si>
  <si>
    <t>Lowest Cashflow (without paying Medzy)</t>
  </si>
  <si>
    <t>Project Owner</t>
  </si>
  <si>
    <t>Depreciation - (delivery box)</t>
  </si>
  <si>
    <t>Delivery Box CT purchase</t>
  </si>
  <si>
    <t>Pharmacy Automation (robot) - rental to Medzy</t>
  </si>
  <si>
    <t>MEDZY Inc - Forecast 2023-2025</t>
  </si>
  <si>
    <t>ACTUALS</t>
  </si>
  <si>
    <t>P&amp;L  (After Taxes Credits)</t>
  </si>
  <si>
    <t>P&amp;L + Grants (without SRED and CDAE)</t>
  </si>
  <si>
    <t>Previous months payable Financing Delay</t>
  </si>
  <si>
    <t>Divided into 4 loans</t>
  </si>
  <si>
    <t>Oct 31 2021</t>
  </si>
  <si>
    <t>Other Revenues</t>
  </si>
  <si>
    <t>MEDZY - Financing Recap to get to Cashflow Positive 2023-2025</t>
  </si>
  <si>
    <t>Loans/Credit Margin</t>
  </si>
  <si>
    <t>TOTAL FINANCING/Investment</t>
  </si>
  <si>
    <t>Medzy Inc - Summary Profit and Loss Statement</t>
  </si>
  <si>
    <t>FORECASTS</t>
  </si>
  <si>
    <t>Financing</t>
  </si>
  <si>
    <t xml:space="preserve"> - TG Consulting (salaires non payés)</t>
  </si>
  <si>
    <t>Investissement Quebec</t>
  </si>
  <si>
    <t>PARI</t>
  </si>
  <si>
    <t>PSCE - 2</t>
  </si>
  <si>
    <t>Luis</t>
  </si>
  <si>
    <t>fin septembre 2022</t>
  </si>
  <si>
    <t>Controller Temporaire</t>
  </si>
  <si>
    <t>Tech &amp; Marketing (Content&amp;Advertising)</t>
  </si>
  <si>
    <t>Forecast</t>
  </si>
  <si>
    <t>Marketing &amp; Product Manager</t>
  </si>
  <si>
    <t>Meryam</t>
  </si>
  <si>
    <t>Oct 31 2026</t>
  </si>
  <si>
    <t>NEW PARTNER</t>
  </si>
  <si>
    <t>JEAN COUTU</t>
  </si>
  <si>
    <t>Oct 31 2027</t>
  </si>
  <si>
    <t>Oct 31 2028</t>
  </si>
  <si>
    <t>CF</t>
  </si>
  <si>
    <t>Discount</t>
  </si>
  <si>
    <t>NPV</t>
  </si>
  <si>
    <t>Soprema</t>
  </si>
  <si>
    <t>ACTUALS - indication of costs (NOT FORMAL FINANCIAL STATEMENTS)</t>
  </si>
  <si>
    <t>Mondou</t>
  </si>
  <si>
    <t>Rexall</t>
  </si>
  <si>
    <t>Karine</t>
  </si>
  <si>
    <t>PCAN</t>
  </si>
  <si>
    <t>in process</t>
  </si>
  <si>
    <t>Scale AI</t>
  </si>
  <si>
    <t>MEI-AI (2)</t>
  </si>
  <si>
    <t>in approval process</t>
  </si>
  <si>
    <t>in approval process 90% chance</t>
  </si>
  <si>
    <t>35% chance</t>
  </si>
  <si>
    <t xml:space="preserve">Tax Credits </t>
  </si>
  <si>
    <t>BNC (Inventory Loan)</t>
  </si>
  <si>
    <t>partial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</si>
</sst>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;[Red]\-&quot;$&quot;#,##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-&quot;$&quot;* #,##0_-;\-&quot;$&quot;* #,##0_-;_-&quot;$&quot;* &quot;-&quot;??_-;_-@_-"/>
    <numFmt numFmtId="168" formatCode="_-* #,##0_-;\-* #,##0_-;_-* &quot;-&quot;??_-;_-@_-"/>
    <numFmt numFmtId="169" formatCode="0.0%"/>
    <numFmt numFmtId="170" formatCode="_ * #,##0.00_)\ &quot;$&quot;_ ;_ * \(#,##0.00\)\ &quot;$&quot;_ ;_ * &quot;-&quot;??_)\ &quot;$&quot;_ ;_ @_ "/>
    <numFmt numFmtId="171" formatCode="_-* #,##0.0_-;\-* #,##0.0_-;_-* &quot;-&quot;??_-;_-@_-"/>
    <numFmt numFmtId="172" formatCode="_(&quot;$&quot;* #,##0_);_(&quot;$&quot;* \(#,##0\);_(&quot;$&quot;* &quot;-&quot;??_);_(@_)"/>
    <numFmt numFmtId="173" formatCode="_(* #,##0_);_(* \(#,##0\);_(* &quot;-&quot;??_);_(@_)"/>
    <numFmt numFmtId="174" formatCode="0.000%"/>
    <numFmt numFmtId="175" formatCode="0.0"/>
  </numFmts>
  <fonts count="8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4"/>
      <name val="Arial"/>
      <family val="2"/>
    </font>
    <font>
      <sz val="13"/>
      <name val="Arial"/>
      <family val="2"/>
    </font>
    <font>
      <sz val="16"/>
      <name val="Arial"/>
      <family val="2"/>
    </font>
    <font>
      <i/>
      <sz val="12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1"/>
      <color theme="0"/>
      <name val="Times New Roman"/>
      <family val="1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12"/>
      <color theme="1"/>
      <name val="Poppins"/>
    </font>
    <font>
      <sz val="10"/>
      <color theme="1"/>
      <name val="Arial"/>
      <family val="2"/>
    </font>
    <font>
      <b/>
      <sz val="12"/>
      <color theme="1"/>
      <name val="Poppins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1"/>
      <name val="Poppins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0"/>
      <color theme="0" tint="-0.49998474074526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4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i/>
      <sz val="10"/>
      <color theme="1"/>
      <name val="Arial"/>
      <family val="2"/>
    </font>
    <font>
      <i/>
      <sz val="10"/>
      <color theme="1"/>
      <name val="Poppins"/>
    </font>
    <font>
      <sz val="12"/>
      <color rgb="FFFF0000"/>
      <name val="Calibri"/>
      <family val="2"/>
      <scheme val="minor"/>
    </font>
    <font>
      <b/>
      <sz val="14"/>
      <color theme="1"/>
      <name val="Poppins"/>
    </font>
    <font>
      <i/>
      <sz val="12"/>
      <color theme="1"/>
      <name val="Poppins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Times New Roman"/>
      <family val="1"/>
    </font>
    <font>
      <sz val="10"/>
      <color theme="1"/>
      <name val="Poppins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20"/>
      <color theme="1" tint="0.249977111117893"/>
      <name val="Calibri"/>
      <family val="2"/>
      <scheme val="minor"/>
    </font>
    <font>
      <sz val="12"/>
      <color rgb="FF00B050"/>
      <name val="Calibri"/>
      <family val="2"/>
      <scheme val="minor"/>
    </font>
    <font>
      <b/>
      <i/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i/>
      <sz val="12"/>
      <color rgb="FF00B050"/>
      <name val="Calibri"/>
      <family val="2"/>
      <scheme val="minor"/>
    </font>
    <font>
      <i/>
      <sz val="11"/>
      <name val="Calibri"/>
      <family val="2"/>
      <scheme val="minor"/>
    </font>
    <font>
      <i/>
      <sz val="12"/>
      <name val="Calibri"/>
      <family val="2"/>
      <scheme val="minor"/>
    </font>
    <font>
      <sz val="8"/>
      <name val="Calibri"/>
      <family val="2"/>
      <scheme val="minor"/>
    </font>
    <font>
      <sz val="12"/>
      <name val="Poppins"/>
    </font>
    <font>
      <i/>
      <sz val="1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theme="6"/>
      <name val="Calibri"/>
      <family val="2"/>
      <scheme val="minor"/>
    </font>
    <font>
      <sz val="12"/>
      <color theme="6"/>
      <name val="Calibri"/>
      <family val="2"/>
      <scheme val="minor"/>
    </font>
    <font>
      <b/>
      <sz val="16"/>
      <color theme="9"/>
      <name val="Calibri"/>
      <family val="2"/>
      <scheme val="minor"/>
    </font>
    <font>
      <sz val="12"/>
      <color theme="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2"/>
      <color theme="6" tint="0.59999389629810485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6ACE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EB8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</borders>
  <cellStyleXfs count="6707">
    <xf numFmtId="0" fontId="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0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6" fillId="0" borderId="0">
      <alignment wrapText="1"/>
    </xf>
    <xf numFmtId="0" fontId="27" fillId="0" borderId="0">
      <alignment horizontal="left"/>
    </xf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25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8" fillId="0" borderId="0">
      <alignment vertical="top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0" fontId="20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</cellStyleXfs>
  <cellXfs count="782">
    <xf numFmtId="0" fontId="0" fillId="0" borderId="0" xfId="0"/>
    <xf numFmtId="0" fontId="13" fillId="0" borderId="0" xfId="0" applyFont="1" applyAlignment="1">
      <alignment horizontal="left"/>
    </xf>
    <xf numFmtId="0" fontId="10" fillId="0" borderId="0" xfId="0" applyFont="1"/>
    <xf numFmtId="0" fontId="17" fillId="3" borderId="1" xfId="0" applyFont="1" applyFill="1" applyBorder="1" applyAlignment="1">
      <alignment horizontal="center" vertical="center" wrapText="1"/>
    </xf>
    <xf numFmtId="0" fontId="0" fillId="2" borderId="0" xfId="0" applyFill="1"/>
    <xf numFmtId="0" fontId="9" fillId="2" borderId="0" xfId="0" applyFont="1" applyFill="1"/>
    <xf numFmtId="0" fontId="11" fillId="2" borderId="0" xfId="0" applyFont="1" applyFill="1"/>
    <xf numFmtId="0" fontId="11" fillId="4" borderId="0" xfId="0" applyFont="1" applyFill="1"/>
    <xf numFmtId="167" fontId="0" fillId="0" borderId="0" xfId="2" applyNumberFormat="1" applyFont="1"/>
    <xf numFmtId="168" fontId="0" fillId="0" borderId="0" xfId="1" applyNumberFormat="1" applyFont="1"/>
    <xf numFmtId="0" fontId="24" fillId="2" borderId="0" xfId="0" applyFont="1" applyFill="1" applyAlignment="1">
      <alignment horizontal="center"/>
    </xf>
    <xf numFmtId="0" fontId="11" fillId="9" borderId="0" xfId="0" applyFont="1" applyFill="1"/>
    <xf numFmtId="167" fontId="0" fillId="0" borderId="0" xfId="2" applyNumberFormat="1" applyFont="1" applyBorder="1"/>
    <xf numFmtId="167" fontId="0" fillId="0" borderId="0" xfId="2" applyNumberFormat="1" applyFont="1" applyFill="1"/>
    <xf numFmtId="167" fontId="0" fillId="0" borderId="0" xfId="2" applyNumberFormat="1" applyFont="1" applyFill="1" applyBorder="1"/>
    <xf numFmtId="165" fontId="0" fillId="0" borderId="0" xfId="2" applyFont="1" applyBorder="1"/>
    <xf numFmtId="167" fontId="0" fillId="0" borderId="0" xfId="0" applyNumberFormat="1"/>
    <xf numFmtId="0" fontId="29" fillId="0" borderId="0" xfId="0" applyFont="1"/>
    <xf numFmtId="0" fontId="23" fillId="0" borderId="0" xfId="0" applyFont="1"/>
    <xf numFmtId="0" fontId="33" fillId="0" borderId="0" xfId="0" applyFont="1"/>
    <xf numFmtId="0" fontId="11" fillId="0" borderId="0" xfId="0" applyFont="1"/>
    <xf numFmtId="0" fontId="0" fillId="0" borderId="4" xfId="0" applyBorder="1"/>
    <xf numFmtId="0" fontId="0" fillId="0" borderId="5" xfId="0" applyBorder="1"/>
    <xf numFmtId="168" fontId="0" fillId="0" borderId="0" xfId="1" applyNumberFormat="1" applyFont="1" applyBorder="1"/>
    <xf numFmtId="167" fontId="0" fillId="0" borderId="4" xfId="2" applyNumberFormat="1" applyFont="1" applyBorder="1"/>
    <xf numFmtId="167" fontId="0" fillId="0" borderId="5" xfId="2" applyNumberFormat="1" applyFont="1" applyBorder="1"/>
    <xf numFmtId="167" fontId="0" fillId="0" borderId="5" xfId="0" applyNumberFormat="1" applyBorder="1"/>
    <xf numFmtId="167" fontId="11" fillId="4" borderId="4" xfId="0" applyNumberFormat="1" applyFont="1" applyFill="1" applyBorder="1"/>
    <xf numFmtId="167" fontId="11" fillId="4" borderId="5" xfId="0" applyNumberFormat="1" applyFont="1" applyFill="1" applyBorder="1"/>
    <xf numFmtId="167" fontId="11" fillId="2" borderId="5" xfId="0" applyNumberFormat="1" applyFont="1" applyFill="1" applyBorder="1"/>
    <xf numFmtId="0" fontId="11" fillId="0" borderId="4" xfId="0" applyFont="1" applyBorder="1"/>
    <xf numFmtId="0" fontId="11" fillId="0" borderId="5" xfId="0" applyFont="1" applyBorder="1"/>
    <xf numFmtId="0" fontId="10" fillId="8" borderId="0" xfId="0" applyFont="1" applyFill="1"/>
    <xf numFmtId="0" fontId="22" fillId="8" borderId="0" xfId="0" applyFont="1" applyFill="1"/>
    <xf numFmtId="0" fontId="9" fillId="11" borderId="0" xfId="0" applyFont="1" applyFill="1"/>
    <xf numFmtId="0" fontId="10" fillId="0" borderId="7" xfId="0" applyFont="1" applyBorder="1"/>
    <xf numFmtId="167" fontId="10" fillId="0" borderId="7" xfId="2" applyNumberFormat="1" applyFont="1" applyBorder="1"/>
    <xf numFmtId="38" fontId="10" fillId="10" borderId="5" xfId="0" applyNumberFormat="1" applyFont="1" applyFill="1" applyBorder="1"/>
    <xf numFmtId="0" fontId="19" fillId="13" borderId="0" xfId="0" applyFont="1" applyFill="1"/>
    <xf numFmtId="0" fontId="35" fillId="0" borderId="0" xfId="0" quotePrefix="1" applyFont="1" applyAlignment="1">
      <alignment horizontal="left"/>
    </xf>
    <xf numFmtId="0" fontId="35" fillId="0" borderId="0" xfId="0" quotePrefix="1" applyFont="1" applyAlignment="1">
      <alignment horizontal="left" indent="1"/>
    </xf>
    <xf numFmtId="9" fontId="0" fillId="0" borderId="0" xfId="0" applyNumberFormat="1" applyAlignment="1">
      <alignment horizontal="center"/>
    </xf>
    <xf numFmtId="164" fontId="23" fillId="8" borderId="0" xfId="2" applyNumberFormat="1" applyFont="1" applyFill="1"/>
    <xf numFmtId="164" fontId="10" fillId="8" borderId="0" xfId="0" applyNumberFormat="1" applyFont="1" applyFill="1"/>
    <xf numFmtId="38" fontId="22" fillId="8" borderId="5" xfId="0" applyNumberFormat="1" applyFont="1" applyFill="1" applyBorder="1"/>
    <xf numFmtId="0" fontId="19" fillId="2" borderId="0" xfId="0" applyFont="1" applyFill="1"/>
    <xf numFmtId="0" fontId="18" fillId="2" borderId="0" xfId="0" applyFont="1" applyFill="1" applyAlignment="1">
      <alignment horizontal="center"/>
    </xf>
    <xf numFmtId="0" fontId="9" fillId="5" borderId="0" xfId="0" applyFont="1" applyFill="1"/>
    <xf numFmtId="167" fontId="9" fillId="5" borderId="0" xfId="0" applyNumberFormat="1" applyFont="1" applyFill="1"/>
    <xf numFmtId="0" fontId="11" fillId="5" borderId="0" xfId="0" applyFont="1" applyFill="1"/>
    <xf numFmtId="167" fontId="11" fillId="5" borderId="0" xfId="2" applyNumberFormat="1" applyFont="1" applyFill="1"/>
    <xf numFmtId="0" fontId="10" fillId="0" borderId="6" xfId="0" applyFont="1" applyBorder="1"/>
    <xf numFmtId="0" fontId="20" fillId="0" borderId="0" xfId="558"/>
    <xf numFmtId="167" fontId="0" fillId="0" borderId="6" xfId="2" applyNumberFormat="1" applyFont="1" applyBorder="1"/>
    <xf numFmtId="0" fontId="17" fillId="3" borderId="1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37" fillId="0" borderId="0" xfId="0" applyFont="1"/>
    <xf numFmtId="0" fontId="38" fillId="0" borderId="0" xfId="0" applyFont="1"/>
    <xf numFmtId="0" fontId="39" fillId="0" borderId="0" xfId="0" applyFont="1"/>
    <xf numFmtId="0" fontId="42" fillId="0" borderId="0" xfId="0" applyFont="1" applyAlignment="1">
      <alignment horizontal="left" indent="1"/>
    </xf>
    <xf numFmtId="167" fontId="37" fillId="0" borderId="0" xfId="2" applyNumberFormat="1" applyFont="1"/>
    <xf numFmtId="0" fontId="42" fillId="0" borderId="0" xfId="0" applyFont="1" applyAlignment="1">
      <alignment horizontal="left"/>
    </xf>
    <xf numFmtId="167" fontId="20" fillId="0" borderId="0" xfId="2" applyNumberFormat="1" applyFont="1"/>
    <xf numFmtId="172" fontId="0" fillId="0" borderId="0" xfId="0" applyNumberFormat="1"/>
    <xf numFmtId="0" fontId="0" fillId="0" borderId="7" xfId="0" applyBorder="1"/>
    <xf numFmtId="167" fontId="16" fillId="0" borderId="7" xfId="2" applyNumberFormat="1" applyFont="1" applyBorder="1"/>
    <xf numFmtId="0" fontId="16" fillId="0" borderId="7" xfId="0" applyFont="1" applyBorder="1"/>
    <xf numFmtId="172" fontId="16" fillId="0" borderId="7" xfId="0" applyNumberFormat="1" applyFont="1" applyBorder="1"/>
    <xf numFmtId="0" fontId="41" fillId="0" borderId="7" xfId="0" applyFont="1" applyBorder="1" applyAlignment="1">
      <alignment horizontal="left" indent="1"/>
    </xf>
    <xf numFmtId="167" fontId="33" fillId="0" borderId="7" xfId="2" applyNumberFormat="1" applyFont="1" applyBorder="1"/>
    <xf numFmtId="0" fontId="33" fillId="0" borderId="7" xfId="0" applyFont="1" applyBorder="1"/>
    <xf numFmtId="172" fontId="33" fillId="0" borderId="7" xfId="0" applyNumberFormat="1" applyFont="1" applyBorder="1"/>
    <xf numFmtId="0" fontId="16" fillId="0" borderId="7" xfId="558" applyFont="1" applyBorder="1"/>
    <xf numFmtId="172" fontId="0" fillId="0" borderId="4" xfId="0" applyNumberFormat="1" applyBorder="1"/>
    <xf numFmtId="172" fontId="0" fillId="0" borderId="5" xfId="0" applyNumberFormat="1" applyBorder="1"/>
    <xf numFmtId="172" fontId="33" fillId="0" borderId="14" xfId="0" applyNumberFormat="1" applyFont="1" applyBorder="1"/>
    <xf numFmtId="172" fontId="33" fillId="0" borderId="15" xfId="0" applyNumberFormat="1" applyFont="1" applyBorder="1"/>
    <xf numFmtId="172" fontId="16" fillId="0" borderId="14" xfId="0" applyNumberFormat="1" applyFont="1" applyBorder="1"/>
    <xf numFmtId="172" fontId="16" fillId="0" borderId="15" xfId="0" applyNumberFormat="1" applyFont="1" applyBorder="1"/>
    <xf numFmtId="167" fontId="41" fillId="0" borderId="7" xfId="0" applyNumberFormat="1" applyFont="1" applyBorder="1" applyAlignment="1">
      <alignment horizontal="left" indent="1"/>
    </xf>
    <xf numFmtId="0" fontId="40" fillId="0" borderId="0" xfId="558" applyFont="1"/>
    <xf numFmtId="9" fontId="40" fillId="0" borderId="0" xfId="3" applyFont="1"/>
    <xf numFmtId="0" fontId="43" fillId="2" borderId="17" xfId="0" applyFont="1" applyFill="1" applyBorder="1"/>
    <xf numFmtId="0" fontId="9" fillId="2" borderId="18" xfId="0" applyFont="1" applyFill="1" applyBorder="1"/>
    <xf numFmtId="0" fontId="11" fillId="2" borderId="18" xfId="0" applyFont="1" applyFill="1" applyBorder="1" applyAlignment="1">
      <alignment horizontal="center"/>
    </xf>
    <xf numFmtId="0" fontId="0" fillId="2" borderId="19" xfId="0" applyFill="1" applyBorder="1"/>
    <xf numFmtId="0" fontId="0" fillId="2" borderId="4" xfId="0" applyFill="1" applyBorder="1"/>
    <xf numFmtId="0" fontId="11" fillId="2" borderId="5" xfId="0" applyFont="1" applyFill="1" applyBorder="1"/>
    <xf numFmtId="0" fontId="42" fillId="0" borderId="4" xfId="0" applyFont="1" applyBorder="1" applyAlignment="1">
      <alignment horizontal="left"/>
    </xf>
    <xf numFmtId="0" fontId="42" fillId="0" borderId="4" xfId="0" applyFont="1" applyBorder="1" applyAlignment="1">
      <alignment horizontal="left" indent="1"/>
    </xf>
    <xf numFmtId="0" fontId="37" fillId="0" borderId="4" xfId="0" applyFont="1" applyBorder="1"/>
    <xf numFmtId="167" fontId="37" fillId="0" borderId="0" xfId="2" applyNumberFormat="1" applyFont="1" applyBorder="1"/>
    <xf numFmtId="10" fontId="37" fillId="0" borderId="0" xfId="3" applyNumberFormat="1" applyFont="1" applyBorder="1"/>
    <xf numFmtId="0" fontId="41" fillId="0" borderId="14" xfId="0" applyFont="1" applyBorder="1" applyAlignment="1">
      <alignment horizontal="left" indent="1"/>
    </xf>
    <xf numFmtId="0" fontId="33" fillId="0" borderId="15" xfId="0" applyFont="1" applyBorder="1"/>
    <xf numFmtId="167" fontId="44" fillId="0" borderId="0" xfId="2" applyNumberFormat="1" applyFont="1" applyBorder="1"/>
    <xf numFmtId="167" fontId="4" fillId="0" borderId="0" xfId="2" applyNumberFormat="1" applyFont="1" applyFill="1" applyBorder="1"/>
    <xf numFmtId="169" fontId="0" fillId="0" borderId="0" xfId="3" applyNumberFormat="1" applyFont="1" applyFill="1" applyBorder="1"/>
    <xf numFmtId="9" fontId="0" fillId="0" borderId="7" xfId="0" applyNumberFormat="1" applyBorder="1" applyAlignment="1">
      <alignment horizontal="center"/>
    </xf>
    <xf numFmtId="167" fontId="0" fillId="0" borderId="7" xfId="0" applyNumberFormat="1" applyBorder="1"/>
    <xf numFmtId="167" fontId="0" fillId="0" borderId="15" xfId="0" applyNumberFormat="1" applyBorder="1"/>
    <xf numFmtId="167" fontId="47" fillId="0" borderId="0" xfId="2" applyNumberFormat="1" applyFont="1"/>
    <xf numFmtId="167" fontId="11" fillId="9" borderId="5" xfId="0" applyNumberFormat="1" applyFont="1" applyFill="1" applyBorder="1"/>
    <xf numFmtId="168" fontId="0" fillId="0" borderId="0" xfId="0" applyNumberFormat="1"/>
    <xf numFmtId="173" fontId="0" fillId="0" borderId="0" xfId="0" applyNumberFormat="1"/>
    <xf numFmtId="167" fontId="10" fillId="0" borderId="0" xfId="2" applyNumberFormat="1" applyFont="1" applyBorder="1"/>
    <xf numFmtId="167" fontId="10" fillId="0" borderId="0" xfId="2" applyNumberFormat="1" applyFont="1" applyFill="1" applyBorder="1"/>
    <xf numFmtId="0" fontId="51" fillId="0" borderId="0" xfId="0" applyFont="1"/>
    <xf numFmtId="0" fontId="0" fillId="14" borderId="0" xfId="0" applyFill="1"/>
    <xf numFmtId="0" fontId="48" fillId="0" borderId="0" xfId="0" applyFont="1"/>
    <xf numFmtId="167" fontId="10" fillId="0" borderId="6" xfId="0" applyNumberFormat="1" applyFont="1" applyBorder="1"/>
    <xf numFmtId="168" fontId="10" fillId="0" borderId="0" xfId="1" applyNumberFormat="1" applyFont="1" applyBorder="1"/>
    <xf numFmtId="0" fontId="48" fillId="0" borderId="4" xfId="0" applyFont="1" applyBorder="1"/>
    <xf numFmtId="0" fontId="10" fillId="0" borderId="22" xfId="0" applyFont="1" applyBorder="1"/>
    <xf numFmtId="167" fontId="10" fillId="0" borderId="21" xfId="0" applyNumberFormat="1" applyFont="1" applyBorder="1"/>
    <xf numFmtId="1" fontId="0" fillId="0" borderId="5" xfId="0" applyNumberFormat="1" applyBorder="1"/>
    <xf numFmtId="173" fontId="0" fillId="0" borderId="5" xfId="0" applyNumberFormat="1" applyBorder="1"/>
    <xf numFmtId="168" fontId="0" fillId="0" borderId="5" xfId="0" applyNumberFormat="1" applyBorder="1"/>
    <xf numFmtId="0" fontId="10" fillId="0" borderId="4" xfId="0" applyFont="1" applyBorder="1"/>
    <xf numFmtId="0" fontId="11" fillId="3" borderId="0" xfId="0" applyFont="1" applyFill="1"/>
    <xf numFmtId="0" fontId="11" fillId="3" borderId="5" xfId="0" applyFont="1" applyFill="1" applyBorder="1"/>
    <xf numFmtId="0" fontId="29" fillId="0" borderId="4" xfId="0" applyFont="1" applyBorder="1"/>
    <xf numFmtId="0" fontId="11" fillId="15" borderId="0" xfId="0" applyFont="1" applyFill="1"/>
    <xf numFmtId="0" fontId="11" fillId="15" borderId="5" xfId="0" applyFont="1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9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/>
    <xf numFmtId="0" fontId="9" fillId="2" borderId="4" xfId="0" applyFont="1" applyFill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0" fillId="0" borderId="0" xfId="0" applyNumberFormat="1"/>
    <xf numFmtId="0" fontId="10" fillId="0" borderId="21" xfId="0" applyFont="1" applyBorder="1"/>
    <xf numFmtId="0" fontId="29" fillId="0" borderId="4" xfId="0" applyFont="1" applyBorder="1" applyAlignment="1">
      <alignment horizontal="left" indent="1"/>
    </xf>
    <xf numFmtId="0" fontId="10" fillId="0" borderId="14" xfId="0" applyFont="1" applyBorder="1"/>
    <xf numFmtId="0" fontId="0" fillId="0" borderId="15" xfId="0" applyBorder="1"/>
    <xf numFmtId="0" fontId="10" fillId="0" borderId="5" xfId="0" applyFont="1" applyBorder="1"/>
    <xf numFmtId="0" fontId="18" fillId="3" borderId="4" xfId="0" applyFont="1" applyFill="1" applyBorder="1"/>
    <xf numFmtId="0" fontId="29" fillId="0" borderId="5" xfId="0" applyFont="1" applyBorder="1" applyAlignment="1">
      <alignment horizontal="center"/>
    </xf>
    <xf numFmtId="0" fontId="29" fillId="0" borderId="5" xfId="0" applyFont="1" applyBorder="1"/>
    <xf numFmtId="0" fontId="50" fillId="0" borderId="4" xfId="0" applyFont="1" applyBorder="1"/>
    <xf numFmtId="0" fontId="51" fillId="0" borderId="5" xfId="0" applyFont="1" applyBorder="1"/>
    <xf numFmtId="0" fontId="18" fillId="15" borderId="4" xfId="0" applyFont="1" applyFill="1" applyBorder="1"/>
    <xf numFmtId="0" fontId="11" fillId="2" borderId="0" xfId="0" quotePrefix="1" applyFont="1" applyFill="1" applyAlignment="1">
      <alignment horizontal="center"/>
    </xf>
    <xf numFmtId="0" fontId="11" fillId="2" borderId="5" xfId="0" applyFont="1" applyFill="1" applyBorder="1" applyAlignment="1">
      <alignment horizontal="center"/>
    </xf>
    <xf numFmtId="10" fontId="0" fillId="0" borderId="0" xfId="3" applyNumberFormat="1" applyFont="1" applyBorder="1"/>
    <xf numFmtId="0" fontId="11" fillId="4" borderId="4" xfId="0" applyFont="1" applyFill="1" applyBorder="1"/>
    <xf numFmtId="0" fontId="11" fillId="4" borderId="5" xfId="0" applyFont="1" applyFill="1" applyBorder="1"/>
    <xf numFmtId="0" fontId="0" fillId="2" borderId="5" xfId="0" applyFill="1" applyBorder="1"/>
    <xf numFmtId="0" fontId="13" fillId="0" borderId="4" xfId="0" applyFont="1" applyBorder="1" applyAlignment="1">
      <alignment horizontal="left" indent="1"/>
    </xf>
    <xf numFmtId="0" fontId="12" fillId="0" borderId="4" xfId="0" applyFont="1" applyBorder="1" applyAlignment="1">
      <alignment horizontal="left" indent="1"/>
    </xf>
    <xf numFmtId="0" fontId="12" fillId="0" borderId="4" xfId="0" quotePrefix="1" applyFont="1" applyBorder="1" applyAlignment="1">
      <alignment horizontal="left" indent="1"/>
    </xf>
    <xf numFmtId="9" fontId="0" fillId="0" borderId="0" xfId="3" applyFont="1" applyBorder="1"/>
    <xf numFmtId="0" fontId="11" fillId="9" borderId="4" xfId="0" applyFont="1" applyFill="1" applyBorder="1"/>
    <xf numFmtId="0" fontId="11" fillId="9" borderId="5" xfId="0" applyFont="1" applyFill="1" applyBorder="1"/>
    <xf numFmtId="0" fontId="13" fillId="0" borderId="4" xfId="0" applyFont="1" applyBorder="1" applyAlignment="1">
      <alignment horizontal="left"/>
    </xf>
    <xf numFmtId="0" fontId="23" fillId="8" borderId="4" xfId="0" applyFont="1" applyFill="1" applyBorder="1"/>
    <xf numFmtId="0" fontId="22" fillId="8" borderId="5" xfId="0" applyFont="1" applyFill="1" applyBorder="1"/>
    <xf numFmtId="0" fontId="31" fillId="11" borderId="4" xfId="0" applyFont="1" applyFill="1" applyBorder="1" applyAlignment="1">
      <alignment horizontal="left"/>
    </xf>
    <xf numFmtId="0" fontId="9" fillId="11" borderId="5" xfId="0" applyFont="1" applyFill="1" applyBorder="1"/>
    <xf numFmtId="0" fontId="0" fillId="0" borderId="4" xfId="0" applyBorder="1" applyAlignment="1">
      <alignment horizontal="left" indent="1"/>
    </xf>
    <xf numFmtId="168" fontId="29" fillId="0" borderId="0" xfId="1" applyNumberFormat="1" applyFont="1"/>
    <xf numFmtId="167" fontId="10" fillId="0" borderId="6" xfId="2" applyNumberFormat="1" applyFont="1" applyBorder="1"/>
    <xf numFmtId="167" fontId="0" fillId="0" borderId="0" xfId="2" applyNumberFormat="1" applyFont="1" applyBorder="1" applyAlignment="1">
      <alignment horizontal="center"/>
    </xf>
    <xf numFmtId="167" fontId="10" fillId="0" borderId="26" xfId="2" applyNumberFormat="1" applyFont="1" applyBorder="1"/>
    <xf numFmtId="0" fontId="10" fillId="0" borderId="28" xfId="0" applyFont="1" applyBorder="1"/>
    <xf numFmtId="167" fontId="10" fillId="0" borderId="26" xfId="2" applyNumberFormat="1" applyFont="1" applyFill="1" applyBorder="1"/>
    <xf numFmtId="167" fontId="0" fillId="0" borderId="0" xfId="6431" applyNumberFormat="1" applyFont="1" applyFill="1" applyBorder="1"/>
    <xf numFmtId="167" fontId="0" fillId="0" borderId="5" xfId="6431" applyNumberFormat="1" applyFont="1" applyFill="1" applyBorder="1"/>
    <xf numFmtId="169" fontId="0" fillId="0" borderId="0" xfId="3" applyNumberFormat="1" applyFont="1" applyBorder="1"/>
    <xf numFmtId="167" fontId="11" fillId="4" borderId="0" xfId="0" applyNumberFormat="1" applyFont="1" applyFill="1"/>
    <xf numFmtId="167" fontId="11" fillId="2" borderId="0" xfId="0" applyNumberFormat="1" applyFont="1" applyFill="1"/>
    <xf numFmtId="167" fontId="11" fillId="9" borderId="0" xfId="0" applyNumberFormat="1" applyFont="1" applyFill="1"/>
    <xf numFmtId="38" fontId="22" fillId="8" borderId="0" xfId="0" applyNumberFormat="1" applyFont="1" applyFill="1"/>
    <xf numFmtId="38" fontId="10" fillId="10" borderId="0" xfId="0" applyNumberFormat="1" applyFont="1" applyFill="1"/>
    <xf numFmtId="167" fontId="32" fillId="0" borderId="0" xfId="0" applyNumberFormat="1" applyFont="1"/>
    <xf numFmtId="38" fontId="23" fillId="10" borderId="0" xfId="0" applyNumberFormat="1" applyFont="1" applyFill="1"/>
    <xf numFmtId="44" fontId="0" fillId="0" borderId="0" xfId="0" applyNumberFormat="1"/>
    <xf numFmtId="9" fontId="37" fillId="0" borderId="0" xfId="3" applyFont="1" applyBorder="1"/>
    <xf numFmtId="0" fontId="10" fillId="6" borderId="0" xfId="0" applyFont="1" applyFill="1" applyAlignment="1">
      <alignment horizontal="center" vertical="center" textRotation="90"/>
    </xf>
    <xf numFmtId="164" fontId="23" fillId="8" borderId="0" xfId="6431" applyNumberFormat="1" applyFont="1" applyFill="1"/>
    <xf numFmtId="167" fontId="0" fillId="0" borderId="0" xfId="6431" applyNumberFormat="1" applyFont="1"/>
    <xf numFmtId="167" fontId="11" fillId="5" borderId="0" xfId="6431" applyNumberFormat="1" applyFont="1" applyFill="1"/>
    <xf numFmtId="167" fontId="47" fillId="0" borderId="0" xfId="6431" applyNumberFormat="1" applyFont="1"/>
    <xf numFmtId="168" fontId="0" fillId="0" borderId="0" xfId="6432" applyNumberFormat="1" applyFont="1"/>
    <xf numFmtId="168" fontId="29" fillId="0" borderId="0" xfId="6432" applyNumberFormat="1" applyFont="1"/>
    <xf numFmtId="167" fontId="0" fillId="0" borderId="5" xfId="6431" applyNumberFormat="1" applyFont="1" applyBorder="1"/>
    <xf numFmtId="167" fontId="0" fillId="0" borderId="0" xfId="6431" applyNumberFormat="1" applyFont="1" applyBorder="1"/>
    <xf numFmtId="38" fontId="9" fillId="10" borderId="0" xfId="0" applyNumberFormat="1" applyFont="1" applyFill="1"/>
    <xf numFmtId="169" fontId="0" fillId="0" borderId="0" xfId="6700" applyNumberFormat="1" applyFont="1" applyFill="1" applyBorder="1"/>
    <xf numFmtId="10" fontId="0" fillId="0" borderId="0" xfId="6700" applyNumberFormat="1" applyFont="1" applyFill="1" applyBorder="1"/>
    <xf numFmtId="167" fontId="4" fillId="0" borderId="5" xfId="6431" applyNumberFormat="1" applyFont="1" applyFill="1" applyBorder="1"/>
    <xf numFmtId="167" fontId="4" fillId="0" borderId="0" xfId="6431" applyNumberFormat="1" applyFont="1" applyFill="1" applyBorder="1"/>
    <xf numFmtId="0" fontId="10" fillId="0" borderId="4" xfId="0" applyFont="1" applyBorder="1" applyAlignment="1">
      <alignment horizontal="left" indent="1"/>
    </xf>
    <xf numFmtId="0" fontId="11" fillId="2" borderId="4" xfId="0" applyFont="1" applyFill="1" applyBorder="1"/>
    <xf numFmtId="168" fontId="10" fillId="0" borderId="5" xfId="6432" applyNumberFormat="1" applyFont="1" applyBorder="1"/>
    <xf numFmtId="168" fontId="10" fillId="0" borderId="0" xfId="6432" applyNumberFormat="1" applyFont="1" applyBorder="1"/>
    <xf numFmtId="167" fontId="10" fillId="0" borderId="0" xfId="6431" applyNumberFormat="1" applyFont="1" applyBorder="1"/>
    <xf numFmtId="167" fontId="4" fillId="0" borderId="0" xfId="6431" applyNumberFormat="1" applyFont="1" applyBorder="1"/>
    <xf numFmtId="165" fontId="4" fillId="0" borderId="0" xfId="6431" applyFont="1" applyBorder="1"/>
    <xf numFmtId="168" fontId="0" fillId="0" borderId="5" xfId="6432" applyNumberFormat="1" applyFont="1" applyBorder="1"/>
    <xf numFmtId="168" fontId="0" fillId="0" borderId="0" xfId="6432" applyNumberFormat="1" applyFont="1" applyBorder="1"/>
    <xf numFmtId="166" fontId="0" fillId="0" borderId="0" xfId="6432" applyFont="1" applyBorder="1"/>
    <xf numFmtId="9" fontId="0" fillId="0" borderId="5" xfId="6700" applyFont="1" applyFill="1" applyBorder="1"/>
    <xf numFmtId="165" fontId="38" fillId="14" borderId="0" xfId="6431" applyFont="1" applyFill="1" applyBorder="1"/>
    <xf numFmtId="167" fontId="10" fillId="0" borderId="5" xfId="6431" applyNumberFormat="1" applyFont="1" applyFill="1" applyBorder="1"/>
    <xf numFmtId="167" fontId="10" fillId="0" borderId="0" xfId="6431" applyNumberFormat="1" applyFont="1" applyFill="1" applyBorder="1"/>
    <xf numFmtId="9" fontId="10" fillId="0" borderId="5" xfId="6700" applyFont="1" applyFill="1" applyBorder="1"/>
    <xf numFmtId="169" fontId="49" fillId="14" borderId="0" xfId="6700" applyNumberFormat="1" applyFont="1" applyFill="1" applyBorder="1"/>
    <xf numFmtId="167" fontId="38" fillId="0" borderId="0" xfId="6431" applyNumberFormat="1" applyFont="1" applyFill="1" applyBorder="1"/>
    <xf numFmtId="167" fontId="51" fillId="0" borderId="5" xfId="6431" applyNumberFormat="1" applyFont="1" applyFill="1" applyBorder="1"/>
    <xf numFmtId="167" fontId="51" fillId="0" borderId="0" xfId="6431" applyNumberFormat="1" applyFont="1" applyFill="1" applyBorder="1"/>
    <xf numFmtId="165" fontId="0" fillId="14" borderId="0" xfId="6431" applyFont="1" applyFill="1" applyBorder="1"/>
    <xf numFmtId="168" fontId="4" fillId="0" borderId="5" xfId="6432" applyNumberFormat="1" applyFont="1" applyFill="1" applyBorder="1"/>
    <xf numFmtId="168" fontId="4" fillId="0" borderId="0" xfId="6432" applyNumberFormat="1" applyFont="1" applyFill="1" applyBorder="1"/>
    <xf numFmtId="168" fontId="29" fillId="0" borderId="5" xfId="6432" applyNumberFormat="1" applyFont="1" applyFill="1" applyBorder="1"/>
    <xf numFmtId="168" fontId="29" fillId="0" borderId="0" xfId="6432" applyNumberFormat="1" applyFont="1" applyFill="1" applyBorder="1"/>
    <xf numFmtId="9" fontId="29" fillId="0" borderId="5" xfId="6700" applyFont="1" applyFill="1" applyBorder="1"/>
    <xf numFmtId="10" fontId="0" fillId="14" borderId="0" xfId="6700" applyNumberFormat="1" applyFont="1" applyFill="1" applyBorder="1"/>
    <xf numFmtId="168" fontId="52" fillId="14" borderId="0" xfId="6432" applyNumberFormat="1" applyFont="1" applyFill="1" applyBorder="1"/>
    <xf numFmtId="171" fontId="29" fillId="0" borderId="5" xfId="6432" applyNumberFormat="1" applyFont="1" applyFill="1" applyBorder="1"/>
    <xf numFmtId="171" fontId="29" fillId="0" borderId="0" xfId="6432" applyNumberFormat="1" applyFont="1" applyFill="1" applyBorder="1"/>
    <xf numFmtId="167" fontId="52" fillId="0" borderId="0" xfId="6431" applyNumberFormat="1" applyFont="1" applyFill="1" applyBorder="1"/>
    <xf numFmtId="167" fontId="10" fillId="0" borderId="5" xfId="6431" applyNumberFormat="1" applyFont="1" applyBorder="1"/>
    <xf numFmtId="167" fontId="10" fillId="0" borderId="15" xfId="6431" applyNumberFormat="1" applyFont="1" applyBorder="1"/>
    <xf numFmtId="167" fontId="10" fillId="0" borderId="7" xfId="6431" applyNumberFormat="1" applyFont="1" applyBorder="1"/>
    <xf numFmtId="171" fontId="10" fillId="0" borderId="5" xfId="6432" applyNumberFormat="1" applyFont="1" applyBorder="1"/>
    <xf numFmtId="171" fontId="10" fillId="0" borderId="0" xfId="6432" applyNumberFormat="1" applyFont="1" applyBorder="1"/>
    <xf numFmtId="166" fontId="0" fillId="0" borderId="5" xfId="6432" applyFont="1" applyBorder="1"/>
    <xf numFmtId="167" fontId="48" fillId="0" borderId="0" xfId="6431" applyNumberFormat="1" applyFont="1" applyBorder="1"/>
    <xf numFmtId="9" fontId="48" fillId="0" borderId="5" xfId="6700" applyFont="1" applyFill="1" applyBorder="1"/>
    <xf numFmtId="167" fontId="48" fillId="0" borderId="0" xfId="6431" applyNumberFormat="1" applyFont="1" applyFill="1" applyBorder="1"/>
    <xf numFmtId="9" fontId="48" fillId="0" borderId="0" xfId="6700" applyFont="1" applyFill="1" applyBorder="1"/>
    <xf numFmtId="168" fontId="4" fillId="0" borderId="5" xfId="6432" applyNumberFormat="1" applyFont="1" applyBorder="1"/>
    <xf numFmtId="168" fontId="4" fillId="0" borderId="0" xfId="6432" applyNumberFormat="1" applyFont="1" applyBorder="1"/>
    <xf numFmtId="9" fontId="0" fillId="0" borderId="0" xfId="6700" applyFont="1" applyFill="1" applyBorder="1"/>
    <xf numFmtId="0" fontId="3" fillId="0" borderId="0" xfId="6702"/>
    <xf numFmtId="0" fontId="16" fillId="0" borderId="7" xfId="6702" applyFont="1" applyBorder="1"/>
    <xf numFmtId="167" fontId="16" fillId="0" borderId="7" xfId="6431" applyNumberFormat="1" applyFont="1" applyBorder="1"/>
    <xf numFmtId="167" fontId="37" fillId="0" borderId="0" xfId="6431" applyNumberFormat="1" applyFont="1"/>
    <xf numFmtId="0" fontId="37" fillId="12" borderId="0" xfId="0" applyFont="1" applyFill="1"/>
    <xf numFmtId="167" fontId="3" fillId="0" borderId="0" xfId="6431" applyNumberFormat="1" applyFont="1"/>
    <xf numFmtId="167" fontId="33" fillId="0" borderId="7" xfId="6431" applyNumberFormat="1" applyFont="1" applyBorder="1"/>
    <xf numFmtId="167" fontId="37" fillId="7" borderId="0" xfId="6431" applyNumberFormat="1" applyFont="1" applyFill="1"/>
    <xf numFmtId="9" fontId="40" fillId="0" borderId="0" xfId="6700" applyFont="1"/>
    <xf numFmtId="0" fontId="40" fillId="0" borderId="0" xfId="6702" applyFont="1"/>
    <xf numFmtId="17" fontId="17" fillId="4" borderId="29" xfId="0" applyNumberFormat="1" applyFont="1" applyFill="1" applyBorder="1" applyAlignment="1">
      <alignment horizontal="center"/>
    </xf>
    <xf numFmtId="17" fontId="17" fillId="3" borderId="2" xfId="0" applyNumberFormat="1" applyFont="1" applyFill="1" applyBorder="1" applyAlignment="1">
      <alignment horizontal="center"/>
    </xf>
    <xf numFmtId="17" fontId="17" fillId="4" borderId="2" xfId="0" applyNumberFormat="1" applyFont="1" applyFill="1" applyBorder="1" applyAlignment="1">
      <alignment horizontal="center" vertical="center" wrapText="1"/>
    </xf>
    <xf numFmtId="17" fontId="17" fillId="3" borderId="3" xfId="0" applyNumberFormat="1" applyFont="1" applyFill="1" applyBorder="1" applyAlignment="1">
      <alignment horizontal="center"/>
    </xf>
    <xf numFmtId="169" fontId="0" fillId="0" borderId="0" xfId="3" applyNumberFormat="1" applyFont="1"/>
    <xf numFmtId="0" fontId="0" fillId="0" borderId="0" xfId="0" applyAlignment="1">
      <alignment horizontal="left" indent="1"/>
    </xf>
    <xf numFmtId="10" fontId="0" fillId="0" borderId="0" xfId="3" applyNumberFormat="1" applyFont="1"/>
    <xf numFmtId="172" fontId="54" fillId="0" borderId="0" xfId="0" applyNumberFormat="1" applyFont="1"/>
    <xf numFmtId="0" fontId="37" fillId="0" borderId="0" xfId="0" quotePrefix="1" applyFont="1"/>
    <xf numFmtId="0" fontId="20" fillId="17" borderId="0" xfId="558" applyFill="1"/>
    <xf numFmtId="0" fontId="37" fillId="17" borderId="0" xfId="0" applyFont="1" applyFill="1"/>
    <xf numFmtId="0" fontId="38" fillId="17" borderId="0" xfId="0" applyFont="1" applyFill="1"/>
    <xf numFmtId="0" fontId="55" fillId="0" borderId="0" xfId="0" applyFont="1"/>
    <xf numFmtId="0" fontId="4" fillId="0" borderId="0" xfId="558" applyFont="1"/>
    <xf numFmtId="172" fontId="4" fillId="0" borderId="0" xfId="0" applyNumberFormat="1" applyFont="1"/>
    <xf numFmtId="0" fontId="37" fillId="0" borderId="0" xfId="558" applyFont="1"/>
    <xf numFmtId="0" fontId="9" fillId="17" borderId="4" xfId="0" applyFont="1" applyFill="1" applyBorder="1"/>
    <xf numFmtId="0" fontId="0" fillId="17" borderId="0" xfId="0" applyFill="1"/>
    <xf numFmtId="0" fontId="0" fillId="17" borderId="5" xfId="0" applyFill="1" applyBorder="1"/>
    <xf numFmtId="0" fontId="0" fillId="17" borderId="4" xfId="0" applyFill="1" applyBorder="1"/>
    <xf numFmtId="0" fontId="11" fillId="17" borderId="0" xfId="0" applyFont="1" applyFill="1" applyAlignment="1">
      <alignment horizontal="center"/>
    </xf>
    <xf numFmtId="0" fontId="11" fillId="17" borderId="5" xfId="0" applyFont="1" applyFill="1" applyBorder="1"/>
    <xf numFmtId="0" fontId="17" fillId="17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/>
    </xf>
    <xf numFmtId="0" fontId="17" fillId="17" borderId="3" xfId="0" applyFont="1" applyFill="1" applyBorder="1" applyAlignment="1">
      <alignment horizontal="center"/>
    </xf>
    <xf numFmtId="0" fontId="9" fillId="18" borderId="4" xfId="0" applyFont="1" applyFill="1" applyBorder="1"/>
    <xf numFmtId="0" fontId="0" fillId="18" borderId="0" xfId="0" applyFill="1"/>
    <xf numFmtId="0" fontId="0" fillId="18" borderId="5" xfId="0" applyFill="1" applyBorder="1"/>
    <xf numFmtId="0" fontId="0" fillId="18" borderId="4" xfId="0" applyFill="1" applyBorder="1"/>
    <xf numFmtId="0" fontId="11" fillId="18" borderId="0" xfId="0" applyFont="1" applyFill="1" applyAlignment="1">
      <alignment horizontal="center"/>
    </xf>
    <xf numFmtId="0" fontId="11" fillId="18" borderId="5" xfId="0" applyFont="1" applyFill="1" applyBorder="1"/>
    <xf numFmtId="0" fontId="17" fillId="18" borderId="1" xfId="0" applyFont="1" applyFill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center"/>
    </xf>
    <xf numFmtId="0" fontId="17" fillId="18" borderId="3" xfId="0" applyFont="1" applyFill="1" applyBorder="1" applyAlignment="1">
      <alignment horizontal="center"/>
    </xf>
    <xf numFmtId="9" fontId="0" fillId="0" borderId="0" xfId="3" applyFont="1"/>
    <xf numFmtId="0" fontId="0" fillId="0" borderId="0" xfId="0" quotePrefix="1"/>
    <xf numFmtId="0" fontId="57" fillId="0" borderId="0" xfId="0" applyFont="1"/>
    <xf numFmtId="169" fontId="0" fillId="0" borderId="0" xfId="6700" applyNumberFormat="1" applyFont="1" applyBorder="1"/>
    <xf numFmtId="10" fontId="0" fillId="0" borderId="0" xfId="3" applyNumberFormat="1" applyFont="1" applyFill="1" applyBorder="1"/>
    <xf numFmtId="17" fontId="17" fillId="17" borderId="3" xfId="0" applyNumberFormat="1" applyFont="1" applyFill="1" applyBorder="1" applyAlignment="1">
      <alignment horizontal="center" vertical="center" wrapText="1"/>
    </xf>
    <xf numFmtId="17" fontId="17" fillId="18" borderId="3" xfId="0" applyNumberFormat="1" applyFont="1" applyFill="1" applyBorder="1" applyAlignment="1">
      <alignment horizontal="center" vertical="center" wrapText="1"/>
    </xf>
    <xf numFmtId="167" fontId="2" fillId="0" borderId="5" xfId="6431" applyNumberFormat="1" applyFont="1" applyBorder="1"/>
    <xf numFmtId="167" fontId="2" fillId="0" borderId="0" xfId="6431" applyNumberFormat="1" applyFont="1" applyBorder="1"/>
    <xf numFmtId="167" fontId="54" fillId="0" borderId="5" xfId="6431" applyNumberFormat="1" applyFont="1" applyFill="1" applyBorder="1"/>
    <xf numFmtId="1" fontId="0" fillId="0" borderId="0" xfId="0" applyNumberFormat="1"/>
    <xf numFmtId="167" fontId="0" fillId="16" borderId="0" xfId="2" applyNumberFormat="1" applyFont="1" applyFill="1" applyBorder="1"/>
    <xf numFmtId="0" fontId="29" fillId="0" borderId="0" xfId="558" applyFont="1"/>
    <xf numFmtId="172" fontId="4" fillId="0" borderId="7" xfId="558" applyNumberFormat="1" applyFont="1" applyBorder="1"/>
    <xf numFmtId="172" fontId="20" fillId="0" borderId="6" xfId="558" applyNumberFormat="1" applyBorder="1"/>
    <xf numFmtId="0" fontId="2" fillId="0" borderId="0" xfId="558" applyFont="1"/>
    <xf numFmtId="0" fontId="60" fillId="0" borderId="0" xfId="0" applyFont="1"/>
    <xf numFmtId="167" fontId="4" fillId="0" borderId="7" xfId="2" applyNumberFormat="1" applyFont="1" applyBorder="1"/>
    <xf numFmtId="0" fontId="3" fillId="19" borderId="0" xfId="6702" applyFill="1"/>
    <xf numFmtId="0" fontId="2" fillId="0" borderId="0" xfId="6702" applyFont="1"/>
    <xf numFmtId="165" fontId="3" fillId="0" borderId="0" xfId="2" applyFont="1"/>
    <xf numFmtId="165" fontId="3" fillId="0" borderId="0" xfId="6702" applyNumberFormat="1"/>
    <xf numFmtId="165" fontId="3" fillId="0" borderId="6" xfId="6702" applyNumberFormat="1" applyBorder="1"/>
    <xf numFmtId="167" fontId="0" fillId="0" borderId="0" xfId="2" applyNumberFormat="1" applyFont="1" applyAlignment="1">
      <alignment horizontal="center"/>
    </xf>
    <xf numFmtId="167" fontId="37" fillId="0" borderId="0" xfId="2" applyNumberFormat="1" applyFont="1" applyFill="1" applyBorder="1"/>
    <xf numFmtId="0" fontId="2" fillId="0" borderId="0" xfId="6703"/>
    <xf numFmtId="0" fontId="2" fillId="0" borderId="0" xfId="6703" applyAlignment="1">
      <alignment horizontal="center" vertical="center"/>
    </xf>
    <xf numFmtId="0" fontId="2" fillId="20" borderId="0" xfId="6703" applyFill="1"/>
    <xf numFmtId="0" fontId="2" fillId="0" borderId="32" xfId="6703" applyBorder="1"/>
    <xf numFmtId="170" fontId="21" fillId="0" borderId="0" xfId="6703" applyNumberFormat="1" applyFont="1"/>
    <xf numFmtId="0" fontId="21" fillId="0" borderId="0" xfId="6703" applyFont="1"/>
    <xf numFmtId="170" fontId="2" fillId="0" borderId="0" xfId="6703" applyNumberFormat="1"/>
    <xf numFmtId="0" fontId="2" fillId="0" borderId="0" xfId="6703" applyAlignment="1">
      <alignment vertical="center"/>
    </xf>
    <xf numFmtId="170" fontId="58" fillId="20" borderId="0" xfId="6703" applyNumberFormat="1" applyFont="1" applyFill="1"/>
    <xf numFmtId="0" fontId="21" fillId="20" borderId="0" xfId="6703" applyFont="1" applyFill="1"/>
    <xf numFmtId="0" fontId="61" fillId="20" borderId="0" xfId="6703" applyFont="1" applyFill="1"/>
    <xf numFmtId="0" fontId="17" fillId="21" borderId="0" xfId="6703" applyFont="1" applyFill="1"/>
    <xf numFmtId="0" fontId="17" fillId="21" borderId="0" xfId="6703" applyFont="1" applyFill="1" applyAlignment="1">
      <alignment vertical="center"/>
    </xf>
    <xf numFmtId="170" fontId="62" fillId="20" borderId="0" xfId="6703" applyNumberFormat="1" applyFont="1" applyFill="1"/>
    <xf numFmtId="170" fontId="62" fillId="20" borderId="0" xfId="6703" applyNumberFormat="1" applyFont="1" applyFill="1" applyAlignment="1">
      <alignment vertical="center"/>
    </xf>
    <xf numFmtId="170" fontId="21" fillId="0" borderId="0" xfId="6703" applyNumberFormat="1" applyFont="1" applyAlignment="1">
      <alignment vertical="center"/>
    </xf>
    <xf numFmtId="170" fontId="58" fillId="20" borderId="0" xfId="6703" applyNumberFormat="1" applyFont="1" applyFill="1" applyAlignment="1">
      <alignment vertical="center"/>
    </xf>
    <xf numFmtId="170" fontId="2" fillId="0" borderId="0" xfId="6703" applyNumberFormat="1" applyAlignment="1">
      <alignment vertical="center"/>
    </xf>
    <xf numFmtId="0" fontId="2" fillId="20" borderId="0" xfId="6703" applyFill="1" applyAlignment="1">
      <alignment vertical="center"/>
    </xf>
    <xf numFmtId="0" fontId="21" fillId="20" borderId="0" xfId="6703" applyFont="1" applyFill="1" applyAlignment="1">
      <alignment vertical="center"/>
    </xf>
    <xf numFmtId="0" fontId="61" fillId="20" borderId="0" xfId="6703" applyFont="1" applyFill="1" applyAlignment="1">
      <alignment vertical="center"/>
    </xf>
    <xf numFmtId="0" fontId="17" fillId="22" borderId="0" xfId="6703" applyFont="1" applyFill="1" applyAlignment="1">
      <alignment vertical="center"/>
    </xf>
    <xf numFmtId="170" fontId="61" fillId="20" borderId="0" xfId="6703" applyNumberFormat="1" applyFont="1" applyFill="1" applyAlignment="1">
      <alignment vertical="center"/>
    </xf>
    <xf numFmtId="0" fontId="21" fillId="0" borderId="0" xfId="6703" applyFont="1" applyAlignment="1">
      <alignment vertical="center"/>
    </xf>
    <xf numFmtId="170" fontId="63" fillId="20" borderId="0" xfId="6703" applyNumberFormat="1" applyFont="1" applyFill="1" applyAlignment="1">
      <alignment vertical="center"/>
    </xf>
    <xf numFmtId="170" fontId="21" fillId="0" borderId="0" xfId="6703" applyNumberFormat="1" applyFont="1" applyAlignment="1">
      <alignment horizontal="center"/>
    </xf>
    <xf numFmtId="0" fontId="21" fillId="0" borderId="0" xfId="6703" applyFont="1" applyAlignment="1">
      <alignment horizontal="center"/>
    </xf>
    <xf numFmtId="170" fontId="21" fillId="20" borderId="0" xfId="6703" applyNumberFormat="1" applyFont="1" applyFill="1" applyAlignment="1">
      <alignment horizontal="center"/>
    </xf>
    <xf numFmtId="170" fontId="61" fillId="20" borderId="0" xfId="6703" applyNumberFormat="1" applyFont="1" applyFill="1" applyAlignment="1">
      <alignment horizontal="center"/>
    </xf>
    <xf numFmtId="0" fontId="21" fillId="22" borderId="0" xfId="6703" applyFont="1" applyFill="1" applyAlignment="1">
      <alignment vertical="center"/>
    </xf>
    <xf numFmtId="170" fontId="2" fillId="20" borderId="0" xfId="6703" applyNumberFormat="1" applyFill="1"/>
    <xf numFmtId="9" fontId="64" fillId="0" borderId="0" xfId="6704" applyFont="1" applyFill="1" applyBorder="1" applyAlignment="1">
      <alignment horizontal="center" vertical="center"/>
    </xf>
    <xf numFmtId="170" fontId="21" fillId="6" borderId="0" xfId="6703" applyNumberFormat="1" applyFont="1" applyFill="1" applyAlignment="1">
      <alignment horizontal="center" vertical="center"/>
    </xf>
    <xf numFmtId="9" fontId="65" fillId="6" borderId="0" xfId="6704" applyFont="1" applyFill="1" applyBorder="1" applyAlignment="1">
      <alignment horizontal="center" vertical="center"/>
    </xf>
    <xf numFmtId="0" fontId="21" fillId="6" borderId="0" xfId="6703" applyFont="1" applyFill="1" applyAlignment="1">
      <alignment horizontal="center" vertical="center"/>
    </xf>
    <xf numFmtId="170" fontId="64" fillId="23" borderId="0" xfId="6703" applyNumberFormat="1" applyFont="1" applyFill="1" applyAlignment="1">
      <alignment vertical="center"/>
    </xf>
    <xf numFmtId="170" fontId="64" fillId="23" borderId="0" xfId="6705" applyFont="1" applyFill="1" applyBorder="1" applyAlignment="1">
      <alignment vertical="center"/>
    </xf>
    <xf numFmtId="174" fontId="64" fillId="20" borderId="0" xfId="6704" applyNumberFormat="1" applyFont="1" applyFill="1" applyBorder="1" applyAlignment="1">
      <alignment horizontal="center" vertical="center"/>
    </xf>
    <xf numFmtId="170" fontId="64" fillId="20" borderId="0" xfId="6703" applyNumberFormat="1" applyFont="1" applyFill="1" applyAlignment="1">
      <alignment horizontal="center" vertical="center"/>
    </xf>
    <xf numFmtId="0" fontId="66" fillId="20" borderId="0" xfId="6706" applyFont="1" applyFill="1" applyAlignment="1">
      <alignment horizontal="center" vertical="center"/>
    </xf>
    <xf numFmtId="170" fontId="64" fillId="20" borderId="0" xfId="6703" applyNumberFormat="1" applyFont="1" applyFill="1" applyAlignment="1">
      <alignment vertical="center"/>
    </xf>
    <xf numFmtId="0" fontId="66" fillId="23" borderId="0" xfId="6706" applyFont="1" applyFill="1" applyAlignment="1">
      <alignment horizontal="center" vertical="center"/>
    </xf>
    <xf numFmtId="14" fontId="66" fillId="20" borderId="0" xfId="6706" applyNumberFormat="1" applyFont="1" applyFill="1" applyAlignment="1">
      <alignment horizontal="center" vertical="center"/>
    </xf>
    <xf numFmtId="0" fontId="67" fillId="20" borderId="0" xfId="6706" applyFont="1" applyFill="1" applyAlignment="1">
      <alignment vertical="center"/>
    </xf>
    <xf numFmtId="14" fontId="66" fillId="0" borderId="0" xfId="6706" applyNumberFormat="1" applyFont="1" applyAlignment="1">
      <alignment horizontal="center" vertical="center"/>
    </xf>
    <xf numFmtId="0" fontId="66" fillId="0" borderId="0" xfId="6706" applyFont="1" applyAlignment="1">
      <alignment horizontal="center" vertical="center"/>
    </xf>
    <xf numFmtId="0" fontId="67" fillId="0" borderId="0" xfId="6706" applyFont="1" applyAlignment="1">
      <alignment vertical="center"/>
    </xf>
    <xf numFmtId="0" fontId="17" fillId="21" borderId="0" xfId="6703" applyFont="1" applyFill="1" applyAlignment="1">
      <alignment horizontal="center" vertical="center" wrapText="1"/>
    </xf>
    <xf numFmtId="0" fontId="2" fillId="20" borderId="32" xfId="6703" applyFill="1" applyBorder="1"/>
    <xf numFmtId="0" fontId="2" fillId="0" borderId="32" xfId="6703" applyBorder="1" applyAlignment="1">
      <alignment horizontal="center" vertical="center"/>
    </xf>
    <xf numFmtId="0" fontId="33" fillId="20" borderId="0" xfId="6703" applyFont="1" applyFill="1" applyAlignment="1" applyProtection="1">
      <alignment vertical="center"/>
      <protection locked="0"/>
    </xf>
    <xf numFmtId="0" fontId="41" fillId="20" borderId="0" xfId="6703" applyFont="1" applyFill="1"/>
    <xf numFmtId="0" fontId="68" fillId="0" borderId="34" xfId="6703" applyFont="1" applyBorder="1" applyAlignment="1">
      <alignment vertical="center"/>
    </xf>
    <xf numFmtId="0" fontId="2" fillId="0" borderId="34" xfId="6703" applyBorder="1"/>
    <xf numFmtId="165" fontId="2" fillId="0" borderId="0" xfId="2" applyFont="1"/>
    <xf numFmtId="44" fontId="2" fillId="0" borderId="0" xfId="6703" applyNumberFormat="1"/>
    <xf numFmtId="9" fontId="2" fillId="0" borderId="0" xfId="3" applyFont="1"/>
    <xf numFmtId="0" fontId="36" fillId="0" borderId="0" xfId="6703" applyFont="1"/>
    <xf numFmtId="38" fontId="22" fillId="12" borderId="0" xfId="0" applyNumberFormat="1" applyFont="1" applyFill="1"/>
    <xf numFmtId="38" fontId="22" fillId="12" borderId="5" xfId="0" applyNumberFormat="1" applyFont="1" applyFill="1" applyBorder="1"/>
    <xf numFmtId="172" fontId="0" fillId="0" borderId="0" xfId="2" applyNumberFormat="1" applyFont="1"/>
    <xf numFmtId="172" fontId="0" fillId="0" borderId="7" xfId="0" applyNumberFormat="1" applyBorder="1"/>
    <xf numFmtId="169" fontId="57" fillId="0" borderId="0" xfId="3" applyNumberFormat="1" applyFont="1" applyAlignment="1">
      <alignment horizontal="center"/>
    </xf>
    <xf numFmtId="0" fontId="69" fillId="0" borderId="0" xfId="0" applyFont="1"/>
    <xf numFmtId="0" fontId="69" fillId="0" borderId="5" xfId="0" applyFont="1" applyBorder="1"/>
    <xf numFmtId="168" fontId="69" fillId="0" borderId="0" xfId="6432" applyNumberFormat="1" applyFont="1" applyBorder="1"/>
    <xf numFmtId="168" fontId="69" fillId="0" borderId="5" xfId="6432" applyNumberFormat="1" applyFont="1" applyBorder="1"/>
    <xf numFmtId="167" fontId="70" fillId="0" borderId="0" xfId="6431" applyNumberFormat="1" applyFont="1" applyBorder="1"/>
    <xf numFmtId="167" fontId="69" fillId="0" borderId="0" xfId="0" applyNumberFormat="1" applyFont="1"/>
    <xf numFmtId="171" fontId="71" fillId="0" borderId="0" xfId="6432" applyNumberFormat="1" applyFont="1" applyBorder="1"/>
    <xf numFmtId="171" fontId="71" fillId="0" borderId="5" xfId="6432" applyNumberFormat="1" applyFont="1" applyBorder="1"/>
    <xf numFmtId="167" fontId="69" fillId="0" borderId="0" xfId="6431" applyNumberFormat="1" applyFont="1" applyBorder="1"/>
    <xf numFmtId="167" fontId="69" fillId="0" borderId="5" xfId="6431" applyNumberFormat="1" applyFont="1" applyBorder="1"/>
    <xf numFmtId="168" fontId="69" fillId="0" borderId="0" xfId="0" applyNumberFormat="1" applyFont="1"/>
    <xf numFmtId="168" fontId="69" fillId="0" borderId="5" xfId="0" applyNumberFormat="1" applyFont="1" applyBorder="1"/>
    <xf numFmtId="168" fontId="72" fillId="0" borderId="0" xfId="6432" applyNumberFormat="1" applyFont="1" applyFill="1" applyBorder="1"/>
    <xf numFmtId="168" fontId="72" fillId="0" borderId="5" xfId="6432" applyNumberFormat="1" applyFont="1" applyFill="1" applyBorder="1"/>
    <xf numFmtId="168" fontId="69" fillId="0" borderId="0" xfId="6432" applyNumberFormat="1" applyFont="1" applyFill="1" applyBorder="1"/>
    <xf numFmtId="168" fontId="69" fillId="0" borderId="5" xfId="6432" applyNumberFormat="1" applyFont="1" applyFill="1" applyBorder="1"/>
    <xf numFmtId="167" fontId="69" fillId="0" borderId="0" xfId="6431" applyNumberFormat="1" applyFont="1" applyFill="1" applyBorder="1"/>
    <xf numFmtId="167" fontId="69" fillId="0" borderId="5" xfId="6431" applyNumberFormat="1" applyFont="1" applyFill="1" applyBorder="1"/>
    <xf numFmtId="167" fontId="71" fillId="0" borderId="0" xfId="6431" applyNumberFormat="1" applyFont="1" applyFill="1" applyBorder="1"/>
    <xf numFmtId="167" fontId="71" fillId="0" borderId="5" xfId="6431" applyNumberFormat="1" applyFont="1" applyFill="1" applyBorder="1"/>
    <xf numFmtId="171" fontId="72" fillId="0" borderId="0" xfId="6432" applyNumberFormat="1" applyFont="1" applyFill="1" applyBorder="1"/>
    <xf numFmtId="171" fontId="72" fillId="0" borderId="5" xfId="6432" applyNumberFormat="1" applyFont="1" applyFill="1" applyBorder="1"/>
    <xf numFmtId="0" fontId="69" fillId="15" borderId="0" xfId="0" applyFont="1" applyFill="1"/>
    <xf numFmtId="0" fontId="69" fillId="15" borderId="5" xfId="0" applyFont="1" applyFill="1" applyBorder="1"/>
    <xf numFmtId="0" fontId="69" fillId="0" borderId="24" xfId="0" applyFont="1" applyBorder="1"/>
    <xf numFmtId="0" fontId="69" fillId="0" borderId="25" xfId="0" applyFont="1" applyBorder="1"/>
    <xf numFmtId="167" fontId="71" fillId="0" borderId="22" xfId="0" applyNumberFormat="1" applyFont="1" applyBorder="1"/>
    <xf numFmtId="168" fontId="65" fillId="0" borderId="0" xfId="6432" applyNumberFormat="1" applyFont="1" applyBorder="1"/>
    <xf numFmtId="167" fontId="64" fillId="0" borderId="0" xfId="6431" applyNumberFormat="1" applyFont="1" applyBorder="1"/>
    <xf numFmtId="167" fontId="64" fillId="0" borderId="5" xfId="6431" applyNumberFormat="1" applyFont="1" applyBorder="1"/>
    <xf numFmtId="168" fontId="73" fillId="0" borderId="0" xfId="6432" applyNumberFormat="1" applyFont="1" applyBorder="1"/>
    <xf numFmtId="168" fontId="22" fillId="0" borderId="0" xfId="6432" applyNumberFormat="1" applyFont="1" applyBorder="1"/>
    <xf numFmtId="168" fontId="22" fillId="0" borderId="5" xfId="6432" applyNumberFormat="1" applyFont="1" applyBorder="1"/>
    <xf numFmtId="168" fontId="23" fillId="0" borderId="7" xfId="6432" applyNumberFormat="1" applyFont="1" applyBorder="1"/>
    <xf numFmtId="167" fontId="23" fillId="0" borderId="7" xfId="6431" applyNumberFormat="1" applyFont="1" applyBorder="1"/>
    <xf numFmtId="167" fontId="23" fillId="0" borderId="15" xfId="6431" applyNumberFormat="1" applyFont="1" applyBorder="1"/>
    <xf numFmtId="0" fontId="22" fillId="0" borderId="4" xfId="0" applyFont="1" applyBorder="1"/>
    <xf numFmtId="0" fontId="22" fillId="0" borderId="0" xfId="0" applyFont="1"/>
    <xf numFmtId="0" fontId="22" fillId="0" borderId="5" xfId="0" applyFont="1" applyBorder="1"/>
    <xf numFmtId="0" fontId="65" fillId="3" borderId="1" xfId="0" applyFont="1" applyFill="1" applyBorder="1" applyAlignment="1">
      <alignment horizontal="center"/>
    </xf>
    <xf numFmtId="0" fontId="65" fillId="3" borderId="1" xfId="0" applyFont="1" applyFill="1" applyBorder="1" applyAlignment="1">
      <alignment horizontal="center" vertical="center" wrapText="1"/>
    </xf>
    <xf numFmtId="167" fontId="22" fillId="0" borderId="0" xfId="6431" applyNumberFormat="1" applyFont="1" applyBorder="1"/>
    <xf numFmtId="167" fontId="22" fillId="0" borderId="5" xfId="6431" applyNumberFormat="1" applyFont="1" applyBorder="1"/>
    <xf numFmtId="0" fontId="22" fillId="0" borderId="7" xfId="0" applyFont="1" applyBorder="1"/>
    <xf numFmtId="167" fontId="22" fillId="0" borderId="7" xfId="0" applyNumberFormat="1" applyFont="1" applyBorder="1"/>
    <xf numFmtId="167" fontId="22" fillId="0" borderId="15" xfId="0" applyNumberFormat="1" applyFont="1" applyBorder="1"/>
    <xf numFmtId="1" fontId="22" fillId="0" borderId="0" xfId="0" applyNumberFormat="1" applyFont="1"/>
    <xf numFmtId="1" fontId="22" fillId="0" borderId="5" xfId="0" applyNumberFormat="1" applyFont="1" applyBorder="1"/>
    <xf numFmtId="168" fontId="22" fillId="14" borderId="0" xfId="6432" applyNumberFormat="1" applyFont="1" applyFill="1" applyBorder="1"/>
    <xf numFmtId="173" fontId="22" fillId="0" borderId="0" xfId="0" applyNumberFormat="1" applyFont="1"/>
    <xf numFmtId="173" fontId="22" fillId="0" borderId="5" xfId="0" applyNumberFormat="1" applyFont="1" applyBorder="1"/>
    <xf numFmtId="168" fontId="22" fillId="0" borderId="0" xfId="0" applyNumberFormat="1" applyFont="1"/>
    <xf numFmtId="168" fontId="22" fillId="0" borderId="5" xfId="0" applyNumberFormat="1" applyFont="1" applyBorder="1"/>
    <xf numFmtId="167" fontId="23" fillId="0" borderId="0" xfId="6431" applyNumberFormat="1" applyFont="1" applyBorder="1"/>
    <xf numFmtId="167" fontId="23" fillId="0" borderId="5" xfId="6431" applyNumberFormat="1" applyFont="1" applyBorder="1"/>
    <xf numFmtId="0" fontId="22" fillId="3" borderId="0" xfId="0" applyFont="1" applyFill="1"/>
    <xf numFmtId="0" fontId="22" fillId="3" borderId="5" xfId="0" applyFont="1" applyFill="1" applyBorder="1"/>
    <xf numFmtId="0" fontId="74" fillId="0" borderId="0" xfId="0" applyFont="1"/>
    <xf numFmtId="168" fontId="74" fillId="0" borderId="0" xfId="6432" applyNumberFormat="1" applyFont="1" applyFill="1" applyBorder="1"/>
    <xf numFmtId="168" fontId="74" fillId="0" borderId="5" xfId="6432" applyNumberFormat="1" applyFont="1" applyFill="1" applyBorder="1"/>
    <xf numFmtId="0" fontId="22" fillId="14" borderId="0" xfId="0" applyFont="1" applyFill="1"/>
    <xf numFmtId="168" fontId="22" fillId="0" borderId="0" xfId="6432" applyNumberFormat="1" applyFont="1" applyFill="1" applyBorder="1"/>
    <xf numFmtId="168" fontId="22" fillId="0" borderId="5" xfId="6432" applyNumberFormat="1" applyFont="1" applyFill="1" applyBorder="1"/>
    <xf numFmtId="167" fontId="22" fillId="0" borderId="0" xfId="6431" applyNumberFormat="1" applyFont="1" applyFill="1" applyBorder="1"/>
    <xf numFmtId="167" fontId="22" fillId="0" borderId="5" xfId="6431" applyNumberFormat="1" applyFont="1" applyFill="1" applyBorder="1"/>
    <xf numFmtId="167" fontId="23" fillId="0" borderId="0" xfId="6431" applyNumberFormat="1" applyFont="1" applyFill="1" applyBorder="1"/>
    <xf numFmtId="167" fontId="23" fillId="0" borderId="5" xfId="6431" applyNumberFormat="1" applyFont="1" applyFill="1" applyBorder="1"/>
    <xf numFmtId="171" fontId="74" fillId="0" borderId="0" xfId="6432" applyNumberFormat="1" applyFont="1" applyFill="1" applyBorder="1"/>
    <xf numFmtId="171" fontId="74" fillId="0" borderId="5" xfId="6432" applyNumberFormat="1" applyFont="1" applyFill="1" applyBorder="1"/>
    <xf numFmtId="0" fontId="22" fillId="15" borderId="0" xfId="0" applyFont="1" applyFill="1"/>
    <xf numFmtId="0" fontId="22" fillId="15" borderId="5" xfId="0" applyFont="1" applyFill="1" applyBorder="1"/>
    <xf numFmtId="169" fontId="57" fillId="0" borderId="0" xfId="3" applyNumberFormat="1" applyFont="1"/>
    <xf numFmtId="0" fontId="23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74" fillId="0" borderId="0" xfId="0" applyFont="1" applyAlignment="1">
      <alignment horizontal="right"/>
    </xf>
    <xf numFmtId="167" fontId="10" fillId="8" borderId="7" xfId="2" applyNumberFormat="1" applyFont="1" applyFill="1" applyBorder="1"/>
    <xf numFmtId="0" fontId="10" fillId="0" borderId="0" xfId="0" applyFont="1" applyAlignment="1">
      <alignment horizontal="left"/>
    </xf>
    <xf numFmtId="167" fontId="74" fillId="0" borderId="35" xfId="6431" applyNumberFormat="1" applyFont="1" applyBorder="1"/>
    <xf numFmtId="167" fontId="74" fillId="0" borderId="0" xfId="6431" applyNumberFormat="1" applyFont="1"/>
    <xf numFmtId="172" fontId="0" fillId="0" borderId="0" xfId="6431" applyNumberFormat="1" applyFont="1" applyBorder="1"/>
    <xf numFmtId="167" fontId="10" fillId="0" borderId="35" xfId="6431" applyNumberFormat="1" applyFont="1" applyBorder="1"/>
    <xf numFmtId="0" fontId="0" fillId="24" borderId="0" xfId="0" applyFill="1"/>
    <xf numFmtId="172" fontId="0" fillId="24" borderId="0" xfId="0" applyNumberFormat="1" applyFill="1"/>
    <xf numFmtId="0" fontId="9" fillId="24" borderId="0" xfId="0" applyFont="1" applyFill="1"/>
    <xf numFmtId="0" fontId="10" fillId="0" borderId="1" xfId="0" applyFont="1" applyBorder="1"/>
    <xf numFmtId="17" fontId="0" fillId="0" borderId="1" xfId="0" applyNumberFormat="1" applyBorder="1"/>
    <xf numFmtId="0" fontId="0" fillId="0" borderId="1" xfId="0" applyBorder="1"/>
    <xf numFmtId="175" fontId="0" fillId="0" borderId="1" xfId="0" applyNumberFormat="1" applyBorder="1"/>
    <xf numFmtId="0" fontId="10" fillId="0" borderId="2" xfId="0" applyFont="1" applyBorder="1"/>
    <xf numFmtId="0" fontId="0" fillId="0" borderId="3" xfId="0" applyBorder="1"/>
    <xf numFmtId="0" fontId="10" fillId="0" borderId="39" xfId="0" applyFont="1" applyBorder="1"/>
    <xf numFmtId="164" fontId="0" fillId="0" borderId="40" xfId="0" applyNumberFormat="1" applyBorder="1"/>
    <xf numFmtId="17" fontId="0" fillId="0" borderId="41" xfId="0" applyNumberFormat="1" applyBorder="1" applyAlignment="1">
      <alignment horizontal="left"/>
    </xf>
    <xf numFmtId="0" fontId="10" fillId="0" borderId="10" xfId="0" applyFont="1" applyBorder="1"/>
    <xf numFmtId="0" fontId="0" fillId="0" borderId="43" xfId="0" applyBorder="1"/>
    <xf numFmtId="175" fontId="0" fillId="0" borderId="42" xfId="0" applyNumberFormat="1" applyBorder="1"/>
    <xf numFmtId="164" fontId="0" fillId="0" borderId="42" xfId="0" applyNumberFormat="1" applyBorder="1"/>
    <xf numFmtId="17" fontId="0" fillId="0" borderId="43" xfId="0" applyNumberFormat="1" applyBorder="1" applyAlignment="1">
      <alignment horizontal="left"/>
    </xf>
    <xf numFmtId="0" fontId="22" fillId="0" borderId="0" xfId="0" applyFont="1" applyAlignment="1">
      <alignment horizontal="left" indent="1"/>
    </xf>
    <xf numFmtId="0" fontId="23" fillId="0" borderId="0" xfId="0" applyFont="1" applyAlignment="1">
      <alignment horizontal="left" indent="1"/>
    </xf>
    <xf numFmtId="167" fontId="0" fillId="0" borderId="34" xfId="2" applyNumberFormat="1" applyFont="1" applyBorder="1"/>
    <xf numFmtId="167" fontId="0" fillId="0" borderId="34" xfId="0" applyNumberFormat="1" applyBorder="1"/>
    <xf numFmtId="167" fontId="0" fillId="0" borderId="34" xfId="2" applyNumberFormat="1" applyFont="1" applyFill="1" applyBorder="1"/>
    <xf numFmtId="38" fontId="22" fillId="12" borderId="34" xfId="0" applyNumberFormat="1" applyFont="1" applyFill="1" applyBorder="1"/>
    <xf numFmtId="169" fontId="54" fillId="0" borderId="7" xfId="3" applyNumberFormat="1" applyFont="1" applyBorder="1"/>
    <xf numFmtId="167" fontId="0" fillId="0" borderId="1" xfId="6431" applyNumberFormat="1" applyFont="1" applyBorder="1"/>
    <xf numFmtId="17" fontId="0" fillId="0" borderId="1" xfId="6431" applyNumberFormat="1" applyFont="1" applyBorder="1"/>
    <xf numFmtId="167" fontId="29" fillId="0" borderId="34" xfId="2" applyNumberFormat="1" applyFont="1" applyBorder="1"/>
    <xf numFmtId="167" fontId="29" fillId="0" borderId="5" xfId="2" applyNumberFormat="1" applyFont="1" applyBorder="1"/>
    <xf numFmtId="172" fontId="4" fillId="0" borderId="0" xfId="558" applyNumberFormat="1" applyFont="1"/>
    <xf numFmtId="167" fontId="20" fillId="0" borderId="0" xfId="558" applyNumberFormat="1"/>
    <xf numFmtId="167" fontId="76" fillId="0" borderId="0" xfId="2" applyNumberFormat="1" applyFont="1"/>
    <xf numFmtId="167" fontId="37" fillId="0" borderId="0" xfId="6431" applyNumberFormat="1" applyFont="1" applyFill="1" applyBorder="1"/>
    <xf numFmtId="0" fontId="59" fillId="0" borderId="4" xfId="0" applyFont="1" applyBorder="1" applyAlignment="1">
      <alignment horizontal="left"/>
    </xf>
    <xf numFmtId="169" fontId="77" fillId="0" borderId="1" xfId="6700" applyNumberFormat="1" applyFont="1" applyFill="1" applyBorder="1" applyAlignment="1">
      <alignment horizontal="left"/>
    </xf>
    <xf numFmtId="10" fontId="58" fillId="0" borderId="0" xfId="3" applyNumberFormat="1" applyFont="1" applyFill="1" applyAlignment="1">
      <alignment horizontal="left"/>
    </xf>
    <xf numFmtId="0" fontId="76" fillId="0" borderId="0" xfId="0" applyFont="1"/>
    <xf numFmtId="172" fontId="22" fillId="0" borderId="0" xfId="0" applyNumberFormat="1" applyFont="1"/>
    <xf numFmtId="167" fontId="37" fillId="0" borderId="0" xfId="6431" applyNumberFormat="1" applyFont="1" applyFill="1"/>
    <xf numFmtId="17" fontId="17" fillId="17" borderId="44" xfId="0" applyNumberFormat="1" applyFont="1" applyFill="1" applyBorder="1" applyAlignment="1">
      <alignment horizontal="center" vertical="center" wrapText="1"/>
    </xf>
    <xf numFmtId="17" fontId="17" fillId="18" borderId="44" xfId="0" applyNumberFormat="1" applyFont="1" applyFill="1" applyBorder="1" applyAlignment="1">
      <alignment horizontal="center" vertical="center" wrapText="1"/>
    </xf>
    <xf numFmtId="17" fontId="17" fillId="3" borderId="45" xfId="0" applyNumberFormat="1" applyFont="1" applyFill="1" applyBorder="1" applyAlignment="1">
      <alignment horizontal="center"/>
    </xf>
    <xf numFmtId="0" fontId="17" fillId="17" borderId="45" xfId="0" applyFont="1" applyFill="1" applyBorder="1" applyAlignment="1">
      <alignment horizontal="center"/>
    </xf>
    <xf numFmtId="0" fontId="17" fillId="18" borderId="45" xfId="0" applyFont="1" applyFill="1" applyBorder="1" applyAlignment="1">
      <alignment horizontal="center"/>
    </xf>
    <xf numFmtId="0" fontId="0" fillId="0" borderId="34" xfId="0" applyBorder="1"/>
    <xf numFmtId="168" fontId="0" fillId="0" borderId="34" xfId="1" applyNumberFormat="1" applyFont="1" applyBorder="1"/>
    <xf numFmtId="167" fontId="11" fillId="4" borderId="34" xfId="0" applyNumberFormat="1" applyFont="1" applyFill="1" applyBorder="1"/>
    <xf numFmtId="167" fontId="11" fillId="2" borderId="34" xfId="0" applyNumberFormat="1" applyFont="1" applyFill="1" applyBorder="1"/>
    <xf numFmtId="0" fontId="11" fillId="0" borderId="34" xfId="0" applyFont="1" applyBorder="1"/>
    <xf numFmtId="167" fontId="4" fillId="0" borderId="34" xfId="2" applyNumberFormat="1" applyFont="1" applyFill="1" applyBorder="1"/>
    <xf numFmtId="167" fontId="11" fillId="9" borderId="34" xfId="0" applyNumberFormat="1" applyFont="1" applyFill="1" applyBorder="1"/>
    <xf numFmtId="38" fontId="22" fillId="8" borderId="34" xfId="0" applyNumberFormat="1" applyFont="1" applyFill="1" applyBorder="1"/>
    <xf numFmtId="38" fontId="10" fillId="10" borderId="34" xfId="0" applyNumberFormat="1" applyFont="1" applyFill="1" applyBorder="1"/>
    <xf numFmtId="169" fontId="0" fillId="0" borderId="34" xfId="3" applyNumberFormat="1" applyFont="1" applyBorder="1"/>
    <xf numFmtId="169" fontId="54" fillId="0" borderId="47" xfId="3" applyNumberFormat="1" applyFont="1" applyBorder="1"/>
    <xf numFmtId="9" fontId="0" fillId="0" borderId="34" xfId="3" applyFont="1" applyBorder="1"/>
    <xf numFmtId="17" fontId="17" fillId="3" borderId="29" xfId="0" applyNumberFormat="1" applyFont="1" applyFill="1" applyBorder="1" applyAlignment="1">
      <alignment horizontal="center"/>
    </xf>
    <xf numFmtId="17" fontId="17" fillId="4" borderId="29" xfId="0" applyNumberFormat="1" applyFont="1" applyFill="1" applyBorder="1" applyAlignment="1">
      <alignment horizontal="center" vertical="center" wrapText="1"/>
    </xf>
    <xf numFmtId="17" fontId="17" fillId="3" borderId="44" xfId="0" applyNumberFormat="1" applyFont="1" applyFill="1" applyBorder="1" applyAlignment="1">
      <alignment horizontal="center"/>
    </xf>
    <xf numFmtId="0" fontId="20" fillId="0" borderId="5" xfId="558" applyBorder="1"/>
    <xf numFmtId="0" fontId="16" fillId="0" borderId="15" xfId="0" applyFont="1" applyBorder="1"/>
    <xf numFmtId="0" fontId="38" fillId="0" borderId="5" xfId="0" applyFont="1" applyBorder="1"/>
    <xf numFmtId="0" fontId="38" fillId="17" borderId="5" xfId="0" applyFont="1" applyFill="1" applyBorder="1"/>
    <xf numFmtId="0" fontId="4" fillId="0" borderId="5" xfId="0" applyFont="1" applyBorder="1"/>
    <xf numFmtId="0" fontId="4" fillId="0" borderId="5" xfId="558" applyFont="1" applyBorder="1"/>
    <xf numFmtId="167" fontId="37" fillId="0" borderId="5" xfId="2" applyNumberFormat="1" applyFont="1" applyBorder="1"/>
    <xf numFmtId="167" fontId="53" fillId="0" borderId="5" xfId="2" applyNumberFormat="1" applyFont="1" applyBorder="1"/>
    <xf numFmtId="8" fontId="37" fillId="0" borderId="5" xfId="0" applyNumberFormat="1" applyFont="1" applyBorder="1"/>
    <xf numFmtId="8" fontId="37" fillId="17" borderId="5" xfId="0" applyNumberFormat="1" applyFont="1" applyFill="1" applyBorder="1"/>
    <xf numFmtId="167" fontId="56" fillId="0" borderId="5" xfId="2" applyNumberFormat="1" applyFont="1" applyBorder="1"/>
    <xf numFmtId="0" fontId="37" fillId="0" borderId="5" xfId="558" applyFont="1" applyBorder="1"/>
    <xf numFmtId="0" fontId="60" fillId="0" borderId="5" xfId="0" applyFont="1" applyBorder="1"/>
    <xf numFmtId="17" fontId="17" fillId="4" borderId="44" xfId="0" applyNumberFormat="1" applyFont="1" applyFill="1" applyBorder="1" applyAlignment="1">
      <alignment horizontal="center"/>
    </xf>
    <xf numFmtId="0" fontId="20" fillId="17" borderId="5" xfId="558" applyFill="1" applyBorder="1"/>
    <xf numFmtId="172" fontId="4" fillId="0" borderId="5" xfId="0" applyNumberFormat="1" applyFont="1" applyBorder="1"/>
    <xf numFmtId="172" fontId="4" fillId="0" borderId="5" xfId="558" applyNumberFormat="1" applyFont="1" applyBorder="1"/>
    <xf numFmtId="167" fontId="4" fillId="0" borderId="15" xfId="2" applyNumberFormat="1" applyFont="1" applyBorder="1"/>
    <xf numFmtId="172" fontId="4" fillId="0" borderId="15" xfId="558" applyNumberFormat="1" applyFont="1" applyBorder="1"/>
    <xf numFmtId="172" fontId="20" fillId="0" borderId="21" xfId="558" applyNumberFormat="1" applyBorder="1"/>
    <xf numFmtId="17" fontId="17" fillId="3" borderId="48" xfId="0" applyNumberFormat="1" applyFont="1" applyFill="1" applyBorder="1" applyAlignment="1">
      <alignment horizontal="center"/>
    </xf>
    <xf numFmtId="17" fontId="17" fillId="4" borderId="48" xfId="0" applyNumberFormat="1" applyFont="1" applyFill="1" applyBorder="1" applyAlignment="1">
      <alignment horizontal="center" vertical="center" wrapText="1"/>
    </xf>
    <xf numFmtId="166" fontId="0" fillId="0" borderId="5" xfId="1" applyFont="1" applyBorder="1"/>
    <xf numFmtId="0" fontId="11" fillId="2" borderId="5" xfId="0" quotePrefix="1" applyFont="1" applyFill="1" applyBorder="1" applyAlignment="1">
      <alignment horizontal="center"/>
    </xf>
    <xf numFmtId="0" fontId="17" fillId="17" borderId="27" xfId="0" applyFont="1" applyFill="1" applyBorder="1" applyAlignment="1">
      <alignment horizontal="center" vertical="center" wrapText="1"/>
    </xf>
    <xf numFmtId="0" fontId="17" fillId="18" borderId="27" xfId="0" applyFont="1" applyFill="1" applyBorder="1" applyAlignment="1">
      <alignment horizontal="center" vertical="center" wrapText="1"/>
    </xf>
    <xf numFmtId="0" fontId="41" fillId="0" borderId="5" xfId="0" applyFont="1" applyBorder="1" applyAlignment="1">
      <alignment horizontal="left"/>
    </xf>
    <xf numFmtId="0" fontId="17" fillId="3" borderId="29" xfId="0" applyFont="1" applyFill="1" applyBorder="1" applyAlignment="1">
      <alignment horizontal="center"/>
    </xf>
    <xf numFmtId="0" fontId="65" fillId="3" borderId="29" xfId="0" applyFont="1" applyFill="1" applyBorder="1" applyAlignment="1">
      <alignment horizontal="center"/>
    </xf>
    <xf numFmtId="167" fontId="71" fillId="0" borderId="6" xfId="0" applyNumberFormat="1" applyFont="1" applyBorder="1"/>
    <xf numFmtId="167" fontId="70" fillId="0" borderId="5" xfId="6431" applyNumberFormat="1" applyFont="1" applyBorder="1"/>
    <xf numFmtId="167" fontId="69" fillId="0" borderId="5" xfId="0" applyNumberFormat="1" applyFont="1" applyBorder="1"/>
    <xf numFmtId="167" fontId="71" fillId="0" borderId="49" xfId="0" applyNumberFormat="1" applyFont="1" applyBorder="1"/>
    <xf numFmtId="167" fontId="48" fillId="0" borderId="5" xfId="6431" applyNumberFormat="1" applyFont="1" applyBorder="1"/>
    <xf numFmtId="0" fontId="0" fillId="24" borderId="5" xfId="0" applyFill="1" applyBorder="1"/>
    <xf numFmtId="38" fontId="23" fillId="10" borderId="5" xfId="0" applyNumberFormat="1" applyFont="1" applyFill="1" applyBorder="1"/>
    <xf numFmtId="172" fontId="0" fillId="0" borderId="5" xfId="2" applyNumberFormat="1" applyFont="1" applyBorder="1"/>
    <xf numFmtId="172" fontId="0" fillId="0" borderId="15" xfId="0" applyNumberFormat="1" applyBorder="1"/>
    <xf numFmtId="165" fontId="4" fillId="0" borderId="5" xfId="6431" applyFont="1" applyBorder="1"/>
    <xf numFmtId="167" fontId="4" fillId="0" borderId="5" xfId="6431" applyNumberFormat="1" applyFont="1" applyBorder="1"/>
    <xf numFmtId="172" fontId="0" fillId="24" borderId="5" xfId="0" applyNumberFormat="1" applyFill="1" applyBorder="1"/>
    <xf numFmtId="0" fontId="3" fillId="0" borderId="5" xfId="6702" applyBorder="1"/>
    <xf numFmtId="167" fontId="53" fillId="0" borderId="5" xfId="6431" applyNumberFormat="1" applyFont="1" applyBorder="1"/>
    <xf numFmtId="167" fontId="37" fillId="0" borderId="5" xfId="6431" applyNumberFormat="1" applyFont="1" applyBorder="1"/>
    <xf numFmtId="0" fontId="3" fillId="19" borderId="5" xfId="6702" applyFill="1" applyBorder="1"/>
    <xf numFmtId="165" fontId="3" fillId="0" borderId="5" xfId="6702" applyNumberFormat="1" applyBorder="1"/>
    <xf numFmtId="165" fontId="3" fillId="0" borderId="21" xfId="6702" applyNumberFormat="1" applyBorder="1"/>
    <xf numFmtId="0" fontId="78" fillId="0" borderId="0" xfId="0" applyFont="1"/>
    <xf numFmtId="0" fontId="0" fillId="0" borderId="50" xfId="0" applyBorder="1"/>
    <xf numFmtId="17" fontId="17" fillId="3" borderId="1" xfId="0" applyNumberFormat="1" applyFont="1" applyFill="1" applyBorder="1" applyAlignment="1">
      <alignment horizontal="center"/>
    </xf>
    <xf numFmtId="168" fontId="0" fillId="0" borderId="50" xfId="1" applyNumberFormat="1" applyFont="1" applyBorder="1"/>
    <xf numFmtId="0" fontId="12" fillId="0" borderId="0" xfId="0" applyFont="1" applyAlignment="1">
      <alignment horizontal="left" indent="1"/>
    </xf>
    <xf numFmtId="0" fontId="13" fillId="0" borderId="26" xfId="0" applyFont="1" applyBorder="1" applyAlignment="1">
      <alignment horizontal="left" indent="1"/>
    </xf>
    <xf numFmtId="0" fontId="13" fillId="0" borderId="0" xfId="0" applyFont="1" applyAlignment="1">
      <alignment horizontal="left" indent="1"/>
    </xf>
    <xf numFmtId="0" fontId="12" fillId="0" borderId="0" xfId="0" quotePrefix="1" applyFont="1" applyAlignment="1">
      <alignment horizontal="left" indent="1"/>
    </xf>
    <xf numFmtId="0" fontId="59" fillId="0" borderId="0" xfId="0" applyFont="1" applyAlignment="1">
      <alignment horizontal="left"/>
    </xf>
    <xf numFmtId="0" fontId="23" fillId="8" borderId="0" xfId="0" applyFont="1" applyFill="1"/>
    <xf numFmtId="0" fontId="31" fillId="11" borderId="0" xfId="0" applyFont="1" applyFill="1" applyAlignment="1">
      <alignment horizontal="left"/>
    </xf>
    <xf numFmtId="0" fontId="9" fillId="17" borderId="0" xfId="0" applyFont="1" applyFill="1"/>
    <xf numFmtId="0" fontId="10" fillId="0" borderId="0" xfId="0" applyFont="1" applyAlignment="1">
      <alignment horizontal="left" indent="1"/>
    </xf>
    <xf numFmtId="0" fontId="9" fillId="18" borderId="0" xfId="0" applyFont="1" applyFill="1"/>
    <xf numFmtId="0" fontId="10" fillId="0" borderId="50" xfId="0" applyFont="1" applyBorder="1"/>
    <xf numFmtId="38" fontId="22" fillId="12" borderId="50" xfId="0" applyNumberFormat="1" applyFont="1" applyFill="1" applyBorder="1"/>
    <xf numFmtId="0" fontId="0" fillId="0" borderId="52" xfId="0" applyBorder="1"/>
    <xf numFmtId="0" fontId="20" fillId="0" borderId="50" xfId="558" applyBorder="1"/>
    <xf numFmtId="172" fontId="0" fillId="0" borderId="50" xfId="0" applyNumberFormat="1" applyBorder="1"/>
    <xf numFmtId="172" fontId="33" fillId="0" borderId="53" xfId="0" applyNumberFormat="1" applyFont="1" applyBorder="1"/>
    <xf numFmtId="167" fontId="0" fillId="0" borderId="50" xfId="0" applyNumberFormat="1" applyBorder="1"/>
    <xf numFmtId="167" fontId="0" fillId="0" borderId="50" xfId="2" applyNumberFormat="1" applyFont="1" applyFill="1" applyBorder="1"/>
    <xf numFmtId="167" fontId="0" fillId="0" borderId="50" xfId="2" applyNumberFormat="1" applyFont="1" applyBorder="1"/>
    <xf numFmtId="167" fontId="0" fillId="0" borderId="52" xfId="2" applyNumberFormat="1" applyFont="1" applyBorder="1"/>
    <xf numFmtId="0" fontId="57" fillId="0" borderId="50" xfId="0" applyFont="1" applyBorder="1"/>
    <xf numFmtId="0" fontId="79" fillId="0" borderId="0" xfId="0" applyFont="1" applyAlignment="1">
      <alignment horizontal="left"/>
    </xf>
    <xf numFmtId="0" fontId="57" fillId="0" borderId="5" xfId="0" applyFont="1" applyBorder="1"/>
    <xf numFmtId="38" fontId="57" fillId="0" borderId="34" xfId="0" applyNumberFormat="1" applyFont="1" applyBorder="1"/>
    <xf numFmtId="38" fontId="57" fillId="0" borderId="0" xfId="0" applyNumberFormat="1" applyFont="1"/>
    <xf numFmtId="167" fontId="10" fillId="8" borderId="0" xfId="2" applyNumberFormat="1" applyFont="1" applyFill="1"/>
    <xf numFmtId="167" fontId="22" fillId="0" borderId="0" xfId="2" applyNumberFormat="1" applyFont="1" applyAlignment="1">
      <alignment horizontal="right"/>
    </xf>
    <xf numFmtId="167" fontId="23" fillId="0" borderId="0" xfId="2" applyNumberFormat="1" applyFont="1"/>
    <xf numFmtId="167" fontId="22" fillId="0" borderId="0" xfId="2" applyNumberFormat="1" applyFont="1"/>
    <xf numFmtId="167" fontId="22" fillId="0" borderId="0" xfId="2" applyNumberFormat="1" applyFont="1" applyFill="1"/>
    <xf numFmtId="169" fontId="80" fillId="0" borderId="5" xfId="3" applyNumberFormat="1" applyFont="1" applyBorder="1" applyAlignment="1">
      <alignment horizontal="left"/>
    </xf>
    <xf numFmtId="0" fontId="80" fillId="0" borderId="5" xfId="0" applyFont="1" applyBorder="1"/>
    <xf numFmtId="0" fontId="81" fillId="2" borderId="0" xfId="0" applyFont="1" applyFill="1" applyAlignment="1">
      <alignment horizontal="center"/>
    </xf>
    <xf numFmtId="0" fontId="83" fillId="2" borderId="0" xfId="0" applyFont="1" applyFill="1" applyAlignment="1">
      <alignment horizontal="center"/>
    </xf>
    <xf numFmtId="0" fontId="84" fillId="0" borderId="0" xfId="0" applyFont="1" applyAlignment="1">
      <alignment horizontal="center"/>
    </xf>
    <xf numFmtId="0" fontId="85" fillId="2" borderId="0" xfId="0" applyFont="1" applyFill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18" fillId="13" borderId="45" xfId="0" applyFont="1" applyFill="1" applyBorder="1" applyAlignment="1">
      <alignment horizontal="center"/>
    </xf>
    <xf numFmtId="167" fontId="10" fillId="0" borderId="47" xfId="2" applyNumberFormat="1" applyFont="1" applyBorder="1"/>
    <xf numFmtId="167" fontId="10" fillId="0" borderId="54" xfId="0" applyNumberFormat="1" applyFont="1" applyBorder="1"/>
    <xf numFmtId="0" fontId="82" fillId="0" borderId="52" xfId="0" applyFont="1" applyBorder="1" applyAlignment="1">
      <alignment horizontal="center"/>
    </xf>
    <xf numFmtId="167" fontId="0" fillId="0" borderId="52" xfId="2" applyNumberFormat="1" applyFont="1" applyFill="1" applyBorder="1"/>
    <xf numFmtId="167" fontId="10" fillId="0" borderId="40" xfId="2" applyNumberFormat="1" applyFont="1" applyBorder="1"/>
    <xf numFmtId="167" fontId="10" fillId="0" borderId="55" xfId="0" applyNumberFormat="1" applyFont="1" applyBorder="1"/>
    <xf numFmtId="0" fontId="86" fillId="0" borderId="34" xfId="0" applyFont="1" applyBorder="1" applyAlignment="1">
      <alignment horizontal="center"/>
    </xf>
    <xf numFmtId="0" fontId="86" fillId="0" borderId="50" xfId="0" applyFont="1" applyBorder="1" applyAlignment="1">
      <alignment horizontal="center"/>
    </xf>
    <xf numFmtId="167" fontId="10" fillId="0" borderId="53" xfId="2" applyNumberFormat="1" applyFont="1" applyBorder="1"/>
    <xf numFmtId="167" fontId="10" fillId="0" borderId="56" xfId="0" applyNumberFormat="1" applyFont="1" applyBorder="1"/>
    <xf numFmtId="168" fontId="10" fillId="0" borderId="50" xfId="1" applyNumberFormat="1" applyFont="1" applyBorder="1"/>
    <xf numFmtId="167" fontId="11" fillId="4" borderId="57" xfId="0" applyNumberFormat="1" applyFont="1" applyFill="1" applyBorder="1"/>
    <xf numFmtId="167" fontId="11" fillId="2" borderId="57" xfId="0" applyNumberFormat="1" applyFont="1" applyFill="1" applyBorder="1"/>
    <xf numFmtId="0" fontId="11" fillId="0" borderId="50" xfId="0" applyFont="1" applyBorder="1"/>
    <xf numFmtId="167" fontId="4" fillId="0" borderId="50" xfId="2" applyNumberFormat="1" applyFont="1" applyFill="1" applyBorder="1"/>
    <xf numFmtId="167" fontId="10" fillId="0" borderId="27" xfId="2" applyNumberFormat="1" applyFont="1" applyFill="1" applyBorder="1"/>
    <xf numFmtId="167" fontId="10" fillId="0" borderId="50" xfId="2" applyNumberFormat="1" applyFont="1" applyFill="1" applyBorder="1"/>
    <xf numFmtId="167" fontId="11" fillId="9" borderId="50" xfId="0" applyNumberFormat="1" applyFont="1" applyFill="1" applyBorder="1"/>
    <xf numFmtId="167" fontId="11" fillId="4" borderId="50" xfId="0" applyNumberFormat="1" applyFont="1" applyFill="1" applyBorder="1"/>
    <xf numFmtId="38" fontId="22" fillId="8" borderId="50" xfId="0" applyNumberFormat="1" applyFont="1" applyFill="1" applyBorder="1"/>
    <xf numFmtId="38" fontId="10" fillId="10" borderId="50" xfId="0" applyNumberFormat="1" applyFont="1" applyFill="1" applyBorder="1"/>
    <xf numFmtId="38" fontId="57" fillId="0" borderId="50" xfId="0" applyNumberFormat="1" applyFont="1" applyBorder="1"/>
    <xf numFmtId="167" fontId="29" fillId="0" borderId="50" xfId="2" applyNumberFormat="1" applyFont="1" applyBorder="1"/>
    <xf numFmtId="0" fontId="0" fillId="0" borderId="50" xfId="0" applyBorder="1" applyAlignment="1">
      <alignment horizontal="center"/>
    </xf>
    <xf numFmtId="17" fontId="17" fillId="18" borderId="1" xfId="0" applyNumberFormat="1" applyFont="1" applyFill="1" applyBorder="1" applyAlignment="1">
      <alignment horizontal="center" vertical="center" wrapText="1"/>
    </xf>
    <xf numFmtId="169" fontId="0" fillId="0" borderId="50" xfId="3" applyNumberFormat="1" applyFont="1" applyBorder="1"/>
    <xf numFmtId="169" fontId="54" fillId="0" borderId="53" xfId="3" applyNumberFormat="1" applyFont="1" applyBorder="1"/>
    <xf numFmtId="9" fontId="0" fillId="0" borderId="50" xfId="3" applyFont="1" applyBorder="1"/>
    <xf numFmtId="167" fontId="0" fillId="0" borderId="50" xfId="6431" applyNumberFormat="1" applyFont="1" applyFill="1" applyBorder="1"/>
    <xf numFmtId="167" fontId="11" fillId="2" borderId="50" xfId="0" applyNumberFormat="1" applyFont="1" applyFill="1" applyBorder="1"/>
    <xf numFmtId="17" fontId="17" fillId="17" borderId="1" xfId="0" applyNumberFormat="1" applyFont="1" applyFill="1" applyBorder="1" applyAlignment="1">
      <alignment horizontal="center" vertical="center" wrapText="1"/>
    </xf>
    <xf numFmtId="167" fontId="32" fillId="0" borderId="50" xfId="0" applyNumberFormat="1" applyFont="1" applyBorder="1"/>
    <xf numFmtId="172" fontId="22" fillId="0" borderId="0" xfId="2" applyNumberFormat="1" applyFont="1"/>
    <xf numFmtId="167" fontId="10" fillId="0" borderId="0" xfId="0" applyNumberFormat="1" applyFont="1"/>
    <xf numFmtId="167" fontId="37" fillId="0" borderId="0" xfId="2" applyNumberFormat="1" applyFont="1" applyFill="1"/>
    <xf numFmtId="167" fontId="37" fillId="0" borderId="5" xfId="2" applyNumberFormat="1" applyFont="1" applyFill="1" applyBorder="1"/>
    <xf numFmtId="167" fontId="22" fillId="0" borderId="0" xfId="2" applyNumberFormat="1" applyFont="1" applyFill="1" applyBorder="1"/>
    <xf numFmtId="168" fontId="0" fillId="26" borderId="0" xfId="1" applyNumberFormat="1" applyFont="1" applyFill="1" applyBorder="1" applyAlignment="1">
      <alignment horizontal="center"/>
    </xf>
    <xf numFmtId="168" fontId="22" fillId="0" borderId="34" xfId="1" applyNumberFormat="1" applyFont="1" applyBorder="1"/>
    <xf numFmtId="168" fontId="22" fillId="0" borderId="50" xfId="1" applyNumberFormat="1" applyFont="1" applyBorder="1"/>
    <xf numFmtId="168" fontId="22" fillId="0" borderId="0" xfId="1" applyNumberFormat="1" applyFont="1" applyBorder="1"/>
    <xf numFmtId="168" fontId="23" fillId="0" borderId="34" xfId="1" applyNumberFormat="1" applyFont="1" applyBorder="1"/>
    <xf numFmtId="168" fontId="23" fillId="0" borderId="50" xfId="1" applyNumberFormat="1" applyFont="1" applyBorder="1"/>
    <xf numFmtId="168" fontId="23" fillId="0" borderId="0" xfId="1" applyNumberFormat="1" applyFont="1" applyBorder="1"/>
    <xf numFmtId="167" fontId="22" fillId="16" borderId="0" xfId="2" applyNumberFormat="1" applyFont="1" applyFill="1" applyBorder="1"/>
    <xf numFmtId="167" fontId="22" fillId="16" borderId="50" xfId="2" applyNumberFormat="1" applyFont="1" applyFill="1" applyBorder="1"/>
    <xf numFmtId="167" fontId="22" fillId="0" borderId="34" xfId="2" applyNumberFormat="1" applyFont="1" applyBorder="1"/>
    <xf numFmtId="167" fontId="22" fillId="0" borderId="50" xfId="2" applyNumberFormat="1" applyFont="1" applyBorder="1"/>
    <xf numFmtId="167" fontId="22" fillId="0" borderId="0" xfId="2" applyNumberFormat="1" applyFont="1" applyBorder="1"/>
    <xf numFmtId="167" fontId="22" fillId="0" borderId="34" xfId="2" applyNumberFormat="1" applyFont="1" applyFill="1" applyBorder="1"/>
    <xf numFmtId="167" fontId="22" fillId="0" borderId="50" xfId="2" applyNumberFormat="1" applyFont="1" applyFill="1" applyBorder="1"/>
    <xf numFmtId="167" fontId="23" fillId="0" borderId="46" xfId="2" applyNumberFormat="1" applyFont="1" applyFill="1" applyBorder="1"/>
    <xf numFmtId="167" fontId="23" fillId="0" borderId="27" xfId="2" applyNumberFormat="1" applyFont="1" applyFill="1" applyBorder="1"/>
    <xf numFmtId="167" fontId="23" fillId="0" borderId="26" xfId="2" applyNumberFormat="1" applyFont="1" applyFill="1" applyBorder="1"/>
    <xf numFmtId="167" fontId="23" fillId="0" borderId="34" xfId="2" applyNumberFormat="1" applyFont="1" applyFill="1" applyBorder="1"/>
    <xf numFmtId="167" fontId="23" fillId="0" borderId="50" xfId="2" applyNumberFormat="1" applyFont="1" applyFill="1" applyBorder="1"/>
    <xf numFmtId="167" fontId="23" fillId="0" borderId="0" xfId="2" applyNumberFormat="1" applyFont="1" applyFill="1" applyBorder="1"/>
    <xf numFmtId="167" fontId="74" fillId="0" borderId="0" xfId="2" applyNumberFormat="1" applyFont="1" applyFill="1" applyBorder="1"/>
    <xf numFmtId="0" fontId="76" fillId="0" borderId="4" xfId="0" applyFont="1" applyBorder="1"/>
    <xf numFmtId="167" fontId="2" fillId="0" borderId="0" xfId="6431" applyNumberFormat="1" applyFont="1" applyFill="1" applyBorder="1"/>
    <xf numFmtId="167" fontId="2" fillId="7" borderId="0" xfId="6431" applyNumberFormat="1" applyFont="1" applyFill="1" applyBorder="1"/>
    <xf numFmtId="167" fontId="54" fillId="0" borderId="0" xfId="6431" applyNumberFormat="1" applyFont="1" applyFill="1" applyBorder="1"/>
    <xf numFmtId="171" fontId="29" fillId="7" borderId="0" xfId="6432" applyNumberFormat="1" applyFont="1" applyFill="1" applyBorder="1"/>
    <xf numFmtId="171" fontId="29" fillId="7" borderId="5" xfId="6432" applyNumberFormat="1" applyFont="1" applyFill="1" applyBorder="1"/>
    <xf numFmtId="0" fontId="37" fillId="25" borderId="0" xfId="0" applyFont="1" applyFill="1"/>
    <xf numFmtId="172" fontId="0" fillId="7" borderId="0" xfId="0" applyNumberFormat="1" applyFill="1"/>
    <xf numFmtId="172" fontId="0" fillId="7" borderId="5" xfId="0" applyNumberFormat="1" applyFill="1" applyBorder="1"/>
    <xf numFmtId="167" fontId="0" fillId="29" borderId="0" xfId="2" applyNumberFormat="1" applyFont="1" applyFill="1" applyBorder="1"/>
    <xf numFmtId="167" fontId="4" fillId="16" borderId="0" xfId="2" applyNumberFormat="1" applyFont="1" applyFill="1" applyBorder="1"/>
    <xf numFmtId="172" fontId="22" fillId="0" borderId="50" xfId="0" applyNumberFormat="1" applyFont="1" applyBorder="1"/>
    <xf numFmtId="0" fontId="37" fillId="7" borderId="4" xfId="0" applyFont="1" applyFill="1" applyBorder="1"/>
    <xf numFmtId="167" fontId="37" fillId="7" borderId="0" xfId="2" applyNumberFormat="1" applyFont="1" applyFill="1" applyBorder="1"/>
    <xf numFmtId="10" fontId="37" fillId="7" borderId="0" xfId="3" applyNumberFormat="1" applyFont="1" applyFill="1" applyBorder="1"/>
    <xf numFmtId="167" fontId="48" fillId="16" borderId="0" xfId="6431" applyNumberFormat="1" applyFont="1" applyFill="1" applyBorder="1"/>
    <xf numFmtId="167" fontId="48" fillId="16" borderId="0" xfId="2" applyNumberFormat="1" applyFont="1" applyFill="1" applyBorder="1"/>
    <xf numFmtId="167" fontId="0" fillId="16" borderId="5" xfId="0" applyNumberFormat="1" applyFill="1" applyBorder="1"/>
    <xf numFmtId="167" fontId="10" fillId="7" borderId="0" xfId="2" applyNumberFormat="1" applyFont="1" applyFill="1" applyBorder="1"/>
    <xf numFmtId="167" fontId="37" fillId="16" borderId="0" xfId="2" applyNumberFormat="1" applyFont="1" applyFill="1"/>
    <xf numFmtId="164" fontId="0" fillId="0" borderId="0" xfId="0" applyNumberFormat="1"/>
    <xf numFmtId="8" fontId="0" fillId="0" borderId="0" xfId="0" applyNumberFormat="1"/>
    <xf numFmtId="8" fontId="10" fillId="0" borderId="0" xfId="0" applyNumberFormat="1" applyFont="1"/>
    <xf numFmtId="168" fontId="10" fillId="0" borderId="6" xfId="1" applyNumberFormat="1" applyFont="1" applyBorder="1"/>
    <xf numFmtId="167" fontId="87" fillId="0" borderId="0" xfId="2" applyNumberFormat="1" applyFont="1" applyFill="1" applyBorder="1"/>
    <xf numFmtId="0" fontId="18" fillId="5" borderId="4" xfId="0" applyFont="1" applyFill="1" applyBorder="1"/>
    <xf numFmtId="0" fontId="11" fillId="5" borderId="5" xfId="0" applyFont="1" applyFill="1" applyBorder="1"/>
    <xf numFmtId="0" fontId="69" fillId="5" borderId="0" xfId="0" applyFont="1" applyFill="1"/>
    <xf numFmtId="0" fontId="69" fillId="5" borderId="5" xfId="0" applyFont="1" applyFill="1" applyBorder="1"/>
    <xf numFmtId="167" fontId="10" fillId="30" borderId="0" xfId="0" applyNumberFormat="1" applyFont="1" applyFill="1"/>
    <xf numFmtId="167" fontId="88" fillId="4" borderId="0" xfId="0" applyNumberFormat="1" applyFont="1" applyFill="1"/>
    <xf numFmtId="0" fontId="1" fillId="0" borderId="0" xfId="558" applyFont="1"/>
    <xf numFmtId="168" fontId="0" fillId="27" borderId="0" xfId="1" applyNumberFormat="1" applyFont="1" applyFill="1" applyBorder="1" applyAlignment="1">
      <alignment horizontal="center"/>
    </xf>
    <xf numFmtId="167" fontId="10" fillId="0" borderId="50" xfId="0" applyNumberFormat="1" applyFont="1" applyBorder="1"/>
    <xf numFmtId="167" fontId="54" fillId="0" borderId="0" xfId="2" applyNumberFormat="1" applyFont="1" applyFill="1" applyBorder="1"/>
    <xf numFmtId="167" fontId="29" fillId="0" borderId="0" xfId="2" applyNumberFormat="1" applyFont="1" applyFill="1" applyBorder="1"/>
    <xf numFmtId="0" fontId="57" fillId="0" borderId="0" xfId="0" applyFont="1" applyAlignment="1">
      <alignment horizontal="center"/>
    </xf>
    <xf numFmtId="0" fontId="57" fillId="0" borderId="50" xfId="0" applyFont="1" applyBorder="1" applyAlignment="1">
      <alignment horizontal="center"/>
    </xf>
    <xf numFmtId="0" fontId="10" fillId="6" borderId="0" xfId="0" applyFont="1" applyFill="1" applyAlignment="1">
      <alignment horizontal="center" vertical="center" textRotation="90"/>
    </xf>
    <xf numFmtId="0" fontId="86" fillId="0" borderId="0" xfId="0" applyFont="1" applyAlignment="1">
      <alignment horizontal="center"/>
    </xf>
    <xf numFmtId="0" fontId="10" fillId="8" borderId="36" xfId="0" applyFont="1" applyFill="1" applyBorder="1" applyAlignment="1">
      <alignment horizontal="center"/>
    </xf>
    <xf numFmtId="0" fontId="10" fillId="8" borderId="37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84" fillId="0" borderId="45" xfId="0" applyFont="1" applyBorder="1" applyAlignment="1">
      <alignment horizontal="center"/>
    </xf>
    <xf numFmtId="0" fontId="17" fillId="4" borderId="11" xfId="0" applyFont="1" applyFill="1" applyBorder="1" applyAlignment="1">
      <alignment horizontal="center"/>
    </xf>
    <xf numFmtId="0" fontId="17" fillId="4" borderId="12" xfId="0" applyFont="1" applyFill="1" applyBorder="1"/>
    <xf numFmtId="0" fontId="17" fillId="4" borderId="13" xfId="0" applyFont="1" applyFill="1" applyBorder="1"/>
    <xf numFmtId="0" fontId="17" fillId="4" borderId="2" xfId="0" applyFont="1" applyFill="1" applyBorder="1" applyAlignment="1">
      <alignment horizontal="center"/>
    </xf>
    <xf numFmtId="0" fontId="17" fillId="4" borderId="1" xfId="0" applyFont="1" applyFill="1" applyBorder="1"/>
    <xf numFmtId="0" fontId="17" fillId="4" borderId="3" xfId="0" applyFont="1" applyFill="1" applyBorder="1"/>
    <xf numFmtId="0" fontId="17" fillId="17" borderId="2" xfId="0" applyFont="1" applyFill="1" applyBorder="1" applyAlignment="1">
      <alignment horizontal="center"/>
    </xf>
    <xf numFmtId="0" fontId="17" fillId="17" borderId="1" xfId="0" applyFont="1" applyFill="1" applyBorder="1"/>
    <xf numFmtId="0" fontId="17" fillId="17" borderId="3" xfId="0" applyFont="1" applyFill="1" applyBorder="1"/>
    <xf numFmtId="0" fontId="17" fillId="18" borderId="2" xfId="0" applyFont="1" applyFill="1" applyBorder="1" applyAlignment="1">
      <alignment horizontal="center"/>
    </xf>
    <xf numFmtId="0" fontId="17" fillId="18" borderId="1" xfId="0" applyFont="1" applyFill="1" applyBorder="1"/>
    <xf numFmtId="0" fontId="17" fillId="18" borderId="3" xfId="0" applyFont="1" applyFill="1" applyBorder="1"/>
    <xf numFmtId="168" fontId="9" fillId="27" borderId="51" xfId="1" applyNumberFormat="1" applyFont="1" applyFill="1" applyBorder="1" applyAlignment="1">
      <alignment horizontal="center"/>
    </xf>
    <xf numFmtId="168" fontId="9" fillId="27" borderId="24" xfId="1" applyNumberFormat="1" applyFont="1" applyFill="1" applyBorder="1" applyAlignment="1">
      <alignment horizontal="center"/>
    </xf>
    <xf numFmtId="0" fontId="17" fillId="3" borderId="11" xfId="0" applyFont="1" applyFill="1" applyBorder="1" applyAlignment="1">
      <alignment horizontal="center"/>
    </xf>
    <xf numFmtId="0" fontId="17" fillId="3" borderId="12" xfId="0" applyFont="1" applyFill="1" applyBorder="1"/>
    <xf numFmtId="0" fontId="17" fillId="3" borderId="13" xfId="0" applyFont="1" applyFill="1" applyBorder="1"/>
    <xf numFmtId="0" fontId="17" fillId="18" borderId="8" xfId="0" applyFont="1" applyFill="1" applyBorder="1" applyAlignment="1">
      <alignment horizontal="center"/>
    </xf>
    <xf numFmtId="0" fontId="17" fillId="18" borderId="9" xfId="0" applyFont="1" applyFill="1" applyBorder="1"/>
    <xf numFmtId="0" fontId="17" fillId="18" borderId="20" xfId="0" applyFont="1" applyFill="1" applyBorder="1"/>
    <xf numFmtId="0" fontId="30" fillId="0" borderId="50" xfId="0" applyFont="1" applyBorder="1" applyAlignment="1">
      <alignment vertical="center" textRotation="90"/>
    </xf>
    <xf numFmtId="0" fontId="11" fillId="2" borderId="18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17" fillId="17" borderId="8" xfId="0" applyFont="1" applyFill="1" applyBorder="1" applyAlignment="1">
      <alignment horizontal="center"/>
    </xf>
    <xf numFmtId="0" fontId="17" fillId="17" borderId="9" xfId="0" applyFont="1" applyFill="1" applyBorder="1"/>
    <xf numFmtId="0" fontId="17" fillId="17" borderId="20" xfId="0" applyFont="1" applyFill="1" applyBorder="1"/>
    <xf numFmtId="0" fontId="17" fillId="3" borderId="8" xfId="0" applyFont="1" applyFill="1" applyBorder="1" applyAlignment="1">
      <alignment horizontal="center"/>
    </xf>
    <xf numFmtId="0" fontId="17" fillId="3" borderId="9" xfId="0" applyFont="1" applyFill="1" applyBorder="1"/>
    <xf numFmtId="0" fontId="17" fillId="3" borderId="20" xfId="0" applyFont="1" applyFill="1" applyBorder="1"/>
    <xf numFmtId="0" fontId="17" fillId="4" borderId="8" xfId="0" applyFont="1" applyFill="1" applyBorder="1" applyAlignment="1">
      <alignment horizontal="center"/>
    </xf>
    <xf numFmtId="0" fontId="17" fillId="4" borderId="9" xfId="0" applyFont="1" applyFill="1" applyBorder="1"/>
    <xf numFmtId="0" fontId="17" fillId="4" borderId="20" xfId="0" applyFont="1" applyFill="1" applyBorder="1"/>
    <xf numFmtId="0" fontId="30" fillId="0" borderId="0" xfId="0" applyFont="1" applyAlignment="1">
      <alignment vertical="center" textRotation="90"/>
    </xf>
    <xf numFmtId="0" fontId="17" fillId="3" borderId="16" xfId="0" applyFont="1" applyFill="1" applyBorder="1"/>
    <xf numFmtId="0" fontId="17" fillId="21" borderId="0" xfId="6703" applyFont="1" applyFill="1" applyAlignment="1">
      <alignment horizontal="center" vertical="center"/>
    </xf>
    <xf numFmtId="0" fontId="17" fillId="22" borderId="0" xfId="6703" applyFont="1" applyFill="1" applyAlignment="1">
      <alignment vertical="center"/>
    </xf>
    <xf numFmtId="0" fontId="33" fillId="20" borderId="34" xfId="6703" applyFont="1" applyFill="1" applyBorder="1" applyAlignment="1" applyProtection="1">
      <alignment horizontal="left" vertical="center"/>
      <protection locked="0"/>
    </xf>
    <xf numFmtId="0" fontId="33" fillId="20" borderId="0" xfId="6703" applyFont="1" applyFill="1" applyAlignment="1" applyProtection="1">
      <alignment horizontal="left" vertical="center"/>
      <protection locked="0"/>
    </xf>
    <xf numFmtId="0" fontId="33" fillId="20" borderId="33" xfId="6703" applyFont="1" applyFill="1" applyBorder="1" applyAlignment="1" applyProtection="1">
      <alignment horizontal="left" vertical="center"/>
      <protection locked="0"/>
    </xf>
    <xf numFmtId="0" fontId="33" fillId="20" borderId="32" xfId="6703" applyFont="1" applyFill="1" applyBorder="1" applyAlignment="1" applyProtection="1">
      <alignment horizontal="left" vertical="center"/>
      <protection locked="0"/>
    </xf>
    <xf numFmtId="0" fontId="65" fillId="3" borderId="8" xfId="0" applyFont="1" applyFill="1" applyBorder="1" applyAlignment="1">
      <alignment horizontal="center"/>
    </xf>
    <xf numFmtId="0" fontId="65" fillId="3" borderId="9" xfId="0" applyFont="1" applyFill="1" applyBorder="1"/>
    <xf numFmtId="0" fontId="65" fillId="3" borderId="20" xfId="0" applyFont="1" applyFill="1" applyBorder="1"/>
    <xf numFmtId="0" fontId="10" fillId="8" borderId="0" xfId="0" applyFont="1" applyFill="1" applyAlignment="1">
      <alignment horizontal="left"/>
    </xf>
    <xf numFmtId="0" fontId="0" fillId="0" borderId="1" xfId="0" applyBorder="1" applyAlignment="1">
      <alignment horizontal="center"/>
    </xf>
    <xf numFmtId="0" fontId="48" fillId="8" borderId="36" xfId="0" applyFont="1" applyFill="1" applyBorder="1" applyAlignment="1">
      <alignment horizontal="left"/>
    </xf>
    <xf numFmtId="0" fontId="48" fillId="8" borderId="37" xfId="0" applyFont="1" applyFill="1" applyBorder="1" applyAlignment="1">
      <alignment horizontal="left"/>
    </xf>
    <xf numFmtId="0" fontId="48" fillId="8" borderId="38" xfId="0" applyFont="1" applyFill="1" applyBorder="1" applyAlignment="1">
      <alignment horizontal="left"/>
    </xf>
    <xf numFmtId="0" fontId="17" fillId="4" borderId="30" xfId="0" applyFont="1" applyFill="1" applyBorder="1" applyAlignment="1">
      <alignment horizontal="center"/>
    </xf>
    <xf numFmtId="168" fontId="0" fillId="26" borderId="24" xfId="1" applyNumberFormat="1" applyFont="1" applyFill="1" applyBorder="1" applyAlignment="1">
      <alignment horizontal="center"/>
    </xf>
    <xf numFmtId="0" fontId="17" fillId="4" borderId="31" xfId="0" applyFont="1" applyFill="1" applyBorder="1" applyAlignment="1">
      <alignment horizontal="center"/>
    </xf>
    <xf numFmtId="0" fontId="20" fillId="0" borderId="5" xfId="558" applyFill="1" applyBorder="1"/>
    <xf numFmtId="0" fontId="20" fillId="0" borderId="0" xfId="558" applyFill="1"/>
    <xf numFmtId="172" fontId="0" fillId="0" borderId="0" xfId="0" applyNumberFormat="1" applyFill="1"/>
    <xf numFmtId="172" fontId="0" fillId="0" borderId="5" xfId="0" applyNumberFormat="1" applyFill="1" applyBorder="1"/>
    <xf numFmtId="167" fontId="76" fillId="0" borderId="0" xfId="2" applyNumberFormat="1" applyFont="1" applyFill="1"/>
    <xf numFmtId="0" fontId="0" fillId="0" borderId="5" xfId="0" applyFill="1" applyBorder="1"/>
    <xf numFmtId="172" fontId="0" fillId="0" borderId="4" xfId="0" applyNumberFormat="1" applyFill="1" applyBorder="1"/>
    <xf numFmtId="172" fontId="0" fillId="0" borderId="50" xfId="0" applyNumberFormat="1" applyFill="1" applyBorder="1"/>
    <xf numFmtId="172" fontId="0" fillId="28" borderId="0" xfId="0" applyNumberFormat="1" applyFill="1" applyBorder="1"/>
    <xf numFmtId="0" fontId="0" fillId="0" borderId="0" xfId="0" applyBorder="1"/>
    <xf numFmtId="172" fontId="0" fillId="0" borderId="0" xfId="0" applyNumberFormat="1" applyBorder="1"/>
    <xf numFmtId="172" fontId="22" fillId="0" borderId="5" xfId="0" applyNumberFormat="1" applyFont="1" applyBorder="1"/>
    <xf numFmtId="0" fontId="20" fillId="0" borderId="0" xfId="558" applyBorder="1"/>
    <xf numFmtId="0" fontId="17" fillId="3" borderId="31" xfId="0" applyFont="1" applyFill="1" applyBorder="1" applyAlignment="1">
      <alignment horizontal="center"/>
    </xf>
    <xf numFmtId="0" fontId="0" fillId="0" borderId="58" xfId="0" applyBorder="1"/>
    <xf numFmtId="0" fontId="0" fillId="0" borderId="26" xfId="0" applyBorder="1"/>
    <xf numFmtId="0" fontId="0" fillId="0" borderId="27" xfId="0" applyBorder="1"/>
    <xf numFmtId="172" fontId="22" fillId="0" borderId="0" xfId="0" applyNumberFormat="1" applyFont="1" applyBorder="1"/>
    <xf numFmtId="172" fontId="0" fillId="0" borderId="0" xfId="0" applyNumberFormat="1" applyFill="1" applyBorder="1"/>
    <xf numFmtId="172" fontId="0" fillId="16" borderId="0" xfId="0" applyNumberFormat="1" applyFill="1" applyBorder="1"/>
    <xf numFmtId="167" fontId="48" fillId="16" borderId="5" xfId="6431" applyNumberFormat="1" applyFont="1" applyFill="1" applyBorder="1"/>
    <xf numFmtId="167" fontId="2" fillId="0" borderId="5" xfId="6431" applyNumberFormat="1" applyFont="1" applyFill="1" applyBorder="1"/>
    <xf numFmtId="167" fontId="0" fillId="16" borderId="50" xfId="2" applyNumberFormat="1" applyFont="1" applyFill="1" applyBorder="1"/>
    <xf numFmtId="0" fontId="84" fillId="0" borderId="35" xfId="0" applyFont="1" applyBorder="1" applyAlignment="1">
      <alignment horizontal="center"/>
    </xf>
    <xf numFmtId="0" fontId="84" fillId="0" borderId="29" xfId="0" applyFont="1" applyBorder="1" applyAlignment="1">
      <alignment horizontal="center"/>
    </xf>
    <xf numFmtId="0" fontId="86" fillId="0" borderId="46" xfId="0" applyFont="1" applyBorder="1" applyAlignment="1">
      <alignment horizontal="center"/>
    </xf>
    <xf numFmtId="0" fontId="86" fillId="0" borderId="26" xfId="0" applyFont="1" applyBorder="1" applyAlignment="1">
      <alignment horizontal="center"/>
    </xf>
    <xf numFmtId="167" fontId="36" fillId="0" borderId="0" xfId="2" applyNumberFormat="1" applyFont="1" applyBorder="1"/>
    <xf numFmtId="167" fontId="0" fillId="0" borderId="0" xfId="0" applyNumberFormat="1" applyFill="1"/>
  </cellXfs>
  <cellStyles count="6707">
    <cellStyle name="Comma" xfId="1" builtinId="3"/>
    <cellStyle name="Comma 2" xfId="559" xr:uid="{00000000-0005-0000-0000-000001000000}"/>
    <cellStyle name="Comma 3" xfId="4539" xr:uid="{00000000-0005-0000-0000-000002000000}"/>
    <cellStyle name="Comma 4" xfId="4541" xr:uid="{00000000-0005-0000-0000-000003000000}"/>
    <cellStyle name="Comma 5" xfId="4542" xr:uid="{00000000-0005-0000-0000-000004000000}"/>
    <cellStyle name="Comma 6" xfId="5604" xr:uid="{00000000-0005-0000-0000-000005000000}"/>
    <cellStyle name="Comma 7" xfId="6432" xr:uid="{00000000-0005-0000-0000-000006000000}"/>
    <cellStyle name="Comma 8" xfId="6699" xr:uid="{2C1EFDFA-EEA3-5344-B904-F3D486EFA7A1}"/>
    <cellStyle name="Currency" xfId="2" builtinId="4"/>
    <cellStyle name="Currency 10" xfId="6705" xr:uid="{9432CFE3-3F2B-41ED-B88E-C683BB1C1836}"/>
    <cellStyle name="Currency 2" xfId="560" xr:uid="{00000000-0005-0000-0000-000008000000}"/>
    <cellStyle name="Currency 3" xfId="561" xr:uid="{00000000-0005-0000-0000-000009000000}"/>
    <cellStyle name="Currency 4" xfId="3042" xr:uid="{00000000-0005-0000-0000-00000A000000}"/>
    <cellStyle name="Currency 5" xfId="3346" xr:uid="{00000000-0005-0000-0000-00000B000000}"/>
    <cellStyle name="Currency 6" xfId="4543" xr:uid="{00000000-0005-0000-0000-00000C000000}"/>
    <cellStyle name="Currency 7" xfId="5602" xr:uid="{00000000-0005-0000-0000-00000D000000}"/>
    <cellStyle name="Currency 8" xfId="6431" xr:uid="{00000000-0005-0000-0000-00000E000000}"/>
    <cellStyle name="Currency 9" xfId="6701" xr:uid="{89B62D74-72B8-1543-94E0-BA3EC1AC22D7}"/>
    <cellStyle name="Expense category" xfId="562" xr:uid="{00000000-0005-0000-0000-00000F000000}"/>
    <cellStyle name="Expense description" xfId="563" xr:uid="{00000000-0005-0000-0000-000010000000}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Followed Hyperlink" xfId="1477" builtinId="9" hidden="1"/>
    <cellStyle name="Followed Hyperlink" xfId="1479" builtinId="9" hidden="1"/>
    <cellStyle name="Followed Hyperlink" xfId="1481" builtinId="9" hidden="1"/>
    <cellStyle name="Followed Hyperlink" xfId="1483" builtinId="9" hidden="1"/>
    <cellStyle name="Followed Hyperlink" xfId="1485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Followed Hyperlink" xfId="1497" builtinId="9" hidden="1"/>
    <cellStyle name="Followed Hyperlink" xfId="1499" builtinId="9" hidden="1"/>
    <cellStyle name="Followed Hyperlink" xfId="1501" builtinId="9" hidden="1"/>
    <cellStyle name="Followed Hyperlink" xfId="1503" builtinId="9" hidden="1"/>
    <cellStyle name="Followed Hyperlink" xfId="1505" builtinId="9" hidden="1"/>
    <cellStyle name="Followed Hyperlink" xfId="1507" builtinId="9" hidden="1"/>
    <cellStyle name="Followed Hyperlink" xfId="1509" builtinId="9" hidden="1"/>
    <cellStyle name="Followed Hyperlink" xfId="1511" builtinId="9" hidden="1"/>
    <cellStyle name="Followed Hyperlink" xfId="1513" builtinId="9" hidden="1"/>
    <cellStyle name="Followed Hyperlink" xfId="1515" builtinId="9" hidden="1"/>
    <cellStyle name="Followed Hyperlink" xfId="1517" builtinId="9" hidden="1"/>
    <cellStyle name="Followed Hyperlink" xfId="1519" builtinId="9" hidden="1"/>
    <cellStyle name="Followed Hyperlink" xfId="1521" builtinId="9" hidden="1"/>
    <cellStyle name="Followed Hyperlink" xfId="1523" builtinId="9" hidden="1"/>
    <cellStyle name="Followed Hyperlink" xfId="1525" builtinId="9" hidden="1"/>
    <cellStyle name="Followed Hyperlink" xfId="1527" builtinId="9" hidden="1"/>
    <cellStyle name="Followed Hyperlink" xfId="1529" builtinId="9" hidden="1"/>
    <cellStyle name="Followed Hyperlink" xfId="1531" builtinId="9" hidden="1"/>
    <cellStyle name="Followed Hyperlink" xfId="1533" builtinId="9" hidden="1"/>
    <cellStyle name="Followed Hyperlink" xfId="1535" builtinId="9" hidden="1"/>
    <cellStyle name="Followed Hyperlink" xfId="1537" builtinId="9" hidden="1"/>
    <cellStyle name="Followed Hyperlink" xfId="1539" builtinId="9" hidden="1"/>
    <cellStyle name="Followed Hyperlink" xfId="1541" builtinId="9" hidden="1"/>
    <cellStyle name="Followed Hyperlink" xfId="1543" builtinId="9" hidden="1"/>
    <cellStyle name="Followed Hyperlink" xfId="1545" builtinId="9" hidden="1"/>
    <cellStyle name="Followed Hyperlink" xfId="1547" builtinId="9" hidden="1"/>
    <cellStyle name="Followed Hyperlink" xfId="1549" builtinId="9" hidden="1"/>
    <cellStyle name="Followed Hyperlink" xfId="1551" builtinId="9" hidden="1"/>
    <cellStyle name="Followed Hyperlink" xfId="1553" builtinId="9" hidden="1"/>
    <cellStyle name="Followed Hyperlink" xfId="1555" builtinId="9" hidden="1"/>
    <cellStyle name="Followed Hyperlink" xfId="1557" builtinId="9" hidden="1"/>
    <cellStyle name="Followed Hyperlink" xfId="1559" builtinId="9" hidden="1"/>
    <cellStyle name="Followed Hyperlink" xfId="1561" builtinId="9" hidden="1"/>
    <cellStyle name="Followed Hyperlink" xfId="1563" builtinId="9" hidden="1"/>
    <cellStyle name="Followed Hyperlink" xfId="1565" builtinId="9" hidden="1"/>
    <cellStyle name="Followed Hyperlink" xfId="1567" builtinId="9" hidden="1"/>
    <cellStyle name="Followed Hyperlink" xfId="1569" builtinId="9" hidden="1"/>
    <cellStyle name="Followed Hyperlink" xfId="1571" builtinId="9" hidden="1"/>
    <cellStyle name="Followed Hyperlink" xfId="1573" builtinId="9" hidden="1"/>
    <cellStyle name="Followed Hyperlink" xfId="1575" builtinId="9" hidden="1"/>
    <cellStyle name="Followed Hyperlink" xfId="1577" builtinId="9" hidden="1"/>
    <cellStyle name="Followed Hyperlink" xfId="1579" builtinId="9" hidden="1"/>
    <cellStyle name="Followed Hyperlink" xfId="1581" builtinId="9" hidden="1"/>
    <cellStyle name="Followed Hyperlink" xfId="1583" builtinId="9" hidden="1"/>
    <cellStyle name="Followed Hyperlink" xfId="1585" builtinId="9" hidden="1"/>
    <cellStyle name="Followed Hyperlink" xfId="1587" builtinId="9" hidden="1"/>
    <cellStyle name="Followed Hyperlink" xfId="1589" builtinId="9" hidden="1"/>
    <cellStyle name="Followed Hyperlink" xfId="1591" builtinId="9" hidden="1"/>
    <cellStyle name="Followed Hyperlink" xfId="1593" builtinId="9" hidden="1"/>
    <cellStyle name="Followed Hyperlink" xfId="1595" builtinId="9" hidden="1"/>
    <cellStyle name="Followed Hyperlink" xfId="1597" builtinId="9" hidden="1"/>
    <cellStyle name="Followed Hyperlink" xfId="1599" builtinId="9" hidden="1"/>
    <cellStyle name="Followed Hyperlink" xfId="1601" builtinId="9" hidden="1"/>
    <cellStyle name="Followed Hyperlink" xfId="1603" builtinId="9" hidden="1"/>
    <cellStyle name="Followed Hyperlink" xfId="1605" builtinId="9" hidden="1"/>
    <cellStyle name="Followed Hyperlink" xfId="1607" builtinId="9" hidden="1"/>
    <cellStyle name="Followed Hyperlink" xfId="1609" builtinId="9" hidden="1"/>
    <cellStyle name="Followed Hyperlink" xfId="1611" builtinId="9" hidden="1"/>
    <cellStyle name="Followed Hyperlink" xfId="1613" builtinId="9" hidden="1"/>
    <cellStyle name="Followed Hyperlink" xfId="1615" builtinId="9" hidden="1"/>
    <cellStyle name="Followed Hyperlink" xfId="1617" builtinId="9" hidden="1"/>
    <cellStyle name="Followed Hyperlink" xfId="1619" builtinId="9" hidden="1"/>
    <cellStyle name="Followed Hyperlink" xfId="1621" builtinId="9" hidden="1"/>
    <cellStyle name="Followed Hyperlink" xfId="1623" builtinId="9" hidden="1"/>
    <cellStyle name="Followed Hyperlink" xfId="1625" builtinId="9" hidden="1"/>
    <cellStyle name="Followed Hyperlink" xfId="1627" builtinId="9" hidden="1"/>
    <cellStyle name="Followed Hyperlink" xfId="1629" builtinId="9" hidden="1"/>
    <cellStyle name="Followed Hyperlink" xfId="1631" builtinId="9" hidden="1"/>
    <cellStyle name="Followed Hyperlink" xfId="1633" builtinId="9" hidden="1"/>
    <cellStyle name="Followed Hyperlink" xfId="1635" builtinId="9" hidden="1"/>
    <cellStyle name="Followed Hyperlink" xfId="1637" builtinId="9" hidden="1"/>
    <cellStyle name="Followed Hyperlink" xfId="1639" builtinId="9" hidden="1"/>
    <cellStyle name="Followed Hyperlink" xfId="1641" builtinId="9" hidden="1"/>
    <cellStyle name="Followed Hyperlink" xfId="1643" builtinId="9" hidden="1"/>
    <cellStyle name="Followed Hyperlink" xfId="1645" builtinId="9" hidden="1"/>
    <cellStyle name="Followed Hyperlink" xfId="1647" builtinId="9" hidden="1"/>
    <cellStyle name="Followed Hyperlink" xfId="1649" builtinId="9" hidden="1"/>
    <cellStyle name="Followed Hyperlink" xfId="1651" builtinId="9" hidden="1"/>
    <cellStyle name="Followed Hyperlink" xfId="1653" builtinId="9" hidden="1"/>
    <cellStyle name="Followed Hyperlink" xfId="1655" builtinId="9" hidden="1"/>
    <cellStyle name="Followed Hyperlink" xfId="1657" builtinId="9" hidden="1"/>
    <cellStyle name="Followed Hyperlink" xfId="1659" builtinId="9" hidden="1"/>
    <cellStyle name="Followed Hyperlink" xfId="1661" builtinId="9" hidden="1"/>
    <cellStyle name="Followed Hyperlink" xfId="1663" builtinId="9" hidden="1"/>
    <cellStyle name="Followed Hyperlink" xfId="1665" builtinId="9" hidden="1"/>
    <cellStyle name="Followed Hyperlink" xfId="1667" builtinId="9" hidden="1"/>
    <cellStyle name="Followed Hyperlink" xfId="1669" builtinId="9" hidden="1"/>
    <cellStyle name="Followed Hyperlink" xfId="1671" builtinId="9" hidden="1"/>
    <cellStyle name="Followed Hyperlink" xfId="1673" builtinId="9" hidden="1"/>
    <cellStyle name="Followed Hyperlink" xfId="1675" builtinId="9" hidden="1"/>
    <cellStyle name="Followed Hyperlink" xfId="1677" builtinId="9" hidden="1"/>
    <cellStyle name="Followed Hyperlink" xfId="1679" builtinId="9" hidden="1"/>
    <cellStyle name="Followed Hyperlink" xfId="1681" builtinId="9" hidden="1"/>
    <cellStyle name="Followed Hyperlink" xfId="1683" builtinId="9" hidden="1"/>
    <cellStyle name="Followed Hyperlink" xfId="1685" builtinId="9" hidden="1"/>
    <cellStyle name="Followed Hyperlink" xfId="1687" builtinId="9" hidden="1"/>
    <cellStyle name="Followed Hyperlink" xfId="1689" builtinId="9" hidden="1"/>
    <cellStyle name="Followed Hyperlink" xfId="1691" builtinId="9" hidden="1"/>
    <cellStyle name="Followed Hyperlink" xfId="1693" builtinId="9" hidden="1"/>
    <cellStyle name="Followed Hyperlink" xfId="1695" builtinId="9" hidden="1"/>
    <cellStyle name="Followed Hyperlink" xfId="1697" builtinId="9" hidden="1"/>
    <cellStyle name="Followed Hyperlink" xfId="1699" builtinId="9" hidden="1"/>
    <cellStyle name="Followed Hyperlink" xfId="1701" builtinId="9" hidden="1"/>
    <cellStyle name="Followed Hyperlink" xfId="1703" builtinId="9" hidden="1"/>
    <cellStyle name="Followed Hyperlink" xfId="1705" builtinId="9" hidden="1"/>
    <cellStyle name="Followed Hyperlink" xfId="1707" builtinId="9" hidden="1"/>
    <cellStyle name="Followed Hyperlink" xfId="1709" builtinId="9" hidden="1"/>
    <cellStyle name="Followed Hyperlink" xfId="1711" builtinId="9" hidden="1"/>
    <cellStyle name="Followed Hyperlink" xfId="1713" builtinId="9" hidden="1"/>
    <cellStyle name="Followed Hyperlink" xfId="1715" builtinId="9" hidden="1"/>
    <cellStyle name="Followed Hyperlink" xfId="1717" builtinId="9" hidden="1"/>
    <cellStyle name="Followed Hyperlink" xfId="1719" builtinId="9" hidden="1"/>
    <cellStyle name="Followed Hyperlink" xfId="1721" builtinId="9" hidden="1"/>
    <cellStyle name="Followed Hyperlink" xfId="1723" builtinId="9" hidden="1"/>
    <cellStyle name="Followed Hyperlink" xfId="1725" builtinId="9" hidden="1"/>
    <cellStyle name="Followed Hyperlink" xfId="1727" builtinId="9" hidden="1"/>
    <cellStyle name="Followed Hyperlink" xfId="1729" builtinId="9" hidden="1"/>
    <cellStyle name="Followed Hyperlink" xfId="1731" builtinId="9" hidden="1"/>
    <cellStyle name="Followed Hyperlink" xfId="1733" builtinId="9" hidden="1"/>
    <cellStyle name="Followed Hyperlink" xfId="1735" builtinId="9" hidden="1"/>
    <cellStyle name="Followed Hyperlink" xfId="1737" builtinId="9" hidden="1"/>
    <cellStyle name="Followed Hyperlink" xfId="1739" builtinId="9" hidden="1"/>
    <cellStyle name="Followed Hyperlink" xfId="1741" builtinId="9" hidden="1"/>
    <cellStyle name="Followed Hyperlink" xfId="1743" builtinId="9" hidden="1"/>
    <cellStyle name="Followed Hyperlink" xfId="1745" builtinId="9" hidden="1"/>
    <cellStyle name="Followed Hyperlink" xfId="1747" builtinId="9" hidden="1"/>
    <cellStyle name="Followed Hyperlink" xfId="1749" builtinId="9" hidden="1"/>
    <cellStyle name="Followed Hyperlink" xfId="1751" builtinId="9" hidden="1"/>
    <cellStyle name="Followed Hyperlink" xfId="1753" builtinId="9" hidden="1"/>
    <cellStyle name="Followed Hyperlink" xfId="1755" builtinId="9" hidden="1"/>
    <cellStyle name="Followed Hyperlink" xfId="1757" builtinId="9" hidden="1"/>
    <cellStyle name="Followed Hyperlink" xfId="1759" builtinId="9" hidden="1"/>
    <cellStyle name="Followed Hyperlink" xfId="1761" builtinId="9" hidden="1"/>
    <cellStyle name="Followed Hyperlink" xfId="1763" builtinId="9" hidden="1"/>
    <cellStyle name="Followed Hyperlink" xfId="1765" builtinId="9" hidden="1"/>
    <cellStyle name="Followed Hyperlink" xfId="1767" builtinId="9" hidden="1"/>
    <cellStyle name="Followed Hyperlink" xfId="1769" builtinId="9" hidden="1"/>
    <cellStyle name="Followed Hyperlink" xfId="1771" builtinId="9" hidden="1"/>
    <cellStyle name="Followed Hyperlink" xfId="1773" builtinId="9" hidden="1"/>
    <cellStyle name="Followed Hyperlink" xfId="1775" builtinId="9" hidden="1"/>
    <cellStyle name="Followed Hyperlink" xfId="1777" builtinId="9" hidden="1"/>
    <cellStyle name="Followed Hyperlink" xfId="1779" builtinId="9" hidden="1"/>
    <cellStyle name="Followed Hyperlink" xfId="1781" builtinId="9" hidden="1"/>
    <cellStyle name="Followed Hyperlink" xfId="1783" builtinId="9" hidden="1"/>
    <cellStyle name="Followed Hyperlink" xfId="1785" builtinId="9" hidden="1"/>
    <cellStyle name="Followed Hyperlink" xfId="1787" builtinId="9" hidden="1"/>
    <cellStyle name="Followed Hyperlink" xfId="1789" builtinId="9" hidden="1"/>
    <cellStyle name="Followed Hyperlink" xfId="1791" builtinId="9" hidden="1"/>
    <cellStyle name="Followed Hyperlink" xfId="1793" builtinId="9" hidden="1"/>
    <cellStyle name="Followed Hyperlink" xfId="1795" builtinId="9" hidden="1"/>
    <cellStyle name="Followed Hyperlink" xfId="1797" builtinId="9" hidden="1"/>
    <cellStyle name="Followed Hyperlink" xfId="1799" builtinId="9" hidden="1"/>
    <cellStyle name="Followed Hyperlink" xfId="1801" builtinId="9" hidden="1"/>
    <cellStyle name="Followed Hyperlink" xfId="1803" builtinId="9" hidden="1"/>
    <cellStyle name="Followed Hyperlink" xfId="1805" builtinId="9" hidden="1"/>
    <cellStyle name="Followed Hyperlink" xfId="1807" builtinId="9" hidden="1"/>
    <cellStyle name="Followed Hyperlink" xfId="1809" builtinId="9" hidden="1"/>
    <cellStyle name="Followed Hyperlink" xfId="1811" builtinId="9" hidden="1"/>
    <cellStyle name="Followed Hyperlink" xfId="1813" builtinId="9" hidden="1"/>
    <cellStyle name="Followed Hyperlink" xfId="1815" builtinId="9" hidden="1"/>
    <cellStyle name="Followed Hyperlink" xfId="1817" builtinId="9" hidden="1"/>
    <cellStyle name="Followed Hyperlink" xfId="1819" builtinId="9" hidden="1"/>
    <cellStyle name="Followed Hyperlink" xfId="1821" builtinId="9" hidden="1"/>
    <cellStyle name="Followed Hyperlink" xfId="1823" builtinId="9" hidden="1"/>
    <cellStyle name="Followed Hyperlink" xfId="1825" builtinId="9" hidden="1"/>
    <cellStyle name="Followed Hyperlink" xfId="1827" builtinId="9" hidden="1"/>
    <cellStyle name="Followed Hyperlink" xfId="1829" builtinId="9" hidden="1"/>
    <cellStyle name="Followed Hyperlink" xfId="1831" builtinId="9" hidden="1"/>
    <cellStyle name="Followed Hyperlink" xfId="1833" builtinId="9" hidden="1"/>
    <cellStyle name="Followed Hyperlink" xfId="1835" builtinId="9" hidden="1"/>
    <cellStyle name="Followed Hyperlink" xfId="1837" builtinId="9" hidden="1"/>
    <cellStyle name="Followed Hyperlink" xfId="1839" builtinId="9" hidden="1"/>
    <cellStyle name="Followed Hyperlink" xfId="1841" builtinId="9" hidden="1"/>
    <cellStyle name="Followed Hyperlink" xfId="1843" builtinId="9" hidden="1"/>
    <cellStyle name="Followed Hyperlink" xfId="1845" builtinId="9" hidden="1"/>
    <cellStyle name="Followed Hyperlink" xfId="1847" builtinId="9" hidden="1"/>
    <cellStyle name="Followed Hyperlink" xfId="1849" builtinId="9" hidden="1"/>
    <cellStyle name="Followed Hyperlink" xfId="1851" builtinId="9" hidden="1"/>
    <cellStyle name="Followed Hyperlink" xfId="1853" builtinId="9" hidden="1"/>
    <cellStyle name="Followed Hyperlink" xfId="1855" builtinId="9" hidden="1"/>
    <cellStyle name="Followed Hyperlink" xfId="1857" builtinId="9" hidden="1"/>
    <cellStyle name="Followed Hyperlink" xfId="1859" builtinId="9" hidden="1"/>
    <cellStyle name="Followed Hyperlink" xfId="1861" builtinId="9" hidden="1"/>
    <cellStyle name="Followed Hyperlink" xfId="1863" builtinId="9" hidden="1"/>
    <cellStyle name="Followed Hyperlink" xfId="1865" builtinId="9" hidden="1"/>
    <cellStyle name="Followed Hyperlink" xfId="1867" builtinId="9" hidden="1"/>
    <cellStyle name="Followed Hyperlink" xfId="1869" builtinId="9" hidden="1"/>
    <cellStyle name="Followed Hyperlink" xfId="1871" builtinId="9" hidden="1"/>
    <cellStyle name="Followed Hyperlink" xfId="1873" builtinId="9" hidden="1"/>
    <cellStyle name="Followed Hyperlink" xfId="1875" builtinId="9" hidden="1"/>
    <cellStyle name="Followed Hyperlink" xfId="1877" builtinId="9" hidden="1"/>
    <cellStyle name="Followed Hyperlink" xfId="1879" builtinId="9" hidden="1"/>
    <cellStyle name="Followed Hyperlink" xfId="1881" builtinId="9" hidden="1"/>
    <cellStyle name="Followed Hyperlink" xfId="1883" builtinId="9" hidden="1"/>
    <cellStyle name="Followed Hyperlink" xfId="1885" builtinId="9" hidden="1"/>
    <cellStyle name="Followed Hyperlink" xfId="1887" builtinId="9" hidden="1"/>
    <cellStyle name="Followed Hyperlink" xfId="1889" builtinId="9" hidden="1"/>
    <cellStyle name="Followed Hyperlink" xfId="1891" builtinId="9" hidden="1"/>
    <cellStyle name="Followed Hyperlink" xfId="1893" builtinId="9" hidden="1"/>
    <cellStyle name="Followed Hyperlink" xfId="1895" builtinId="9" hidden="1"/>
    <cellStyle name="Followed Hyperlink" xfId="1897" builtinId="9" hidden="1"/>
    <cellStyle name="Followed Hyperlink" xfId="1899" builtinId="9" hidden="1"/>
    <cellStyle name="Followed Hyperlink" xfId="1901" builtinId="9" hidden="1"/>
    <cellStyle name="Followed Hyperlink" xfId="1903" builtinId="9" hidden="1"/>
    <cellStyle name="Followed Hyperlink" xfId="1905" builtinId="9" hidden="1"/>
    <cellStyle name="Followed Hyperlink" xfId="1907" builtinId="9" hidden="1"/>
    <cellStyle name="Followed Hyperlink" xfId="1909" builtinId="9" hidden="1"/>
    <cellStyle name="Followed Hyperlink" xfId="1911" builtinId="9" hidden="1"/>
    <cellStyle name="Followed Hyperlink" xfId="1913" builtinId="9" hidden="1"/>
    <cellStyle name="Followed Hyperlink" xfId="1915" builtinId="9" hidden="1"/>
    <cellStyle name="Followed Hyperlink" xfId="1917" builtinId="9" hidden="1"/>
    <cellStyle name="Followed Hyperlink" xfId="1919" builtinId="9" hidden="1"/>
    <cellStyle name="Followed Hyperlink" xfId="1921" builtinId="9" hidden="1"/>
    <cellStyle name="Followed Hyperlink" xfId="1923" builtinId="9" hidden="1"/>
    <cellStyle name="Followed Hyperlink" xfId="1925" builtinId="9" hidden="1"/>
    <cellStyle name="Followed Hyperlink" xfId="1927" builtinId="9" hidden="1"/>
    <cellStyle name="Followed Hyperlink" xfId="1929" builtinId="9" hidden="1"/>
    <cellStyle name="Followed Hyperlink" xfId="1931" builtinId="9" hidden="1"/>
    <cellStyle name="Followed Hyperlink" xfId="1933" builtinId="9" hidden="1"/>
    <cellStyle name="Followed Hyperlink" xfId="1935" builtinId="9" hidden="1"/>
    <cellStyle name="Followed Hyperlink" xfId="1937" builtinId="9" hidden="1"/>
    <cellStyle name="Followed Hyperlink" xfId="1939" builtinId="9" hidden="1"/>
    <cellStyle name="Followed Hyperlink" xfId="1941" builtinId="9" hidden="1"/>
    <cellStyle name="Followed Hyperlink" xfId="1943" builtinId="9" hidden="1"/>
    <cellStyle name="Followed Hyperlink" xfId="1945" builtinId="9" hidden="1"/>
    <cellStyle name="Followed Hyperlink" xfId="1947" builtinId="9" hidden="1"/>
    <cellStyle name="Followed Hyperlink" xfId="1949" builtinId="9" hidden="1"/>
    <cellStyle name="Followed Hyperlink" xfId="1951" builtinId="9" hidden="1"/>
    <cellStyle name="Followed Hyperlink" xfId="1953" builtinId="9" hidden="1"/>
    <cellStyle name="Followed Hyperlink" xfId="1955" builtinId="9" hidden="1"/>
    <cellStyle name="Followed Hyperlink" xfId="1957" builtinId="9" hidden="1"/>
    <cellStyle name="Followed Hyperlink" xfId="1959" builtinId="9" hidden="1"/>
    <cellStyle name="Followed Hyperlink" xfId="1961" builtinId="9" hidden="1"/>
    <cellStyle name="Followed Hyperlink" xfId="1963" builtinId="9" hidden="1"/>
    <cellStyle name="Followed Hyperlink" xfId="1965" builtinId="9" hidden="1"/>
    <cellStyle name="Followed Hyperlink" xfId="1967" builtinId="9" hidden="1"/>
    <cellStyle name="Followed Hyperlink" xfId="1969" builtinId="9" hidden="1"/>
    <cellStyle name="Followed Hyperlink" xfId="1971" builtinId="9" hidden="1"/>
    <cellStyle name="Followed Hyperlink" xfId="1973" builtinId="9" hidden="1"/>
    <cellStyle name="Followed Hyperlink" xfId="1975" builtinId="9" hidden="1"/>
    <cellStyle name="Followed Hyperlink" xfId="1977" builtinId="9" hidden="1"/>
    <cellStyle name="Followed Hyperlink" xfId="1979" builtinId="9" hidden="1"/>
    <cellStyle name="Followed Hyperlink" xfId="1981" builtinId="9" hidden="1"/>
    <cellStyle name="Followed Hyperlink" xfId="1983" builtinId="9" hidden="1"/>
    <cellStyle name="Followed Hyperlink" xfId="1985" builtinId="9" hidden="1"/>
    <cellStyle name="Followed Hyperlink" xfId="1987" builtinId="9" hidden="1"/>
    <cellStyle name="Followed Hyperlink" xfId="1989" builtinId="9" hidden="1"/>
    <cellStyle name="Followed Hyperlink" xfId="1991" builtinId="9" hidden="1"/>
    <cellStyle name="Followed Hyperlink" xfId="1993" builtinId="9" hidden="1"/>
    <cellStyle name="Followed Hyperlink" xfId="1995" builtinId="9" hidden="1"/>
    <cellStyle name="Followed Hyperlink" xfId="1997" builtinId="9" hidden="1"/>
    <cellStyle name="Followed Hyperlink" xfId="1999" builtinId="9" hidden="1"/>
    <cellStyle name="Followed Hyperlink" xfId="2001" builtinId="9" hidden="1"/>
    <cellStyle name="Followed Hyperlink" xfId="2003" builtinId="9" hidden="1"/>
    <cellStyle name="Followed Hyperlink" xfId="2005" builtinId="9" hidden="1"/>
    <cellStyle name="Followed Hyperlink" xfId="2007" builtinId="9" hidden="1"/>
    <cellStyle name="Followed Hyperlink" xfId="2009" builtinId="9" hidden="1"/>
    <cellStyle name="Followed Hyperlink" xfId="2011" builtinId="9" hidden="1"/>
    <cellStyle name="Followed Hyperlink" xfId="2013" builtinId="9" hidden="1"/>
    <cellStyle name="Followed Hyperlink" xfId="2015" builtinId="9" hidden="1"/>
    <cellStyle name="Followed Hyperlink" xfId="2017" builtinId="9" hidden="1"/>
    <cellStyle name="Followed Hyperlink" xfId="2019" builtinId="9" hidden="1"/>
    <cellStyle name="Followed Hyperlink" xfId="2021" builtinId="9" hidden="1"/>
    <cellStyle name="Followed Hyperlink" xfId="2023" builtinId="9" hidden="1"/>
    <cellStyle name="Followed Hyperlink" xfId="2025" builtinId="9" hidden="1"/>
    <cellStyle name="Followed Hyperlink" xfId="2027" builtinId="9" hidden="1"/>
    <cellStyle name="Followed Hyperlink" xfId="2029" builtinId="9" hidden="1"/>
    <cellStyle name="Followed Hyperlink" xfId="2031" builtinId="9" hidden="1"/>
    <cellStyle name="Followed Hyperlink" xfId="2033" builtinId="9" hidden="1"/>
    <cellStyle name="Followed Hyperlink" xfId="2035" builtinId="9" hidden="1"/>
    <cellStyle name="Followed Hyperlink" xfId="2037" builtinId="9" hidden="1"/>
    <cellStyle name="Followed Hyperlink" xfId="2039" builtinId="9" hidden="1"/>
    <cellStyle name="Followed Hyperlink" xfId="2041" builtinId="9" hidden="1"/>
    <cellStyle name="Followed Hyperlink" xfId="2043" builtinId="9" hidden="1"/>
    <cellStyle name="Followed Hyperlink" xfId="2045" builtinId="9" hidden="1"/>
    <cellStyle name="Followed Hyperlink" xfId="2047" builtinId="9" hidden="1"/>
    <cellStyle name="Followed Hyperlink" xfId="2049" builtinId="9" hidden="1"/>
    <cellStyle name="Followed Hyperlink" xfId="2051" builtinId="9" hidden="1"/>
    <cellStyle name="Followed Hyperlink" xfId="2053" builtinId="9" hidden="1"/>
    <cellStyle name="Followed Hyperlink" xfId="2055" builtinId="9" hidden="1"/>
    <cellStyle name="Followed Hyperlink" xfId="2057" builtinId="9" hidden="1"/>
    <cellStyle name="Followed Hyperlink" xfId="2059" builtinId="9" hidden="1"/>
    <cellStyle name="Followed Hyperlink" xfId="2061" builtinId="9" hidden="1"/>
    <cellStyle name="Followed Hyperlink" xfId="2063" builtinId="9" hidden="1"/>
    <cellStyle name="Followed Hyperlink" xfId="2065" builtinId="9" hidden="1"/>
    <cellStyle name="Followed Hyperlink" xfId="2067" builtinId="9" hidden="1"/>
    <cellStyle name="Followed Hyperlink" xfId="2069" builtinId="9" hidden="1"/>
    <cellStyle name="Followed Hyperlink" xfId="2071" builtinId="9" hidden="1"/>
    <cellStyle name="Followed Hyperlink" xfId="2073" builtinId="9" hidden="1"/>
    <cellStyle name="Followed Hyperlink" xfId="2075" builtinId="9" hidden="1"/>
    <cellStyle name="Followed Hyperlink" xfId="2077" builtinId="9" hidden="1"/>
    <cellStyle name="Followed Hyperlink" xfId="2079" builtinId="9" hidden="1"/>
    <cellStyle name="Followed Hyperlink" xfId="2081" builtinId="9" hidden="1"/>
    <cellStyle name="Followed Hyperlink" xfId="2083" builtinId="9" hidden="1"/>
    <cellStyle name="Followed Hyperlink" xfId="2085" builtinId="9" hidden="1"/>
    <cellStyle name="Followed Hyperlink" xfId="2087" builtinId="9" hidden="1"/>
    <cellStyle name="Followed Hyperlink" xfId="2089" builtinId="9" hidden="1"/>
    <cellStyle name="Followed Hyperlink" xfId="2091" builtinId="9" hidden="1"/>
    <cellStyle name="Followed Hyperlink" xfId="2093" builtinId="9" hidden="1"/>
    <cellStyle name="Followed Hyperlink" xfId="2095" builtinId="9" hidden="1"/>
    <cellStyle name="Followed Hyperlink" xfId="2097" builtinId="9" hidden="1"/>
    <cellStyle name="Followed Hyperlink" xfId="2099" builtinId="9" hidden="1"/>
    <cellStyle name="Followed Hyperlink" xfId="2101" builtinId="9" hidden="1"/>
    <cellStyle name="Followed Hyperlink" xfId="2103" builtinId="9" hidden="1"/>
    <cellStyle name="Followed Hyperlink" xfId="2105" builtinId="9" hidden="1"/>
    <cellStyle name="Followed Hyperlink" xfId="2107" builtinId="9" hidden="1"/>
    <cellStyle name="Followed Hyperlink" xfId="2109" builtinId="9" hidden="1"/>
    <cellStyle name="Followed Hyperlink" xfId="2111" builtinId="9" hidden="1"/>
    <cellStyle name="Followed Hyperlink" xfId="2113" builtinId="9" hidden="1"/>
    <cellStyle name="Followed Hyperlink" xfId="2115" builtinId="9" hidden="1"/>
    <cellStyle name="Followed Hyperlink" xfId="2117" builtinId="9" hidden="1"/>
    <cellStyle name="Followed Hyperlink" xfId="2119" builtinId="9" hidden="1"/>
    <cellStyle name="Followed Hyperlink" xfId="2121" builtinId="9" hidden="1"/>
    <cellStyle name="Followed Hyperlink" xfId="2123" builtinId="9" hidden="1"/>
    <cellStyle name="Followed Hyperlink" xfId="2125" builtinId="9" hidden="1"/>
    <cellStyle name="Followed Hyperlink" xfId="2127" builtinId="9" hidden="1"/>
    <cellStyle name="Followed Hyperlink" xfId="2129" builtinId="9" hidden="1"/>
    <cellStyle name="Followed Hyperlink" xfId="2131" builtinId="9" hidden="1"/>
    <cellStyle name="Followed Hyperlink" xfId="2133" builtinId="9" hidden="1"/>
    <cellStyle name="Followed Hyperlink" xfId="2135" builtinId="9" hidden="1"/>
    <cellStyle name="Followed Hyperlink" xfId="2137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2157" builtinId="9" hidden="1"/>
    <cellStyle name="Followed Hyperlink" xfId="2159" builtinId="9" hidden="1"/>
    <cellStyle name="Followed Hyperlink" xfId="2161" builtinId="9" hidden="1"/>
    <cellStyle name="Followed Hyperlink" xfId="2163" builtinId="9" hidden="1"/>
    <cellStyle name="Followed Hyperlink" xfId="2165" builtinId="9" hidden="1"/>
    <cellStyle name="Followed Hyperlink" xfId="2167" builtinId="9" hidden="1"/>
    <cellStyle name="Followed Hyperlink" xfId="2169" builtinId="9" hidden="1"/>
    <cellStyle name="Followed Hyperlink" xfId="2171" builtinId="9" hidden="1"/>
    <cellStyle name="Followed Hyperlink" xfId="2173" builtinId="9" hidden="1"/>
    <cellStyle name="Followed Hyperlink" xfId="2175" builtinId="9" hidden="1"/>
    <cellStyle name="Followed Hyperlink" xfId="2177" builtinId="9" hidden="1"/>
    <cellStyle name="Followed Hyperlink" xfId="2179" builtinId="9" hidden="1"/>
    <cellStyle name="Followed Hyperlink" xfId="2181" builtinId="9" hidden="1"/>
    <cellStyle name="Followed Hyperlink" xfId="2183" builtinId="9" hidden="1"/>
    <cellStyle name="Followed Hyperlink" xfId="2185" builtinId="9" hidden="1"/>
    <cellStyle name="Followed Hyperlink" xfId="2187" builtinId="9" hidden="1"/>
    <cellStyle name="Followed Hyperlink" xfId="2189" builtinId="9" hidden="1"/>
    <cellStyle name="Followed Hyperlink" xfId="2191" builtinId="9" hidden="1"/>
    <cellStyle name="Followed Hyperlink" xfId="2193" builtinId="9" hidden="1"/>
    <cellStyle name="Followed Hyperlink" xfId="2195" builtinId="9" hidden="1"/>
    <cellStyle name="Followed Hyperlink" xfId="2197" builtinId="9" hidden="1"/>
    <cellStyle name="Followed Hyperlink" xfId="2199" builtinId="9" hidden="1"/>
    <cellStyle name="Followed Hyperlink" xfId="2201" builtinId="9" hidden="1"/>
    <cellStyle name="Followed Hyperlink" xfId="2203" builtinId="9" hidden="1"/>
    <cellStyle name="Followed Hyperlink" xfId="2205" builtinId="9" hidden="1"/>
    <cellStyle name="Followed Hyperlink" xfId="2207" builtinId="9" hidden="1"/>
    <cellStyle name="Followed Hyperlink" xfId="2209" builtinId="9" hidden="1"/>
    <cellStyle name="Followed Hyperlink" xfId="2211" builtinId="9" hidden="1"/>
    <cellStyle name="Followed Hyperlink" xfId="2213" builtinId="9" hidden="1"/>
    <cellStyle name="Followed Hyperlink" xfId="2215" builtinId="9" hidden="1"/>
    <cellStyle name="Followed Hyperlink" xfId="2217" builtinId="9" hidden="1"/>
    <cellStyle name="Followed Hyperlink" xfId="2219" builtinId="9" hidden="1"/>
    <cellStyle name="Followed Hyperlink" xfId="2221" builtinId="9" hidden="1"/>
    <cellStyle name="Followed Hyperlink" xfId="2223" builtinId="9" hidden="1"/>
    <cellStyle name="Followed Hyperlink" xfId="2225" builtinId="9" hidden="1"/>
    <cellStyle name="Followed Hyperlink" xfId="2227" builtinId="9" hidden="1"/>
    <cellStyle name="Followed Hyperlink" xfId="2229" builtinId="9" hidden="1"/>
    <cellStyle name="Followed Hyperlink" xfId="2231" builtinId="9" hidden="1"/>
    <cellStyle name="Followed Hyperlink" xfId="2233" builtinId="9" hidden="1"/>
    <cellStyle name="Followed Hyperlink" xfId="2235" builtinId="9" hidden="1"/>
    <cellStyle name="Followed Hyperlink" xfId="2237" builtinId="9" hidden="1"/>
    <cellStyle name="Followed Hyperlink" xfId="2239" builtinId="9" hidden="1"/>
    <cellStyle name="Followed Hyperlink" xfId="2241" builtinId="9" hidden="1"/>
    <cellStyle name="Followed Hyperlink" xfId="2243" builtinId="9" hidden="1"/>
    <cellStyle name="Followed Hyperlink" xfId="2245" builtinId="9" hidden="1"/>
    <cellStyle name="Followed Hyperlink" xfId="2247" builtinId="9" hidden="1"/>
    <cellStyle name="Followed Hyperlink" xfId="2249" builtinId="9" hidden="1"/>
    <cellStyle name="Followed Hyperlink" xfId="2251" builtinId="9" hidden="1"/>
    <cellStyle name="Followed Hyperlink" xfId="2253" builtinId="9" hidden="1"/>
    <cellStyle name="Followed Hyperlink" xfId="2255" builtinId="9" hidden="1"/>
    <cellStyle name="Followed Hyperlink" xfId="2257" builtinId="9" hidden="1"/>
    <cellStyle name="Followed Hyperlink" xfId="2259" builtinId="9" hidden="1"/>
    <cellStyle name="Followed Hyperlink" xfId="2261" builtinId="9" hidden="1"/>
    <cellStyle name="Followed Hyperlink" xfId="2263" builtinId="9" hidden="1"/>
    <cellStyle name="Followed Hyperlink" xfId="2265" builtinId="9" hidden="1"/>
    <cellStyle name="Followed Hyperlink" xfId="2267" builtinId="9" hidden="1"/>
    <cellStyle name="Followed Hyperlink" xfId="2269" builtinId="9" hidden="1"/>
    <cellStyle name="Followed Hyperlink" xfId="2271" builtinId="9" hidden="1"/>
    <cellStyle name="Followed Hyperlink" xfId="2273" builtinId="9" hidden="1"/>
    <cellStyle name="Followed Hyperlink" xfId="2275" builtinId="9" hidden="1"/>
    <cellStyle name="Followed Hyperlink" xfId="2277" builtinId="9" hidden="1"/>
    <cellStyle name="Followed Hyperlink" xfId="2279" builtinId="9" hidden="1"/>
    <cellStyle name="Followed Hyperlink" xfId="2281" builtinId="9" hidden="1"/>
    <cellStyle name="Followed Hyperlink" xfId="2283" builtinId="9" hidden="1"/>
    <cellStyle name="Followed Hyperlink" xfId="2285" builtinId="9" hidden="1"/>
    <cellStyle name="Followed Hyperlink" xfId="2287" builtinId="9" hidden="1"/>
    <cellStyle name="Followed Hyperlink" xfId="2289" builtinId="9" hidden="1"/>
    <cellStyle name="Followed Hyperlink" xfId="2291" builtinId="9" hidden="1"/>
    <cellStyle name="Followed Hyperlink" xfId="2293" builtinId="9" hidden="1"/>
    <cellStyle name="Followed Hyperlink" xfId="2295" builtinId="9" hidden="1"/>
    <cellStyle name="Followed Hyperlink" xfId="2297" builtinId="9" hidden="1"/>
    <cellStyle name="Followed Hyperlink" xfId="2299" builtinId="9" hidden="1"/>
    <cellStyle name="Followed Hyperlink" xfId="2301" builtinId="9" hidden="1"/>
    <cellStyle name="Followed Hyperlink" xfId="2303" builtinId="9" hidden="1"/>
    <cellStyle name="Followed Hyperlink" xfId="2305" builtinId="9" hidden="1"/>
    <cellStyle name="Followed Hyperlink" xfId="2307" builtinId="9" hidden="1"/>
    <cellStyle name="Followed Hyperlink" xfId="2309" builtinId="9" hidden="1"/>
    <cellStyle name="Followed Hyperlink" xfId="2311" builtinId="9" hidden="1"/>
    <cellStyle name="Followed Hyperlink" xfId="2313" builtinId="9" hidden="1"/>
    <cellStyle name="Followed Hyperlink" xfId="2315" builtinId="9" hidden="1"/>
    <cellStyle name="Followed Hyperlink" xfId="2317" builtinId="9" hidden="1"/>
    <cellStyle name="Followed Hyperlink" xfId="2319" builtinId="9" hidden="1"/>
    <cellStyle name="Followed Hyperlink" xfId="2321" builtinId="9" hidden="1"/>
    <cellStyle name="Followed Hyperlink" xfId="2323" builtinId="9" hidden="1"/>
    <cellStyle name="Followed Hyperlink" xfId="2325" builtinId="9" hidden="1"/>
    <cellStyle name="Followed Hyperlink" xfId="2327" builtinId="9" hidden="1"/>
    <cellStyle name="Followed Hyperlink" xfId="2329" builtinId="9" hidden="1"/>
    <cellStyle name="Followed Hyperlink" xfId="2331" builtinId="9" hidden="1"/>
    <cellStyle name="Followed Hyperlink" xfId="2333" builtinId="9" hidden="1"/>
    <cellStyle name="Followed Hyperlink" xfId="2335" builtinId="9" hidden="1"/>
    <cellStyle name="Followed Hyperlink" xfId="2337" builtinId="9" hidden="1"/>
    <cellStyle name="Followed Hyperlink" xfId="2339" builtinId="9" hidden="1"/>
    <cellStyle name="Followed Hyperlink" xfId="2341" builtinId="9" hidden="1"/>
    <cellStyle name="Followed Hyperlink" xfId="2343" builtinId="9" hidden="1"/>
    <cellStyle name="Followed Hyperlink" xfId="2345" builtinId="9" hidden="1"/>
    <cellStyle name="Followed Hyperlink" xfId="2347" builtinId="9" hidden="1"/>
    <cellStyle name="Followed Hyperlink" xfId="2349" builtinId="9" hidden="1"/>
    <cellStyle name="Followed Hyperlink" xfId="2351" builtinId="9" hidden="1"/>
    <cellStyle name="Followed Hyperlink" xfId="2353" builtinId="9" hidden="1"/>
    <cellStyle name="Followed Hyperlink" xfId="2355" builtinId="9" hidden="1"/>
    <cellStyle name="Followed Hyperlink" xfId="2357" builtinId="9" hidden="1"/>
    <cellStyle name="Followed Hyperlink" xfId="2359" builtinId="9" hidden="1"/>
    <cellStyle name="Followed Hyperlink" xfId="2361" builtinId="9" hidden="1"/>
    <cellStyle name="Followed Hyperlink" xfId="2363" builtinId="9" hidden="1"/>
    <cellStyle name="Followed Hyperlink" xfId="2365" builtinId="9" hidden="1"/>
    <cellStyle name="Followed Hyperlink" xfId="2367" builtinId="9" hidden="1"/>
    <cellStyle name="Followed Hyperlink" xfId="2369" builtinId="9" hidden="1"/>
    <cellStyle name="Followed Hyperlink" xfId="2371" builtinId="9" hidden="1"/>
    <cellStyle name="Followed Hyperlink" xfId="2373" builtinId="9" hidden="1"/>
    <cellStyle name="Followed Hyperlink" xfId="2375" builtinId="9" hidden="1"/>
    <cellStyle name="Followed Hyperlink" xfId="2377" builtinId="9" hidden="1"/>
    <cellStyle name="Followed Hyperlink" xfId="2379" builtinId="9" hidden="1"/>
    <cellStyle name="Followed Hyperlink" xfId="2381" builtinId="9" hidden="1"/>
    <cellStyle name="Followed Hyperlink" xfId="2383" builtinId="9" hidden="1"/>
    <cellStyle name="Followed Hyperlink" xfId="2385" builtinId="9" hidden="1"/>
    <cellStyle name="Followed Hyperlink" xfId="2387" builtinId="9" hidden="1"/>
    <cellStyle name="Followed Hyperlink" xfId="2389" builtinId="9" hidden="1"/>
    <cellStyle name="Followed Hyperlink" xfId="2391" builtinId="9" hidden="1"/>
    <cellStyle name="Followed Hyperlink" xfId="2393" builtinId="9" hidden="1"/>
    <cellStyle name="Followed Hyperlink" xfId="2395" builtinId="9" hidden="1"/>
    <cellStyle name="Followed Hyperlink" xfId="2397" builtinId="9" hidden="1"/>
    <cellStyle name="Followed Hyperlink" xfId="2399" builtinId="9" hidden="1"/>
    <cellStyle name="Followed Hyperlink" xfId="2401" builtinId="9" hidden="1"/>
    <cellStyle name="Followed Hyperlink" xfId="2403" builtinId="9" hidden="1"/>
    <cellStyle name="Followed Hyperlink" xfId="2405" builtinId="9" hidden="1"/>
    <cellStyle name="Followed Hyperlink" xfId="2407" builtinId="9" hidden="1"/>
    <cellStyle name="Followed Hyperlink" xfId="2409" builtinId="9" hidden="1"/>
    <cellStyle name="Followed Hyperlink" xfId="2411" builtinId="9" hidden="1"/>
    <cellStyle name="Followed Hyperlink" xfId="2413" builtinId="9" hidden="1"/>
    <cellStyle name="Followed Hyperlink" xfId="2415" builtinId="9" hidden="1"/>
    <cellStyle name="Followed Hyperlink" xfId="2417" builtinId="9" hidden="1"/>
    <cellStyle name="Followed Hyperlink" xfId="2419" builtinId="9" hidden="1"/>
    <cellStyle name="Followed Hyperlink" xfId="2421" builtinId="9" hidden="1"/>
    <cellStyle name="Followed Hyperlink" xfId="2423" builtinId="9" hidden="1"/>
    <cellStyle name="Followed Hyperlink" xfId="2425" builtinId="9" hidden="1"/>
    <cellStyle name="Followed Hyperlink" xfId="2427" builtinId="9" hidden="1"/>
    <cellStyle name="Followed Hyperlink" xfId="2429" builtinId="9" hidden="1"/>
    <cellStyle name="Followed Hyperlink" xfId="2431" builtinId="9" hidden="1"/>
    <cellStyle name="Followed Hyperlink" xfId="2433" builtinId="9" hidden="1"/>
    <cellStyle name="Followed Hyperlink" xfId="2435" builtinId="9" hidden="1"/>
    <cellStyle name="Followed Hyperlink" xfId="2437" builtinId="9" hidden="1"/>
    <cellStyle name="Followed Hyperlink" xfId="2439" builtinId="9" hidden="1"/>
    <cellStyle name="Followed Hyperlink" xfId="2441" builtinId="9" hidden="1"/>
    <cellStyle name="Followed Hyperlink" xfId="2443" builtinId="9" hidden="1"/>
    <cellStyle name="Followed Hyperlink" xfId="2445" builtinId="9" hidden="1"/>
    <cellStyle name="Followed Hyperlink" xfId="2447" builtinId="9" hidden="1"/>
    <cellStyle name="Followed Hyperlink" xfId="2449" builtinId="9" hidden="1"/>
    <cellStyle name="Followed Hyperlink" xfId="2451" builtinId="9" hidden="1"/>
    <cellStyle name="Followed Hyperlink" xfId="2453" builtinId="9" hidden="1"/>
    <cellStyle name="Followed Hyperlink" xfId="2455" builtinId="9" hidden="1"/>
    <cellStyle name="Followed Hyperlink" xfId="2457" builtinId="9" hidden="1"/>
    <cellStyle name="Followed Hyperlink" xfId="2459" builtinId="9" hidden="1"/>
    <cellStyle name="Followed Hyperlink" xfId="2461" builtinId="9" hidden="1"/>
    <cellStyle name="Followed Hyperlink" xfId="2463" builtinId="9" hidden="1"/>
    <cellStyle name="Followed Hyperlink" xfId="2465" builtinId="9" hidden="1"/>
    <cellStyle name="Followed Hyperlink" xfId="2467" builtinId="9" hidden="1"/>
    <cellStyle name="Followed Hyperlink" xfId="2469" builtinId="9" hidden="1"/>
    <cellStyle name="Followed Hyperlink" xfId="2471" builtinId="9" hidden="1"/>
    <cellStyle name="Followed Hyperlink" xfId="2473" builtinId="9" hidden="1"/>
    <cellStyle name="Followed Hyperlink" xfId="2475" builtinId="9" hidden="1"/>
    <cellStyle name="Followed Hyperlink" xfId="2477" builtinId="9" hidden="1"/>
    <cellStyle name="Followed Hyperlink" xfId="2479" builtinId="9" hidden="1"/>
    <cellStyle name="Followed Hyperlink" xfId="2481" builtinId="9" hidden="1"/>
    <cellStyle name="Followed Hyperlink" xfId="2483" builtinId="9" hidden="1"/>
    <cellStyle name="Followed Hyperlink" xfId="2485" builtinId="9" hidden="1"/>
    <cellStyle name="Followed Hyperlink" xfId="2487" builtinId="9" hidden="1"/>
    <cellStyle name="Followed Hyperlink" xfId="2489" builtinId="9" hidden="1"/>
    <cellStyle name="Followed Hyperlink" xfId="2491" builtinId="9" hidden="1"/>
    <cellStyle name="Followed Hyperlink" xfId="2493" builtinId="9" hidden="1"/>
    <cellStyle name="Followed Hyperlink" xfId="2495" builtinId="9" hidden="1"/>
    <cellStyle name="Followed Hyperlink" xfId="2497" builtinId="9" hidden="1"/>
    <cellStyle name="Followed Hyperlink" xfId="2499" builtinId="9" hidden="1"/>
    <cellStyle name="Followed Hyperlink" xfId="2501" builtinId="9" hidden="1"/>
    <cellStyle name="Followed Hyperlink" xfId="2503" builtinId="9" hidden="1"/>
    <cellStyle name="Followed Hyperlink" xfId="2505" builtinId="9" hidden="1"/>
    <cellStyle name="Followed Hyperlink" xfId="2507" builtinId="9" hidden="1"/>
    <cellStyle name="Followed Hyperlink" xfId="2509" builtinId="9" hidden="1"/>
    <cellStyle name="Followed Hyperlink" xfId="2511" builtinId="9" hidden="1"/>
    <cellStyle name="Followed Hyperlink" xfId="2513" builtinId="9" hidden="1"/>
    <cellStyle name="Followed Hyperlink" xfId="2515" builtinId="9" hidden="1"/>
    <cellStyle name="Followed Hyperlink" xfId="2517" builtinId="9" hidden="1"/>
    <cellStyle name="Followed Hyperlink" xfId="2519" builtinId="9" hidden="1"/>
    <cellStyle name="Followed Hyperlink" xfId="2521" builtinId="9" hidden="1"/>
    <cellStyle name="Followed Hyperlink" xfId="2523" builtinId="9" hidden="1"/>
    <cellStyle name="Followed Hyperlink" xfId="2525" builtinId="9" hidden="1"/>
    <cellStyle name="Followed Hyperlink" xfId="2527" builtinId="9" hidden="1"/>
    <cellStyle name="Followed Hyperlink" xfId="2529" builtinId="9" hidden="1"/>
    <cellStyle name="Followed Hyperlink" xfId="2531" builtinId="9" hidden="1"/>
    <cellStyle name="Followed Hyperlink" xfId="2533" builtinId="9" hidden="1"/>
    <cellStyle name="Followed Hyperlink" xfId="2535" builtinId="9" hidden="1"/>
    <cellStyle name="Followed Hyperlink" xfId="2537" builtinId="9" hidden="1"/>
    <cellStyle name="Followed Hyperlink" xfId="2539" builtinId="9" hidden="1"/>
    <cellStyle name="Followed Hyperlink" xfId="2541" builtinId="9" hidden="1"/>
    <cellStyle name="Followed Hyperlink" xfId="2543" builtinId="9" hidden="1"/>
    <cellStyle name="Followed Hyperlink" xfId="2545" builtinId="9" hidden="1"/>
    <cellStyle name="Followed Hyperlink" xfId="2547" builtinId="9" hidden="1"/>
    <cellStyle name="Followed Hyperlink" xfId="2549" builtinId="9" hidden="1"/>
    <cellStyle name="Followed Hyperlink" xfId="2551" builtinId="9" hidden="1"/>
    <cellStyle name="Followed Hyperlink" xfId="2553" builtinId="9" hidden="1"/>
    <cellStyle name="Followed Hyperlink" xfId="2555" builtinId="9" hidden="1"/>
    <cellStyle name="Followed Hyperlink" xfId="2557" builtinId="9" hidden="1"/>
    <cellStyle name="Followed Hyperlink" xfId="2559" builtinId="9" hidden="1"/>
    <cellStyle name="Followed Hyperlink" xfId="2561" builtinId="9" hidden="1"/>
    <cellStyle name="Followed Hyperlink" xfId="2563" builtinId="9" hidden="1"/>
    <cellStyle name="Followed Hyperlink" xfId="2565" builtinId="9" hidden="1"/>
    <cellStyle name="Followed Hyperlink" xfId="2567" builtinId="9" hidden="1"/>
    <cellStyle name="Followed Hyperlink" xfId="2569" builtinId="9" hidden="1"/>
    <cellStyle name="Followed Hyperlink" xfId="2571" builtinId="9" hidden="1"/>
    <cellStyle name="Followed Hyperlink" xfId="2573" builtinId="9" hidden="1"/>
    <cellStyle name="Followed Hyperlink" xfId="2575" builtinId="9" hidden="1"/>
    <cellStyle name="Followed Hyperlink" xfId="2577" builtinId="9" hidden="1"/>
    <cellStyle name="Followed Hyperlink" xfId="2579" builtinId="9" hidden="1"/>
    <cellStyle name="Followed Hyperlink" xfId="2581" builtinId="9" hidden="1"/>
    <cellStyle name="Followed Hyperlink" xfId="2583" builtinId="9" hidden="1"/>
    <cellStyle name="Followed Hyperlink" xfId="2585" builtinId="9" hidden="1"/>
    <cellStyle name="Followed Hyperlink" xfId="2587" builtinId="9" hidden="1"/>
    <cellStyle name="Followed Hyperlink" xfId="2589" builtinId="9" hidden="1"/>
    <cellStyle name="Followed Hyperlink" xfId="2591" builtinId="9" hidden="1"/>
    <cellStyle name="Followed Hyperlink" xfId="2593" builtinId="9" hidden="1"/>
    <cellStyle name="Followed Hyperlink" xfId="2595" builtinId="9" hidden="1"/>
    <cellStyle name="Followed Hyperlink" xfId="2597" builtinId="9" hidden="1"/>
    <cellStyle name="Followed Hyperlink" xfId="2599" builtinId="9" hidden="1"/>
    <cellStyle name="Followed Hyperlink" xfId="2601" builtinId="9" hidden="1"/>
    <cellStyle name="Followed Hyperlink" xfId="2603" builtinId="9" hidden="1"/>
    <cellStyle name="Followed Hyperlink" xfId="2605" builtinId="9" hidden="1"/>
    <cellStyle name="Followed Hyperlink" xfId="2607" builtinId="9" hidden="1"/>
    <cellStyle name="Followed Hyperlink" xfId="2609" builtinId="9" hidden="1"/>
    <cellStyle name="Followed Hyperlink" xfId="2611" builtinId="9" hidden="1"/>
    <cellStyle name="Followed Hyperlink" xfId="2613" builtinId="9" hidden="1"/>
    <cellStyle name="Followed Hyperlink" xfId="2615" builtinId="9" hidden="1"/>
    <cellStyle name="Followed Hyperlink" xfId="2617" builtinId="9" hidden="1"/>
    <cellStyle name="Followed Hyperlink" xfId="2619" builtinId="9" hidden="1"/>
    <cellStyle name="Followed Hyperlink" xfId="2621" builtinId="9" hidden="1"/>
    <cellStyle name="Followed Hyperlink" xfId="2623" builtinId="9" hidden="1"/>
    <cellStyle name="Followed Hyperlink" xfId="2625" builtinId="9" hidden="1"/>
    <cellStyle name="Followed Hyperlink" xfId="2627" builtinId="9" hidden="1"/>
    <cellStyle name="Followed Hyperlink" xfId="2629" builtinId="9" hidden="1"/>
    <cellStyle name="Followed Hyperlink" xfId="2631" builtinId="9" hidden="1"/>
    <cellStyle name="Followed Hyperlink" xfId="2633" builtinId="9" hidden="1"/>
    <cellStyle name="Followed Hyperlink" xfId="2635" builtinId="9" hidden="1"/>
    <cellStyle name="Followed Hyperlink" xfId="2637" builtinId="9" hidden="1"/>
    <cellStyle name="Followed Hyperlink" xfId="2639" builtinId="9" hidden="1"/>
    <cellStyle name="Followed Hyperlink" xfId="2641" builtinId="9" hidden="1"/>
    <cellStyle name="Followed Hyperlink" xfId="2643" builtinId="9" hidden="1"/>
    <cellStyle name="Followed Hyperlink" xfId="2645" builtinId="9" hidden="1"/>
    <cellStyle name="Followed Hyperlink" xfId="2647" builtinId="9" hidden="1"/>
    <cellStyle name="Followed Hyperlink" xfId="2649" builtinId="9" hidden="1"/>
    <cellStyle name="Followed Hyperlink" xfId="2651" builtinId="9" hidden="1"/>
    <cellStyle name="Followed Hyperlink" xfId="2653" builtinId="9" hidden="1"/>
    <cellStyle name="Followed Hyperlink" xfId="2655" builtinId="9" hidden="1"/>
    <cellStyle name="Followed Hyperlink" xfId="2657" builtinId="9" hidden="1"/>
    <cellStyle name="Followed Hyperlink" xfId="2659" builtinId="9" hidden="1"/>
    <cellStyle name="Followed Hyperlink" xfId="2661" builtinId="9" hidden="1"/>
    <cellStyle name="Followed Hyperlink" xfId="2663" builtinId="9" hidden="1"/>
    <cellStyle name="Followed Hyperlink" xfId="2665" builtinId="9" hidden="1"/>
    <cellStyle name="Followed Hyperlink" xfId="2667" builtinId="9" hidden="1"/>
    <cellStyle name="Followed Hyperlink" xfId="2669" builtinId="9" hidden="1"/>
    <cellStyle name="Followed Hyperlink" xfId="2671" builtinId="9" hidden="1"/>
    <cellStyle name="Followed Hyperlink" xfId="2673" builtinId="9" hidden="1"/>
    <cellStyle name="Followed Hyperlink" xfId="2675" builtinId="9" hidden="1"/>
    <cellStyle name="Followed Hyperlink" xfId="2677" builtinId="9" hidden="1"/>
    <cellStyle name="Followed Hyperlink" xfId="2679" builtinId="9" hidden="1"/>
    <cellStyle name="Followed Hyperlink" xfId="2681" builtinId="9" hidden="1"/>
    <cellStyle name="Followed Hyperlink" xfId="2683" builtinId="9" hidden="1"/>
    <cellStyle name="Followed Hyperlink" xfId="2685" builtinId="9" hidden="1"/>
    <cellStyle name="Followed Hyperlink" xfId="2687" builtinId="9" hidden="1"/>
    <cellStyle name="Followed Hyperlink" xfId="2689" builtinId="9" hidden="1"/>
    <cellStyle name="Followed Hyperlink" xfId="2691" builtinId="9" hidden="1"/>
    <cellStyle name="Followed Hyperlink" xfId="2693" builtinId="9" hidden="1"/>
    <cellStyle name="Followed Hyperlink" xfId="2695" builtinId="9" hidden="1"/>
    <cellStyle name="Followed Hyperlink" xfId="2697" builtinId="9" hidden="1"/>
    <cellStyle name="Followed Hyperlink" xfId="2699" builtinId="9" hidden="1"/>
    <cellStyle name="Followed Hyperlink" xfId="2701" builtinId="9" hidden="1"/>
    <cellStyle name="Followed Hyperlink" xfId="2703" builtinId="9" hidden="1"/>
    <cellStyle name="Followed Hyperlink" xfId="2705" builtinId="9" hidden="1"/>
    <cellStyle name="Followed Hyperlink" xfId="2707" builtinId="9" hidden="1"/>
    <cellStyle name="Followed Hyperlink" xfId="2709" builtinId="9" hidden="1"/>
    <cellStyle name="Followed Hyperlink" xfId="2711" builtinId="9" hidden="1"/>
    <cellStyle name="Followed Hyperlink" xfId="2713" builtinId="9" hidden="1"/>
    <cellStyle name="Followed Hyperlink" xfId="2715" builtinId="9" hidden="1"/>
    <cellStyle name="Followed Hyperlink" xfId="2717" builtinId="9" hidden="1"/>
    <cellStyle name="Followed Hyperlink" xfId="2719" builtinId="9" hidden="1"/>
    <cellStyle name="Followed Hyperlink" xfId="2721" builtinId="9" hidden="1"/>
    <cellStyle name="Followed Hyperlink" xfId="2723" builtinId="9" hidden="1"/>
    <cellStyle name="Followed Hyperlink" xfId="2725" builtinId="9" hidden="1"/>
    <cellStyle name="Followed Hyperlink" xfId="2727" builtinId="9" hidden="1"/>
    <cellStyle name="Followed Hyperlink" xfId="2729" builtinId="9" hidden="1"/>
    <cellStyle name="Followed Hyperlink" xfId="2731" builtinId="9" hidden="1"/>
    <cellStyle name="Followed Hyperlink" xfId="2733" builtinId="9" hidden="1"/>
    <cellStyle name="Followed Hyperlink" xfId="2735" builtinId="9" hidden="1"/>
    <cellStyle name="Followed Hyperlink" xfId="2737" builtinId="9" hidden="1"/>
    <cellStyle name="Followed Hyperlink" xfId="2739" builtinId="9" hidden="1"/>
    <cellStyle name="Followed Hyperlink" xfId="2741" builtinId="9" hidden="1"/>
    <cellStyle name="Followed Hyperlink" xfId="2743" builtinId="9" hidden="1"/>
    <cellStyle name="Followed Hyperlink" xfId="2745" builtinId="9" hidden="1"/>
    <cellStyle name="Followed Hyperlink" xfId="2747" builtinId="9" hidden="1"/>
    <cellStyle name="Followed Hyperlink" xfId="2749" builtinId="9" hidden="1"/>
    <cellStyle name="Followed Hyperlink" xfId="2751" builtinId="9" hidden="1"/>
    <cellStyle name="Followed Hyperlink" xfId="2753" builtinId="9" hidden="1"/>
    <cellStyle name="Followed Hyperlink" xfId="2755" builtinId="9" hidden="1"/>
    <cellStyle name="Followed Hyperlink" xfId="2757" builtinId="9" hidden="1"/>
    <cellStyle name="Followed Hyperlink" xfId="2759" builtinId="9" hidden="1"/>
    <cellStyle name="Followed Hyperlink" xfId="2761" builtinId="9" hidden="1"/>
    <cellStyle name="Followed Hyperlink" xfId="2763" builtinId="9" hidden="1"/>
    <cellStyle name="Followed Hyperlink" xfId="2765" builtinId="9" hidden="1"/>
    <cellStyle name="Followed Hyperlink" xfId="2767" builtinId="9" hidden="1"/>
    <cellStyle name="Followed Hyperlink" xfId="2769" builtinId="9" hidden="1"/>
    <cellStyle name="Followed Hyperlink" xfId="2771" builtinId="9" hidden="1"/>
    <cellStyle name="Followed Hyperlink" xfId="2773" builtinId="9" hidden="1"/>
    <cellStyle name="Followed Hyperlink" xfId="2775" builtinId="9" hidden="1"/>
    <cellStyle name="Followed Hyperlink" xfId="2777" builtinId="9" hidden="1"/>
    <cellStyle name="Followed Hyperlink" xfId="2779" builtinId="9" hidden="1"/>
    <cellStyle name="Followed Hyperlink" xfId="2781" builtinId="9" hidden="1"/>
    <cellStyle name="Followed Hyperlink" xfId="2783" builtinId="9" hidden="1"/>
    <cellStyle name="Followed Hyperlink" xfId="2785" builtinId="9" hidden="1"/>
    <cellStyle name="Followed Hyperlink" xfId="2787" builtinId="9" hidden="1"/>
    <cellStyle name="Followed Hyperlink" xfId="2789" builtinId="9" hidden="1"/>
    <cellStyle name="Followed Hyperlink" xfId="2791" builtinId="9" hidden="1"/>
    <cellStyle name="Followed Hyperlink" xfId="2793" builtinId="9" hidden="1"/>
    <cellStyle name="Followed Hyperlink" xfId="2795" builtinId="9" hidden="1"/>
    <cellStyle name="Followed Hyperlink" xfId="2797" builtinId="9" hidden="1"/>
    <cellStyle name="Followed Hyperlink" xfId="2799" builtinId="9" hidden="1"/>
    <cellStyle name="Followed Hyperlink" xfId="2801" builtinId="9" hidden="1"/>
    <cellStyle name="Followed Hyperlink" xfId="2803" builtinId="9" hidden="1"/>
    <cellStyle name="Followed Hyperlink" xfId="2805" builtinId="9" hidden="1"/>
    <cellStyle name="Followed Hyperlink" xfId="2807" builtinId="9" hidden="1"/>
    <cellStyle name="Followed Hyperlink" xfId="2809" builtinId="9" hidden="1"/>
    <cellStyle name="Followed Hyperlink" xfId="2811" builtinId="9" hidden="1"/>
    <cellStyle name="Followed Hyperlink" xfId="2813" builtinId="9" hidden="1"/>
    <cellStyle name="Followed Hyperlink" xfId="2815" builtinId="9" hidden="1"/>
    <cellStyle name="Followed Hyperlink" xfId="2817" builtinId="9" hidden="1"/>
    <cellStyle name="Followed Hyperlink" xfId="2819" builtinId="9" hidden="1"/>
    <cellStyle name="Followed Hyperlink" xfId="2821" builtinId="9" hidden="1"/>
    <cellStyle name="Followed Hyperlink" xfId="2823" builtinId="9" hidden="1"/>
    <cellStyle name="Followed Hyperlink" xfId="2825" builtinId="9" hidden="1"/>
    <cellStyle name="Followed Hyperlink" xfId="2827" builtinId="9" hidden="1"/>
    <cellStyle name="Followed Hyperlink" xfId="2829" builtinId="9" hidden="1"/>
    <cellStyle name="Followed Hyperlink" xfId="2831" builtinId="9" hidden="1"/>
    <cellStyle name="Followed Hyperlink" xfId="2833" builtinId="9" hidden="1"/>
    <cellStyle name="Followed Hyperlink" xfId="2835" builtinId="9" hidden="1"/>
    <cellStyle name="Followed Hyperlink" xfId="2837" builtinId="9" hidden="1"/>
    <cellStyle name="Followed Hyperlink" xfId="2839" builtinId="9" hidden="1"/>
    <cellStyle name="Followed Hyperlink" xfId="2841" builtinId="9" hidden="1"/>
    <cellStyle name="Followed Hyperlink" xfId="2843" builtinId="9" hidden="1"/>
    <cellStyle name="Followed Hyperlink" xfId="2845" builtinId="9" hidden="1"/>
    <cellStyle name="Followed Hyperlink" xfId="2847" builtinId="9" hidden="1"/>
    <cellStyle name="Followed Hyperlink" xfId="2849" builtinId="9" hidden="1"/>
    <cellStyle name="Followed Hyperlink" xfId="2851" builtinId="9" hidden="1"/>
    <cellStyle name="Followed Hyperlink" xfId="2853" builtinId="9" hidden="1"/>
    <cellStyle name="Followed Hyperlink" xfId="2855" builtinId="9" hidden="1"/>
    <cellStyle name="Followed Hyperlink" xfId="2857" builtinId="9" hidden="1"/>
    <cellStyle name="Followed Hyperlink" xfId="2859" builtinId="9" hidden="1"/>
    <cellStyle name="Followed Hyperlink" xfId="2861" builtinId="9" hidden="1"/>
    <cellStyle name="Followed Hyperlink" xfId="2863" builtinId="9" hidden="1"/>
    <cellStyle name="Followed Hyperlink" xfId="2865" builtinId="9" hidden="1"/>
    <cellStyle name="Followed Hyperlink" xfId="2867" builtinId="9" hidden="1"/>
    <cellStyle name="Followed Hyperlink" xfId="2869" builtinId="9" hidden="1"/>
    <cellStyle name="Followed Hyperlink" xfId="2871" builtinId="9" hidden="1"/>
    <cellStyle name="Followed Hyperlink" xfId="2873" builtinId="9" hidden="1"/>
    <cellStyle name="Followed Hyperlink" xfId="2875" builtinId="9" hidden="1"/>
    <cellStyle name="Followed Hyperlink" xfId="2877" builtinId="9" hidden="1"/>
    <cellStyle name="Followed Hyperlink" xfId="2879" builtinId="9" hidden="1"/>
    <cellStyle name="Followed Hyperlink" xfId="2881" builtinId="9" hidden="1"/>
    <cellStyle name="Followed Hyperlink" xfId="2883" builtinId="9" hidden="1"/>
    <cellStyle name="Followed Hyperlink" xfId="2885" builtinId="9" hidden="1"/>
    <cellStyle name="Followed Hyperlink" xfId="2887" builtinId="9" hidden="1"/>
    <cellStyle name="Followed Hyperlink" xfId="2889" builtinId="9" hidden="1"/>
    <cellStyle name="Followed Hyperlink" xfId="2891" builtinId="9" hidden="1"/>
    <cellStyle name="Followed Hyperlink" xfId="2893" builtinId="9" hidden="1"/>
    <cellStyle name="Followed Hyperlink" xfId="2895" builtinId="9" hidden="1"/>
    <cellStyle name="Followed Hyperlink" xfId="2897" builtinId="9" hidden="1"/>
    <cellStyle name="Followed Hyperlink" xfId="2899" builtinId="9" hidden="1"/>
    <cellStyle name="Followed Hyperlink" xfId="2901" builtinId="9" hidden="1"/>
    <cellStyle name="Followed Hyperlink" xfId="2903" builtinId="9" hidden="1"/>
    <cellStyle name="Followed Hyperlink" xfId="2905" builtinId="9" hidden="1"/>
    <cellStyle name="Followed Hyperlink" xfId="2907" builtinId="9" hidden="1"/>
    <cellStyle name="Followed Hyperlink" xfId="2909" builtinId="9" hidden="1"/>
    <cellStyle name="Followed Hyperlink" xfId="2911" builtinId="9" hidden="1"/>
    <cellStyle name="Followed Hyperlink" xfId="2913" builtinId="9" hidden="1"/>
    <cellStyle name="Followed Hyperlink" xfId="2915" builtinId="9" hidden="1"/>
    <cellStyle name="Followed Hyperlink" xfId="2917" builtinId="9" hidden="1"/>
    <cellStyle name="Followed Hyperlink" xfId="2919" builtinId="9" hidden="1"/>
    <cellStyle name="Followed Hyperlink" xfId="2921" builtinId="9" hidden="1"/>
    <cellStyle name="Followed Hyperlink" xfId="2923" builtinId="9" hidden="1"/>
    <cellStyle name="Followed Hyperlink" xfId="2925" builtinId="9" hidden="1"/>
    <cellStyle name="Followed Hyperlink" xfId="2927" builtinId="9" hidden="1"/>
    <cellStyle name="Followed Hyperlink" xfId="2929" builtinId="9" hidden="1"/>
    <cellStyle name="Followed Hyperlink" xfId="2931" builtinId="9" hidden="1"/>
    <cellStyle name="Followed Hyperlink" xfId="2933" builtinId="9" hidden="1"/>
    <cellStyle name="Followed Hyperlink" xfId="2935" builtinId="9" hidden="1"/>
    <cellStyle name="Followed Hyperlink" xfId="2937" builtinId="9" hidden="1"/>
    <cellStyle name="Followed Hyperlink" xfId="2939" builtinId="9" hidden="1"/>
    <cellStyle name="Followed Hyperlink" xfId="2941" builtinId="9" hidden="1"/>
    <cellStyle name="Followed Hyperlink" xfId="2943" builtinId="9" hidden="1"/>
    <cellStyle name="Followed Hyperlink" xfId="2945" builtinId="9" hidden="1"/>
    <cellStyle name="Followed Hyperlink" xfId="2947" builtinId="9" hidden="1"/>
    <cellStyle name="Followed Hyperlink" xfId="2949" builtinId="9" hidden="1"/>
    <cellStyle name="Followed Hyperlink" xfId="2951" builtinId="9" hidden="1"/>
    <cellStyle name="Followed Hyperlink" xfId="2953" builtinId="9" hidden="1"/>
    <cellStyle name="Followed Hyperlink" xfId="2955" builtinId="9" hidden="1"/>
    <cellStyle name="Followed Hyperlink" xfId="2957" builtinId="9" hidden="1"/>
    <cellStyle name="Followed Hyperlink" xfId="2959" builtinId="9" hidden="1"/>
    <cellStyle name="Followed Hyperlink" xfId="2961" builtinId="9" hidden="1"/>
    <cellStyle name="Followed Hyperlink" xfId="2963" builtinId="9" hidden="1"/>
    <cellStyle name="Followed Hyperlink" xfId="2965" builtinId="9" hidden="1"/>
    <cellStyle name="Followed Hyperlink" xfId="2967" builtinId="9" hidden="1"/>
    <cellStyle name="Followed Hyperlink" xfId="2969" builtinId="9" hidden="1"/>
    <cellStyle name="Followed Hyperlink" xfId="2971" builtinId="9" hidden="1"/>
    <cellStyle name="Followed Hyperlink" xfId="2973" builtinId="9" hidden="1"/>
    <cellStyle name="Followed Hyperlink" xfId="2975" builtinId="9" hidden="1"/>
    <cellStyle name="Followed Hyperlink" xfId="2977" builtinId="9" hidden="1"/>
    <cellStyle name="Followed Hyperlink" xfId="2979" builtinId="9" hidden="1"/>
    <cellStyle name="Followed Hyperlink" xfId="2981" builtinId="9" hidden="1"/>
    <cellStyle name="Followed Hyperlink" xfId="2983" builtinId="9" hidden="1"/>
    <cellStyle name="Followed Hyperlink" xfId="2985" builtinId="9" hidden="1"/>
    <cellStyle name="Followed Hyperlink" xfId="2987" builtinId="9" hidden="1"/>
    <cellStyle name="Followed Hyperlink" xfId="2989" builtinId="9" hidden="1"/>
    <cellStyle name="Followed Hyperlink" xfId="2991" builtinId="9" hidden="1"/>
    <cellStyle name="Followed Hyperlink" xfId="2993" builtinId="9" hidden="1"/>
    <cellStyle name="Followed Hyperlink" xfId="2995" builtinId="9" hidden="1"/>
    <cellStyle name="Followed Hyperlink" xfId="2997" builtinId="9" hidden="1"/>
    <cellStyle name="Followed Hyperlink" xfId="2999" builtinId="9" hidden="1"/>
    <cellStyle name="Followed Hyperlink" xfId="3001" builtinId="9" hidden="1"/>
    <cellStyle name="Followed Hyperlink" xfId="3003" builtinId="9" hidden="1"/>
    <cellStyle name="Followed Hyperlink" xfId="3005" builtinId="9" hidden="1"/>
    <cellStyle name="Followed Hyperlink" xfId="3007" builtinId="9" hidden="1"/>
    <cellStyle name="Followed Hyperlink" xfId="3009" builtinId="9" hidden="1"/>
    <cellStyle name="Followed Hyperlink" xfId="3011" builtinId="9" hidden="1"/>
    <cellStyle name="Followed Hyperlink" xfId="3013" builtinId="9" hidden="1"/>
    <cellStyle name="Followed Hyperlink" xfId="3015" builtinId="9" hidden="1"/>
    <cellStyle name="Followed Hyperlink" xfId="3017" builtinId="9" hidden="1"/>
    <cellStyle name="Followed Hyperlink" xfId="3019" builtinId="9" hidden="1"/>
    <cellStyle name="Followed Hyperlink" xfId="3021" builtinId="9" hidden="1"/>
    <cellStyle name="Followed Hyperlink" xfId="3023" builtinId="9" hidden="1"/>
    <cellStyle name="Followed Hyperlink" xfId="3025" builtinId="9" hidden="1"/>
    <cellStyle name="Followed Hyperlink" xfId="3027" builtinId="9" hidden="1"/>
    <cellStyle name="Followed Hyperlink" xfId="3029" builtinId="9" hidden="1"/>
    <cellStyle name="Followed Hyperlink" xfId="3031" builtinId="9" hidden="1"/>
    <cellStyle name="Followed Hyperlink" xfId="3033" builtinId="9" hidden="1"/>
    <cellStyle name="Followed Hyperlink" xfId="3035" builtinId="9" hidden="1"/>
    <cellStyle name="Followed Hyperlink" xfId="3037" builtinId="9" hidden="1"/>
    <cellStyle name="Followed Hyperlink" xfId="3039" builtinId="9" hidden="1"/>
    <cellStyle name="Followed Hyperlink" xfId="3041" builtinId="9" hidden="1"/>
    <cellStyle name="Followed Hyperlink" xfId="3044" builtinId="9" hidden="1"/>
    <cellStyle name="Followed Hyperlink" xfId="3046" builtinId="9" hidden="1"/>
    <cellStyle name="Followed Hyperlink" xfId="3048" builtinId="9" hidden="1"/>
    <cellStyle name="Followed Hyperlink" xfId="3050" builtinId="9" hidden="1"/>
    <cellStyle name="Followed Hyperlink" xfId="3052" builtinId="9" hidden="1"/>
    <cellStyle name="Followed Hyperlink" xfId="3054" builtinId="9" hidden="1"/>
    <cellStyle name="Followed Hyperlink" xfId="3056" builtinId="9" hidden="1"/>
    <cellStyle name="Followed Hyperlink" xfId="3058" builtinId="9" hidden="1"/>
    <cellStyle name="Followed Hyperlink" xfId="3060" builtinId="9" hidden="1"/>
    <cellStyle name="Followed Hyperlink" xfId="3062" builtinId="9" hidden="1"/>
    <cellStyle name="Followed Hyperlink" xfId="3064" builtinId="9" hidden="1"/>
    <cellStyle name="Followed Hyperlink" xfId="3066" builtinId="9" hidden="1"/>
    <cellStyle name="Followed Hyperlink" xfId="3068" builtinId="9" hidden="1"/>
    <cellStyle name="Followed Hyperlink" xfId="3070" builtinId="9" hidden="1"/>
    <cellStyle name="Followed Hyperlink" xfId="3072" builtinId="9" hidden="1"/>
    <cellStyle name="Followed Hyperlink" xfId="3074" builtinId="9" hidden="1"/>
    <cellStyle name="Followed Hyperlink" xfId="3076" builtinId="9" hidden="1"/>
    <cellStyle name="Followed Hyperlink" xfId="3078" builtinId="9" hidden="1"/>
    <cellStyle name="Followed Hyperlink" xfId="3080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2" builtinId="9" hidden="1"/>
    <cellStyle name="Followed Hyperlink" xfId="3094" builtinId="9" hidden="1"/>
    <cellStyle name="Followed Hyperlink" xfId="3096" builtinId="9" hidden="1"/>
    <cellStyle name="Followed Hyperlink" xfId="3098" builtinId="9" hidden="1"/>
    <cellStyle name="Followed Hyperlink" xfId="3100" builtinId="9" hidden="1"/>
    <cellStyle name="Followed Hyperlink" xfId="3102" builtinId="9" hidden="1"/>
    <cellStyle name="Followed Hyperlink" xfId="3104" builtinId="9" hidden="1"/>
    <cellStyle name="Followed Hyperlink" xfId="3106" builtinId="9" hidden="1"/>
    <cellStyle name="Followed Hyperlink" xfId="3108" builtinId="9" hidden="1"/>
    <cellStyle name="Followed Hyperlink" xfId="3110" builtinId="9" hidden="1"/>
    <cellStyle name="Followed Hyperlink" xfId="3112" builtinId="9" hidden="1"/>
    <cellStyle name="Followed Hyperlink" xfId="3114" builtinId="9" hidden="1"/>
    <cellStyle name="Followed Hyperlink" xfId="3116" builtinId="9" hidden="1"/>
    <cellStyle name="Followed Hyperlink" xfId="3118" builtinId="9" hidden="1"/>
    <cellStyle name="Followed Hyperlink" xfId="3120" builtinId="9" hidden="1"/>
    <cellStyle name="Followed Hyperlink" xfId="3122" builtinId="9" hidden="1"/>
    <cellStyle name="Followed Hyperlink" xfId="3124" builtinId="9" hidden="1"/>
    <cellStyle name="Followed Hyperlink" xfId="3126" builtinId="9" hidden="1"/>
    <cellStyle name="Followed Hyperlink" xfId="3128" builtinId="9" hidden="1"/>
    <cellStyle name="Followed Hyperlink" xfId="3130" builtinId="9" hidden="1"/>
    <cellStyle name="Followed Hyperlink" xfId="3132" builtinId="9" hidden="1"/>
    <cellStyle name="Followed Hyperlink" xfId="3134" builtinId="9" hidden="1"/>
    <cellStyle name="Followed Hyperlink" xfId="3136" builtinId="9" hidden="1"/>
    <cellStyle name="Followed Hyperlink" xfId="3138" builtinId="9" hidden="1"/>
    <cellStyle name="Followed Hyperlink" xfId="3140" builtinId="9" hidden="1"/>
    <cellStyle name="Followed Hyperlink" xfId="3142" builtinId="9" hidden="1"/>
    <cellStyle name="Followed Hyperlink" xfId="3144" builtinId="9" hidden="1"/>
    <cellStyle name="Followed Hyperlink" xfId="3146" builtinId="9" hidden="1"/>
    <cellStyle name="Followed Hyperlink" xfId="3148" builtinId="9" hidden="1"/>
    <cellStyle name="Followed Hyperlink" xfId="3150" builtinId="9" hidden="1"/>
    <cellStyle name="Followed Hyperlink" xfId="3152" builtinId="9" hidden="1"/>
    <cellStyle name="Followed Hyperlink" xfId="3154" builtinId="9" hidden="1"/>
    <cellStyle name="Followed Hyperlink" xfId="3156" builtinId="9" hidden="1"/>
    <cellStyle name="Followed Hyperlink" xfId="3158" builtinId="9" hidden="1"/>
    <cellStyle name="Followed Hyperlink" xfId="3160" builtinId="9" hidden="1"/>
    <cellStyle name="Followed Hyperlink" xfId="3162" builtinId="9" hidden="1"/>
    <cellStyle name="Followed Hyperlink" xfId="3164" builtinId="9" hidden="1"/>
    <cellStyle name="Followed Hyperlink" xfId="3166" builtinId="9" hidden="1"/>
    <cellStyle name="Followed Hyperlink" xfId="3168" builtinId="9" hidden="1"/>
    <cellStyle name="Followed Hyperlink" xfId="3170" builtinId="9" hidden="1"/>
    <cellStyle name="Followed Hyperlink" xfId="3172" builtinId="9" hidden="1"/>
    <cellStyle name="Followed Hyperlink" xfId="3174" builtinId="9" hidden="1"/>
    <cellStyle name="Followed Hyperlink" xfId="3176" builtinId="9" hidden="1"/>
    <cellStyle name="Followed Hyperlink" xfId="3178" builtinId="9" hidden="1"/>
    <cellStyle name="Followed Hyperlink" xfId="3180" builtinId="9" hidden="1"/>
    <cellStyle name="Followed Hyperlink" xfId="3182" builtinId="9" hidden="1"/>
    <cellStyle name="Followed Hyperlink" xfId="3184" builtinId="9" hidden="1"/>
    <cellStyle name="Followed Hyperlink" xfId="3186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198" builtinId="9" hidden="1"/>
    <cellStyle name="Followed Hyperlink" xfId="3200" builtinId="9" hidden="1"/>
    <cellStyle name="Followed Hyperlink" xfId="3202" builtinId="9" hidden="1"/>
    <cellStyle name="Followed Hyperlink" xfId="3204" builtinId="9" hidden="1"/>
    <cellStyle name="Followed Hyperlink" xfId="3206" builtinId="9" hidden="1"/>
    <cellStyle name="Followed Hyperlink" xfId="3208" builtinId="9" hidden="1"/>
    <cellStyle name="Followed Hyperlink" xfId="3210" builtinId="9" hidden="1"/>
    <cellStyle name="Followed Hyperlink" xfId="3212" builtinId="9" hidden="1"/>
    <cellStyle name="Followed Hyperlink" xfId="3214" builtinId="9" hidden="1"/>
    <cellStyle name="Followed Hyperlink" xfId="3216" builtinId="9" hidden="1"/>
    <cellStyle name="Followed Hyperlink" xfId="3218" builtinId="9" hidden="1"/>
    <cellStyle name="Followed Hyperlink" xfId="3220" builtinId="9" hidden="1"/>
    <cellStyle name="Followed Hyperlink" xfId="3222" builtinId="9" hidden="1"/>
    <cellStyle name="Followed Hyperlink" xfId="3224" builtinId="9" hidden="1"/>
    <cellStyle name="Followed Hyperlink" xfId="3226" builtinId="9" hidden="1"/>
    <cellStyle name="Followed Hyperlink" xfId="3228" builtinId="9" hidden="1"/>
    <cellStyle name="Followed Hyperlink" xfId="3230" builtinId="9" hidden="1"/>
    <cellStyle name="Followed Hyperlink" xfId="3232" builtinId="9" hidden="1"/>
    <cellStyle name="Followed Hyperlink" xfId="3234" builtinId="9" hidden="1"/>
    <cellStyle name="Followed Hyperlink" xfId="3236" builtinId="9" hidden="1"/>
    <cellStyle name="Followed Hyperlink" xfId="3238" builtinId="9" hidden="1"/>
    <cellStyle name="Followed Hyperlink" xfId="3240" builtinId="9" hidden="1"/>
    <cellStyle name="Followed Hyperlink" xfId="3242" builtinId="9" hidden="1"/>
    <cellStyle name="Followed Hyperlink" xfId="3244" builtinId="9" hidden="1"/>
    <cellStyle name="Followed Hyperlink" xfId="3246" builtinId="9" hidden="1"/>
    <cellStyle name="Followed Hyperlink" xfId="3248" builtinId="9" hidden="1"/>
    <cellStyle name="Followed Hyperlink" xfId="3250" builtinId="9" hidden="1"/>
    <cellStyle name="Followed Hyperlink" xfId="3252" builtinId="9" hidden="1"/>
    <cellStyle name="Followed Hyperlink" xfId="3254" builtinId="9" hidden="1"/>
    <cellStyle name="Followed Hyperlink" xfId="3256" builtinId="9" hidden="1"/>
    <cellStyle name="Followed Hyperlink" xfId="3258" builtinId="9" hidden="1"/>
    <cellStyle name="Followed Hyperlink" xfId="3260" builtinId="9" hidden="1"/>
    <cellStyle name="Followed Hyperlink" xfId="3262" builtinId="9" hidden="1"/>
    <cellStyle name="Followed Hyperlink" xfId="3264" builtinId="9" hidden="1"/>
    <cellStyle name="Followed Hyperlink" xfId="3266" builtinId="9" hidden="1"/>
    <cellStyle name="Followed Hyperlink" xfId="3268" builtinId="9" hidden="1"/>
    <cellStyle name="Followed Hyperlink" xfId="3270" builtinId="9" hidden="1"/>
    <cellStyle name="Followed Hyperlink" xfId="3272" builtinId="9" hidden="1"/>
    <cellStyle name="Followed Hyperlink" xfId="3274" builtinId="9" hidden="1"/>
    <cellStyle name="Followed Hyperlink" xfId="3276" builtinId="9" hidden="1"/>
    <cellStyle name="Followed Hyperlink" xfId="3278" builtinId="9" hidden="1"/>
    <cellStyle name="Followed Hyperlink" xfId="3280" builtinId="9" hidden="1"/>
    <cellStyle name="Followed Hyperlink" xfId="3282" builtinId="9" hidden="1"/>
    <cellStyle name="Followed Hyperlink" xfId="3284" builtinId="9" hidden="1"/>
    <cellStyle name="Followed Hyperlink" xfId="3286" builtinId="9" hidden="1"/>
    <cellStyle name="Followed Hyperlink" xfId="3288" builtinId="9" hidden="1"/>
    <cellStyle name="Followed Hyperlink" xfId="3290" builtinId="9" hidden="1"/>
    <cellStyle name="Followed Hyperlink" xfId="3292" builtinId="9" hidden="1"/>
    <cellStyle name="Followed Hyperlink" xfId="3294" builtinId="9" hidden="1"/>
    <cellStyle name="Followed Hyperlink" xfId="3296" builtinId="9" hidden="1"/>
    <cellStyle name="Followed Hyperlink" xfId="3298" builtinId="9" hidden="1"/>
    <cellStyle name="Followed Hyperlink" xfId="3300" builtinId="9" hidden="1"/>
    <cellStyle name="Followed Hyperlink" xfId="3302" builtinId="9" hidden="1"/>
    <cellStyle name="Followed Hyperlink" xfId="3304" builtinId="9" hidden="1"/>
    <cellStyle name="Followed Hyperlink" xfId="3306" builtinId="9" hidden="1"/>
    <cellStyle name="Followed Hyperlink" xfId="3308" builtinId="9" hidden="1"/>
    <cellStyle name="Followed Hyperlink" xfId="3310" builtinId="9" hidden="1"/>
    <cellStyle name="Followed Hyperlink" xfId="3312" builtinId="9" hidden="1"/>
    <cellStyle name="Followed Hyperlink" xfId="3314" builtinId="9" hidden="1"/>
    <cellStyle name="Followed Hyperlink" xfId="3316" builtinId="9" hidden="1"/>
    <cellStyle name="Followed Hyperlink" xfId="3318" builtinId="9" hidden="1"/>
    <cellStyle name="Followed Hyperlink" xfId="3320" builtinId="9" hidden="1"/>
    <cellStyle name="Followed Hyperlink" xfId="3322" builtinId="9" hidden="1"/>
    <cellStyle name="Followed Hyperlink" xfId="3324" builtinId="9" hidden="1"/>
    <cellStyle name="Followed Hyperlink" xfId="3326" builtinId="9" hidden="1"/>
    <cellStyle name="Followed Hyperlink" xfId="3328" builtinId="9" hidden="1"/>
    <cellStyle name="Followed Hyperlink" xfId="3330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72" builtinId="9" hidden="1"/>
    <cellStyle name="Followed Hyperlink" xfId="3374" builtinId="9" hidden="1"/>
    <cellStyle name="Followed Hyperlink" xfId="3376" builtinId="9" hidden="1"/>
    <cellStyle name="Followed Hyperlink" xfId="3378" builtinId="9" hidden="1"/>
    <cellStyle name="Followed Hyperlink" xfId="3380" builtinId="9" hidden="1"/>
    <cellStyle name="Followed Hyperlink" xfId="3382" builtinId="9" hidden="1"/>
    <cellStyle name="Followed Hyperlink" xfId="3384" builtinId="9" hidden="1"/>
    <cellStyle name="Followed Hyperlink" xfId="3386" builtinId="9" hidden="1"/>
    <cellStyle name="Followed Hyperlink" xfId="3388" builtinId="9" hidden="1"/>
    <cellStyle name="Followed Hyperlink" xfId="3390" builtinId="9" hidden="1"/>
    <cellStyle name="Followed Hyperlink" xfId="3392" builtinId="9" hidden="1"/>
    <cellStyle name="Followed Hyperlink" xfId="3394" builtinId="9" hidden="1"/>
    <cellStyle name="Followed Hyperlink" xfId="3396" builtinId="9" hidden="1"/>
    <cellStyle name="Followed Hyperlink" xfId="3398" builtinId="9" hidden="1"/>
    <cellStyle name="Followed Hyperlink" xfId="3400" builtinId="9" hidden="1"/>
    <cellStyle name="Followed Hyperlink" xfId="3402" builtinId="9" hidden="1"/>
    <cellStyle name="Followed Hyperlink" xfId="3404" builtinId="9" hidden="1"/>
    <cellStyle name="Followed Hyperlink" xfId="3406" builtinId="9" hidden="1"/>
    <cellStyle name="Followed Hyperlink" xfId="3408" builtinId="9" hidden="1"/>
    <cellStyle name="Followed Hyperlink" xfId="3410" builtinId="9" hidden="1"/>
    <cellStyle name="Followed Hyperlink" xfId="3412" builtinId="9" hidden="1"/>
    <cellStyle name="Followed Hyperlink" xfId="3414" builtinId="9" hidden="1"/>
    <cellStyle name="Followed Hyperlink" xfId="3416" builtinId="9" hidden="1"/>
    <cellStyle name="Followed Hyperlink" xfId="3418" builtinId="9" hidden="1"/>
    <cellStyle name="Followed Hyperlink" xfId="3420" builtinId="9" hidden="1"/>
    <cellStyle name="Followed Hyperlink" xfId="3422" builtinId="9" hidden="1"/>
    <cellStyle name="Followed Hyperlink" xfId="3424" builtinId="9" hidden="1"/>
    <cellStyle name="Followed Hyperlink" xfId="3426" builtinId="9" hidden="1"/>
    <cellStyle name="Followed Hyperlink" xfId="3428" builtinId="9" hidden="1"/>
    <cellStyle name="Followed Hyperlink" xfId="3430" builtinId="9" hidden="1"/>
    <cellStyle name="Followed Hyperlink" xfId="3432" builtinId="9" hidden="1"/>
    <cellStyle name="Followed Hyperlink" xfId="3434" builtinId="9" hidden="1"/>
    <cellStyle name="Followed Hyperlink" xfId="3436" builtinId="9" hidden="1"/>
    <cellStyle name="Followed Hyperlink" xfId="3438" builtinId="9" hidden="1"/>
    <cellStyle name="Followed Hyperlink" xfId="3440" builtinId="9" hidden="1"/>
    <cellStyle name="Followed Hyperlink" xfId="3442" builtinId="9" hidden="1"/>
    <cellStyle name="Followed Hyperlink" xfId="3444" builtinId="9" hidden="1"/>
    <cellStyle name="Followed Hyperlink" xfId="3446" builtinId="9" hidden="1"/>
    <cellStyle name="Followed Hyperlink" xfId="3448" builtinId="9" hidden="1"/>
    <cellStyle name="Followed Hyperlink" xfId="3450" builtinId="9" hidden="1"/>
    <cellStyle name="Followed Hyperlink" xfId="3452" builtinId="9" hidden="1"/>
    <cellStyle name="Followed Hyperlink" xfId="3454" builtinId="9" hidden="1"/>
    <cellStyle name="Followed Hyperlink" xfId="3456" builtinId="9" hidden="1"/>
    <cellStyle name="Followed Hyperlink" xfId="3458" builtinId="9" hidden="1"/>
    <cellStyle name="Followed Hyperlink" xfId="3460" builtinId="9" hidden="1"/>
    <cellStyle name="Followed Hyperlink" xfId="3462" builtinId="9" hidden="1"/>
    <cellStyle name="Followed Hyperlink" xfId="3464" builtinId="9" hidden="1"/>
    <cellStyle name="Followed Hyperlink" xfId="3466" builtinId="9" hidden="1"/>
    <cellStyle name="Followed Hyperlink" xfId="3468" builtinId="9" hidden="1"/>
    <cellStyle name="Followed Hyperlink" xfId="3470" builtinId="9" hidden="1"/>
    <cellStyle name="Followed Hyperlink" xfId="3472" builtinId="9" hidden="1"/>
    <cellStyle name="Followed Hyperlink" xfId="3474" builtinId="9" hidden="1"/>
    <cellStyle name="Followed Hyperlink" xfId="3476" builtinId="9" hidden="1"/>
    <cellStyle name="Followed Hyperlink" xfId="3478" builtinId="9" hidden="1"/>
    <cellStyle name="Followed Hyperlink" xfId="3480" builtinId="9" hidden="1"/>
    <cellStyle name="Followed Hyperlink" xfId="3482" builtinId="9" hidden="1"/>
    <cellStyle name="Followed Hyperlink" xfId="3484" builtinId="9" hidden="1"/>
    <cellStyle name="Followed Hyperlink" xfId="3486" builtinId="9" hidden="1"/>
    <cellStyle name="Followed Hyperlink" xfId="3488" builtinId="9" hidden="1"/>
    <cellStyle name="Followed Hyperlink" xfId="3490" builtinId="9" hidden="1"/>
    <cellStyle name="Followed Hyperlink" xfId="3492" builtinId="9" hidden="1"/>
    <cellStyle name="Followed Hyperlink" xfId="3494" builtinId="9" hidden="1"/>
    <cellStyle name="Followed Hyperlink" xfId="3496" builtinId="9" hidden="1"/>
    <cellStyle name="Followed Hyperlink" xfId="3498" builtinId="9" hidden="1"/>
    <cellStyle name="Followed Hyperlink" xfId="3500" builtinId="9" hidden="1"/>
    <cellStyle name="Followed Hyperlink" xfId="3502" builtinId="9" hidden="1"/>
    <cellStyle name="Followed Hyperlink" xfId="3504" builtinId="9" hidden="1"/>
    <cellStyle name="Followed Hyperlink" xfId="3506" builtinId="9" hidden="1"/>
    <cellStyle name="Followed Hyperlink" xfId="3508" builtinId="9" hidden="1"/>
    <cellStyle name="Followed Hyperlink" xfId="3510" builtinId="9" hidden="1"/>
    <cellStyle name="Followed Hyperlink" xfId="3512" builtinId="9" hidden="1"/>
    <cellStyle name="Followed Hyperlink" xfId="3514" builtinId="9" hidden="1"/>
    <cellStyle name="Followed Hyperlink" xfId="3516" builtinId="9" hidden="1"/>
    <cellStyle name="Followed Hyperlink" xfId="3518" builtinId="9" hidden="1"/>
    <cellStyle name="Followed Hyperlink" xfId="3520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Followed Hyperlink" xfId="3748" builtinId="9" hidden="1"/>
    <cellStyle name="Followed Hyperlink" xfId="3750" builtinId="9" hidden="1"/>
    <cellStyle name="Followed Hyperlink" xfId="3752" builtinId="9" hidden="1"/>
    <cellStyle name="Followed Hyperlink" xfId="3754" builtinId="9" hidden="1"/>
    <cellStyle name="Followed Hyperlink" xfId="3756" builtinId="9" hidden="1"/>
    <cellStyle name="Followed Hyperlink" xfId="3758" builtinId="9" hidden="1"/>
    <cellStyle name="Followed Hyperlink" xfId="3760" builtinId="9" hidden="1"/>
    <cellStyle name="Followed Hyperlink" xfId="3762" builtinId="9" hidden="1"/>
    <cellStyle name="Followed Hyperlink" xfId="3764" builtinId="9" hidden="1"/>
    <cellStyle name="Followed Hyperlink" xfId="3766" builtinId="9" hidden="1"/>
    <cellStyle name="Followed Hyperlink" xfId="3768" builtinId="9" hidden="1"/>
    <cellStyle name="Followed Hyperlink" xfId="3770" builtinId="9" hidden="1"/>
    <cellStyle name="Followed Hyperlink" xfId="3772" builtinId="9" hidden="1"/>
    <cellStyle name="Followed Hyperlink" xfId="3774" builtinId="9" hidden="1"/>
    <cellStyle name="Followed Hyperlink" xfId="3776" builtinId="9" hidden="1"/>
    <cellStyle name="Followed Hyperlink" xfId="3778" builtinId="9" hidden="1"/>
    <cellStyle name="Followed Hyperlink" xfId="3780" builtinId="9" hidden="1"/>
    <cellStyle name="Followed Hyperlink" xfId="3782" builtinId="9" hidden="1"/>
    <cellStyle name="Followed Hyperlink" xfId="3784" builtinId="9" hidden="1"/>
    <cellStyle name="Followed Hyperlink" xfId="3786" builtinId="9" hidden="1"/>
    <cellStyle name="Followed Hyperlink" xfId="3788" builtinId="9" hidden="1"/>
    <cellStyle name="Followed Hyperlink" xfId="3790" builtinId="9" hidden="1"/>
    <cellStyle name="Followed Hyperlink" xfId="3792" builtinId="9" hidden="1"/>
    <cellStyle name="Followed Hyperlink" xfId="3794" builtinId="9" hidden="1"/>
    <cellStyle name="Followed Hyperlink" xfId="3796" builtinId="9" hidden="1"/>
    <cellStyle name="Followed Hyperlink" xfId="3798" builtinId="9" hidden="1"/>
    <cellStyle name="Followed Hyperlink" xfId="3800" builtinId="9" hidden="1"/>
    <cellStyle name="Followed Hyperlink" xfId="3802" builtinId="9" hidden="1"/>
    <cellStyle name="Followed Hyperlink" xfId="3804" builtinId="9" hidden="1"/>
    <cellStyle name="Followed Hyperlink" xfId="3806" builtinId="9" hidden="1"/>
    <cellStyle name="Followed Hyperlink" xfId="3808" builtinId="9" hidden="1"/>
    <cellStyle name="Followed Hyperlink" xfId="3810" builtinId="9" hidden="1"/>
    <cellStyle name="Followed Hyperlink" xfId="3812" builtinId="9" hidden="1"/>
    <cellStyle name="Followed Hyperlink" xfId="3814" builtinId="9" hidden="1"/>
    <cellStyle name="Followed Hyperlink" xfId="3816" builtinId="9" hidden="1"/>
    <cellStyle name="Followed Hyperlink" xfId="3818" builtinId="9" hidden="1"/>
    <cellStyle name="Followed Hyperlink" xfId="3820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862" builtinId="9" hidden="1"/>
    <cellStyle name="Followed Hyperlink" xfId="3864" builtinId="9" hidden="1"/>
    <cellStyle name="Followed Hyperlink" xfId="3866" builtinId="9" hidden="1"/>
    <cellStyle name="Followed Hyperlink" xfId="3868" builtinId="9" hidden="1"/>
    <cellStyle name="Followed Hyperlink" xfId="3870" builtinId="9" hidden="1"/>
    <cellStyle name="Followed Hyperlink" xfId="3872" builtinId="9" hidden="1"/>
    <cellStyle name="Followed Hyperlink" xfId="3874" builtinId="9" hidden="1"/>
    <cellStyle name="Followed Hyperlink" xfId="3876" builtinId="9" hidden="1"/>
    <cellStyle name="Followed Hyperlink" xfId="3878" builtinId="9" hidden="1"/>
    <cellStyle name="Followed Hyperlink" xfId="3880" builtinId="9" hidden="1"/>
    <cellStyle name="Followed Hyperlink" xfId="3882" builtinId="9" hidden="1"/>
    <cellStyle name="Followed Hyperlink" xfId="3884" builtinId="9" hidden="1"/>
    <cellStyle name="Followed Hyperlink" xfId="3886" builtinId="9" hidden="1"/>
    <cellStyle name="Followed Hyperlink" xfId="3888" builtinId="9" hidden="1"/>
    <cellStyle name="Followed Hyperlink" xfId="3890" builtinId="9" hidden="1"/>
    <cellStyle name="Followed Hyperlink" xfId="3892" builtinId="9" hidden="1"/>
    <cellStyle name="Followed Hyperlink" xfId="3894" builtinId="9" hidden="1"/>
    <cellStyle name="Followed Hyperlink" xfId="3896" builtinId="9" hidden="1"/>
    <cellStyle name="Followed Hyperlink" xfId="3898" builtinId="9" hidden="1"/>
    <cellStyle name="Followed Hyperlink" xfId="3900" builtinId="9" hidden="1"/>
    <cellStyle name="Followed Hyperlink" xfId="3902" builtinId="9" hidden="1"/>
    <cellStyle name="Followed Hyperlink" xfId="3904" builtinId="9" hidden="1"/>
    <cellStyle name="Followed Hyperlink" xfId="3906" builtinId="9" hidden="1"/>
    <cellStyle name="Followed Hyperlink" xfId="3908" builtinId="9" hidden="1"/>
    <cellStyle name="Followed Hyperlink" xfId="3910" builtinId="9" hidden="1"/>
    <cellStyle name="Followed Hyperlink" xfId="3912" builtinId="9" hidden="1"/>
    <cellStyle name="Followed Hyperlink" xfId="3914" builtinId="9" hidden="1"/>
    <cellStyle name="Followed Hyperlink" xfId="3916" builtinId="9" hidden="1"/>
    <cellStyle name="Followed Hyperlink" xfId="3918" builtinId="9" hidden="1"/>
    <cellStyle name="Followed Hyperlink" xfId="3920" builtinId="9" hidden="1"/>
    <cellStyle name="Followed Hyperlink" xfId="3922" builtinId="9" hidden="1"/>
    <cellStyle name="Followed Hyperlink" xfId="3924" builtinId="9" hidden="1"/>
    <cellStyle name="Followed Hyperlink" xfId="3926" builtinId="9" hidden="1"/>
    <cellStyle name="Followed Hyperlink" xfId="3928" builtinId="9" hidden="1"/>
    <cellStyle name="Followed Hyperlink" xfId="3930" builtinId="9" hidden="1"/>
    <cellStyle name="Followed Hyperlink" xfId="3932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52" builtinId="9" hidden="1"/>
    <cellStyle name="Followed Hyperlink" xfId="3954" builtinId="9" hidden="1"/>
    <cellStyle name="Followed Hyperlink" xfId="3956" builtinId="9" hidden="1"/>
    <cellStyle name="Followed Hyperlink" xfId="3958" builtinId="9" hidden="1"/>
    <cellStyle name="Followed Hyperlink" xfId="3960" builtinId="9" hidden="1"/>
    <cellStyle name="Followed Hyperlink" xfId="3962" builtinId="9" hidden="1"/>
    <cellStyle name="Followed Hyperlink" xfId="3964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06" builtinId="9" hidden="1"/>
    <cellStyle name="Followed Hyperlink" xfId="4008" builtinId="9" hidden="1"/>
    <cellStyle name="Followed Hyperlink" xfId="4010" builtinId="9" hidden="1"/>
    <cellStyle name="Followed Hyperlink" xfId="4012" builtinId="9" hidden="1"/>
    <cellStyle name="Followed Hyperlink" xfId="4014" builtinId="9" hidden="1"/>
    <cellStyle name="Followed Hyperlink" xfId="4016" builtinId="9" hidden="1"/>
    <cellStyle name="Followed Hyperlink" xfId="4018" builtinId="9" hidden="1"/>
    <cellStyle name="Followed Hyperlink" xfId="4020" builtinId="9" hidden="1"/>
    <cellStyle name="Followed Hyperlink" xfId="4022" builtinId="9" hidden="1"/>
    <cellStyle name="Followed Hyperlink" xfId="4024" builtinId="9" hidden="1"/>
    <cellStyle name="Followed Hyperlink" xfId="4026" builtinId="9" hidden="1"/>
    <cellStyle name="Followed Hyperlink" xfId="4028" builtinId="9" hidden="1"/>
    <cellStyle name="Followed Hyperlink" xfId="4030" builtinId="9" hidden="1"/>
    <cellStyle name="Followed Hyperlink" xfId="4032" builtinId="9" hidden="1"/>
    <cellStyle name="Followed Hyperlink" xfId="4034" builtinId="9" hidden="1"/>
    <cellStyle name="Followed Hyperlink" xfId="4036" builtinId="9" hidden="1"/>
    <cellStyle name="Followed Hyperlink" xfId="4038" builtinId="9" hidden="1"/>
    <cellStyle name="Followed Hyperlink" xfId="4040" builtinId="9" hidden="1"/>
    <cellStyle name="Followed Hyperlink" xfId="4042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26" builtinId="9" hidden="1"/>
    <cellStyle name="Followed Hyperlink" xfId="4128" builtinId="9" hidden="1"/>
    <cellStyle name="Followed Hyperlink" xfId="4130" builtinId="9" hidden="1"/>
    <cellStyle name="Followed Hyperlink" xfId="4132" builtinId="9" hidden="1"/>
    <cellStyle name="Followed Hyperlink" xfId="4134" builtinId="9" hidden="1"/>
    <cellStyle name="Followed Hyperlink" xfId="4136" builtinId="9" hidden="1"/>
    <cellStyle name="Followed Hyperlink" xfId="4138" builtinId="9" hidden="1"/>
    <cellStyle name="Followed Hyperlink" xfId="4140" builtinId="9" hidden="1"/>
    <cellStyle name="Followed Hyperlink" xfId="4142" builtinId="9" hidden="1"/>
    <cellStyle name="Followed Hyperlink" xfId="4144" builtinId="9" hidden="1"/>
    <cellStyle name="Followed Hyperlink" xfId="4146" builtinId="9" hidden="1"/>
    <cellStyle name="Followed Hyperlink" xfId="4148" builtinId="9" hidden="1"/>
    <cellStyle name="Followed Hyperlink" xfId="4150" builtinId="9" hidden="1"/>
    <cellStyle name="Followed Hyperlink" xfId="4152" builtinId="9" hidden="1"/>
    <cellStyle name="Followed Hyperlink" xfId="4154" builtinId="9" hidden="1"/>
    <cellStyle name="Followed Hyperlink" xfId="4156" builtinId="9" hidden="1"/>
    <cellStyle name="Followed Hyperlink" xfId="4158" builtinId="9" hidden="1"/>
    <cellStyle name="Followed Hyperlink" xfId="4160" builtinId="9" hidden="1"/>
    <cellStyle name="Followed Hyperlink" xfId="4162" builtinId="9" hidden="1"/>
    <cellStyle name="Followed Hyperlink" xfId="4164" builtinId="9" hidden="1"/>
    <cellStyle name="Followed Hyperlink" xfId="4166" builtinId="9" hidden="1"/>
    <cellStyle name="Followed Hyperlink" xfId="4168" builtinId="9" hidden="1"/>
    <cellStyle name="Followed Hyperlink" xfId="4170" builtinId="9" hidden="1"/>
    <cellStyle name="Followed Hyperlink" xfId="4172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4" builtinId="9" hidden="1"/>
    <cellStyle name="Followed Hyperlink" xfId="4186" builtinId="9" hidden="1"/>
    <cellStyle name="Followed Hyperlink" xfId="4188" builtinId="9" hidden="1"/>
    <cellStyle name="Followed Hyperlink" xfId="4190" builtinId="9" hidden="1"/>
    <cellStyle name="Followed Hyperlink" xfId="4192" builtinId="9" hidden="1"/>
    <cellStyle name="Followed Hyperlink" xfId="4194" builtinId="9" hidden="1"/>
    <cellStyle name="Followed Hyperlink" xfId="4196" builtinId="9" hidden="1"/>
    <cellStyle name="Followed Hyperlink" xfId="4198" builtinId="9" hidden="1"/>
    <cellStyle name="Followed Hyperlink" xfId="4200" builtinId="9" hidden="1"/>
    <cellStyle name="Followed Hyperlink" xfId="4202" builtinId="9" hidden="1"/>
    <cellStyle name="Followed Hyperlink" xfId="4204" builtinId="9" hidden="1"/>
    <cellStyle name="Followed Hyperlink" xfId="4206" builtinId="9" hidden="1"/>
    <cellStyle name="Followed Hyperlink" xfId="4208" builtinId="9" hidden="1"/>
    <cellStyle name="Followed Hyperlink" xfId="4210" builtinId="9" hidden="1"/>
    <cellStyle name="Followed Hyperlink" xfId="4212" builtinId="9" hidden="1"/>
    <cellStyle name="Followed Hyperlink" xfId="4214" builtinId="9" hidden="1"/>
    <cellStyle name="Followed Hyperlink" xfId="4216" builtinId="9" hidden="1"/>
    <cellStyle name="Followed Hyperlink" xfId="4218" builtinId="9" hidden="1"/>
    <cellStyle name="Followed Hyperlink" xfId="4220" builtinId="9" hidden="1"/>
    <cellStyle name="Followed Hyperlink" xfId="4222" builtinId="9" hidden="1"/>
    <cellStyle name="Followed Hyperlink" xfId="4224" builtinId="9" hidden="1"/>
    <cellStyle name="Followed Hyperlink" xfId="4226" builtinId="9" hidden="1"/>
    <cellStyle name="Followed Hyperlink" xfId="4228" builtinId="9" hidden="1"/>
    <cellStyle name="Followed Hyperlink" xfId="4230" builtinId="9" hidden="1"/>
    <cellStyle name="Followed Hyperlink" xfId="4232" builtinId="9" hidden="1"/>
    <cellStyle name="Followed Hyperlink" xfId="4234" builtinId="9" hidden="1"/>
    <cellStyle name="Followed Hyperlink" xfId="4236" builtinId="9" hidden="1"/>
    <cellStyle name="Followed Hyperlink" xfId="4238" builtinId="9" hidden="1"/>
    <cellStyle name="Followed Hyperlink" xfId="4240" builtinId="9" hidden="1"/>
    <cellStyle name="Followed Hyperlink" xfId="4242" builtinId="9" hidden="1"/>
    <cellStyle name="Followed Hyperlink" xfId="4244" builtinId="9" hidden="1"/>
    <cellStyle name="Followed Hyperlink" xfId="4246" builtinId="9" hidden="1"/>
    <cellStyle name="Followed Hyperlink" xfId="4248" builtinId="9" hidden="1"/>
    <cellStyle name="Followed Hyperlink" xfId="4250" builtinId="9" hidden="1"/>
    <cellStyle name="Followed Hyperlink" xfId="4252" builtinId="9" hidden="1"/>
    <cellStyle name="Followed Hyperlink" xfId="4254" builtinId="9" hidden="1"/>
    <cellStyle name="Followed Hyperlink" xfId="4256" builtinId="9" hidden="1"/>
    <cellStyle name="Followed Hyperlink" xfId="4258" builtinId="9" hidden="1"/>
    <cellStyle name="Followed Hyperlink" xfId="4260" builtinId="9" hidden="1"/>
    <cellStyle name="Followed Hyperlink" xfId="4262" builtinId="9" hidden="1"/>
    <cellStyle name="Followed Hyperlink" xfId="4264" builtinId="9" hidden="1"/>
    <cellStyle name="Followed Hyperlink" xfId="4266" builtinId="9" hidden="1"/>
    <cellStyle name="Followed Hyperlink" xfId="4268" builtinId="9" hidden="1"/>
    <cellStyle name="Followed Hyperlink" xfId="4270" builtinId="9" hidden="1"/>
    <cellStyle name="Followed Hyperlink" xfId="4272" builtinId="9" hidden="1"/>
    <cellStyle name="Followed Hyperlink" xfId="4274" builtinId="9" hidden="1"/>
    <cellStyle name="Followed Hyperlink" xfId="4276" builtinId="9" hidden="1"/>
    <cellStyle name="Followed Hyperlink" xfId="4278" builtinId="9" hidden="1"/>
    <cellStyle name="Followed Hyperlink" xfId="4280" builtinId="9" hidden="1"/>
    <cellStyle name="Followed Hyperlink" xfId="4282" builtinId="9" hidden="1"/>
    <cellStyle name="Followed Hyperlink" xfId="4284" builtinId="9" hidden="1"/>
    <cellStyle name="Followed Hyperlink" xfId="4286" builtinId="9" hidden="1"/>
    <cellStyle name="Followed Hyperlink" xfId="4288" builtinId="9" hidden="1"/>
    <cellStyle name="Followed Hyperlink" xfId="4290" builtinId="9" hidden="1"/>
    <cellStyle name="Followed Hyperlink" xfId="4292" builtinId="9" hidden="1"/>
    <cellStyle name="Followed Hyperlink" xfId="4294" builtinId="9" hidden="1"/>
    <cellStyle name="Followed Hyperlink" xfId="4296" builtinId="9" hidden="1"/>
    <cellStyle name="Followed Hyperlink" xfId="4298" builtinId="9" hidden="1"/>
    <cellStyle name="Followed Hyperlink" xfId="4300" builtinId="9" hidden="1"/>
    <cellStyle name="Followed Hyperlink" xfId="4302" builtinId="9" hidden="1"/>
    <cellStyle name="Followed Hyperlink" xfId="4304" builtinId="9" hidden="1"/>
    <cellStyle name="Followed Hyperlink" xfId="4306" builtinId="9" hidden="1"/>
    <cellStyle name="Followed Hyperlink" xfId="4308" builtinId="9" hidden="1"/>
    <cellStyle name="Followed Hyperlink" xfId="4310" builtinId="9" hidden="1"/>
    <cellStyle name="Followed Hyperlink" xfId="4312" builtinId="9" hidden="1"/>
    <cellStyle name="Followed Hyperlink" xfId="4314" builtinId="9" hidden="1"/>
    <cellStyle name="Followed Hyperlink" xfId="4316" builtinId="9" hidden="1"/>
    <cellStyle name="Followed Hyperlink" xfId="4318" builtinId="9" hidden="1"/>
    <cellStyle name="Followed Hyperlink" xfId="4320" builtinId="9" hidden="1"/>
    <cellStyle name="Followed Hyperlink" xfId="4322" builtinId="9" hidden="1"/>
    <cellStyle name="Followed Hyperlink" xfId="4324" builtinId="9" hidden="1"/>
    <cellStyle name="Followed Hyperlink" xfId="4326" builtinId="9" hidden="1"/>
    <cellStyle name="Followed Hyperlink" xfId="4328" builtinId="9" hidden="1"/>
    <cellStyle name="Followed Hyperlink" xfId="4330" builtinId="9" hidden="1"/>
    <cellStyle name="Followed Hyperlink" xfId="4332" builtinId="9" hidden="1"/>
    <cellStyle name="Followed Hyperlink" xfId="4334" builtinId="9" hidden="1"/>
    <cellStyle name="Followed Hyperlink" xfId="4336" builtinId="9" hidden="1"/>
    <cellStyle name="Followed Hyperlink" xfId="4338" builtinId="9" hidden="1"/>
    <cellStyle name="Followed Hyperlink" xfId="4340" builtinId="9" hidden="1"/>
    <cellStyle name="Followed Hyperlink" xfId="4342" builtinId="9" hidden="1"/>
    <cellStyle name="Followed Hyperlink" xfId="4344" builtinId="9" hidden="1"/>
    <cellStyle name="Followed Hyperlink" xfId="4346" builtinId="9" hidden="1"/>
    <cellStyle name="Followed Hyperlink" xfId="4348" builtinId="9" hidden="1"/>
    <cellStyle name="Followed Hyperlink" xfId="4350" builtinId="9" hidden="1"/>
    <cellStyle name="Followed Hyperlink" xfId="4352" builtinId="9" hidden="1"/>
    <cellStyle name="Followed Hyperlink" xfId="4354" builtinId="9" hidden="1"/>
    <cellStyle name="Followed Hyperlink" xfId="4356" builtinId="9" hidden="1"/>
    <cellStyle name="Followed Hyperlink" xfId="4358" builtinId="9" hidden="1"/>
    <cellStyle name="Followed Hyperlink" xfId="4360" builtinId="9" hidden="1"/>
    <cellStyle name="Followed Hyperlink" xfId="4362" builtinId="9" hidden="1"/>
    <cellStyle name="Followed Hyperlink" xfId="4364" builtinId="9" hidden="1"/>
    <cellStyle name="Followed Hyperlink" xfId="4366" builtinId="9" hidden="1"/>
    <cellStyle name="Followed Hyperlink" xfId="4368" builtinId="9" hidden="1"/>
    <cellStyle name="Followed Hyperlink" xfId="4370" builtinId="9" hidden="1"/>
    <cellStyle name="Followed Hyperlink" xfId="4372" builtinId="9" hidden="1"/>
    <cellStyle name="Followed Hyperlink" xfId="4374" builtinId="9" hidden="1"/>
    <cellStyle name="Followed Hyperlink" xfId="4376" builtinId="9" hidden="1"/>
    <cellStyle name="Followed Hyperlink" xfId="4378" builtinId="9" hidden="1"/>
    <cellStyle name="Followed Hyperlink" xfId="4380" builtinId="9" hidden="1"/>
    <cellStyle name="Followed Hyperlink" xfId="4382" builtinId="9" hidden="1"/>
    <cellStyle name="Followed Hyperlink" xfId="4384" builtinId="9" hidden="1"/>
    <cellStyle name="Followed Hyperlink" xfId="4386" builtinId="9" hidden="1"/>
    <cellStyle name="Followed Hyperlink" xfId="4388" builtinId="9" hidden="1"/>
    <cellStyle name="Followed Hyperlink" xfId="4390" builtinId="9" hidden="1"/>
    <cellStyle name="Followed Hyperlink" xfId="4392" builtinId="9" hidden="1"/>
    <cellStyle name="Followed Hyperlink" xfId="4394" builtinId="9" hidden="1"/>
    <cellStyle name="Followed Hyperlink" xfId="4396" builtinId="9" hidden="1"/>
    <cellStyle name="Followed Hyperlink" xfId="4398" builtinId="9" hidden="1"/>
    <cellStyle name="Followed Hyperlink" xfId="4400" builtinId="9" hidden="1"/>
    <cellStyle name="Followed Hyperlink" xfId="4402" builtinId="9" hidden="1"/>
    <cellStyle name="Followed Hyperlink" xfId="4404" builtinId="9" hidden="1"/>
    <cellStyle name="Followed Hyperlink" xfId="4406" builtinId="9" hidden="1"/>
    <cellStyle name="Followed Hyperlink" xfId="4408" builtinId="9" hidden="1"/>
    <cellStyle name="Followed Hyperlink" xfId="4410" builtinId="9" hidden="1"/>
    <cellStyle name="Followed Hyperlink" xfId="4412" builtinId="9" hidden="1"/>
    <cellStyle name="Followed Hyperlink" xfId="4414" builtinId="9" hidden="1"/>
    <cellStyle name="Followed Hyperlink" xfId="4416" builtinId="9" hidden="1"/>
    <cellStyle name="Followed Hyperlink" xfId="4418" builtinId="9" hidden="1"/>
    <cellStyle name="Followed Hyperlink" xfId="4420" builtinId="9" hidden="1"/>
    <cellStyle name="Followed Hyperlink" xfId="4422" builtinId="9" hidden="1"/>
    <cellStyle name="Followed Hyperlink" xfId="4424" builtinId="9" hidden="1"/>
    <cellStyle name="Followed Hyperlink" xfId="4426" builtinId="9" hidden="1"/>
    <cellStyle name="Followed Hyperlink" xfId="4428" builtinId="9" hidden="1"/>
    <cellStyle name="Followed Hyperlink" xfId="4430" builtinId="9" hidden="1"/>
    <cellStyle name="Followed Hyperlink" xfId="4432" builtinId="9" hidden="1"/>
    <cellStyle name="Followed Hyperlink" xfId="4434" builtinId="9" hidden="1"/>
    <cellStyle name="Followed Hyperlink" xfId="4436" builtinId="9" hidden="1"/>
    <cellStyle name="Followed Hyperlink" xfId="4438" builtinId="9" hidden="1"/>
    <cellStyle name="Followed Hyperlink" xfId="4440" builtinId="9" hidden="1"/>
    <cellStyle name="Followed Hyperlink" xfId="4442" builtinId="9" hidden="1"/>
    <cellStyle name="Followed Hyperlink" xfId="4444" builtinId="9" hidden="1"/>
    <cellStyle name="Followed Hyperlink" xfId="4446" builtinId="9" hidden="1"/>
    <cellStyle name="Followed Hyperlink" xfId="4448" builtinId="9" hidden="1"/>
    <cellStyle name="Followed Hyperlink" xfId="4450" builtinId="9" hidden="1"/>
    <cellStyle name="Followed Hyperlink" xfId="4452" builtinId="9" hidden="1"/>
    <cellStyle name="Followed Hyperlink" xfId="4454" builtinId="9" hidden="1"/>
    <cellStyle name="Followed Hyperlink" xfId="4456" builtinId="9" hidden="1"/>
    <cellStyle name="Followed Hyperlink" xfId="4458" builtinId="9" hidden="1"/>
    <cellStyle name="Followed Hyperlink" xfId="4460" builtinId="9" hidden="1"/>
    <cellStyle name="Followed Hyperlink" xfId="4462" builtinId="9" hidden="1"/>
    <cellStyle name="Followed Hyperlink" xfId="4464" builtinId="9" hidden="1"/>
    <cellStyle name="Followed Hyperlink" xfId="4466" builtinId="9" hidden="1"/>
    <cellStyle name="Followed Hyperlink" xfId="4468" builtinId="9" hidden="1"/>
    <cellStyle name="Followed Hyperlink" xfId="4470" builtinId="9" hidden="1"/>
    <cellStyle name="Followed Hyperlink" xfId="4472" builtinId="9" hidden="1"/>
    <cellStyle name="Followed Hyperlink" xfId="4474" builtinId="9" hidden="1"/>
    <cellStyle name="Followed Hyperlink" xfId="4476" builtinId="9" hidden="1"/>
    <cellStyle name="Followed Hyperlink" xfId="4478" builtinId="9" hidden="1"/>
    <cellStyle name="Followed Hyperlink" xfId="4480" builtinId="9" hidden="1"/>
    <cellStyle name="Followed Hyperlink" xfId="4482" builtinId="9" hidden="1"/>
    <cellStyle name="Followed Hyperlink" xfId="4484" builtinId="9" hidden="1"/>
    <cellStyle name="Followed Hyperlink" xfId="4486" builtinId="9" hidden="1"/>
    <cellStyle name="Followed Hyperlink" xfId="4488" builtinId="9" hidden="1"/>
    <cellStyle name="Followed Hyperlink" xfId="4490" builtinId="9" hidden="1"/>
    <cellStyle name="Followed Hyperlink" xfId="4492" builtinId="9" hidden="1"/>
    <cellStyle name="Followed Hyperlink" xfId="4494" builtinId="9" hidden="1"/>
    <cellStyle name="Followed Hyperlink" xfId="4496" builtinId="9" hidden="1"/>
    <cellStyle name="Followed Hyperlink" xfId="4498" builtinId="9" hidden="1"/>
    <cellStyle name="Followed Hyperlink" xfId="4500" builtinId="9" hidden="1"/>
    <cellStyle name="Followed Hyperlink" xfId="4502" builtinId="9" hidden="1"/>
    <cellStyle name="Followed Hyperlink" xfId="4504" builtinId="9" hidden="1"/>
    <cellStyle name="Followed Hyperlink" xfId="4506" builtinId="9" hidden="1"/>
    <cellStyle name="Followed Hyperlink" xfId="4508" builtinId="9" hidden="1"/>
    <cellStyle name="Followed Hyperlink" xfId="4510" builtinId="9" hidden="1"/>
    <cellStyle name="Followed Hyperlink" xfId="4512" builtinId="9" hidden="1"/>
    <cellStyle name="Followed Hyperlink" xfId="4514" builtinId="9" hidden="1"/>
    <cellStyle name="Followed Hyperlink" xfId="4516" builtinId="9" hidden="1"/>
    <cellStyle name="Followed Hyperlink" xfId="4518" builtinId="9" hidden="1"/>
    <cellStyle name="Followed Hyperlink" xfId="4520" builtinId="9" hidden="1"/>
    <cellStyle name="Followed Hyperlink" xfId="4522" builtinId="9" hidden="1"/>
    <cellStyle name="Followed Hyperlink" xfId="4524" builtinId="9" hidden="1"/>
    <cellStyle name="Followed Hyperlink" xfId="4526" builtinId="9" hidden="1"/>
    <cellStyle name="Followed Hyperlink" xfId="4528" builtinId="9" hidden="1"/>
    <cellStyle name="Followed Hyperlink" xfId="4530" builtinId="9" hidden="1"/>
    <cellStyle name="Followed Hyperlink" xfId="4532" builtinId="9" hidden="1"/>
    <cellStyle name="Followed Hyperlink" xfId="4534" builtinId="9" hidden="1"/>
    <cellStyle name="Followed Hyperlink" xfId="4536" builtinId="9" hidden="1"/>
    <cellStyle name="Followed Hyperlink" xfId="4538" builtinId="9" hidden="1"/>
    <cellStyle name="Followed Hyperlink" xfId="4545" builtinId="9" hidden="1"/>
    <cellStyle name="Followed Hyperlink" xfId="4547" builtinId="9" hidden="1"/>
    <cellStyle name="Followed Hyperlink" xfId="4549" builtinId="9" hidden="1"/>
    <cellStyle name="Followed Hyperlink" xfId="4551" builtinId="9" hidden="1"/>
    <cellStyle name="Followed Hyperlink" xfId="4553" builtinId="9" hidden="1"/>
    <cellStyle name="Followed Hyperlink" xfId="4555" builtinId="9" hidden="1"/>
    <cellStyle name="Followed Hyperlink" xfId="4557" builtinId="9" hidden="1"/>
    <cellStyle name="Followed Hyperlink" xfId="4559" builtinId="9" hidden="1"/>
    <cellStyle name="Followed Hyperlink" xfId="4561" builtinId="9" hidden="1"/>
    <cellStyle name="Followed Hyperlink" xfId="4563" builtinId="9" hidden="1"/>
    <cellStyle name="Followed Hyperlink" xfId="4565" builtinId="9" hidden="1"/>
    <cellStyle name="Followed Hyperlink" xfId="4567" builtinId="9" hidden="1"/>
    <cellStyle name="Followed Hyperlink" xfId="4569" builtinId="9" hidden="1"/>
    <cellStyle name="Followed Hyperlink" xfId="4571" builtinId="9" hidden="1"/>
    <cellStyle name="Followed Hyperlink" xfId="4573" builtinId="9" hidden="1"/>
    <cellStyle name="Followed Hyperlink" xfId="4575" builtinId="9" hidden="1"/>
    <cellStyle name="Followed Hyperlink" xfId="4577" builtinId="9" hidden="1"/>
    <cellStyle name="Followed Hyperlink" xfId="4579" builtinId="9" hidden="1"/>
    <cellStyle name="Followed Hyperlink" xfId="4581" builtinId="9" hidden="1"/>
    <cellStyle name="Followed Hyperlink" xfId="4583" builtinId="9" hidden="1"/>
    <cellStyle name="Followed Hyperlink" xfId="4585" builtinId="9" hidden="1"/>
    <cellStyle name="Followed Hyperlink" xfId="4587" builtinId="9" hidden="1"/>
    <cellStyle name="Followed Hyperlink" xfId="4589" builtinId="9" hidden="1"/>
    <cellStyle name="Followed Hyperlink" xfId="4591" builtinId="9" hidden="1"/>
    <cellStyle name="Followed Hyperlink" xfId="4593" builtinId="9" hidden="1"/>
    <cellStyle name="Followed Hyperlink" xfId="4595" builtinId="9" hidden="1"/>
    <cellStyle name="Followed Hyperlink" xfId="4597" builtinId="9" hidden="1"/>
    <cellStyle name="Followed Hyperlink" xfId="4599" builtinId="9" hidden="1"/>
    <cellStyle name="Followed Hyperlink" xfId="4601" builtinId="9" hidden="1"/>
    <cellStyle name="Followed Hyperlink" xfId="4603" builtinId="9" hidden="1"/>
    <cellStyle name="Followed Hyperlink" xfId="4605" builtinId="9" hidden="1"/>
    <cellStyle name="Followed Hyperlink" xfId="4607" builtinId="9" hidden="1"/>
    <cellStyle name="Followed Hyperlink" xfId="4609" builtinId="9" hidden="1"/>
    <cellStyle name="Followed Hyperlink" xfId="4611" builtinId="9" hidden="1"/>
    <cellStyle name="Followed Hyperlink" xfId="4613" builtinId="9" hidden="1"/>
    <cellStyle name="Followed Hyperlink" xfId="4615" builtinId="9" hidden="1"/>
    <cellStyle name="Followed Hyperlink" xfId="4617" builtinId="9" hidden="1"/>
    <cellStyle name="Followed Hyperlink" xfId="4619" builtinId="9" hidden="1"/>
    <cellStyle name="Followed Hyperlink" xfId="4621" builtinId="9" hidden="1"/>
    <cellStyle name="Followed Hyperlink" xfId="4623" builtinId="9" hidden="1"/>
    <cellStyle name="Followed Hyperlink" xfId="4625" builtinId="9" hidden="1"/>
    <cellStyle name="Followed Hyperlink" xfId="4627" builtinId="9" hidden="1"/>
    <cellStyle name="Followed Hyperlink" xfId="4629" builtinId="9" hidden="1"/>
    <cellStyle name="Followed Hyperlink" xfId="4631" builtinId="9" hidden="1"/>
    <cellStyle name="Followed Hyperlink" xfId="4633" builtinId="9" hidden="1"/>
    <cellStyle name="Followed Hyperlink" xfId="4635" builtinId="9" hidden="1"/>
    <cellStyle name="Followed Hyperlink" xfId="4637" builtinId="9" hidden="1"/>
    <cellStyle name="Followed Hyperlink" xfId="4639" builtinId="9" hidden="1"/>
    <cellStyle name="Followed Hyperlink" xfId="4641" builtinId="9" hidden="1"/>
    <cellStyle name="Followed Hyperlink" xfId="4643" builtinId="9" hidden="1"/>
    <cellStyle name="Followed Hyperlink" xfId="4645" builtinId="9" hidden="1"/>
    <cellStyle name="Followed Hyperlink" xfId="4647" builtinId="9" hidden="1"/>
    <cellStyle name="Followed Hyperlink" xfId="4649" builtinId="9" hidden="1"/>
    <cellStyle name="Followed Hyperlink" xfId="4651" builtinId="9" hidden="1"/>
    <cellStyle name="Followed Hyperlink" xfId="4653" builtinId="9" hidden="1"/>
    <cellStyle name="Followed Hyperlink" xfId="4655" builtinId="9" hidden="1"/>
    <cellStyle name="Followed Hyperlink" xfId="4657" builtinId="9" hidden="1"/>
    <cellStyle name="Followed Hyperlink" xfId="4659" builtinId="9" hidden="1"/>
    <cellStyle name="Followed Hyperlink" xfId="4661" builtinId="9" hidden="1"/>
    <cellStyle name="Followed Hyperlink" xfId="4663" builtinId="9" hidden="1"/>
    <cellStyle name="Followed Hyperlink" xfId="4665" builtinId="9" hidden="1"/>
    <cellStyle name="Followed Hyperlink" xfId="4667" builtinId="9" hidden="1"/>
    <cellStyle name="Followed Hyperlink" xfId="4669" builtinId="9" hidden="1"/>
    <cellStyle name="Followed Hyperlink" xfId="4671" builtinId="9" hidden="1"/>
    <cellStyle name="Followed Hyperlink" xfId="4673" builtinId="9" hidden="1"/>
    <cellStyle name="Followed Hyperlink" xfId="4675" builtinId="9" hidden="1"/>
    <cellStyle name="Followed Hyperlink" xfId="4677" builtinId="9" hidden="1"/>
    <cellStyle name="Followed Hyperlink" xfId="4679" builtinId="9" hidden="1"/>
    <cellStyle name="Followed Hyperlink" xfId="4681" builtinId="9" hidden="1"/>
    <cellStyle name="Followed Hyperlink" xfId="4683" builtinId="9" hidden="1"/>
    <cellStyle name="Followed Hyperlink" xfId="4685" builtinId="9" hidden="1"/>
    <cellStyle name="Followed Hyperlink" xfId="4687" builtinId="9" hidden="1"/>
    <cellStyle name="Followed Hyperlink" xfId="4689" builtinId="9" hidden="1"/>
    <cellStyle name="Followed Hyperlink" xfId="4691" builtinId="9" hidden="1"/>
    <cellStyle name="Followed Hyperlink" xfId="4693" builtinId="9" hidden="1"/>
    <cellStyle name="Followed Hyperlink" xfId="4695" builtinId="9" hidden="1"/>
    <cellStyle name="Followed Hyperlink" xfId="4697" builtinId="9" hidden="1"/>
    <cellStyle name="Followed Hyperlink" xfId="4699" builtinId="9" hidden="1"/>
    <cellStyle name="Followed Hyperlink" xfId="4701" builtinId="9" hidden="1"/>
    <cellStyle name="Followed Hyperlink" xfId="4703" builtinId="9" hidden="1"/>
    <cellStyle name="Followed Hyperlink" xfId="4705" builtinId="9" hidden="1"/>
    <cellStyle name="Followed Hyperlink" xfId="4707" builtinId="9" hidden="1"/>
    <cellStyle name="Followed Hyperlink" xfId="4709" builtinId="9" hidden="1"/>
    <cellStyle name="Followed Hyperlink" xfId="4711" builtinId="9" hidden="1"/>
    <cellStyle name="Followed Hyperlink" xfId="4713" builtinId="9" hidden="1"/>
    <cellStyle name="Followed Hyperlink" xfId="4715" builtinId="9" hidden="1"/>
    <cellStyle name="Followed Hyperlink" xfId="4717" builtinId="9" hidden="1"/>
    <cellStyle name="Followed Hyperlink" xfId="4719" builtinId="9" hidden="1"/>
    <cellStyle name="Followed Hyperlink" xfId="4721" builtinId="9" hidden="1"/>
    <cellStyle name="Followed Hyperlink" xfId="4723" builtinId="9" hidden="1"/>
    <cellStyle name="Followed Hyperlink" xfId="4725" builtinId="9" hidden="1"/>
    <cellStyle name="Followed Hyperlink" xfId="4727" builtinId="9" hidden="1"/>
    <cellStyle name="Followed Hyperlink" xfId="4729" builtinId="9" hidden="1"/>
    <cellStyle name="Followed Hyperlink" xfId="4731" builtinId="9" hidden="1"/>
    <cellStyle name="Followed Hyperlink" xfId="4733" builtinId="9" hidden="1"/>
    <cellStyle name="Followed Hyperlink" xfId="4735" builtinId="9" hidden="1"/>
    <cellStyle name="Followed Hyperlink" xfId="4737" builtinId="9" hidden="1"/>
    <cellStyle name="Followed Hyperlink" xfId="4739" builtinId="9" hidden="1"/>
    <cellStyle name="Followed Hyperlink" xfId="4741" builtinId="9" hidden="1"/>
    <cellStyle name="Followed Hyperlink" xfId="4743" builtinId="9" hidden="1"/>
    <cellStyle name="Followed Hyperlink" xfId="4745" builtinId="9" hidden="1"/>
    <cellStyle name="Followed Hyperlink" xfId="4747" builtinId="9" hidden="1"/>
    <cellStyle name="Followed Hyperlink" xfId="4749" builtinId="9" hidden="1"/>
    <cellStyle name="Followed Hyperlink" xfId="4751" builtinId="9" hidden="1"/>
    <cellStyle name="Followed Hyperlink" xfId="4753" builtinId="9" hidden="1"/>
    <cellStyle name="Followed Hyperlink" xfId="4755" builtinId="9" hidden="1"/>
    <cellStyle name="Followed Hyperlink" xfId="4757" builtinId="9" hidden="1"/>
    <cellStyle name="Followed Hyperlink" xfId="4759" builtinId="9" hidden="1"/>
    <cellStyle name="Followed Hyperlink" xfId="4761" builtinId="9" hidden="1"/>
    <cellStyle name="Followed Hyperlink" xfId="4763" builtinId="9" hidden="1"/>
    <cellStyle name="Followed Hyperlink" xfId="4765" builtinId="9" hidden="1"/>
    <cellStyle name="Followed Hyperlink" xfId="4767" builtinId="9" hidden="1"/>
    <cellStyle name="Followed Hyperlink" xfId="4769" builtinId="9" hidden="1"/>
    <cellStyle name="Followed Hyperlink" xfId="4771" builtinId="9" hidden="1"/>
    <cellStyle name="Followed Hyperlink" xfId="4773" builtinId="9" hidden="1"/>
    <cellStyle name="Followed Hyperlink" xfId="4775" builtinId="9" hidden="1"/>
    <cellStyle name="Followed Hyperlink" xfId="4777" builtinId="9" hidden="1"/>
    <cellStyle name="Followed Hyperlink" xfId="4779" builtinId="9" hidden="1"/>
    <cellStyle name="Followed Hyperlink" xfId="4781" builtinId="9" hidden="1"/>
    <cellStyle name="Followed Hyperlink" xfId="4783" builtinId="9" hidden="1"/>
    <cellStyle name="Followed Hyperlink" xfId="4785" builtinId="9" hidden="1"/>
    <cellStyle name="Followed Hyperlink" xfId="4787" builtinId="9" hidden="1"/>
    <cellStyle name="Followed Hyperlink" xfId="4789" builtinId="9" hidden="1"/>
    <cellStyle name="Followed Hyperlink" xfId="4791" builtinId="9" hidden="1"/>
    <cellStyle name="Followed Hyperlink" xfId="4793" builtinId="9" hidden="1"/>
    <cellStyle name="Followed Hyperlink" xfId="4795" builtinId="9" hidden="1"/>
    <cellStyle name="Followed Hyperlink" xfId="4797" builtinId="9" hidden="1"/>
    <cellStyle name="Followed Hyperlink" xfId="4799" builtinId="9" hidden="1"/>
    <cellStyle name="Followed Hyperlink" xfId="4801" builtinId="9" hidden="1"/>
    <cellStyle name="Followed Hyperlink" xfId="4803" builtinId="9" hidden="1"/>
    <cellStyle name="Followed Hyperlink" xfId="4805" builtinId="9" hidden="1"/>
    <cellStyle name="Followed Hyperlink" xfId="4807" builtinId="9" hidden="1"/>
    <cellStyle name="Followed Hyperlink" xfId="4809" builtinId="9" hidden="1"/>
    <cellStyle name="Followed Hyperlink" xfId="4811" builtinId="9" hidden="1"/>
    <cellStyle name="Followed Hyperlink" xfId="4813" builtinId="9" hidden="1"/>
    <cellStyle name="Followed Hyperlink" xfId="4815" builtinId="9" hidden="1"/>
    <cellStyle name="Followed Hyperlink" xfId="4817" builtinId="9" hidden="1"/>
    <cellStyle name="Followed Hyperlink" xfId="4819" builtinId="9" hidden="1"/>
    <cellStyle name="Followed Hyperlink" xfId="4821" builtinId="9" hidden="1"/>
    <cellStyle name="Followed Hyperlink" xfId="4823" builtinId="9" hidden="1"/>
    <cellStyle name="Followed Hyperlink" xfId="4825" builtinId="9" hidden="1"/>
    <cellStyle name="Followed Hyperlink" xfId="4827" builtinId="9" hidden="1"/>
    <cellStyle name="Followed Hyperlink" xfId="4829" builtinId="9" hidden="1"/>
    <cellStyle name="Followed Hyperlink" xfId="4831" builtinId="9" hidden="1"/>
    <cellStyle name="Followed Hyperlink" xfId="4833" builtinId="9" hidden="1"/>
    <cellStyle name="Followed Hyperlink" xfId="4835" builtinId="9" hidden="1"/>
    <cellStyle name="Followed Hyperlink" xfId="4837" builtinId="9" hidden="1"/>
    <cellStyle name="Followed Hyperlink" xfId="4839" builtinId="9" hidden="1"/>
    <cellStyle name="Followed Hyperlink" xfId="4841" builtinId="9" hidden="1"/>
    <cellStyle name="Followed Hyperlink" xfId="4843" builtinId="9" hidden="1"/>
    <cellStyle name="Followed Hyperlink" xfId="4845" builtinId="9" hidden="1"/>
    <cellStyle name="Followed Hyperlink" xfId="4847" builtinId="9" hidden="1"/>
    <cellStyle name="Followed Hyperlink" xfId="4849" builtinId="9" hidden="1"/>
    <cellStyle name="Followed Hyperlink" xfId="4851" builtinId="9" hidden="1"/>
    <cellStyle name="Followed Hyperlink" xfId="4853" builtinId="9" hidden="1"/>
    <cellStyle name="Followed Hyperlink" xfId="4855" builtinId="9" hidden="1"/>
    <cellStyle name="Followed Hyperlink" xfId="4857" builtinId="9" hidden="1"/>
    <cellStyle name="Followed Hyperlink" xfId="4859" builtinId="9" hidden="1"/>
    <cellStyle name="Followed Hyperlink" xfId="4861" builtinId="9" hidden="1"/>
    <cellStyle name="Followed Hyperlink" xfId="4863" builtinId="9" hidden="1"/>
    <cellStyle name="Followed Hyperlink" xfId="4865" builtinId="9" hidden="1"/>
    <cellStyle name="Followed Hyperlink" xfId="4867" builtinId="9" hidden="1"/>
    <cellStyle name="Followed Hyperlink" xfId="4869" builtinId="9" hidden="1"/>
    <cellStyle name="Followed Hyperlink" xfId="4871" builtinId="9" hidden="1"/>
    <cellStyle name="Followed Hyperlink" xfId="4873" builtinId="9" hidden="1"/>
    <cellStyle name="Followed Hyperlink" xfId="4875" builtinId="9" hidden="1"/>
    <cellStyle name="Followed Hyperlink" xfId="4877" builtinId="9" hidden="1"/>
    <cellStyle name="Followed Hyperlink" xfId="4879" builtinId="9" hidden="1"/>
    <cellStyle name="Followed Hyperlink" xfId="4881" builtinId="9" hidden="1"/>
    <cellStyle name="Followed Hyperlink" xfId="4883" builtinId="9" hidden="1"/>
    <cellStyle name="Followed Hyperlink" xfId="4885" builtinId="9" hidden="1"/>
    <cellStyle name="Followed Hyperlink" xfId="4887" builtinId="9" hidden="1"/>
    <cellStyle name="Followed Hyperlink" xfId="4889" builtinId="9" hidden="1"/>
    <cellStyle name="Followed Hyperlink" xfId="4891" builtinId="9" hidden="1"/>
    <cellStyle name="Followed Hyperlink" xfId="4893" builtinId="9" hidden="1"/>
    <cellStyle name="Followed Hyperlink" xfId="4895" builtinId="9" hidden="1"/>
    <cellStyle name="Followed Hyperlink" xfId="4897" builtinId="9" hidden="1"/>
    <cellStyle name="Followed Hyperlink" xfId="4899" builtinId="9" hidden="1"/>
    <cellStyle name="Followed Hyperlink" xfId="4901" builtinId="9" hidden="1"/>
    <cellStyle name="Followed Hyperlink" xfId="4903" builtinId="9" hidden="1"/>
    <cellStyle name="Followed Hyperlink" xfId="4905" builtinId="9" hidden="1"/>
    <cellStyle name="Followed Hyperlink" xfId="4907" builtinId="9" hidden="1"/>
    <cellStyle name="Followed Hyperlink" xfId="4909" builtinId="9" hidden="1"/>
    <cellStyle name="Followed Hyperlink" xfId="4911" builtinId="9" hidden="1"/>
    <cellStyle name="Followed Hyperlink" xfId="4913" builtinId="9" hidden="1"/>
    <cellStyle name="Followed Hyperlink" xfId="4915" builtinId="9" hidden="1"/>
    <cellStyle name="Followed Hyperlink" xfId="4917" builtinId="9" hidden="1"/>
    <cellStyle name="Followed Hyperlink" xfId="4919" builtinId="9" hidden="1"/>
    <cellStyle name="Followed Hyperlink" xfId="4921" builtinId="9" hidden="1"/>
    <cellStyle name="Followed Hyperlink" xfId="4923" builtinId="9" hidden="1"/>
    <cellStyle name="Followed Hyperlink" xfId="4925" builtinId="9" hidden="1"/>
    <cellStyle name="Followed Hyperlink" xfId="4927" builtinId="9" hidden="1"/>
    <cellStyle name="Followed Hyperlink" xfId="4929" builtinId="9" hidden="1"/>
    <cellStyle name="Followed Hyperlink" xfId="4931" builtinId="9" hidden="1"/>
    <cellStyle name="Followed Hyperlink" xfId="4933" builtinId="9" hidden="1"/>
    <cellStyle name="Followed Hyperlink" xfId="4935" builtinId="9" hidden="1"/>
    <cellStyle name="Followed Hyperlink" xfId="4937" builtinId="9" hidden="1"/>
    <cellStyle name="Followed Hyperlink" xfId="4939" builtinId="9" hidden="1"/>
    <cellStyle name="Followed Hyperlink" xfId="4941" builtinId="9" hidden="1"/>
    <cellStyle name="Followed Hyperlink" xfId="4943" builtinId="9" hidden="1"/>
    <cellStyle name="Followed Hyperlink" xfId="4945" builtinId="9" hidden="1"/>
    <cellStyle name="Followed Hyperlink" xfId="4947" builtinId="9" hidden="1"/>
    <cellStyle name="Followed Hyperlink" xfId="4949" builtinId="9" hidden="1"/>
    <cellStyle name="Followed Hyperlink" xfId="4951" builtinId="9" hidden="1"/>
    <cellStyle name="Followed Hyperlink" xfId="4953" builtinId="9" hidden="1"/>
    <cellStyle name="Followed Hyperlink" xfId="4955" builtinId="9" hidden="1"/>
    <cellStyle name="Followed Hyperlink" xfId="4957" builtinId="9" hidden="1"/>
    <cellStyle name="Followed Hyperlink" xfId="4959" builtinId="9" hidden="1"/>
    <cellStyle name="Followed Hyperlink" xfId="4961" builtinId="9" hidden="1"/>
    <cellStyle name="Followed Hyperlink" xfId="4963" builtinId="9" hidden="1"/>
    <cellStyle name="Followed Hyperlink" xfId="4965" builtinId="9" hidden="1"/>
    <cellStyle name="Followed Hyperlink" xfId="4967" builtinId="9" hidden="1"/>
    <cellStyle name="Followed Hyperlink" xfId="4969" builtinId="9" hidden="1"/>
    <cellStyle name="Followed Hyperlink" xfId="4971" builtinId="9" hidden="1"/>
    <cellStyle name="Followed Hyperlink" xfId="4973" builtinId="9" hidden="1"/>
    <cellStyle name="Followed Hyperlink" xfId="4975" builtinId="9" hidden="1"/>
    <cellStyle name="Followed Hyperlink" xfId="4977" builtinId="9" hidden="1"/>
    <cellStyle name="Followed Hyperlink" xfId="4979" builtinId="9" hidden="1"/>
    <cellStyle name="Followed Hyperlink" xfId="4981" builtinId="9" hidden="1"/>
    <cellStyle name="Followed Hyperlink" xfId="4983" builtinId="9" hidden="1"/>
    <cellStyle name="Followed Hyperlink" xfId="4985" builtinId="9" hidden="1"/>
    <cellStyle name="Followed Hyperlink" xfId="4987" builtinId="9" hidden="1"/>
    <cellStyle name="Followed Hyperlink" xfId="4989" builtinId="9" hidden="1"/>
    <cellStyle name="Followed Hyperlink" xfId="4991" builtinId="9" hidden="1"/>
    <cellStyle name="Followed Hyperlink" xfId="4993" builtinId="9" hidden="1"/>
    <cellStyle name="Followed Hyperlink" xfId="4995" builtinId="9" hidden="1"/>
    <cellStyle name="Followed Hyperlink" xfId="4997" builtinId="9" hidden="1"/>
    <cellStyle name="Followed Hyperlink" xfId="4999" builtinId="9" hidden="1"/>
    <cellStyle name="Followed Hyperlink" xfId="5001" builtinId="9" hidden="1"/>
    <cellStyle name="Followed Hyperlink" xfId="5003" builtinId="9" hidden="1"/>
    <cellStyle name="Followed Hyperlink" xfId="5005" builtinId="9" hidden="1"/>
    <cellStyle name="Followed Hyperlink" xfId="5007" builtinId="9" hidden="1"/>
    <cellStyle name="Followed Hyperlink" xfId="5009" builtinId="9" hidden="1"/>
    <cellStyle name="Followed Hyperlink" xfId="5011" builtinId="9" hidden="1"/>
    <cellStyle name="Followed Hyperlink" xfId="5013" builtinId="9" hidden="1"/>
    <cellStyle name="Followed Hyperlink" xfId="5015" builtinId="9" hidden="1"/>
    <cellStyle name="Followed Hyperlink" xfId="5017" builtinId="9" hidden="1"/>
    <cellStyle name="Followed Hyperlink" xfId="5019" builtinId="9" hidden="1"/>
    <cellStyle name="Followed Hyperlink" xfId="5021" builtinId="9" hidden="1"/>
    <cellStyle name="Followed Hyperlink" xfId="5023" builtinId="9" hidden="1"/>
    <cellStyle name="Followed Hyperlink" xfId="5025" builtinId="9" hidden="1"/>
    <cellStyle name="Followed Hyperlink" xfId="5027" builtinId="9" hidden="1"/>
    <cellStyle name="Followed Hyperlink" xfId="5029" builtinId="9" hidden="1"/>
    <cellStyle name="Followed Hyperlink" xfId="5031" builtinId="9" hidden="1"/>
    <cellStyle name="Followed Hyperlink" xfId="5033" builtinId="9" hidden="1"/>
    <cellStyle name="Followed Hyperlink" xfId="5035" builtinId="9" hidden="1"/>
    <cellStyle name="Followed Hyperlink" xfId="5037" builtinId="9" hidden="1"/>
    <cellStyle name="Followed Hyperlink" xfId="5039" builtinId="9" hidden="1"/>
    <cellStyle name="Followed Hyperlink" xfId="5041" builtinId="9" hidden="1"/>
    <cellStyle name="Followed Hyperlink" xfId="5043" builtinId="9" hidden="1"/>
    <cellStyle name="Followed Hyperlink" xfId="5045" builtinId="9" hidden="1"/>
    <cellStyle name="Followed Hyperlink" xfId="5047" builtinId="9" hidden="1"/>
    <cellStyle name="Followed Hyperlink" xfId="5049" builtinId="9" hidden="1"/>
    <cellStyle name="Followed Hyperlink" xfId="5051" builtinId="9" hidden="1"/>
    <cellStyle name="Followed Hyperlink" xfId="5053" builtinId="9" hidden="1"/>
    <cellStyle name="Followed Hyperlink" xfId="5055" builtinId="9" hidden="1"/>
    <cellStyle name="Followed Hyperlink" xfId="5057" builtinId="9" hidden="1"/>
    <cellStyle name="Followed Hyperlink" xfId="5059" builtinId="9" hidden="1"/>
    <cellStyle name="Followed Hyperlink" xfId="5061" builtinId="9" hidden="1"/>
    <cellStyle name="Followed Hyperlink" xfId="5063" builtinId="9" hidden="1"/>
    <cellStyle name="Followed Hyperlink" xfId="5065" builtinId="9" hidden="1"/>
    <cellStyle name="Followed Hyperlink" xfId="5067" builtinId="9" hidden="1"/>
    <cellStyle name="Followed Hyperlink" xfId="5069" builtinId="9" hidden="1"/>
    <cellStyle name="Followed Hyperlink" xfId="5071" builtinId="9" hidden="1"/>
    <cellStyle name="Followed Hyperlink" xfId="5073" builtinId="9" hidden="1"/>
    <cellStyle name="Followed Hyperlink" xfId="5075" builtinId="9" hidden="1"/>
    <cellStyle name="Followed Hyperlink" xfId="5077" builtinId="9" hidden="1"/>
    <cellStyle name="Followed Hyperlink" xfId="5079" builtinId="9" hidden="1"/>
    <cellStyle name="Followed Hyperlink" xfId="5081" builtinId="9" hidden="1"/>
    <cellStyle name="Followed Hyperlink" xfId="5083" builtinId="9" hidden="1"/>
    <cellStyle name="Followed Hyperlink" xfId="5085" builtinId="9" hidden="1"/>
    <cellStyle name="Followed Hyperlink" xfId="5087" builtinId="9" hidden="1"/>
    <cellStyle name="Followed Hyperlink" xfId="5089" builtinId="9" hidden="1"/>
    <cellStyle name="Followed Hyperlink" xfId="5091" builtinId="9" hidden="1"/>
    <cellStyle name="Followed Hyperlink" xfId="5093" builtinId="9" hidden="1"/>
    <cellStyle name="Followed Hyperlink" xfId="5095" builtinId="9" hidden="1"/>
    <cellStyle name="Followed Hyperlink" xfId="5097" builtinId="9" hidden="1"/>
    <cellStyle name="Followed Hyperlink" xfId="5099" builtinId="9" hidden="1"/>
    <cellStyle name="Followed Hyperlink" xfId="5101" builtinId="9" hidden="1"/>
    <cellStyle name="Followed Hyperlink" xfId="5103" builtinId="9" hidden="1"/>
    <cellStyle name="Followed Hyperlink" xfId="5105" builtinId="9" hidden="1"/>
    <cellStyle name="Followed Hyperlink" xfId="5107" builtinId="9" hidden="1"/>
    <cellStyle name="Followed Hyperlink" xfId="5109" builtinId="9" hidden="1"/>
    <cellStyle name="Followed Hyperlink" xfId="5111" builtinId="9" hidden="1"/>
    <cellStyle name="Followed Hyperlink" xfId="5113" builtinId="9" hidden="1"/>
    <cellStyle name="Followed Hyperlink" xfId="5115" builtinId="9" hidden="1"/>
    <cellStyle name="Followed Hyperlink" xfId="5117" builtinId="9" hidden="1"/>
    <cellStyle name="Followed Hyperlink" xfId="5119" builtinId="9" hidden="1"/>
    <cellStyle name="Followed Hyperlink" xfId="5121" builtinId="9" hidden="1"/>
    <cellStyle name="Followed Hyperlink" xfId="5123" builtinId="9" hidden="1"/>
    <cellStyle name="Followed Hyperlink" xfId="5125" builtinId="9" hidden="1"/>
    <cellStyle name="Followed Hyperlink" xfId="5127" builtinId="9" hidden="1"/>
    <cellStyle name="Followed Hyperlink" xfId="5129" builtinId="9" hidden="1"/>
    <cellStyle name="Followed Hyperlink" xfId="5131" builtinId="9" hidden="1"/>
    <cellStyle name="Followed Hyperlink" xfId="5133" builtinId="9" hidden="1"/>
    <cellStyle name="Followed Hyperlink" xfId="5135" builtinId="9" hidden="1"/>
    <cellStyle name="Followed Hyperlink" xfId="5137" builtinId="9" hidden="1"/>
    <cellStyle name="Followed Hyperlink" xfId="5139" builtinId="9" hidden="1"/>
    <cellStyle name="Followed Hyperlink" xfId="5141" builtinId="9" hidden="1"/>
    <cellStyle name="Followed Hyperlink" xfId="5143" builtinId="9" hidden="1"/>
    <cellStyle name="Followed Hyperlink" xfId="5145" builtinId="9" hidden="1"/>
    <cellStyle name="Followed Hyperlink" xfId="5147" builtinId="9" hidden="1"/>
    <cellStyle name="Followed Hyperlink" xfId="5149" builtinId="9" hidden="1"/>
    <cellStyle name="Followed Hyperlink" xfId="5151" builtinId="9" hidden="1"/>
    <cellStyle name="Followed Hyperlink" xfId="5153" builtinId="9" hidden="1"/>
    <cellStyle name="Followed Hyperlink" xfId="5155" builtinId="9" hidden="1"/>
    <cellStyle name="Followed Hyperlink" xfId="5157" builtinId="9" hidden="1"/>
    <cellStyle name="Followed Hyperlink" xfId="5159" builtinId="9" hidden="1"/>
    <cellStyle name="Followed Hyperlink" xfId="5161" builtinId="9" hidden="1"/>
    <cellStyle name="Followed Hyperlink" xfId="5163" builtinId="9" hidden="1"/>
    <cellStyle name="Followed Hyperlink" xfId="5165" builtinId="9" hidden="1"/>
    <cellStyle name="Followed Hyperlink" xfId="5167" builtinId="9" hidden="1"/>
    <cellStyle name="Followed Hyperlink" xfId="5169" builtinId="9" hidden="1"/>
    <cellStyle name="Followed Hyperlink" xfId="5171" builtinId="9" hidden="1"/>
    <cellStyle name="Followed Hyperlink" xfId="5173" builtinId="9" hidden="1"/>
    <cellStyle name="Followed Hyperlink" xfId="5175" builtinId="9" hidden="1"/>
    <cellStyle name="Followed Hyperlink" xfId="5177" builtinId="9" hidden="1"/>
    <cellStyle name="Followed Hyperlink" xfId="5179" builtinId="9" hidden="1"/>
    <cellStyle name="Followed Hyperlink" xfId="5181" builtinId="9" hidden="1"/>
    <cellStyle name="Followed Hyperlink" xfId="5183" builtinId="9" hidden="1"/>
    <cellStyle name="Followed Hyperlink" xfId="5185" builtinId="9" hidden="1"/>
    <cellStyle name="Followed Hyperlink" xfId="5187" builtinId="9" hidden="1"/>
    <cellStyle name="Followed Hyperlink" xfId="5189" builtinId="9" hidden="1"/>
    <cellStyle name="Followed Hyperlink" xfId="5191" builtinId="9" hidden="1"/>
    <cellStyle name="Followed Hyperlink" xfId="5193" builtinId="9" hidden="1"/>
    <cellStyle name="Followed Hyperlink" xfId="5195" builtinId="9" hidden="1"/>
    <cellStyle name="Followed Hyperlink" xfId="5197" builtinId="9" hidden="1"/>
    <cellStyle name="Followed Hyperlink" xfId="5199" builtinId="9" hidden="1"/>
    <cellStyle name="Followed Hyperlink" xfId="5201" builtinId="9" hidden="1"/>
    <cellStyle name="Followed Hyperlink" xfId="5203" builtinId="9" hidden="1"/>
    <cellStyle name="Followed Hyperlink" xfId="5205" builtinId="9" hidden="1"/>
    <cellStyle name="Followed Hyperlink" xfId="5207" builtinId="9" hidden="1"/>
    <cellStyle name="Followed Hyperlink" xfId="5209" builtinId="9" hidden="1"/>
    <cellStyle name="Followed Hyperlink" xfId="5211" builtinId="9" hidden="1"/>
    <cellStyle name="Followed Hyperlink" xfId="5213" builtinId="9" hidden="1"/>
    <cellStyle name="Followed Hyperlink" xfId="5215" builtinId="9" hidden="1"/>
    <cellStyle name="Followed Hyperlink" xfId="5217" builtinId="9" hidden="1"/>
    <cellStyle name="Followed Hyperlink" xfId="5219" builtinId="9" hidden="1"/>
    <cellStyle name="Followed Hyperlink" xfId="5221" builtinId="9" hidden="1"/>
    <cellStyle name="Followed Hyperlink" xfId="5223" builtinId="9" hidden="1"/>
    <cellStyle name="Followed Hyperlink" xfId="5225" builtinId="9" hidden="1"/>
    <cellStyle name="Followed Hyperlink" xfId="5227" builtinId="9" hidden="1"/>
    <cellStyle name="Followed Hyperlink" xfId="5229" builtinId="9" hidden="1"/>
    <cellStyle name="Followed Hyperlink" xfId="5231" builtinId="9" hidden="1"/>
    <cellStyle name="Followed Hyperlink" xfId="5233" builtinId="9" hidden="1"/>
    <cellStyle name="Followed Hyperlink" xfId="5235" builtinId="9" hidden="1"/>
    <cellStyle name="Followed Hyperlink" xfId="5237" builtinId="9" hidden="1"/>
    <cellStyle name="Followed Hyperlink" xfId="5239" builtinId="9" hidden="1"/>
    <cellStyle name="Followed Hyperlink" xfId="5241" builtinId="9" hidden="1"/>
    <cellStyle name="Followed Hyperlink" xfId="5243" builtinId="9" hidden="1"/>
    <cellStyle name="Followed Hyperlink" xfId="5245" builtinId="9" hidden="1"/>
    <cellStyle name="Followed Hyperlink" xfId="5247" builtinId="9" hidden="1"/>
    <cellStyle name="Followed Hyperlink" xfId="5249" builtinId="9" hidden="1"/>
    <cellStyle name="Followed Hyperlink" xfId="5251" builtinId="9" hidden="1"/>
    <cellStyle name="Followed Hyperlink" xfId="5253" builtinId="9" hidden="1"/>
    <cellStyle name="Followed Hyperlink" xfId="5255" builtinId="9" hidden="1"/>
    <cellStyle name="Followed Hyperlink" xfId="5257" builtinId="9" hidden="1"/>
    <cellStyle name="Followed Hyperlink" xfId="5259" builtinId="9" hidden="1"/>
    <cellStyle name="Followed Hyperlink" xfId="5261" builtinId="9" hidden="1"/>
    <cellStyle name="Followed Hyperlink" xfId="5263" builtinId="9" hidden="1"/>
    <cellStyle name="Followed Hyperlink" xfId="5265" builtinId="9" hidden="1"/>
    <cellStyle name="Followed Hyperlink" xfId="5267" builtinId="9" hidden="1"/>
    <cellStyle name="Followed Hyperlink" xfId="5269" builtinId="9" hidden="1"/>
    <cellStyle name="Followed Hyperlink" xfId="5271" builtinId="9" hidden="1"/>
    <cellStyle name="Followed Hyperlink" xfId="5273" builtinId="9" hidden="1"/>
    <cellStyle name="Followed Hyperlink" xfId="5275" builtinId="9" hidden="1"/>
    <cellStyle name="Followed Hyperlink" xfId="5277" builtinId="9" hidden="1"/>
    <cellStyle name="Followed Hyperlink" xfId="5279" builtinId="9" hidden="1"/>
    <cellStyle name="Followed Hyperlink" xfId="5281" builtinId="9" hidden="1"/>
    <cellStyle name="Followed Hyperlink" xfId="5283" builtinId="9" hidden="1"/>
    <cellStyle name="Followed Hyperlink" xfId="5285" builtinId="9" hidden="1"/>
    <cellStyle name="Followed Hyperlink" xfId="5287" builtinId="9" hidden="1"/>
    <cellStyle name="Followed Hyperlink" xfId="5289" builtinId="9" hidden="1"/>
    <cellStyle name="Followed Hyperlink" xfId="5291" builtinId="9" hidden="1"/>
    <cellStyle name="Followed Hyperlink" xfId="5293" builtinId="9" hidden="1"/>
    <cellStyle name="Followed Hyperlink" xfId="5295" builtinId="9" hidden="1"/>
    <cellStyle name="Followed Hyperlink" xfId="5297" builtinId="9" hidden="1"/>
    <cellStyle name="Followed Hyperlink" xfId="5299" builtinId="9" hidden="1"/>
    <cellStyle name="Followed Hyperlink" xfId="5301" builtinId="9" hidden="1"/>
    <cellStyle name="Followed Hyperlink" xfId="5303" builtinId="9" hidden="1"/>
    <cellStyle name="Followed Hyperlink" xfId="5305" builtinId="9" hidden="1"/>
    <cellStyle name="Followed Hyperlink" xfId="5307" builtinId="9" hidden="1"/>
    <cellStyle name="Followed Hyperlink" xfId="5309" builtinId="9" hidden="1"/>
    <cellStyle name="Followed Hyperlink" xfId="5311" builtinId="9" hidden="1"/>
    <cellStyle name="Followed Hyperlink" xfId="5313" builtinId="9" hidden="1"/>
    <cellStyle name="Followed Hyperlink" xfId="5315" builtinId="9" hidden="1"/>
    <cellStyle name="Followed Hyperlink" xfId="5317" builtinId="9" hidden="1"/>
    <cellStyle name="Followed Hyperlink" xfId="5319" builtinId="9" hidden="1"/>
    <cellStyle name="Followed Hyperlink" xfId="5321" builtinId="9" hidden="1"/>
    <cellStyle name="Followed Hyperlink" xfId="5323" builtinId="9" hidden="1"/>
    <cellStyle name="Followed Hyperlink" xfId="5325" builtinId="9" hidden="1"/>
    <cellStyle name="Followed Hyperlink" xfId="5327" builtinId="9" hidden="1"/>
    <cellStyle name="Followed Hyperlink" xfId="5329" builtinId="9" hidden="1"/>
    <cellStyle name="Followed Hyperlink" xfId="5331" builtinId="9" hidden="1"/>
    <cellStyle name="Followed Hyperlink" xfId="5333" builtinId="9" hidden="1"/>
    <cellStyle name="Followed Hyperlink" xfId="5335" builtinId="9" hidden="1"/>
    <cellStyle name="Followed Hyperlink" xfId="5337" builtinId="9" hidden="1"/>
    <cellStyle name="Followed Hyperlink" xfId="5339" builtinId="9" hidden="1"/>
    <cellStyle name="Followed Hyperlink" xfId="5341" builtinId="9" hidden="1"/>
    <cellStyle name="Followed Hyperlink" xfId="5343" builtinId="9" hidden="1"/>
    <cellStyle name="Followed Hyperlink" xfId="5345" builtinId="9" hidden="1"/>
    <cellStyle name="Followed Hyperlink" xfId="5347" builtinId="9" hidden="1"/>
    <cellStyle name="Followed Hyperlink" xfId="5349" builtinId="9" hidden="1"/>
    <cellStyle name="Followed Hyperlink" xfId="5351" builtinId="9" hidden="1"/>
    <cellStyle name="Followed Hyperlink" xfId="5353" builtinId="9" hidden="1"/>
    <cellStyle name="Followed Hyperlink" xfId="5355" builtinId="9" hidden="1"/>
    <cellStyle name="Followed Hyperlink" xfId="5357" builtinId="9" hidden="1"/>
    <cellStyle name="Followed Hyperlink" xfId="5359" builtinId="9" hidden="1"/>
    <cellStyle name="Followed Hyperlink" xfId="5361" builtinId="9" hidden="1"/>
    <cellStyle name="Followed Hyperlink" xfId="5363" builtinId="9" hidden="1"/>
    <cellStyle name="Followed Hyperlink" xfId="5365" builtinId="9" hidden="1"/>
    <cellStyle name="Followed Hyperlink" xfId="5367" builtinId="9" hidden="1"/>
    <cellStyle name="Followed Hyperlink" xfId="5369" builtinId="9" hidden="1"/>
    <cellStyle name="Followed Hyperlink" xfId="5371" builtinId="9" hidden="1"/>
    <cellStyle name="Followed Hyperlink" xfId="5373" builtinId="9" hidden="1"/>
    <cellStyle name="Followed Hyperlink" xfId="5375" builtinId="9" hidden="1"/>
    <cellStyle name="Followed Hyperlink" xfId="5377" builtinId="9" hidden="1"/>
    <cellStyle name="Followed Hyperlink" xfId="5379" builtinId="9" hidden="1"/>
    <cellStyle name="Followed Hyperlink" xfId="5381" builtinId="9" hidden="1"/>
    <cellStyle name="Followed Hyperlink" xfId="5383" builtinId="9" hidden="1"/>
    <cellStyle name="Followed Hyperlink" xfId="5385" builtinId="9" hidden="1"/>
    <cellStyle name="Followed Hyperlink" xfId="5387" builtinId="9" hidden="1"/>
    <cellStyle name="Followed Hyperlink" xfId="5389" builtinId="9" hidden="1"/>
    <cellStyle name="Followed Hyperlink" xfId="5391" builtinId="9" hidden="1"/>
    <cellStyle name="Followed Hyperlink" xfId="5393" builtinId="9" hidden="1"/>
    <cellStyle name="Followed Hyperlink" xfId="5395" builtinId="9" hidden="1"/>
    <cellStyle name="Followed Hyperlink" xfId="5397" builtinId="9" hidden="1"/>
    <cellStyle name="Followed Hyperlink" xfId="5399" builtinId="9" hidden="1"/>
    <cellStyle name="Followed Hyperlink" xfId="5401" builtinId="9" hidden="1"/>
    <cellStyle name="Followed Hyperlink" xfId="5403" builtinId="9" hidden="1"/>
    <cellStyle name="Followed Hyperlink" xfId="5405" builtinId="9" hidden="1"/>
    <cellStyle name="Followed Hyperlink" xfId="5407" builtinId="9" hidden="1"/>
    <cellStyle name="Followed Hyperlink" xfId="5409" builtinId="9" hidden="1"/>
    <cellStyle name="Followed Hyperlink" xfId="5411" builtinId="9" hidden="1"/>
    <cellStyle name="Followed Hyperlink" xfId="5413" builtinId="9" hidden="1"/>
    <cellStyle name="Followed Hyperlink" xfId="5415" builtinId="9" hidden="1"/>
    <cellStyle name="Followed Hyperlink" xfId="5417" builtinId="9" hidden="1"/>
    <cellStyle name="Followed Hyperlink" xfId="5419" builtinId="9" hidden="1"/>
    <cellStyle name="Followed Hyperlink" xfId="5421" builtinId="9" hidden="1"/>
    <cellStyle name="Followed Hyperlink" xfId="5423" builtinId="9" hidden="1"/>
    <cellStyle name="Followed Hyperlink" xfId="5425" builtinId="9" hidden="1"/>
    <cellStyle name="Followed Hyperlink" xfId="5427" builtinId="9" hidden="1"/>
    <cellStyle name="Followed Hyperlink" xfId="5429" builtinId="9" hidden="1"/>
    <cellStyle name="Followed Hyperlink" xfId="5431" builtinId="9" hidden="1"/>
    <cellStyle name="Followed Hyperlink" xfId="5433" builtinId="9" hidden="1"/>
    <cellStyle name="Followed Hyperlink" xfId="5435" builtinId="9" hidden="1"/>
    <cellStyle name="Followed Hyperlink" xfId="5437" builtinId="9" hidden="1"/>
    <cellStyle name="Followed Hyperlink" xfId="5439" builtinId="9" hidden="1"/>
    <cellStyle name="Followed Hyperlink" xfId="5441" builtinId="9" hidden="1"/>
    <cellStyle name="Followed Hyperlink" xfId="5443" builtinId="9" hidden="1"/>
    <cellStyle name="Followed Hyperlink" xfId="5445" builtinId="9" hidden="1"/>
    <cellStyle name="Followed Hyperlink" xfId="5447" builtinId="9" hidden="1"/>
    <cellStyle name="Followed Hyperlink" xfId="5449" builtinId="9" hidden="1"/>
    <cellStyle name="Followed Hyperlink" xfId="5451" builtinId="9" hidden="1"/>
    <cellStyle name="Followed Hyperlink" xfId="5453" builtinId="9" hidden="1"/>
    <cellStyle name="Followed Hyperlink" xfId="5455" builtinId="9" hidden="1"/>
    <cellStyle name="Followed Hyperlink" xfId="5457" builtinId="9" hidden="1"/>
    <cellStyle name="Followed Hyperlink" xfId="5459" builtinId="9" hidden="1"/>
    <cellStyle name="Followed Hyperlink" xfId="5461" builtinId="9" hidden="1"/>
    <cellStyle name="Followed Hyperlink" xfId="5463" builtinId="9" hidden="1"/>
    <cellStyle name="Followed Hyperlink" xfId="5465" builtinId="9" hidden="1"/>
    <cellStyle name="Followed Hyperlink" xfId="5467" builtinId="9" hidden="1"/>
    <cellStyle name="Followed Hyperlink" xfId="5469" builtinId="9" hidden="1"/>
    <cellStyle name="Followed Hyperlink" xfId="5471" builtinId="9" hidden="1"/>
    <cellStyle name="Followed Hyperlink" xfId="5473" builtinId="9" hidden="1"/>
    <cellStyle name="Followed Hyperlink" xfId="5475" builtinId="9" hidden="1"/>
    <cellStyle name="Followed Hyperlink" xfId="5477" builtinId="9" hidden="1"/>
    <cellStyle name="Followed Hyperlink" xfId="5479" builtinId="9" hidden="1"/>
    <cellStyle name="Followed Hyperlink" xfId="5481" builtinId="9" hidden="1"/>
    <cellStyle name="Followed Hyperlink" xfId="5483" builtinId="9" hidden="1"/>
    <cellStyle name="Followed Hyperlink" xfId="5485" builtinId="9" hidden="1"/>
    <cellStyle name="Followed Hyperlink" xfId="5487" builtinId="9" hidden="1"/>
    <cellStyle name="Followed Hyperlink" xfId="5489" builtinId="9" hidden="1"/>
    <cellStyle name="Followed Hyperlink" xfId="5491" builtinId="9" hidden="1"/>
    <cellStyle name="Followed Hyperlink" xfId="5493" builtinId="9" hidden="1"/>
    <cellStyle name="Followed Hyperlink" xfId="5495" builtinId="9" hidden="1"/>
    <cellStyle name="Followed Hyperlink" xfId="5497" builtinId="9" hidden="1"/>
    <cellStyle name="Followed Hyperlink" xfId="5499" builtinId="9" hidden="1"/>
    <cellStyle name="Followed Hyperlink" xfId="5501" builtinId="9" hidden="1"/>
    <cellStyle name="Followed Hyperlink" xfId="5503" builtinId="9" hidden="1"/>
    <cellStyle name="Followed Hyperlink" xfId="5505" builtinId="9" hidden="1"/>
    <cellStyle name="Followed Hyperlink" xfId="5507" builtinId="9" hidden="1"/>
    <cellStyle name="Followed Hyperlink" xfId="5509" builtinId="9" hidden="1"/>
    <cellStyle name="Followed Hyperlink" xfId="5511" builtinId="9" hidden="1"/>
    <cellStyle name="Followed Hyperlink" xfId="5513" builtinId="9" hidden="1"/>
    <cellStyle name="Followed Hyperlink" xfId="5515" builtinId="9" hidden="1"/>
    <cellStyle name="Followed Hyperlink" xfId="5517" builtinId="9" hidden="1"/>
    <cellStyle name="Followed Hyperlink" xfId="5519" builtinId="9" hidden="1"/>
    <cellStyle name="Followed Hyperlink" xfId="5521" builtinId="9" hidden="1"/>
    <cellStyle name="Followed Hyperlink" xfId="5523" builtinId="9" hidden="1"/>
    <cellStyle name="Followed Hyperlink" xfId="5525" builtinId="9" hidden="1"/>
    <cellStyle name="Followed Hyperlink" xfId="5527" builtinId="9" hidden="1"/>
    <cellStyle name="Followed Hyperlink" xfId="5529" builtinId="9" hidden="1"/>
    <cellStyle name="Followed Hyperlink" xfId="5531" builtinId="9" hidden="1"/>
    <cellStyle name="Followed Hyperlink" xfId="5533" builtinId="9" hidden="1"/>
    <cellStyle name="Followed Hyperlink" xfId="5535" builtinId="9" hidden="1"/>
    <cellStyle name="Followed Hyperlink" xfId="5537" builtinId="9" hidden="1"/>
    <cellStyle name="Followed Hyperlink" xfId="5539" builtinId="9" hidden="1"/>
    <cellStyle name="Followed Hyperlink" xfId="5541" builtinId="9" hidden="1"/>
    <cellStyle name="Followed Hyperlink" xfId="5543" builtinId="9" hidden="1"/>
    <cellStyle name="Followed Hyperlink" xfId="5545" builtinId="9" hidden="1"/>
    <cellStyle name="Followed Hyperlink" xfId="5547" builtinId="9" hidden="1"/>
    <cellStyle name="Followed Hyperlink" xfId="5549" builtinId="9" hidden="1"/>
    <cellStyle name="Followed Hyperlink" xfId="5551" builtinId="9" hidden="1"/>
    <cellStyle name="Followed Hyperlink" xfId="5553" builtinId="9" hidden="1"/>
    <cellStyle name="Followed Hyperlink" xfId="5555" builtinId="9" hidden="1"/>
    <cellStyle name="Followed Hyperlink" xfId="5557" builtinId="9" hidden="1"/>
    <cellStyle name="Followed Hyperlink" xfId="5559" builtinId="9" hidden="1"/>
    <cellStyle name="Followed Hyperlink" xfId="5561" builtinId="9" hidden="1"/>
    <cellStyle name="Followed Hyperlink" xfId="5563" builtinId="9" hidden="1"/>
    <cellStyle name="Followed Hyperlink" xfId="5565" builtinId="9" hidden="1"/>
    <cellStyle name="Followed Hyperlink" xfId="5567" builtinId="9" hidden="1"/>
    <cellStyle name="Followed Hyperlink" xfId="5569" builtinId="9" hidden="1"/>
    <cellStyle name="Followed Hyperlink" xfId="5571" builtinId="9" hidden="1"/>
    <cellStyle name="Followed Hyperlink" xfId="5573" builtinId="9" hidden="1"/>
    <cellStyle name="Followed Hyperlink" xfId="5575" builtinId="9" hidden="1"/>
    <cellStyle name="Followed Hyperlink" xfId="5577" builtinId="9" hidden="1"/>
    <cellStyle name="Followed Hyperlink" xfId="5579" builtinId="9" hidden="1"/>
    <cellStyle name="Followed Hyperlink" xfId="5581" builtinId="9" hidden="1"/>
    <cellStyle name="Followed Hyperlink" xfId="5583" builtinId="9" hidden="1"/>
    <cellStyle name="Followed Hyperlink" xfId="5585" builtinId="9" hidden="1"/>
    <cellStyle name="Followed Hyperlink" xfId="5587" builtinId="9" hidden="1"/>
    <cellStyle name="Followed Hyperlink" xfId="5589" builtinId="9" hidden="1"/>
    <cellStyle name="Followed Hyperlink" xfId="5591" builtinId="9" hidden="1"/>
    <cellStyle name="Followed Hyperlink" xfId="5593" builtinId="9" hidden="1"/>
    <cellStyle name="Followed Hyperlink" xfId="5595" builtinId="9" hidden="1"/>
    <cellStyle name="Followed Hyperlink" xfId="5597" builtinId="9" hidden="1"/>
    <cellStyle name="Followed Hyperlink" xfId="5599" builtinId="9" hidden="1"/>
    <cellStyle name="Followed Hyperlink" xfId="5601" builtinId="9" hidden="1"/>
    <cellStyle name="Followed Hyperlink" xfId="5606" builtinId="9" hidden="1"/>
    <cellStyle name="Followed Hyperlink" xfId="5608" builtinId="9" hidden="1"/>
    <cellStyle name="Followed Hyperlink" xfId="5610" builtinId="9" hidden="1"/>
    <cellStyle name="Followed Hyperlink" xfId="5612" builtinId="9" hidden="1"/>
    <cellStyle name="Followed Hyperlink" xfId="5614" builtinId="9" hidden="1"/>
    <cellStyle name="Followed Hyperlink" xfId="5616" builtinId="9" hidden="1"/>
    <cellStyle name="Followed Hyperlink" xfId="5618" builtinId="9" hidden="1"/>
    <cellStyle name="Followed Hyperlink" xfId="5620" builtinId="9" hidden="1"/>
    <cellStyle name="Followed Hyperlink" xfId="5622" builtinId="9" hidden="1"/>
    <cellStyle name="Followed Hyperlink" xfId="5624" builtinId="9" hidden="1"/>
    <cellStyle name="Followed Hyperlink" xfId="5626" builtinId="9" hidden="1"/>
    <cellStyle name="Followed Hyperlink" xfId="5628" builtinId="9" hidden="1"/>
    <cellStyle name="Followed Hyperlink" xfId="5630" builtinId="9" hidden="1"/>
    <cellStyle name="Followed Hyperlink" xfId="5632" builtinId="9" hidden="1"/>
    <cellStyle name="Followed Hyperlink" xfId="5634" builtinId="9" hidden="1"/>
    <cellStyle name="Followed Hyperlink" xfId="5636" builtinId="9" hidden="1"/>
    <cellStyle name="Followed Hyperlink" xfId="5638" builtinId="9" hidden="1"/>
    <cellStyle name="Followed Hyperlink" xfId="5640" builtinId="9" hidden="1"/>
    <cellStyle name="Followed Hyperlink" xfId="5642" builtinId="9" hidden="1"/>
    <cellStyle name="Followed Hyperlink" xfId="5644" builtinId="9" hidden="1"/>
    <cellStyle name="Followed Hyperlink" xfId="5646" builtinId="9" hidden="1"/>
    <cellStyle name="Followed Hyperlink" xfId="5648" builtinId="9" hidden="1"/>
    <cellStyle name="Followed Hyperlink" xfId="5650" builtinId="9" hidden="1"/>
    <cellStyle name="Followed Hyperlink" xfId="5652" builtinId="9" hidden="1"/>
    <cellStyle name="Followed Hyperlink" xfId="5654" builtinId="9" hidden="1"/>
    <cellStyle name="Followed Hyperlink" xfId="5656" builtinId="9" hidden="1"/>
    <cellStyle name="Followed Hyperlink" xfId="5658" builtinId="9" hidden="1"/>
    <cellStyle name="Followed Hyperlink" xfId="5660" builtinId="9" hidden="1"/>
    <cellStyle name="Followed Hyperlink" xfId="5662" builtinId="9" hidden="1"/>
    <cellStyle name="Followed Hyperlink" xfId="5664" builtinId="9" hidden="1"/>
    <cellStyle name="Followed Hyperlink" xfId="5666" builtinId="9" hidden="1"/>
    <cellStyle name="Followed Hyperlink" xfId="5668" builtinId="9" hidden="1"/>
    <cellStyle name="Followed Hyperlink" xfId="5670" builtinId="9" hidden="1"/>
    <cellStyle name="Followed Hyperlink" xfId="5672" builtinId="9" hidden="1"/>
    <cellStyle name="Followed Hyperlink" xfId="5674" builtinId="9" hidden="1"/>
    <cellStyle name="Followed Hyperlink" xfId="5676" builtinId="9" hidden="1"/>
    <cellStyle name="Followed Hyperlink" xfId="5678" builtinId="9" hidden="1"/>
    <cellStyle name="Followed Hyperlink" xfId="5680" builtinId="9" hidden="1"/>
    <cellStyle name="Followed Hyperlink" xfId="5682" builtinId="9" hidden="1"/>
    <cellStyle name="Followed Hyperlink" xfId="5684" builtinId="9" hidden="1"/>
    <cellStyle name="Followed Hyperlink" xfId="5686" builtinId="9" hidden="1"/>
    <cellStyle name="Followed Hyperlink" xfId="5688" builtinId="9" hidden="1"/>
    <cellStyle name="Followed Hyperlink" xfId="5690" builtinId="9" hidden="1"/>
    <cellStyle name="Followed Hyperlink" xfId="5692" builtinId="9" hidden="1"/>
    <cellStyle name="Followed Hyperlink" xfId="5694" builtinId="9" hidden="1"/>
    <cellStyle name="Followed Hyperlink" xfId="5696" builtinId="9" hidden="1"/>
    <cellStyle name="Followed Hyperlink" xfId="5698" builtinId="9" hidden="1"/>
    <cellStyle name="Followed Hyperlink" xfId="5700" builtinId="9" hidden="1"/>
    <cellStyle name="Followed Hyperlink" xfId="5702" builtinId="9" hidden="1"/>
    <cellStyle name="Followed Hyperlink" xfId="5704" builtinId="9" hidden="1"/>
    <cellStyle name="Followed Hyperlink" xfId="5706" builtinId="9" hidden="1"/>
    <cellStyle name="Followed Hyperlink" xfId="5708" builtinId="9" hidden="1"/>
    <cellStyle name="Followed Hyperlink" xfId="5710" builtinId="9" hidden="1"/>
    <cellStyle name="Followed Hyperlink" xfId="5712" builtinId="9" hidden="1"/>
    <cellStyle name="Followed Hyperlink" xfId="5714" builtinId="9" hidden="1"/>
    <cellStyle name="Followed Hyperlink" xfId="5716" builtinId="9" hidden="1"/>
    <cellStyle name="Followed Hyperlink" xfId="5718" builtinId="9" hidden="1"/>
    <cellStyle name="Followed Hyperlink" xfId="5720" builtinId="9" hidden="1"/>
    <cellStyle name="Followed Hyperlink" xfId="5722" builtinId="9" hidden="1"/>
    <cellStyle name="Followed Hyperlink" xfId="5724" builtinId="9" hidden="1"/>
    <cellStyle name="Followed Hyperlink" xfId="5726" builtinId="9" hidden="1"/>
    <cellStyle name="Followed Hyperlink" xfId="5728" builtinId="9" hidden="1"/>
    <cellStyle name="Followed Hyperlink" xfId="5730" builtinId="9" hidden="1"/>
    <cellStyle name="Followed Hyperlink" xfId="5732" builtinId="9" hidden="1"/>
    <cellStyle name="Followed Hyperlink" xfId="5734" builtinId="9" hidden="1"/>
    <cellStyle name="Followed Hyperlink" xfId="5736" builtinId="9" hidden="1"/>
    <cellStyle name="Followed Hyperlink" xfId="5738" builtinId="9" hidden="1"/>
    <cellStyle name="Followed Hyperlink" xfId="5740" builtinId="9" hidden="1"/>
    <cellStyle name="Followed Hyperlink" xfId="5742" builtinId="9" hidden="1"/>
    <cellStyle name="Followed Hyperlink" xfId="5744" builtinId="9" hidden="1"/>
    <cellStyle name="Followed Hyperlink" xfId="5746" builtinId="9" hidden="1"/>
    <cellStyle name="Followed Hyperlink" xfId="5748" builtinId="9" hidden="1"/>
    <cellStyle name="Followed Hyperlink" xfId="5750" builtinId="9" hidden="1"/>
    <cellStyle name="Followed Hyperlink" xfId="5752" builtinId="9" hidden="1"/>
    <cellStyle name="Followed Hyperlink" xfId="5754" builtinId="9" hidden="1"/>
    <cellStyle name="Followed Hyperlink" xfId="5756" builtinId="9" hidden="1"/>
    <cellStyle name="Followed Hyperlink" xfId="5758" builtinId="9" hidden="1"/>
    <cellStyle name="Followed Hyperlink" xfId="5760" builtinId="9" hidden="1"/>
    <cellStyle name="Followed Hyperlink" xfId="5762" builtinId="9" hidden="1"/>
    <cellStyle name="Followed Hyperlink" xfId="5764" builtinId="9" hidden="1"/>
    <cellStyle name="Followed Hyperlink" xfId="5766" builtinId="9" hidden="1"/>
    <cellStyle name="Followed Hyperlink" xfId="5768" builtinId="9" hidden="1"/>
    <cellStyle name="Followed Hyperlink" xfId="5770" builtinId="9" hidden="1"/>
    <cellStyle name="Followed Hyperlink" xfId="5772" builtinId="9" hidden="1"/>
    <cellStyle name="Followed Hyperlink" xfId="5774" builtinId="9" hidden="1"/>
    <cellStyle name="Followed Hyperlink" xfId="5776" builtinId="9" hidden="1"/>
    <cellStyle name="Followed Hyperlink" xfId="5778" builtinId="9" hidden="1"/>
    <cellStyle name="Followed Hyperlink" xfId="5780" builtinId="9" hidden="1"/>
    <cellStyle name="Followed Hyperlink" xfId="5782" builtinId="9" hidden="1"/>
    <cellStyle name="Followed Hyperlink" xfId="5784" builtinId="9" hidden="1"/>
    <cellStyle name="Followed Hyperlink" xfId="5786" builtinId="9" hidden="1"/>
    <cellStyle name="Followed Hyperlink" xfId="5788" builtinId="9" hidden="1"/>
    <cellStyle name="Followed Hyperlink" xfId="5790" builtinId="9" hidden="1"/>
    <cellStyle name="Followed Hyperlink" xfId="5792" builtinId="9" hidden="1"/>
    <cellStyle name="Followed Hyperlink" xfId="5794" builtinId="9" hidden="1"/>
    <cellStyle name="Followed Hyperlink" xfId="5796" builtinId="9" hidden="1"/>
    <cellStyle name="Followed Hyperlink" xfId="5798" builtinId="9" hidden="1"/>
    <cellStyle name="Followed Hyperlink" xfId="5800" builtinId="9" hidden="1"/>
    <cellStyle name="Followed Hyperlink" xfId="5802" builtinId="9" hidden="1"/>
    <cellStyle name="Followed Hyperlink" xfId="5804" builtinId="9" hidden="1"/>
    <cellStyle name="Followed Hyperlink" xfId="5806" builtinId="9" hidden="1"/>
    <cellStyle name="Followed Hyperlink" xfId="5808" builtinId="9" hidden="1"/>
    <cellStyle name="Followed Hyperlink" xfId="5810" builtinId="9" hidden="1"/>
    <cellStyle name="Followed Hyperlink" xfId="5812" builtinId="9" hidden="1"/>
    <cellStyle name="Followed Hyperlink" xfId="5814" builtinId="9" hidden="1"/>
    <cellStyle name="Followed Hyperlink" xfId="5816" builtinId="9" hidden="1"/>
    <cellStyle name="Followed Hyperlink" xfId="5818" builtinId="9" hidden="1"/>
    <cellStyle name="Followed Hyperlink" xfId="5820" builtinId="9" hidden="1"/>
    <cellStyle name="Followed Hyperlink" xfId="5822" builtinId="9" hidden="1"/>
    <cellStyle name="Followed Hyperlink" xfId="5824" builtinId="9" hidden="1"/>
    <cellStyle name="Followed Hyperlink" xfId="5826" builtinId="9" hidden="1"/>
    <cellStyle name="Followed Hyperlink" xfId="5828" builtinId="9" hidden="1"/>
    <cellStyle name="Followed Hyperlink" xfId="5830" builtinId="9" hidden="1"/>
    <cellStyle name="Followed Hyperlink" xfId="5832" builtinId="9" hidden="1"/>
    <cellStyle name="Followed Hyperlink" xfId="5834" builtinId="9" hidden="1"/>
    <cellStyle name="Followed Hyperlink" xfId="5836" builtinId="9" hidden="1"/>
    <cellStyle name="Followed Hyperlink" xfId="5838" builtinId="9" hidden="1"/>
    <cellStyle name="Followed Hyperlink" xfId="5840" builtinId="9" hidden="1"/>
    <cellStyle name="Followed Hyperlink" xfId="5842" builtinId="9" hidden="1"/>
    <cellStyle name="Followed Hyperlink" xfId="5844" builtinId="9" hidden="1"/>
    <cellStyle name="Followed Hyperlink" xfId="5846" builtinId="9" hidden="1"/>
    <cellStyle name="Followed Hyperlink" xfId="5848" builtinId="9" hidden="1"/>
    <cellStyle name="Followed Hyperlink" xfId="5850" builtinId="9" hidden="1"/>
    <cellStyle name="Followed Hyperlink" xfId="5852" builtinId="9" hidden="1"/>
    <cellStyle name="Followed Hyperlink" xfId="5854" builtinId="9" hidden="1"/>
    <cellStyle name="Followed Hyperlink" xfId="5856" builtinId="9" hidden="1"/>
    <cellStyle name="Followed Hyperlink" xfId="5858" builtinId="9" hidden="1"/>
    <cellStyle name="Followed Hyperlink" xfId="5860" builtinId="9" hidden="1"/>
    <cellStyle name="Followed Hyperlink" xfId="5862" builtinId="9" hidden="1"/>
    <cellStyle name="Followed Hyperlink" xfId="5864" builtinId="9" hidden="1"/>
    <cellStyle name="Followed Hyperlink" xfId="5866" builtinId="9" hidden="1"/>
    <cellStyle name="Followed Hyperlink" xfId="5868" builtinId="9" hidden="1"/>
    <cellStyle name="Followed Hyperlink" xfId="5870" builtinId="9" hidden="1"/>
    <cellStyle name="Followed Hyperlink" xfId="5872" builtinId="9" hidden="1"/>
    <cellStyle name="Followed Hyperlink" xfId="5874" builtinId="9" hidden="1"/>
    <cellStyle name="Followed Hyperlink" xfId="5876" builtinId="9" hidden="1"/>
    <cellStyle name="Followed Hyperlink" xfId="5878" builtinId="9" hidden="1"/>
    <cellStyle name="Followed Hyperlink" xfId="5880" builtinId="9" hidden="1"/>
    <cellStyle name="Followed Hyperlink" xfId="5882" builtinId="9" hidden="1"/>
    <cellStyle name="Followed Hyperlink" xfId="5884" builtinId="9" hidden="1"/>
    <cellStyle name="Followed Hyperlink" xfId="5886" builtinId="9" hidden="1"/>
    <cellStyle name="Followed Hyperlink" xfId="5888" builtinId="9" hidden="1"/>
    <cellStyle name="Followed Hyperlink" xfId="5890" builtinId="9" hidden="1"/>
    <cellStyle name="Followed Hyperlink" xfId="5892" builtinId="9" hidden="1"/>
    <cellStyle name="Followed Hyperlink" xfId="5894" builtinId="9" hidden="1"/>
    <cellStyle name="Followed Hyperlink" xfId="5896" builtinId="9" hidden="1"/>
    <cellStyle name="Followed Hyperlink" xfId="5898" builtinId="9" hidden="1"/>
    <cellStyle name="Followed Hyperlink" xfId="5900" builtinId="9" hidden="1"/>
    <cellStyle name="Followed Hyperlink" xfId="5902" builtinId="9" hidden="1"/>
    <cellStyle name="Followed Hyperlink" xfId="5904" builtinId="9" hidden="1"/>
    <cellStyle name="Followed Hyperlink" xfId="5906" builtinId="9" hidden="1"/>
    <cellStyle name="Followed Hyperlink" xfId="5908" builtinId="9" hidden="1"/>
    <cellStyle name="Followed Hyperlink" xfId="5910" builtinId="9" hidden="1"/>
    <cellStyle name="Followed Hyperlink" xfId="5912" builtinId="9" hidden="1"/>
    <cellStyle name="Followed Hyperlink" xfId="5914" builtinId="9" hidden="1"/>
    <cellStyle name="Followed Hyperlink" xfId="5916" builtinId="9" hidden="1"/>
    <cellStyle name="Followed Hyperlink" xfId="5918" builtinId="9" hidden="1"/>
    <cellStyle name="Followed Hyperlink" xfId="5920" builtinId="9" hidden="1"/>
    <cellStyle name="Followed Hyperlink" xfId="5922" builtinId="9" hidden="1"/>
    <cellStyle name="Followed Hyperlink" xfId="5924" builtinId="9" hidden="1"/>
    <cellStyle name="Followed Hyperlink" xfId="5926" builtinId="9" hidden="1"/>
    <cellStyle name="Followed Hyperlink" xfId="5928" builtinId="9" hidden="1"/>
    <cellStyle name="Followed Hyperlink" xfId="5930" builtinId="9" hidden="1"/>
    <cellStyle name="Followed Hyperlink" xfId="5932" builtinId="9" hidden="1"/>
    <cellStyle name="Followed Hyperlink" xfId="5934" builtinId="9" hidden="1"/>
    <cellStyle name="Followed Hyperlink" xfId="5936" builtinId="9" hidden="1"/>
    <cellStyle name="Followed Hyperlink" xfId="5938" builtinId="9" hidden="1"/>
    <cellStyle name="Followed Hyperlink" xfId="5940" builtinId="9" hidden="1"/>
    <cellStyle name="Followed Hyperlink" xfId="5942" builtinId="9" hidden="1"/>
    <cellStyle name="Followed Hyperlink" xfId="5944" builtinId="9" hidden="1"/>
    <cellStyle name="Followed Hyperlink" xfId="5946" builtinId="9" hidden="1"/>
    <cellStyle name="Followed Hyperlink" xfId="5948" builtinId="9" hidden="1"/>
    <cellStyle name="Followed Hyperlink" xfId="5950" builtinId="9" hidden="1"/>
    <cellStyle name="Followed Hyperlink" xfId="5952" builtinId="9" hidden="1"/>
    <cellStyle name="Followed Hyperlink" xfId="5954" builtinId="9" hidden="1"/>
    <cellStyle name="Followed Hyperlink" xfId="5956" builtinId="9" hidden="1"/>
    <cellStyle name="Followed Hyperlink" xfId="5958" builtinId="9" hidden="1"/>
    <cellStyle name="Followed Hyperlink" xfId="5960" builtinId="9" hidden="1"/>
    <cellStyle name="Followed Hyperlink" xfId="5962" builtinId="9" hidden="1"/>
    <cellStyle name="Followed Hyperlink" xfId="5964" builtinId="9" hidden="1"/>
    <cellStyle name="Followed Hyperlink" xfId="5966" builtinId="9" hidden="1"/>
    <cellStyle name="Followed Hyperlink" xfId="5968" builtinId="9" hidden="1"/>
    <cellStyle name="Followed Hyperlink" xfId="5970" builtinId="9" hidden="1"/>
    <cellStyle name="Followed Hyperlink" xfId="5972" builtinId="9" hidden="1"/>
    <cellStyle name="Followed Hyperlink" xfId="5974" builtinId="9" hidden="1"/>
    <cellStyle name="Followed Hyperlink" xfId="5976" builtinId="9" hidden="1"/>
    <cellStyle name="Followed Hyperlink" xfId="5978" builtinId="9" hidden="1"/>
    <cellStyle name="Followed Hyperlink" xfId="5980" builtinId="9" hidden="1"/>
    <cellStyle name="Followed Hyperlink" xfId="5982" builtinId="9" hidden="1"/>
    <cellStyle name="Followed Hyperlink" xfId="5984" builtinId="9" hidden="1"/>
    <cellStyle name="Followed Hyperlink" xfId="5986" builtinId="9" hidden="1"/>
    <cellStyle name="Followed Hyperlink" xfId="5988" builtinId="9" hidden="1"/>
    <cellStyle name="Followed Hyperlink" xfId="5990" builtinId="9" hidden="1"/>
    <cellStyle name="Followed Hyperlink" xfId="5992" builtinId="9" hidden="1"/>
    <cellStyle name="Followed Hyperlink" xfId="5994" builtinId="9" hidden="1"/>
    <cellStyle name="Followed Hyperlink" xfId="5996" builtinId="9" hidden="1"/>
    <cellStyle name="Followed Hyperlink" xfId="5998" builtinId="9" hidden="1"/>
    <cellStyle name="Followed Hyperlink" xfId="6000" builtinId="9" hidden="1"/>
    <cellStyle name="Followed Hyperlink" xfId="6002" builtinId="9" hidden="1"/>
    <cellStyle name="Followed Hyperlink" xfId="6004" builtinId="9" hidden="1"/>
    <cellStyle name="Followed Hyperlink" xfId="6006" builtinId="9" hidden="1"/>
    <cellStyle name="Followed Hyperlink" xfId="6008" builtinId="9" hidden="1"/>
    <cellStyle name="Followed Hyperlink" xfId="6010" builtinId="9" hidden="1"/>
    <cellStyle name="Followed Hyperlink" xfId="6012" builtinId="9" hidden="1"/>
    <cellStyle name="Followed Hyperlink" xfId="6014" builtinId="9" hidden="1"/>
    <cellStyle name="Followed Hyperlink" xfId="6016" builtinId="9" hidden="1"/>
    <cellStyle name="Followed Hyperlink" xfId="6018" builtinId="9" hidden="1"/>
    <cellStyle name="Followed Hyperlink" xfId="6020" builtinId="9" hidden="1"/>
    <cellStyle name="Followed Hyperlink" xfId="6022" builtinId="9" hidden="1"/>
    <cellStyle name="Followed Hyperlink" xfId="6024" builtinId="9" hidden="1"/>
    <cellStyle name="Followed Hyperlink" xfId="6026" builtinId="9" hidden="1"/>
    <cellStyle name="Followed Hyperlink" xfId="6028" builtinId="9" hidden="1"/>
    <cellStyle name="Followed Hyperlink" xfId="6030" builtinId="9" hidden="1"/>
    <cellStyle name="Followed Hyperlink" xfId="6032" builtinId="9" hidden="1"/>
    <cellStyle name="Followed Hyperlink" xfId="6034" builtinId="9" hidden="1"/>
    <cellStyle name="Followed Hyperlink" xfId="6036" builtinId="9" hidden="1"/>
    <cellStyle name="Followed Hyperlink" xfId="6038" builtinId="9" hidden="1"/>
    <cellStyle name="Followed Hyperlink" xfId="6040" builtinId="9" hidden="1"/>
    <cellStyle name="Followed Hyperlink" xfId="6042" builtinId="9" hidden="1"/>
    <cellStyle name="Followed Hyperlink" xfId="6044" builtinId="9" hidden="1"/>
    <cellStyle name="Followed Hyperlink" xfId="6046" builtinId="9" hidden="1"/>
    <cellStyle name="Followed Hyperlink" xfId="6048" builtinId="9" hidden="1"/>
    <cellStyle name="Followed Hyperlink" xfId="6050" builtinId="9" hidden="1"/>
    <cellStyle name="Followed Hyperlink" xfId="6052" builtinId="9" hidden="1"/>
    <cellStyle name="Followed Hyperlink" xfId="6054" builtinId="9" hidden="1"/>
    <cellStyle name="Followed Hyperlink" xfId="6056" builtinId="9" hidden="1"/>
    <cellStyle name="Followed Hyperlink" xfId="6058" builtinId="9" hidden="1"/>
    <cellStyle name="Followed Hyperlink" xfId="6060" builtinId="9" hidden="1"/>
    <cellStyle name="Followed Hyperlink" xfId="6062" builtinId="9" hidden="1"/>
    <cellStyle name="Followed Hyperlink" xfId="6064" builtinId="9" hidden="1"/>
    <cellStyle name="Followed Hyperlink" xfId="6066" builtinId="9" hidden="1"/>
    <cellStyle name="Followed Hyperlink" xfId="6068" builtinId="9" hidden="1"/>
    <cellStyle name="Followed Hyperlink" xfId="6070" builtinId="9" hidden="1"/>
    <cellStyle name="Followed Hyperlink" xfId="6072" builtinId="9" hidden="1"/>
    <cellStyle name="Followed Hyperlink" xfId="6074" builtinId="9" hidden="1"/>
    <cellStyle name="Followed Hyperlink" xfId="6076" builtinId="9" hidden="1"/>
    <cellStyle name="Followed Hyperlink" xfId="6078" builtinId="9" hidden="1"/>
    <cellStyle name="Followed Hyperlink" xfId="6080" builtinId="9" hidden="1"/>
    <cellStyle name="Followed Hyperlink" xfId="6082" builtinId="9" hidden="1"/>
    <cellStyle name="Followed Hyperlink" xfId="6084" builtinId="9" hidden="1"/>
    <cellStyle name="Followed Hyperlink" xfId="6086" builtinId="9" hidden="1"/>
    <cellStyle name="Followed Hyperlink" xfId="6088" builtinId="9" hidden="1"/>
    <cellStyle name="Followed Hyperlink" xfId="6090" builtinId="9" hidden="1"/>
    <cellStyle name="Followed Hyperlink" xfId="6092" builtinId="9" hidden="1"/>
    <cellStyle name="Followed Hyperlink" xfId="6094" builtinId="9" hidden="1"/>
    <cellStyle name="Followed Hyperlink" xfId="6096" builtinId="9" hidden="1"/>
    <cellStyle name="Followed Hyperlink" xfId="6098" builtinId="9" hidden="1"/>
    <cellStyle name="Followed Hyperlink" xfId="6100" builtinId="9" hidden="1"/>
    <cellStyle name="Followed Hyperlink" xfId="6102" builtinId="9" hidden="1"/>
    <cellStyle name="Followed Hyperlink" xfId="6104" builtinId="9" hidden="1"/>
    <cellStyle name="Followed Hyperlink" xfId="6106" builtinId="9" hidden="1"/>
    <cellStyle name="Followed Hyperlink" xfId="6108" builtinId="9" hidden="1"/>
    <cellStyle name="Followed Hyperlink" xfId="6110" builtinId="9" hidden="1"/>
    <cellStyle name="Followed Hyperlink" xfId="6112" builtinId="9" hidden="1"/>
    <cellStyle name="Followed Hyperlink" xfId="6114" builtinId="9" hidden="1"/>
    <cellStyle name="Followed Hyperlink" xfId="6116" builtinId="9" hidden="1"/>
    <cellStyle name="Followed Hyperlink" xfId="6118" builtinId="9" hidden="1"/>
    <cellStyle name="Followed Hyperlink" xfId="6120" builtinId="9" hidden="1"/>
    <cellStyle name="Followed Hyperlink" xfId="6122" builtinId="9" hidden="1"/>
    <cellStyle name="Followed Hyperlink" xfId="6124" builtinId="9" hidden="1"/>
    <cellStyle name="Followed Hyperlink" xfId="6126" builtinId="9" hidden="1"/>
    <cellStyle name="Followed Hyperlink" xfId="6128" builtinId="9" hidden="1"/>
    <cellStyle name="Followed Hyperlink" xfId="6130" builtinId="9" hidden="1"/>
    <cellStyle name="Followed Hyperlink" xfId="6132" builtinId="9" hidden="1"/>
    <cellStyle name="Followed Hyperlink" xfId="6134" builtinId="9" hidden="1"/>
    <cellStyle name="Followed Hyperlink" xfId="6136" builtinId="9" hidden="1"/>
    <cellStyle name="Followed Hyperlink" xfId="6138" builtinId="9" hidden="1"/>
    <cellStyle name="Followed Hyperlink" xfId="6140" builtinId="9" hidden="1"/>
    <cellStyle name="Followed Hyperlink" xfId="6142" builtinId="9" hidden="1"/>
    <cellStyle name="Followed Hyperlink" xfId="6144" builtinId="9" hidden="1"/>
    <cellStyle name="Followed Hyperlink" xfId="6146" builtinId="9" hidden="1"/>
    <cellStyle name="Followed Hyperlink" xfId="6148" builtinId="9" hidden="1"/>
    <cellStyle name="Followed Hyperlink" xfId="6150" builtinId="9" hidden="1"/>
    <cellStyle name="Followed Hyperlink" xfId="6152" builtinId="9" hidden="1"/>
    <cellStyle name="Followed Hyperlink" xfId="6154" builtinId="9" hidden="1"/>
    <cellStyle name="Followed Hyperlink" xfId="6156" builtinId="9" hidden="1"/>
    <cellStyle name="Followed Hyperlink" xfId="6158" builtinId="9" hidden="1"/>
    <cellStyle name="Followed Hyperlink" xfId="6160" builtinId="9" hidden="1"/>
    <cellStyle name="Followed Hyperlink" xfId="6162" builtinId="9" hidden="1"/>
    <cellStyle name="Followed Hyperlink" xfId="6164" builtinId="9" hidden="1"/>
    <cellStyle name="Followed Hyperlink" xfId="6166" builtinId="9" hidden="1"/>
    <cellStyle name="Followed Hyperlink" xfId="6168" builtinId="9" hidden="1"/>
    <cellStyle name="Followed Hyperlink" xfId="6170" builtinId="9" hidden="1"/>
    <cellStyle name="Followed Hyperlink" xfId="6172" builtinId="9" hidden="1"/>
    <cellStyle name="Followed Hyperlink" xfId="6174" builtinId="9" hidden="1"/>
    <cellStyle name="Followed Hyperlink" xfId="6176" builtinId="9" hidden="1"/>
    <cellStyle name="Followed Hyperlink" xfId="6178" builtinId="9" hidden="1"/>
    <cellStyle name="Followed Hyperlink" xfId="6180" builtinId="9" hidden="1"/>
    <cellStyle name="Followed Hyperlink" xfId="6182" builtinId="9" hidden="1"/>
    <cellStyle name="Followed Hyperlink" xfId="6184" builtinId="9" hidden="1"/>
    <cellStyle name="Followed Hyperlink" xfId="6186" builtinId="9" hidden="1"/>
    <cellStyle name="Followed Hyperlink" xfId="6188" builtinId="9" hidden="1"/>
    <cellStyle name="Followed Hyperlink" xfId="6190" builtinId="9" hidden="1"/>
    <cellStyle name="Followed Hyperlink" xfId="6192" builtinId="9" hidden="1"/>
    <cellStyle name="Followed Hyperlink" xfId="6194" builtinId="9" hidden="1"/>
    <cellStyle name="Followed Hyperlink" xfId="6196" builtinId="9" hidden="1"/>
    <cellStyle name="Followed Hyperlink" xfId="6198" builtinId="9" hidden="1"/>
    <cellStyle name="Followed Hyperlink" xfId="6200" builtinId="9" hidden="1"/>
    <cellStyle name="Followed Hyperlink" xfId="6202" builtinId="9" hidden="1"/>
    <cellStyle name="Followed Hyperlink" xfId="6204" builtinId="9" hidden="1"/>
    <cellStyle name="Followed Hyperlink" xfId="6206" builtinId="9" hidden="1"/>
    <cellStyle name="Followed Hyperlink" xfId="6208" builtinId="9" hidden="1"/>
    <cellStyle name="Followed Hyperlink" xfId="6210" builtinId="9" hidden="1"/>
    <cellStyle name="Followed Hyperlink" xfId="6212" builtinId="9" hidden="1"/>
    <cellStyle name="Followed Hyperlink" xfId="6214" builtinId="9" hidden="1"/>
    <cellStyle name="Followed Hyperlink" xfId="6216" builtinId="9" hidden="1"/>
    <cellStyle name="Followed Hyperlink" xfId="6218" builtinId="9" hidden="1"/>
    <cellStyle name="Followed Hyperlink" xfId="6220" builtinId="9" hidden="1"/>
    <cellStyle name="Followed Hyperlink" xfId="6222" builtinId="9" hidden="1"/>
    <cellStyle name="Followed Hyperlink" xfId="6224" builtinId="9" hidden="1"/>
    <cellStyle name="Followed Hyperlink" xfId="6226" builtinId="9" hidden="1"/>
    <cellStyle name="Followed Hyperlink" xfId="6228" builtinId="9" hidden="1"/>
    <cellStyle name="Followed Hyperlink" xfId="6230" builtinId="9" hidden="1"/>
    <cellStyle name="Followed Hyperlink" xfId="6232" builtinId="9" hidden="1"/>
    <cellStyle name="Followed Hyperlink" xfId="6234" builtinId="9" hidden="1"/>
    <cellStyle name="Followed Hyperlink" xfId="6236" builtinId="9" hidden="1"/>
    <cellStyle name="Followed Hyperlink" xfId="6238" builtinId="9" hidden="1"/>
    <cellStyle name="Followed Hyperlink" xfId="6240" builtinId="9" hidden="1"/>
    <cellStyle name="Followed Hyperlink" xfId="6242" builtinId="9" hidden="1"/>
    <cellStyle name="Followed Hyperlink" xfId="6244" builtinId="9" hidden="1"/>
    <cellStyle name="Followed Hyperlink" xfId="6246" builtinId="9" hidden="1"/>
    <cellStyle name="Followed Hyperlink" xfId="6248" builtinId="9" hidden="1"/>
    <cellStyle name="Followed Hyperlink" xfId="6250" builtinId="9" hidden="1"/>
    <cellStyle name="Followed Hyperlink" xfId="6252" builtinId="9" hidden="1"/>
    <cellStyle name="Followed Hyperlink" xfId="6254" builtinId="9" hidden="1"/>
    <cellStyle name="Followed Hyperlink" xfId="6256" builtinId="9" hidden="1"/>
    <cellStyle name="Followed Hyperlink" xfId="6258" builtinId="9" hidden="1"/>
    <cellStyle name="Followed Hyperlink" xfId="6260" builtinId="9" hidden="1"/>
    <cellStyle name="Followed Hyperlink" xfId="6262" builtinId="9" hidden="1"/>
    <cellStyle name="Followed Hyperlink" xfId="6264" builtinId="9" hidden="1"/>
    <cellStyle name="Followed Hyperlink" xfId="6266" builtinId="9" hidden="1"/>
    <cellStyle name="Followed Hyperlink" xfId="6268" builtinId="9" hidden="1"/>
    <cellStyle name="Followed Hyperlink" xfId="6270" builtinId="9" hidden="1"/>
    <cellStyle name="Followed Hyperlink" xfId="6272" builtinId="9" hidden="1"/>
    <cellStyle name="Followed Hyperlink" xfId="6274" builtinId="9" hidden="1"/>
    <cellStyle name="Followed Hyperlink" xfId="6276" builtinId="9" hidden="1"/>
    <cellStyle name="Followed Hyperlink" xfId="6278" builtinId="9" hidden="1"/>
    <cellStyle name="Followed Hyperlink" xfId="6280" builtinId="9" hidden="1"/>
    <cellStyle name="Followed Hyperlink" xfId="6282" builtinId="9" hidden="1"/>
    <cellStyle name="Followed Hyperlink" xfId="6284" builtinId="9" hidden="1"/>
    <cellStyle name="Followed Hyperlink" xfId="6286" builtinId="9" hidden="1"/>
    <cellStyle name="Followed Hyperlink" xfId="6288" builtinId="9" hidden="1"/>
    <cellStyle name="Followed Hyperlink" xfId="6290" builtinId="9" hidden="1"/>
    <cellStyle name="Followed Hyperlink" xfId="6292" builtinId="9" hidden="1"/>
    <cellStyle name="Followed Hyperlink" xfId="6294" builtinId="9" hidden="1"/>
    <cellStyle name="Followed Hyperlink" xfId="6296" builtinId="9" hidden="1"/>
    <cellStyle name="Followed Hyperlink" xfId="6298" builtinId="9" hidden="1"/>
    <cellStyle name="Followed Hyperlink" xfId="6300" builtinId="9" hidden="1"/>
    <cellStyle name="Followed Hyperlink" xfId="6302" builtinId="9" hidden="1"/>
    <cellStyle name="Followed Hyperlink" xfId="6304" builtinId="9" hidden="1"/>
    <cellStyle name="Followed Hyperlink" xfId="6306" builtinId="9" hidden="1"/>
    <cellStyle name="Followed Hyperlink" xfId="6308" builtinId="9" hidden="1"/>
    <cellStyle name="Followed Hyperlink" xfId="6310" builtinId="9" hidden="1"/>
    <cellStyle name="Followed Hyperlink" xfId="6312" builtinId="9" hidden="1"/>
    <cellStyle name="Followed Hyperlink" xfId="6314" builtinId="9" hidden="1"/>
    <cellStyle name="Followed Hyperlink" xfId="6316" builtinId="9" hidden="1"/>
    <cellStyle name="Followed Hyperlink" xfId="6318" builtinId="9" hidden="1"/>
    <cellStyle name="Followed Hyperlink" xfId="6320" builtinId="9" hidden="1"/>
    <cellStyle name="Followed Hyperlink" xfId="6322" builtinId="9" hidden="1"/>
    <cellStyle name="Followed Hyperlink" xfId="6324" builtinId="9" hidden="1"/>
    <cellStyle name="Followed Hyperlink" xfId="6326" builtinId="9" hidden="1"/>
    <cellStyle name="Followed Hyperlink" xfId="6328" builtinId="9" hidden="1"/>
    <cellStyle name="Followed Hyperlink" xfId="6330" builtinId="9" hidden="1"/>
    <cellStyle name="Followed Hyperlink" xfId="6332" builtinId="9" hidden="1"/>
    <cellStyle name="Followed Hyperlink" xfId="6334" builtinId="9" hidden="1"/>
    <cellStyle name="Followed Hyperlink" xfId="6336" builtinId="9" hidden="1"/>
    <cellStyle name="Followed Hyperlink" xfId="6338" builtinId="9" hidden="1"/>
    <cellStyle name="Followed Hyperlink" xfId="6340" builtinId="9" hidden="1"/>
    <cellStyle name="Followed Hyperlink" xfId="6342" builtinId="9" hidden="1"/>
    <cellStyle name="Followed Hyperlink" xfId="6344" builtinId="9" hidden="1"/>
    <cellStyle name="Followed Hyperlink" xfId="6346" builtinId="9" hidden="1"/>
    <cellStyle name="Followed Hyperlink" xfId="6348" builtinId="9" hidden="1"/>
    <cellStyle name="Followed Hyperlink" xfId="6350" builtinId="9" hidden="1"/>
    <cellStyle name="Followed Hyperlink" xfId="6352" builtinId="9" hidden="1"/>
    <cellStyle name="Followed Hyperlink" xfId="6354" builtinId="9" hidden="1"/>
    <cellStyle name="Followed Hyperlink" xfId="6356" builtinId="9" hidden="1"/>
    <cellStyle name="Followed Hyperlink" xfId="6358" builtinId="9" hidden="1"/>
    <cellStyle name="Followed Hyperlink" xfId="6360" builtinId="9" hidden="1"/>
    <cellStyle name="Followed Hyperlink" xfId="6362" builtinId="9" hidden="1"/>
    <cellStyle name="Followed Hyperlink" xfId="6364" builtinId="9" hidden="1"/>
    <cellStyle name="Followed Hyperlink" xfId="6366" builtinId="9" hidden="1"/>
    <cellStyle name="Followed Hyperlink" xfId="6368" builtinId="9" hidden="1"/>
    <cellStyle name="Followed Hyperlink" xfId="6370" builtinId="9" hidden="1"/>
    <cellStyle name="Followed Hyperlink" xfId="6372" builtinId="9" hidden="1"/>
    <cellStyle name="Followed Hyperlink" xfId="6374" builtinId="9" hidden="1"/>
    <cellStyle name="Followed Hyperlink" xfId="6376" builtinId="9" hidden="1"/>
    <cellStyle name="Followed Hyperlink" xfId="6378" builtinId="9" hidden="1"/>
    <cellStyle name="Followed Hyperlink" xfId="6380" builtinId="9" hidden="1"/>
    <cellStyle name="Followed Hyperlink" xfId="6382" builtinId="9" hidden="1"/>
    <cellStyle name="Followed Hyperlink" xfId="6384" builtinId="9" hidden="1"/>
    <cellStyle name="Followed Hyperlink" xfId="6386" builtinId="9" hidden="1"/>
    <cellStyle name="Followed Hyperlink" xfId="6388" builtinId="9" hidden="1"/>
    <cellStyle name="Followed Hyperlink" xfId="6390" builtinId="9" hidden="1"/>
    <cellStyle name="Followed Hyperlink" xfId="6392" builtinId="9" hidden="1"/>
    <cellStyle name="Followed Hyperlink" xfId="6394" builtinId="9" hidden="1"/>
    <cellStyle name="Followed Hyperlink" xfId="6396" builtinId="9" hidden="1"/>
    <cellStyle name="Followed Hyperlink" xfId="6398" builtinId="9" hidden="1"/>
    <cellStyle name="Followed Hyperlink" xfId="6400" builtinId="9" hidden="1"/>
    <cellStyle name="Followed Hyperlink" xfId="6402" builtinId="9" hidden="1"/>
    <cellStyle name="Followed Hyperlink" xfId="6404" builtinId="9" hidden="1"/>
    <cellStyle name="Followed Hyperlink" xfId="6406" builtinId="9" hidden="1"/>
    <cellStyle name="Followed Hyperlink" xfId="6408" builtinId="9" hidden="1"/>
    <cellStyle name="Followed Hyperlink" xfId="6410" builtinId="9" hidden="1"/>
    <cellStyle name="Followed Hyperlink" xfId="6412" builtinId="9" hidden="1"/>
    <cellStyle name="Followed Hyperlink" xfId="6414" builtinId="9" hidden="1"/>
    <cellStyle name="Followed Hyperlink" xfId="6416" builtinId="9" hidden="1"/>
    <cellStyle name="Followed Hyperlink" xfId="6418" builtinId="9" hidden="1"/>
    <cellStyle name="Followed Hyperlink" xfId="6420" builtinId="9" hidden="1"/>
    <cellStyle name="Followed Hyperlink" xfId="6422" builtinId="9" hidden="1"/>
    <cellStyle name="Followed Hyperlink" xfId="6424" builtinId="9" hidden="1"/>
    <cellStyle name="Followed Hyperlink" xfId="6426" builtinId="9" hidden="1"/>
    <cellStyle name="Followed Hyperlink" xfId="6428" builtinId="9" hidden="1"/>
    <cellStyle name="Followed Hyperlink" xfId="6430" builtinId="9" hidden="1"/>
    <cellStyle name="Followed Hyperlink" xfId="6434" builtinId="9" hidden="1"/>
    <cellStyle name="Followed Hyperlink" xfId="6436" builtinId="9" hidden="1"/>
    <cellStyle name="Followed Hyperlink" xfId="6438" builtinId="9" hidden="1"/>
    <cellStyle name="Followed Hyperlink" xfId="6440" builtinId="9" hidden="1"/>
    <cellStyle name="Followed Hyperlink" xfId="6442" builtinId="9" hidden="1"/>
    <cellStyle name="Followed Hyperlink" xfId="6444" builtinId="9" hidden="1"/>
    <cellStyle name="Followed Hyperlink" xfId="6446" builtinId="9" hidden="1"/>
    <cellStyle name="Followed Hyperlink" xfId="6448" builtinId="9" hidden="1"/>
    <cellStyle name="Followed Hyperlink" xfId="6450" builtinId="9" hidden="1"/>
    <cellStyle name="Followed Hyperlink" xfId="6452" builtinId="9" hidden="1"/>
    <cellStyle name="Followed Hyperlink" xfId="6454" builtinId="9" hidden="1"/>
    <cellStyle name="Followed Hyperlink" xfId="6456" builtinId="9" hidden="1"/>
    <cellStyle name="Followed Hyperlink" xfId="6458" builtinId="9" hidden="1"/>
    <cellStyle name="Followed Hyperlink" xfId="6460" builtinId="9" hidden="1"/>
    <cellStyle name="Followed Hyperlink" xfId="6462" builtinId="9" hidden="1"/>
    <cellStyle name="Followed Hyperlink" xfId="6464" builtinId="9" hidden="1"/>
    <cellStyle name="Followed Hyperlink" xfId="6466" builtinId="9" hidden="1"/>
    <cellStyle name="Followed Hyperlink" xfId="6468" builtinId="9" hidden="1"/>
    <cellStyle name="Followed Hyperlink" xfId="6470" builtinId="9" hidden="1"/>
    <cellStyle name="Followed Hyperlink" xfId="6472" builtinId="9" hidden="1"/>
    <cellStyle name="Followed Hyperlink" xfId="6474" builtinId="9" hidden="1"/>
    <cellStyle name="Followed Hyperlink" xfId="6476" builtinId="9" hidden="1"/>
    <cellStyle name="Followed Hyperlink" xfId="6478" builtinId="9" hidden="1"/>
    <cellStyle name="Followed Hyperlink" xfId="6480" builtinId="9" hidden="1"/>
    <cellStyle name="Followed Hyperlink" xfId="6482" builtinId="9" hidden="1"/>
    <cellStyle name="Followed Hyperlink" xfId="6484" builtinId="9" hidden="1"/>
    <cellStyle name="Followed Hyperlink" xfId="6486" builtinId="9" hidden="1"/>
    <cellStyle name="Followed Hyperlink" xfId="6488" builtinId="9" hidden="1"/>
    <cellStyle name="Followed Hyperlink" xfId="6490" builtinId="9" hidden="1"/>
    <cellStyle name="Followed Hyperlink" xfId="6492" builtinId="9" hidden="1"/>
    <cellStyle name="Followed Hyperlink" xfId="6494" builtinId="9" hidden="1"/>
    <cellStyle name="Followed Hyperlink" xfId="6496" builtinId="9" hidden="1"/>
    <cellStyle name="Followed Hyperlink" xfId="6498" builtinId="9" hidden="1"/>
    <cellStyle name="Followed Hyperlink" xfId="6500" builtinId="9" hidden="1"/>
    <cellStyle name="Followed Hyperlink" xfId="6502" builtinId="9" hidden="1"/>
    <cellStyle name="Followed Hyperlink" xfId="6504" builtinId="9" hidden="1"/>
    <cellStyle name="Followed Hyperlink" xfId="6506" builtinId="9" hidden="1"/>
    <cellStyle name="Followed Hyperlink" xfId="6508" builtinId="9" hidden="1"/>
    <cellStyle name="Followed Hyperlink" xfId="6510" builtinId="9" hidden="1"/>
    <cellStyle name="Followed Hyperlink" xfId="6512" builtinId="9" hidden="1"/>
    <cellStyle name="Followed Hyperlink" xfId="6514" builtinId="9" hidden="1"/>
    <cellStyle name="Followed Hyperlink" xfId="6516" builtinId="9" hidden="1"/>
    <cellStyle name="Followed Hyperlink" xfId="6518" builtinId="9" hidden="1"/>
    <cellStyle name="Followed Hyperlink" xfId="6520" builtinId="9" hidden="1"/>
    <cellStyle name="Followed Hyperlink" xfId="6522" builtinId="9" hidden="1"/>
    <cellStyle name="Followed Hyperlink" xfId="6524" builtinId="9" hidden="1"/>
    <cellStyle name="Followed Hyperlink" xfId="6526" builtinId="9" hidden="1"/>
    <cellStyle name="Followed Hyperlink" xfId="6528" builtinId="9" hidden="1"/>
    <cellStyle name="Followed Hyperlink" xfId="6530" builtinId="9" hidden="1"/>
    <cellStyle name="Followed Hyperlink" xfId="6532" builtinId="9" hidden="1"/>
    <cellStyle name="Followed Hyperlink" xfId="6534" builtinId="9" hidden="1"/>
    <cellStyle name="Followed Hyperlink" xfId="6536" builtinId="9" hidden="1"/>
    <cellStyle name="Followed Hyperlink" xfId="6538" builtinId="9" hidden="1"/>
    <cellStyle name="Followed Hyperlink" xfId="6540" builtinId="9" hidden="1"/>
    <cellStyle name="Followed Hyperlink" xfId="6542" builtinId="9" hidden="1"/>
    <cellStyle name="Followed Hyperlink" xfId="6544" builtinId="9" hidden="1"/>
    <cellStyle name="Followed Hyperlink" xfId="6546" builtinId="9" hidden="1"/>
    <cellStyle name="Followed Hyperlink" xfId="6548" builtinId="9" hidden="1"/>
    <cellStyle name="Followed Hyperlink" xfId="6550" builtinId="9" hidden="1"/>
    <cellStyle name="Followed Hyperlink" xfId="6552" builtinId="9" hidden="1"/>
    <cellStyle name="Followed Hyperlink" xfId="6554" builtinId="9" hidden="1"/>
    <cellStyle name="Followed Hyperlink" xfId="6556" builtinId="9" hidden="1"/>
    <cellStyle name="Followed Hyperlink" xfId="6558" builtinId="9" hidden="1"/>
    <cellStyle name="Followed Hyperlink" xfId="6560" builtinId="9" hidden="1"/>
    <cellStyle name="Followed Hyperlink" xfId="6562" builtinId="9" hidden="1"/>
    <cellStyle name="Followed Hyperlink" xfId="6564" builtinId="9" hidden="1"/>
    <cellStyle name="Followed Hyperlink" xfId="6566" builtinId="9" hidden="1"/>
    <cellStyle name="Followed Hyperlink" xfId="6568" builtinId="9" hidden="1"/>
    <cellStyle name="Followed Hyperlink" xfId="6570" builtinId="9" hidden="1"/>
    <cellStyle name="Followed Hyperlink" xfId="6572" builtinId="9" hidden="1"/>
    <cellStyle name="Followed Hyperlink" xfId="6574" builtinId="9" hidden="1"/>
    <cellStyle name="Followed Hyperlink" xfId="6576" builtinId="9" hidden="1"/>
    <cellStyle name="Followed Hyperlink" xfId="6578" builtinId="9" hidden="1"/>
    <cellStyle name="Followed Hyperlink" xfId="6580" builtinId="9" hidden="1"/>
    <cellStyle name="Followed Hyperlink" xfId="6582" builtinId="9" hidden="1"/>
    <cellStyle name="Followed Hyperlink" xfId="6584" builtinId="9" hidden="1"/>
    <cellStyle name="Followed Hyperlink" xfId="6586" builtinId="9" hidden="1"/>
    <cellStyle name="Followed Hyperlink" xfId="6588" builtinId="9" hidden="1"/>
    <cellStyle name="Followed Hyperlink" xfId="6590" builtinId="9" hidden="1"/>
    <cellStyle name="Followed Hyperlink" xfId="6592" builtinId="9" hidden="1"/>
    <cellStyle name="Followed Hyperlink" xfId="6594" builtinId="9" hidden="1"/>
    <cellStyle name="Followed Hyperlink" xfId="6596" builtinId="9" hidden="1"/>
    <cellStyle name="Followed Hyperlink" xfId="6598" builtinId="9" hidden="1"/>
    <cellStyle name="Followed Hyperlink" xfId="6600" builtinId="9" hidden="1"/>
    <cellStyle name="Followed Hyperlink" xfId="6602" builtinId="9" hidden="1"/>
    <cellStyle name="Followed Hyperlink" xfId="6604" builtinId="9" hidden="1"/>
    <cellStyle name="Followed Hyperlink" xfId="6606" builtinId="9" hidden="1"/>
    <cellStyle name="Followed Hyperlink" xfId="6608" builtinId="9" hidden="1"/>
    <cellStyle name="Followed Hyperlink" xfId="6610" builtinId="9" hidden="1"/>
    <cellStyle name="Followed Hyperlink" xfId="6612" builtinId="9" hidden="1"/>
    <cellStyle name="Followed Hyperlink" xfId="6614" builtinId="9" hidden="1"/>
    <cellStyle name="Followed Hyperlink" xfId="6616" builtinId="9" hidden="1"/>
    <cellStyle name="Followed Hyperlink" xfId="6618" builtinId="9" hidden="1"/>
    <cellStyle name="Followed Hyperlink" xfId="6620" builtinId="9" hidden="1"/>
    <cellStyle name="Followed Hyperlink" xfId="6622" builtinId="9" hidden="1"/>
    <cellStyle name="Followed Hyperlink" xfId="6624" builtinId="9" hidden="1"/>
    <cellStyle name="Followed Hyperlink" xfId="6626" builtinId="9" hidden="1"/>
    <cellStyle name="Followed Hyperlink" xfId="6628" builtinId="9" hidden="1"/>
    <cellStyle name="Followed Hyperlink" xfId="6630" builtinId="9" hidden="1"/>
    <cellStyle name="Followed Hyperlink" xfId="6632" builtinId="9" hidden="1"/>
    <cellStyle name="Followed Hyperlink" xfId="6634" builtinId="9" hidden="1"/>
    <cellStyle name="Followed Hyperlink" xfId="6636" builtinId="9" hidden="1"/>
    <cellStyle name="Followed Hyperlink" xfId="6638" builtinId="9" hidden="1"/>
    <cellStyle name="Followed Hyperlink" xfId="6640" builtinId="9" hidden="1"/>
    <cellStyle name="Followed Hyperlink" xfId="6642" builtinId="9" hidden="1"/>
    <cellStyle name="Followed Hyperlink" xfId="6644" builtinId="9" hidden="1"/>
    <cellStyle name="Followed Hyperlink" xfId="6646" builtinId="9" hidden="1"/>
    <cellStyle name="Followed Hyperlink" xfId="6648" builtinId="9" hidden="1"/>
    <cellStyle name="Followed Hyperlink" xfId="6650" builtinId="9" hidden="1"/>
    <cellStyle name="Followed Hyperlink" xfId="6652" builtinId="9" hidden="1"/>
    <cellStyle name="Followed Hyperlink" xfId="6654" builtinId="9" hidden="1"/>
    <cellStyle name="Followed Hyperlink" xfId="6656" builtinId="9" hidden="1"/>
    <cellStyle name="Followed Hyperlink" xfId="6658" builtinId="9" hidden="1"/>
    <cellStyle name="Followed Hyperlink" xfId="6660" builtinId="9" hidden="1"/>
    <cellStyle name="Followed Hyperlink" xfId="6662" builtinId="9" hidden="1"/>
    <cellStyle name="Followed Hyperlink" xfId="6664" builtinId="9" hidden="1"/>
    <cellStyle name="Followed Hyperlink" xfId="6666" builtinId="9" hidden="1"/>
    <cellStyle name="Followed Hyperlink" xfId="6668" builtinId="9" hidden="1"/>
    <cellStyle name="Followed Hyperlink" xfId="6670" builtinId="9" hidden="1"/>
    <cellStyle name="Followed Hyperlink" xfId="6672" builtinId="9" hidden="1"/>
    <cellStyle name="Followed Hyperlink" xfId="6674" builtinId="9" hidden="1"/>
    <cellStyle name="Followed Hyperlink" xfId="6676" builtinId="9" hidden="1"/>
    <cellStyle name="Followed Hyperlink" xfId="6678" builtinId="9" hidden="1"/>
    <cellStyle name="Followed Hyperlink" xfId="6680" builtinId="9" hidden="1"/>
    <cellStyle name="Followed Hyperlink" xfId="6682" builtinId="9" hidden="1"/>
    <cellStyle name="Followed Hyperlink" xfId="6684" builtinId="9" hidden="1"/>
    <cellStyle name="Followed Hyperlink" xfId="6686" builtinId="9" hidden="1"/>
    <cellStyle name="Followed Hyperlink" xfId="6688" builtinId="9" hidden="1"/>
    <cellStyle name="Followed Hyperlink" xfId="6690" builtinId="9" hidden="1"/>
    <cellStyle name="Followed Hyperlink" xfId="6692" builtinId="9" hidden="1"/>
    <cellStyle name="Followed Hyperlink" xfId="6694" builtinId="9" hidden="1"/>
    <cellStyle name="Followed Hyperlink" xfId="6696" builtinId="9" hidden="1"/>
    <cellStyle name="Followed Hyperlink" xfId="6698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Hyperlink" xfId="1476" builtinId="8" hidden="1"/>
    <cellStyle name="Hyperlink" xfId="1478" builtinId="8" hidden="1"/>
    <cellStyle name="Hyperlink" xfId="1480" builtinId="8" hidden="1"/>
    <cellStyle name="Hyperlink" xfId="1482" builtinId="8" hidden="1"/>
    <cellStyle name="Hyperlink" xfId="1484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Hyperlink" xfId="1496" builtinId="8" hidden="1"/>
    <cellStyle name="Hyperlink" xfId="1498" builtinId="8" hidden="1"/>
    <cellStyle name="Hyperlink" xfId="1500" builtinId="8" hidden="1"/>
    <cellStyle name="Hyperlink" xfId="1502" builtinId="8" hidden="1"/>
    <cellStyle name="Hyperlink" xfId="1504" builtinId="8" hidden="1"/>
    <cellStyle name="Hyperlink" xfId="1506" builtinId="8" hidden="1"/>
    <cellStyle name="Hyperlink" xfId="1508" builtinId="8" hidden="1"/>
    <cellStyle name="Hyperlink" xfId="1510" builtinId="8" hidden="1"/>
    <cellStyle name="Hyperlink" xfId="1512" builtinId="8" hidden="1"/>
    <cellStyle name="Hyperlink" xfId="1514" builtinId="8" hidden="1"/>
    <cellStyle name="Hyperlink" xfId="1516" builtinId="8" hidden="1"/>
    <cellStyle name="Hyperlink" xfId="1518" builtinId="8" hidden="1"/>
    <cellStyle name="Hyperlink" xfId="1520" builtinId="8" hidden="1"/>
    <cellStyle name="Hyperlink" xfId="1522" builtinId="8" hidden="1"/>
    <cellStyle name="Hyperlink" xfId="1524" builtinId="8" hidden="1"/>
    <cellStyle name="Hyperlink" xfId="1526" builtinId="8" hidden="1"/>
    <cellStyle name="Hyperlink" xfId="1528" builtinId="8" hidden="1"/>
    <cellStyle name="Hyperlink" xfId="1530" builtinId="8" hidden="1"/>
    <cellStyle name="Hyperlink" xfId="1532" builtinId="8" hidden="1"/>
    <cellStyle name="Hyperlink" xfId="1534" builtinId="8" hidden="1"/>
    <cellStyle name="Hyperlink" xfId="1536" builtinId="8" hidden="1"/>
    <cellStyle name="Hyperlink" xfId="1538" builtinId="8" hidden="1"/>
    <cellStyle name="Hyperlink" xfId="1540" builtinId="8" hidden="1"/>
    <cellStyle name="Hyperlink" xfId="1542" builtinId="8" hidden="1"/>
    <cellStyle name="Hyperlink" xfId="1544" builtinId="8" hidden="1"/>
    <cellStyle name="Hyperlink" xfId="1546" builtinId="8" hidden="1"/>
    <cellStyle name="Hyperlink" xfId="1548" builtinId="8" hidden="1"/>
    <cellStyle name="Hyperlink" xfId="1550" builtinId="8" hidden="1"/>
    <cellStyle name="Hyperlink" xfId="1552" builtinId="8" hidden="1"/>
    <cellStyle name="Hyperlink" xfId="1554" builtinId="8" hidden="1"/>
    <cellStyle name="Hyperlink" xfId="1556" builtinId="8" hidden="1"/>
    <cellStyle name="Hyperlink" xfId="1558" builtinId="8" hidden="1"/>
    <cellStyle name="Hyperlink" xfId="1560" builtinId="8" hidden="1"/>
    <cellStyle name="Hyperlink" xfId="1562" builtinId="8" hidden="1"/>
    <cellStyle name="Hyperlink" xfId="1564" builtinId="8" hidden="1"/>
    <cellStyle name="Hyperlink" xfId="1566" builtinId="8" hidden="1"/>
    <cellStyle name="Hyperlink" xfId="1568" builtinId="8" hidden="1"/>
    <cellStyle name="Hyperlink" xfId="1570" builtinId="8" hidden="1"/>
    <cellStyle name="Hyperlink" xfId="1572" builtinId="8" hidden="1"/>
    <cellStyle name="Hyperlink" xfId="1574" builtinId="8" hidden="1"/>
    <cellStyle name="Hyperlink" xfId="1576" builtinId="8" hidden="1"/>
    <cellStyle name="Hyperlink" xfId="1578" builtinId="8" hidden="1"/>
    <cellStyle name="Hyperlink" xfId="1580" builtinId="8" hidden="1"/>
    <cellStyle name="Hyperlink" xfId="1582" builtinId="8" hidden="1"/>
    <cellStyle name="Hyperlink" xfId="1584" builtinId="8" hidden="1"/>
    <cellStyle name="Hyperlink" xfId="1586" builtinId="8" hidden="1"/>
    <cellStyle name="Hyperlink" xfId="1588" builtinId="8" hidden="1"/>
    <cellStyle name="Hyperlink" xfId="1590" builtinId="8" hidden="1"/>
    <cellStyle name="Hyperlink" xfId="1592" builtinId="8" hidden="1"/>
    <cellStyle name="Hyperlink" xfId="1594" builtinId="8" hidden="1"/>
    <cellStyle name="Hyperlink" xfId="1596" builtinId="8" hidden="1"/>
    <cellStyle name="Hyperlink" xfId="1598" builtinId="8" hidden="1"/>
    <cellStyle name="Hyperlink" xfId="1600" builtinId="8" hidden="1"/>
    <cellStyle name="Hyperlink" xfId="1602" builtinId="8" hidden="1"/>
    <cellStyle name="Hyperlink" xfId="1604" builtinId="8" hidden="1"/>
    <cellStyle name="Hyperlink" xfId="1606" builtinId="8" hidden="1"/>
    <cellStyle name="Hyperlink" xfId="1608" builtinId="8" hidden="1"/>
    <cellStyle name="Hyperlink" xfId="1610" builtinId="8" hidden="1"/>
    <cellStyle name="Hyperlink" xfId="1612" builtinId="8" hidden="1"/>
    <cellStyle name="Hyperlink" xfId="1614" builtinId="8" hidden="1"/>
    <cellStyle name="Hyperlink" xfId="1616" builtinId="8" hidden="1"/>
    <cellStyle name="Hyperlink" xfId="1618" builtinId="8" hidden="1"/>
    <cellStyle name="Hyperlink" xfId="1620" builtinId="8" hidden="1"/>
    <cellStyle name="Hyperlink" xfId="1622" builtinId="8" hidden="1"/>
    <cellStyle name="Hyperlink" xfId="1624" builtinId="8" hidden="1"/>
    <cellStyle name="Hyperlink" xfId="1626" builtinId="8" hidden="1"/>
    <cellStyle name="Hyperlink" xfId="1628" builtinId="8" hidden="1"/>
    <cellStyle name="Hyperlink" xfId="1630" builtinId="8" hidden="1"/>
    <cellStyle name="Hyperlink" xfId="1632" builtinId="8" hidden="1"/>
    <cellStyle name="Hyperlink" xfId="1634" builtinId="8" hidden="1"/>
    <cellStyle name="Hyperlink" xfId="1636" builtinId="8" hidden="1"/>
    <cellStyle name="Hyperlink" xfId="1638" builtinId="8" hidden="1"/>
    <cellStyle name="Hyperlink" xfId="1640" builtinId="8" hidden="1"/>
    <cellStyle name="Hyperlink" xfId="1642" builtinId="8" hidden="1"/>
    <cellStyle name="Hyperlink" xfId="1644" builtinId="8" hidden="1"/>
    <cellStyle name="Hyperlink" xfId="1646" builtinId="8" hidden="1"/>
    <cellStyle name="Hyperlink" xfId="1648" builtinId="8" hidden="1"/>
    <cellStyle name="Hyperlink" xfId="1650" builtinId="8" hidden="1"/>
    <cellStyle name="Hyperlink" xfId="1652" builtinId="8" hidden="1"/>
    <cellStyle name="Hyperlink" xfId="1654" builtinId="8" hidden="1"/>
    <cellStyle name="Hyperlink" xfId="1656" builtinId="8" hidden="1"/>
    <cellStyle name="Hyperlink" xfId="1658" builtinId="8" hidden="1"/>
    <cellStyle name="Hyperlink" xfId="1660" builtinId="8" hidden="1"/>
    <cellStyle name="Hyperlink" xfId="1662" builtinId="8" hidden="1"/>
    <cellStyle name="Hyperlink" xfId="1664" builtinId="8" hidden="1"/>
    <cellStyle name="Hyperlink" xfId="1666" builtinId="8" hidden="1"/>
    <cellStyle name="Hyperlink" xfId="1668" builtinId="8" hidden="1"/>
    <cellStyle name="Hyperlink" xfId="1670" builtinId="8" hidden="1"/>
    <cellStyle name="Hyperlink" xfId="1672" builtinId="8" hidden="1"/>
    <cellStyle name="Hyperlink" xfId="1674" builtinId="8" hidden="1"/>
    <cellStyle name="Hyperlink" xfId="1676" builtinId="8" hidden="1"/>
    <cellStyle name="Hyperlink" xfId="1678" builtinId="8" hidden="1"/>
    <cellStyle name="Hyperlink" xfId="1680" builtinId="8" hidden="1"/>
    <cellStyle name="Hyperlink" xfId="1682" builtinId="8" hidden="1"/>
    <cellStyle name="Hyperlink" xfId="1684" builtinId="8" hidden="1"/>
    <cellStyle name="Hyperlink" xfId="1686" builtinId="8" hidden="1"/>
    <cellStyle name="Hyperlink" xfId="1688" builtinId="8" hidden="1"/>
    <cellStyle name="Hyperlink" xfId="1690" builtinId="8" hidden="1"/>
    <cellStyle name="Hyperlink" xfId="1692" builtinId="8" hidden="1"/>
    <cellStyle name="Hyperlink" xfId="1694" builtinId="8" hidden="1"/>
    <cellStyle name="Hyperlink" xfId="1696" builtinId="8" hidden="1"/>
    <cellStyle name="Hyperlink" xfId="1698" builtinId="8" hidden="1"/>
    <cellStyle name="Hyperlink" xfId="1700" builtinId="8" hidden="1"/>
    <cellStyle name="Hyperlink" xfId="1702" builtinId="8" hidden="1"/>
    <cellStyle name="Hyperlink" xfId="1704" builtinId="8" hidden="1"/>
    <cellStyle name="Hyperlink" xfId="1706" builtinId="8" hidden="1"/>
    <cellStyle name="Hyperlink" xfId="1708" builtinId="8" hidden="1"/>
    <cellStyle name="Hyperlink" xfId="1710" builtinId="8" hidden="1"/>
    <cellStyle name="Hyperlink" xfId="1712" builtinId="8" hidden="1"/>
    <cellStyle name="Hyperlink" xfId="1714" builtinId="8" hidden="1"/>
    <cellStyle name="Hyperlink" xfId="1716" builtinId="8" hidden="1"/>
    <cellStyle name="Hyperlink" xfId="1718" builtinId="8" hidden="1"/>
    <cellStyle name="Hyperlink" xfId="1720" builtinId="8" hidden="1"/>
    <cellStyle name="Hyperlink" xfId="1722" builtinId="8" hidden="1"/>
    <cellStyle name="Hyperlink" xfId="1724" builtinId="8" hidden="1"/>
    <cellStyle name="Hyperlink" xfId="1726" builtinId="8" hidden="1"/>
    <cellStyle name="Hyperlink" xfId="1728" builtinId="8" hidden="1"/>
    <cellStyle name="Hyperlink" xfId="1730" builtinId="8" hidden="1"/>
    <cellStyle name="Hyperlink" xfId="1732" builtinId="8" hidden="1"/>
    <cellStyle name="Hyperlink" xfId="1734" builtinId="8" hidden="1"/>
    <cellStyle name="Hyperlink" xfId="1736" builtinId="8" hidden="1"/>
    <cellStyle name="Hyperlink" xfId="1738" builtinId="8" hidden="1"/>
    <cellStyle name="Hyperlink" xfId="1740" builtinId="8" hidden="1"/>
    <cellStyle name="Hyperlink" xfId="1742" builtinId="8" hidden="1"/>
    <cellStyle name="Hyperlink" xfId="1744" builtinId="8" hidden="1"/>
    <cellStyle name="Hyperlink" xfId="1746" builtinId="8" hidden="1"/>
    <cellStyle name="Hyperlink" xfId="1748" builtinId="8" hidden="1"/>
    <cellStyle name="Hyperlink" xfId="1750" builtinId="8" hidden="1"/>
    <cellStyle name="Hyperlink" xfId="1752" builtinId="8" hidden="1"/>
    <cellStyle name="Hyperlink" xfId="1754" builtinId="8" hidden="1"/>
    <cellStyle name="Hyperlink" xfId="1756" builtinId="8" hidden="1"/>
    <cellStyle name="Hyperlink" xfId="1758" builtinId="8" hidden="1"/>
    <cellStyle name="Hyperlink" xfId="1760" builtinId="8" hidden="1"/>
    <cellStyle name="Hyperlink" xfId="1762" builtinId="8" hidden="1"/>
    <cellStyle name="Hyperlink" xfId="1764" builtinId="8" hidden="1"/>
    <cellStyle name="Hyperlink" xfId="1766" builtinId="8" hidden="1"/>
    <cellStyle name="Hyperlink" xfId="1768" builtinId="8" hidden="1"/>
    <cellStyle name="Hyperlink" xfId="1770" builtinId="8" hidden="1"/>
    <cellStyle name="Hyperlink" xfId="1772" builtinId="8" hidden="1"/>
    <cellStyle name="Hyperlink" xfId="1774" builtinId="8" hidden="1"/>
    <cellStyle name="Hyperlink" xfId="1776" builtinId="8" hidden="1"/>
    <cellStyle name="Hyperlink" xfId="1778" builtinId="8" hidden="1"/>
    <cellStyle name="Hyperlink" xfId="1780" builtinId="8" hidden="1"/>
    <cellStyle name="Hyperlink" xfId="1782" builtinId="8" hidden="1"/>
    <cellStyle name="Hyperlink" xfId="1784" builtinId="8" hidden="1"/>
    <cellStyle name="Hyperlink" xfId="1786" builtinId="8" hidden="1"/>
    <cellStyle name="Hyperlink" xfId="1788" builtinId="8" hidden="1"/>
    <cellStyle name="Hyperlink" xfId="1790" builtinId="8" hidden="1"/>
    <cellStyle name="Hyperlink" xfId="1792" builtinId="8" hidden="1"/>
    <cellStyle name="Hyperlink" xfId="1794" builtinId="8" hidden="1"/>
    <cellStyle name="Hyperlink" xfId="1796" builtinId="8" hidden="1"/>
    <cellStyle name="Hyperlink" xfId="1798" builtinId="8" hidden="1"/>
    <cellStyle name="Hyperlink" xfId="1800" builtinId="8" hidden="1"/>
    <cellStyle name="Hyperlink" xfId="1802" builtinId="8" hidden="1"/>
    <cellStyle name="Hyperlink" xfId="1804" builtinId="8" hidden="1"/>
    <cellStyle name="Hyperlink" xfId="1806" builtinId="8" hidden="1"/>
    <cellStyle name="Hyperlink" xfId="1808" builtinId="8" hidden="1"/>
    <cellStyle name="Hyperlink" xfId="1810" builtinId="8" hidden="1"/>
    <cellStyle name="Hyperlink" xfId="1812" builtinId="8" hidden="1"/>
    <cellStyle name="Hyperlink" xfId="1814" builtinId="8" hidden="1"/>
    <cellStyle name="Hyperlink" xfId="1816" builtinId="8" hidden="1"/>
    <cellStyle name="Hyperlink" xfId="1818" builtinId="8" hidden="1"/>
    <cellStyle name="Hyperlink" xfId="1820" builtinId="8" hidden="1"/>
    <cellStyle name="Hyperlink" xfId="1822" builtinId="8" hidden="1"/>
    <cellStyle name="Hyperlink" xfId="1824" builtinId="8" hidden="1"/>
    <cellStyle name="Hyperlink" xfId="1826" builtinId="8" hidden="1"/>
    <cellStyle name="Hyperlink" xfId="1828" builtinId="8" hidden="1"/>
    <cellStyle name="Hyperlink" xfId="1830" builtinId="8" hidden="1"/>
    <cellStyle name="Hyperlink" xfId="1832" builtinId="8" hidden="1"/>
    <cellStyle name="Hyperlink" xfId="1834" builtinId="8" hidden="1"/>
    <cellStyle name="Hyperlink" xfId="1836" builtinId="8" hidden="1"/>
    <cellStyle name="Hyperlink" xfId="1838" builtinId="8" hidden="1"/>
    <cellStyle name="Hyperlink" xfId="1840" builtinId="8" hidden="1"/>
    <cellStyle name="Hyperlink" xfId="1842" builtinId="8" hidden="1"/>
    <cellStyle name="Hyperlink" xfId="1844" builtinId="8" hidden="1"/>
    <cellStyle name="Hyperlink" xfId="1846" builtinId="8" hidden="1"/>
    <cellStyle name="Hyperlink" xfId="1848" builtinId="8" hidden="1"/>
    <cellStyle name="Hyperlink" xfId="1850" builtinId="8" hidden="1"/>
    <cellStyle name="Hyperlink" xfId="1852" builtinId="8" hidden="1"/>
    <cellStyle name="Hyperlink" xfId="1854" builtinId="8" hidden="1"/>
    <cellStyle name="Hyperlink" xfId="1856" builtinId="8" hidden="1"/>
    <cellStyle name="Hyperlink" xfId="1858" builtinId="8" hidden="1"/>
    <cellStyle name="Hyperlink" xfId="1860" builtinId="8" hidden="1"/>
    <cellStyle name="Hyperlink" xfId="1862" builtinId="8" hidden="1"/>
    <cellStyle name="Hyperlink" xfId="1864" builtinId="8" hidden="1"/>
    <cellStyle name="Hyperlink" xfId="1866" builtinId="8" hidden="1"/>
    <cellStyle name="Hyperlink" xfId="1868" builtinId="8" hidden="1"/>
    <cellStyle name="Hyperlink" xfId="1870" builtinId="8" hidden="1"/>
    <cellStyle name="Hyperlink" xfId="1872" builtinId="8" hidden="1"/>
    <cellStyle name="Hyperlink" xfId="1874" builtinId="8" hidden="1"/>
    <cellStyle name="Hyperlink" xfId="1876" builtinId="8" hidden="1"/>
    <cellStyle name="Hyperlink" xfId="1878" builtinId="8" hidden="1"/>
    <cellStyle name="Hyperlink" xfId="1880" builtinId="8" hidden="1"/>
    <cellStyle name="Hyperlink" xfId="1882" builtinId="8" hidden="1"/>
    <cellStyle name="Hyperlink" xfId="1884" builtinId="8" hidden="1"/>
    <cellStyle name="Hyperlink" xfId="1886" builtinId="8" hidden="1"/>
    <cellStyle name="Hyperlink" xfId="1888" builtinId="8" hidden="1"/>
    <cellStyle name="Hyperlink" xfId="1890" builtinId="8" hidden="1"/>
    <cellStyle name="Hyperlink" xfId="1892" builtinId="8" hidden="1"/>
    <cellStyle name="Hyperlink" xfId="1894" builtinId="8" hidden="1"/>
    <cellStyle name="Hyperlink" xfId="1896" builtinId="8" hidden="1"/>
    <cellStyle name="Hyperlink" xfId="1898" builtinId="8" hidden="1"/>
    <cellStyle name="Hyperlink" xfId="1900" builtinId="8" hidden="1"/>
    <cellStyle name="Hyperlink" xfId="1902" builtinId="8" hidden="1"/>
    <cellStyle name="Hyperlink" xfId="1904" builtinId="8" hidden="1"/>
    <cellStyle name="Hyperlink" xfId="1906" builtinId="8" hidden="1"/>
    <cellStyle name="Hyperlink" xfId="1908" builtinId="8" hidden="1"/>
    <cellStyle name="Hyperlink" xfId="1910" builtinId="8" hidden="1"/>
    <cellStyle name="Hyperlink" xfId="1912" builtinId="8" hidden="1"/>
    <cellStyle name="Hyperlink" xfId="1914" builtinId="8" hidden="1"/>
    <cellStyle name="Hyperlink" xfId="1916" builtinId="8" hidden="1"/>
    <cellStyle name="Hyperlink" xfId="1918" builtinId="8" hidden="1"/>
    <cellStyle name="Hyperlink" xfId="1920" builtinId="8" hidden="1"/>
    <cellStyle name="Hyperlink" xfId="1922" builtinId="8" hidden="1"/>
    <cellStyle name="Hyperlink" xfId="1924" builtinId="8" hidden="1"/>
    <cellStyle name="Hyperlink" xfId="1926" builtinId="8" hidden="1"/>
    <cellStyle name="Hyperlink" xfId="1928" builtinId="8" hidden="1"/>
    <cellStyle name="Hyperlink" xfId="1930" builtinId="8" hidden="1"/>
    <cellStyle name="Hyperlink" xfId="1932" builtinId="8" hidden="1"/>
    <cellStyle name="Hyperlink" xfId="1934" builtinId="8" hidden="1"/>
    <cellStyle name="Hyperlink" xfId="1936" builtinId="8" hidden="1"/>
    <cellStyle name="Hyperlink" xfId="1938" builtinId="8" hidden="1"/>
    <cellStyle name="Hyperlink" xfId="1940" builtinId="8" hidden="1"/>
    <cellStyle name="Hyperlink" xfId="1942" builtinId="8" hidden="1"/>
    <cellStyle name="Hyperlink" xfId="1944" builtinId="8" hidden="1"/>
    <cellStyle name="Hyperlink" xfId="1946" builtinId="8" hidden="1"/>
    <cellStyle name="Hyperlink" xfId="1948" builtinId="8" hidden="1"/>
    <cellStyle name="Hyperlink" xfId="1950" builtinId="8" hidden="1"/>
    <cellStyle name="Hyperlink" xfId="1952" builtinId="8" hidden="1"/>
    <cellStyle name="Hyperlink" xfId="1954" builtinId="8" hidden="1"/>
    <cellStyle name="Hyperlink" xfId="1956" builtinId="8" hidden="1"/>
    <cellStyle name="Hyperlink" xfId="1958" builtinId="8" hidden="1"/>
    <cellStyle name="Hyperlink" xfId="1960" builtinId="8" hidden="1"/>
    <cellStyle name="Hyperlink" xfId="1962" builtinId="8" hidden="1"/>
    <cellStyle name="Hyperlink" xfId="1964" builtinId="8" hidden="1"/>
    <cellStyle name="Hyperlink" xfId="1966" builtinId="8" hidden="1"/>
    <cellStyle name="Hyperlink" xfId="1968" builtinId="8" hidden="1"/>
    <cellStyle name="Hyperlink" xfId="1970" builtinId="8" hidden="1"/>
    <cellStyle name="Hyperlink" xfId="1972" builtinId="8" hidden="1"/>
    <cellStyle name="Hyperlink" xfId="1974" builtinId="8" hidden="1"/>
    <cellStyle name="Hyperlink" xfId="1976" builtinId="8" hidden="1"/>
    <cellStyle name="Hyperlink" xfId="1978" builtinId="8" hidden="1"/>
    <cellStyle name="Hyperlink" xfId="1980" builtinId="8" hidden="1"/>
    <cellStyle name="Hyperlink" xfId="1982" builtinId="8" hidden="1"/>
    <cellStyle name="Hyperlink" xfId="1984" builtinId="8" hidden="1"/>
    <cellStyle name="Hyperlink" xfId="1986" builtinId="8" hidden="1"/>
    <cellStyle name="Hyperlink" xfId="1988" builtinId="8" hidden="1"/>
    <cellStyle name="Hyperlink" xfId="1990" builtinId="8" hidden="1"/>
    <cellStyle name="Hyperlink" xfId="1992" builtinId="8" hidden="1"/>
    <cellStyle name="Hyperlink" xfId="1994" builtinId="8" hidden="1"/>
    <cellStyle name="Hyperlink" xfId="1996" builtinId="8" hidden="1"/>
    <cellStyle name="Hyperlink" xfId="1998" builtinId="8" hidden="1"/>
    <cellStyle name="Hyperlink" xfId="2000" builtinId="8" hidden="1"/>
    <cellStyle name="Hyperlink" xfId="2002" builtinId="8" hidden="1"/>
    <cellStyle name="Hyperlink" xfId="2004" builtinId="8" hidden="1"/>
    <cellStyle name="Hyperlink" xfId="2006" builtinId="8" hidden="1"/>
    <cellStyle name="Hyperlink" xfId="2008" builtinId="8" hidden="1"/>
    <cellStyle name="Hyperlink" xfId="2010" builtinId="8" hidden="1"/>
    <cellStyle name="Hyperlink" xfId="2012" builtinId="8" hidden="1"/>
    <cellStyle name="Hyperlink" xfId="2014" builtinId="8" hidden="1"/>
    <cellStyle name="Hyperlink" xfId="2016" builtinId="8" hidden="1"/>
    <cellStyle name="Hyperlink" xfId="2018" builtinId="8" hidden="1"/>
    <cellStyle name="Hyperlink" xfId="2020" builtinId="8" hidden="1"/>
    <cellStyle name="Hyperlink" xfId="2022" builtinId="8" hidden="1"/>
    <cellStyle name="Hyperlink" xfId="2024" builtinId="8" hidden="1"/>
    <cellStyle name="Hyperlink" xfId="2026" builtinId="8" hidden="1"/>
    <cellStyle name="Hyperlink" xfId="2028" builtinId="8" hidden="1"/>
    <cellStyle name="Hyperlink" xfId="2030" builtinId="8" hidden="1"/>
    <cellStyle name="Hyperlink" xfId="2032" builtinId="8" hidden="1"/>
    <cellStyle name="Hyperlink" xfId="2034" builtinId="8" hidden="1"/>
    <cellStyle name="Hyperlink" xfId="2036" builtinId="8" hidden="1"/>
    <cellStyle name="Hyperlink" xfId="2038" builtinId="8" hidden="1"/>
    <cellStyle name="Hyperlink" xfId="2040" builtinId="8" hidden="1"/>
    <cellStyle name="Hyperlink" xfId="2042" builtinId="8" hidden="1"/>
    <cellStyle name="Hyperlink" xfId="2044" builtinId="8" hidden="1"/>
    <cellStyle name="Hyperlink" xfId="2046" builtinId="8" hidden="1"/>
    <cellStyle name="Hyperlink" xfId="2048" builtinId="8" hidden="1"/>
    <cellStyle name="Hyperlink" xfId="2050" builtinId="8" hidden="1"/>
    <cellStyle name="Hyperlink" xfId="2052" builtinId="8" hidden="1"/>
    <cellStyle name="Hyperlink" xfId="2054" builtinId="8" hidden="1"/>
    <cellStyle name="Hyperlink" xfId="2056" builtinId="8" hidden="1"/>
    <cellStyle name="Hyperlink" xfId="2058" builtinId="8" hidden="1"/>
    <cellStyle name="Hyperlink" xfId="2060" builtinId="8" hidden="1"/>
    <cellStyle name="Hyperlink" xfId="2062" builtinId="8" hidden="1"/>
    <cellStyle name="Hyperlink" xfId="2064" builtinId="8" hidden="1"/>
    <cellStyle name="Hyperlink" xfId="2066" builtinId="8" hidden="1"/>
    <cellStyle name="Hyperlink" xfId="2068" builtinId="8" hidden="1"/>
    <cellStyle name="Hyperlink" xfId="2070" builtinId="8" hidden="1"/>
    <cellStyle name="Hyperlink" xfId="2072" builtinId="8" hidden="1"/>
    <cellStyle name="Hyperlink" xfId="2074" builtinId="8" hidden="1"/>
    <cellStyle name="Hyperlink" xfId="2076" builtinId="8" hidden="1"/>
    <cellStyle name="Hyperlink" xfId="2078" builtinId="8" hidden="1"/>
    <cellStyle name="Hyperlink" xfId="2080" builtinId="8" hidden="1"/>
    <cellStyle name="Hyperlink" xfId="2082" builtinId="8" hidden="1"/>
    <cellStyle name="Hyperlink" xfId="2084" builtinId="8" hidden="1"/>
    <cellStyle name="Hyperlink" xfId="2086" builtinId="8" hidden="1"/>
    <cellStyle name="Hyperlink" xfId="2088" builtinId="8" hidden="1"/>
    <cellStyle name="Hyperlink" xfId="2090" builtinId="8" hidden="1"/>
    <cellStyle name="Hyperlink" xfId="2092" builtinId="8" hidden="1"/>
    <cellStyle name="Hyperlink" xfId="2094" builtinId="8" hidden="1"/>
    <cellStyle name="Hyperlink" xfId="2096" builtinId="8" hidden="1"/>
    <cellStyle name="Hyperlink" xfId="2098" builtinId="8" hidden="1"/>
    <cellStyle name="Hyperlink" xfId="2100" builtinId="8" hidden="1"/>
    <cellStyle name="Hyperlink" xfId="2102" builtinId="8" hidden="1"/>
    <cellStyle name="Hyperlink" xfId="2104" builtinId="8" hidden="1"/>
    <cellStyle name="Hyperlink" xfId="2106" builtinId="8" hidden="1"/>
    <cellStyle name="Hyperlink" xfId="2108" builtinId="8" hidden="1"/>
    <cellStyle name="Hyperlink" xfId="2110" builtinId="8" hidden="1"/>
    <cellStyle name="Hyperlink" xfId="2112" builtinId="8" hidden="1"/>
    <cellStyle name="Hyperlink" xfId="2114" builtinId="8" hidden="1"/>
    <cellStyle name="Hyperlink" xfId="2116" builtinId="8" hidden="1"/>
    <cellStyle name="Hyperlink" xfId="2118" builtinId="8" hidden="1"/>
    <cellStyle name="Hyperlink" xfId="2120" builtinId="8" hidden="1"/>
    <cellStyle name="Hyperlink" xfId="2122" builtinId="8" hidden="1"/>
    <cellStyle name="Hyperlink" xfId="2124" builtinId="8" hidden="1"/>
    <cellStyle name="Hyperlink" xfId="2126" builtinId="8" hidden="1"/>
    <cellStyle name="Hyperlink" xfId="2128" builtinId="8" hidden="1"/>
    <cellStyle name="Hyperlink" xfId="2130" builtinId="8" hidden="1"/>
    <cellStyle name="Hyperlink" xfId="2132" builtinId="8" hidden="1"/>
    <cellStyle name="Hyperlink" xfId="2134" builtinId="8" hidden="1"/>
    <cellStyle name="Hyperlink" xfId="2136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2156" builtinId="8" hidden="1"/>
    <cellStyle name="Hyperlink" xfId="2158" builtinId="8" hidden="1"/>
    <cellStyle name="Hyperlink" xfId="2160" builtinId="8" hidden="1"/>
    <cellStyle name="Hyperlink" xfId="2162" builtinId="8" hidden="1"/>
    <cellStyle name="Hyperlink" xfId="2164" builtinId="8" hidden="1"/>
    <cellStyle name="Hyperlink" xfId="2166" builtinId="8" hidden="1"/>
    <cellStyle name="Hyperlink" xfId="2168" builtinId="8" hidden="1"/>
    <cellStyle name="Hyperlink" xfId="2170" builtinId="8" hidden="1"/>
    <cellStyle name="Hyperlink" xfId="2172" builtinId="8" hidden="1"/>
    <cellStyle name="Hyperlink" xfId="2174" builtinId="8" hidden="1"/>
    <cellStyle name="Hyperlink" xfId="2176" builtinId="8" hidden="1"/>
    <cellStyle name="Hyperlink" xfId="2178" builtinId="8" hidden="1"/>
    <cellStyle name="Hyperlink" xfId="2180" builtinId="8" hidden="1"/>
    <cellStyle name="Hyperlink" xfId="2182" builtinId="8" hidden="1"/>
    <cellStyle name="Hyperlink" xfId="2184" builtinId="8" hidden="1"/>
    <cellStyle name="Hyperlink" xfId="2186" builtinId="8" hidden="1"/>
    <cellStyle name="Hyperlink" xfId="2188" builtinId="8" hidden="1"/>
    <cellStyle name="Hyperlink" xfId="2190" builtinId="8" hidden="1"/>
    <cellStyle name="Hyperlink" xfId="2192" builtinId="8" hidden="1"/>
    <cellStyle name="Hyperlink" xfId="2194" builtinId="8" hidden="1"/>
    <cellStyle name="Hyperlink" xfId="2196" builtinId="8" hidden="1"/>
    <cellStyle name="Hyperlink" xfId="2198" builtinId="8" hidden="1"/>
    <cellStyle name="Hyperlink" xfId="2200" builtinId="8" hidden="1"/>
    <cellStyle name="Hyperlink" xfId="2202" builtinId="8" hidden="1"/>
    <cellStyle name="Hyperlink" xfId="2204" builtinId="8" hidden="1"/>
    <cellStyle name="Hyperlink" xfId="2206" builtinId="8" hidden="1"/>
    <cellStyle name="Hyperlink" xfId="2208" builtinId="8" hidden="1"/>
    <cellStyle name="Hyperlink" xfId="2210" builtinId="8" hidden="1"/>
    <cellStyle name="Hyperlink" xfId="2212" builtinId="8" hidden="1"/>
    <cellStyle name="Hyperlink" xfId="2214" builtinId="8" hidden="1"/>
    <cellStyle name="Hyperlink" xfId="2216" builtinId="8" hidden="1"/>
    <cellStyle name="Hyperlink" xfId="2218" builtinId="8" hidden="1"/>
    <cellStyle name="Hyperlink" xfId="2220" builtinId="8" hidden="1"/>
    <cellStyle name="Hyperlink" xfId="2222" builtinId="8" hidden="1"/>
    <cellStyle name="Hyperlink" xfId="2224" builtinId="8" hidden="1"/>
    <cellStyle name="Hyperlink" xfId="2226" builtinId="8" hidden="1"/>
    <cellStyle name="Hyperlink" xfId="2228" builtinId="8" hidden="1"/>
    <cellStyle name="Hyperlink" xfId="2230" builtinId="8" hidden="1"/>
    <cellStyle name="Hyperlink" xfId="2232" builtinId="8" hidden="1"/>
    <cellStyle name="Hyperlink" xfId="2234" builtinId="8" hidden="1"/>
    <cellStyle name="Hyperlink" xfId="2236" builtinId="8" hidden="1"/>
    <cellStyle name="Hyperlink" xfId="2238" builtinId="8" hidden="1"/>
    <cellStyle name="Hyperlink" xfId="2240" builtinId="8" hidden="1"/>
    <cellStyle name="Hyperlink" xfId="2242" builtinId="8" hidden="1"/>
    <cellStyle name="Hyperlink" xfId="2244" builtinId="8" hidden="1"/>
    <cellStyle name="Hyperlink" xfId="2246" builtinId="8" hidden="1"/>
    <cellStyle name="Hyperlink" xfId="2248" builtinId="8" hidden="1"/>
    <cellStyle name="Hyperlink" xfId="2250" builtinId="8" hidden="1"/>
    <cellStyle name="Hyperlink" xfId="2252" builtinId="8" hidden="1"/>
    <cellStyle name="Hyperlink" xfId="2254" builtinId="8" hidden="1"/>
    <cellStyle name="Hyperlink" xfId="2256" builtinId="8" hidden="1"/>
    <cellStyle name="Hyperlink" xfId="2258" builtinId="8" hidden="1"/>
    <cellStyle name="Hyperlink" xfId="2260" builtinId="8" hidden="1"/>
    <cellStyle name="Hyperlink" xfId="2262" builtinId="8" hidden="1"/>
    <cellStyle name="Hyperlink" xfId="2264" builtinId="8" hidden="1"/>
    <cellStyle name="Hyperlink" xfId="2266" builtinId="8" hidden="1"/>
    <cellStyle name="Hyperlink" xfId="2268" builtinId="8" hidden="1"/>
    <cellStyle name="Hyperlink" xfId="2270" builtinId="8" hidden="1"/>
    <cellStyle name="Hyperlink" xfId="2272" builtinId="8" hidden="1"/>
    <cellStyle name="Hyperlink" xfId="2274" builtinId="8" hidden="1"/>
    <cellStyle name="Hyperlink" xfId="2276" builtinId="8" hidden="1"/>
    <cellStyle name="Hyperlink" xfId="2278" builtinId="8" hidden="1"/>
    <cellStyle name="Hyperlink" xfId="2280" builtinId="8" hidden="1"/>
    <cellStyle name="Hyperlink" xfId="2282" builtinId="8" hidden="1"/>
    <cellStyle name="Hyperlink" xfId="2284" builtinId="8" hidden="1"/>
    <cellStyle name="Hyperlink" xfId="2286" builtinId="8" hidden="1"/>
    <cellStyle name="Hyperlink" xfId="2288" builtinId="8" hidden="1"/>
    <cellStyle name="Hyperlink" xfId="2290" builtinId="8" hidden="1"/>
    <cellStyle name="Hyperlink" xfId="2292" builtinId="8" hidden="1"/>
    <cellStyle name="Hyperlink" xfId="2294" builtinId="8" hidden="1"/>
    <cellStyle name="Hyperlink" xfId="2296" builtinId="8" hidden="1"/>
    <cellStyle name="Hyperlink" xfId="2298" builtinId="8" hidden="1"/>
    <cellStyle name="Hyperlink" xfId="2300" builtinId="8" hidden="1"/>
    <cellStyle name="Hyperlink" xfId="2302" builtinId="8" hidden="1"/>
    <cellStyle name="Hyperlink" xfId="2304" builtinId="8" hidden="1"/>
    <cellStyle name="Hyperlink" xfId="2306" builtinId="8" hidden="1"/>
    <cellStyle name="Hyperlink" xfId="2308" builtinId="8" hidden="1"/>
    <cellStyle name="Hyperlink" xfId="2310" builtinId="8" hidden="1"/>
    <cellStyle name="Hyperlink" xfId="2312" builtinId="8" hidden="1"/>
    <cellStyle name="Hyperlink" xfId="2314" builtinId="8" hidden="1"/>
    <cellStyle name="Hyperlink" xfId="2316" builtinId="8" hidden="1"/>
    <cellStyle name="Hyperlink" xfId="2318" builtinId="8" hidden="1"/>
    <cellStyle name="Hyperlink" xfId="2320" builtinId="8" hidden="1"/>
    <cellStyle name="Hyperlink" xfId="2322" builtinId="8" hidden="1"/>
    <cellStyle name="Hyperlink" xfId="2324" builtinId="8" hidden="1"/>
    <cellStyle name="Hyperlink" xfId="2326" builtinId="8" hidden="1"/>
    <cellStyle name="Hyperlink" xfId="2328" builtinId="8" hidden="1"/>
    <cellStyle name="Hyperlink" xfId="2330" builtinId="8" hidden="1"/>
    <cellStyle name="Hyperlink" xfId="2332" builtinId="8" hidden="1"/>
    <cellStyle name="Hyperlink" xfId="2334" builtinId="8" hidden="1"/>
    <cellStyle name="Hyperlink" xfId="2336" builtinId="8" hidden="1"/>
    <cellStyle name="Hyperlink" xfId="2338" builtinId="8" hidden="1"/>
    <cellStyle name="Hyperlink" xfId="2340" builtinId="8" hidden="1"/>
    <cellStyle name="Hyperlink" xfId="2342" builtinId="8" hidden="1"/>
    <cellStyle name="Hyperlink" xfId="2344" builtinId="8" hidden="1"/>
    <cellStyle name="Hyperlink" xfId="2346" builtinId="8" hidden="1"/>
    <cellStyle name="Hyperlink" xfId="2348" builtinId="8" hidden="1"/>
    <cellStyle name="Hyperlink" xfId="2350" builtinId="8" hidden="1"/>
    <cellStyle name="Hyperlink" xfId="2352" builtinId="8" hidden="1"/>
    <cellStyle name="Hyperlink" xfId="2354" builtinId="8" hidden="1"/>
    <cellStyle name="Hyperlink" xfId="2356" builtinId="8" hidden="1"/>
    <cellStyle name="Hyperlink" xfId="2358" builtinId="8" hidden="1"/>
    <cellStyle name="Hyperlink" xfId="2360" builtinId="8" hidden="1"/>
    <cellStyle name="Hyperlink" xfId="2362" builtinId="8" hidden="1"/>
    <cellStyle name="Hyperlink" xfId="2364" builtinId="8" hidden="1"/>
    <cellStyle name="Hyperlink" xfId="2366" builtinId="8" hidden="1"/>
    <cellStyle name="Hyperlink" xfId="2368" builtinId="8" hidden="1"/>
    <cellStyle name="Hyperlink" xfId="2370" builtinId="8" hidden="1"/>
    <cellStyle name="Hyperlink" xfId="2372" builtinId="8" hidden="1"/>
    <cellStyle name="Hyperlink" xfId="2374" builtinId="8" hidden="1"/>
    <cellStyle name="Hyperlink" xfId="2376" builtinId="8" hidden="1"/>
    <cellStyle name="Hyperlink" xfId="2378" builtinId="8" hidden="1"/>
    <cellStyle name="Hyperlink" xfId="2380" builtinId="8" hidden="1"/>
    <cellStyle name="Hyperlink" xfId="2382" builtinId="8" hidden="1"/>
    <cellStyle name="Hyperlink" xfId="2384" builtinId="8" hidden="1"/>
    <cellStyle name="Hyperlink" xfId="2386" builtinId="8" hidden="1"/>
    <cellStyle name="Hyperlink" xfId="2388" builtinId="8" hidden="1"/>
    <cellStyle name="Hyperlink" xfId="2390" builtinId="8" hidden="1"/>
    <cellStyle name="Hyperlink" xfId="2392" builtinId="8" hidden="1"/>
    <cellStyle name="Hyperlink" xfId="2394" builtinId="8" hidden="1"/>
    <cellStyle name="Hyperlink" xfId="2396" builtinId="8" hidden="1"/>
    <cellStyle name="Hyperlink" xfId="2398" builtinId="8" hidden="1"/>
    <cellStyle name="Hyperlink" xfId="2400" builtinId="8" hidden="1"/>
    <cellStyle name="Hyperlink" xfId="2402" builtinId="8" hidden="1"/>
    <cellStyle name="Hyperlink" xfId="2404" builtinId="8" hidden="1"/>
    <cellStyle name="Hyperlink" xfId="2406" builtinId="8" hidden="1"/>
    <cellStyle name="Hyperlink" xfId="2408" builtinId="8" hidden="1"/>
    <cellStyle name="Hyperlink" xfId="2410" builtinId="8" hidden="1"/>
    <cellStyle name="Hyperlink" xfId="2412" builtinId="8" hidden="1"/>
    <cellStyle name="Hyperlink" xfId="2414" builtinId="8" hidden="1"/>
    <cellStyle name="Hyperlink" xfId="2416" builtinId="8" hidden="1"/>
    <cellStyle name="Hyperlink" xfId="2418" builtinId="8" hidden="1"/>
    <cellStyle name="Hyperlink" xfId="2420" builtinId="8" hidden="1"/>
    <cellStyle name="Hyperlink" xfId="2422" builtinId="8" hidden="1"/>
    <cellStyle name="Hyperlink" xfId="2424" builtinId="8" hidden="1"/>
    <cellStyle name="Hyperlink" xfId="2426" builtinId="8" hidden="1"/>
    <cellStyle name="Hyperlink" xfId="2428" builtinId="8" hidden="1"/>
    <cellStyle name="Hyperlink" xfId="2430" builtinId="8" hidden="1"/>
    <cellStyle name="Hyperlink" xfId="2432" builtinId="8" hidden="1"/>
    <cellStyle name="Hyperlink" xfId="2434" builtinId="8" hidden="1"/>
    <cellStyle name="Hyperlink" xfId="2436" builtinId="8" hidden="1"/>
    <cellStyle name="Hyperlink" xfId="2438" builtinId="8" hidden="1"/>
    <cellStyle name="Hyperlink" xfId="2440" builtinId="8" hidden="1"/>
    <cellStyle name="Hyperlink" xfId="2442" builtinId="8" hidden="1"/>
    <cellStyle name="Hyperlink" xfId="2444" builtinId="8" hidden="1"/>
    <cellStyle name="Hyperlink" xfId="2446" builtinId="8" hidden="1"/>
    <cellStyle name="Hyperlink" xfId="2448" builtinId="8" hidden="1"/>
    <cellStyle name="Hyperlink" xfId="2450" builtinId="8" hidden="1"/>
    <cellStyle name="Hyperlink" xfId="2452" builtinId="8" hidden="1"/>
    <cellStyle name="Hyperlink" xfId="2454" builtinId="8" hidden="1"/>
    <cellStyle name="Hyperlink" xfId="2456" builtinId="8" hidden="1"/>
    <cellStyle name="Hyperlink" xfId="2458" builtinId="8" hidden="1"/>
    <cellStyle name="Hyperlink" xfId="2460" builtinId="8" hidden="1"/>
    <cellStyle name="Hyperlink" xfId="2462" builtinId="8" hidden="1"/>
    <cellStyle name="Hyperlink" xfId="2464" builtinId="8" hidden="1"/>
    <cellStyle name="Hyperlink" xfId="2466" builtinId="8" hidden="1"/>
    <cellStyle name="Hyperlink" xfId="2468" builtinId="8" hidden="1"/>
    <cellStyle name="Hyperlink" xfId="2470" builtinId="8" hidden="1"/>
    <cellStyle name="Hyperlink" xfId="2472" builtinId="8" hidden="1"/>
    <cellStyle name="Hyperlink" xfId="2474" builtinId="8" hidden="1"/>
    <cellStyle name="Hyperlink" xfId="2476" builtinId="8" hidden="1"/>
    <cellStyle name="Hyperlink" xfId="2478" builtinId="8" hidden="1"/>
    <cellStyle name="Hyperlink" xfId="2480" builtinId="8" hidden="1"/>
    <cellStyle name="Hyperlink" xfId="2482" builtinId="8" hidden="1"/>
    <cellStyle name="Hyperlink" xfId="2484" builtinId="8" hidden="1"/>
    <cellStyle name="Hyperlink" xfId="2486" builtinId="8" hidden="1"/>
    <cellStyle name="Hyperlink" xfId="2488" builtinId="8" hidden="1"/>
    <cellStyle name="Hyperlink" xfId="2490" builtinId="8" hidden="1"/>
    <cellStyle name="Hyperlink" xfId="2492" builtinId="8" hidden="1"/>
    <cellStyle name="Hyperlink" xfId="2494" builtinId="8" hidden="1"/>
    <cellStyle name="Hyperlink" xfId="2496" builtinId="8" hidden="1"/>
    <cellStyle name="Hyperlink" xfId="2498" builtinId="8" hidden="1"/>
    <cellStyle name="Hyperlink" xfId="2500" builtinId="8" hidden="1"/>
    <cellStyle name="Hyperlink" xfId="2502" builtinId="8" hidden="1"/>
    <cellStyle name="Hyperlink" xfId="2504" builtinId="8" hidden="1"/>
    <cellStyle name="Hyperlink" xfId="2506" builtinId="8" hidden="1"/>
    <cellStyle name="Hyperlink" xfId="2508" builtinId="8" hidden="1"/>
    <cellStyle name="Hyperlink" xfId="2510" builtinId="8" hidden="1"/>
    <cellStyle name="Hyperlink" xfId="2512" builtinId="8" hidden="1"/>
    <cellStyle name="Hyperlink" xfId="2514" builtinId="8" hidden="1"/>
    <cellStyle name="Hyperlink" xfId="2516" builtinId="8" hidden="1"/>
    <cellStyle name="Hyperlink" xfId="2518" builtinId="8" hidden="1"/>
    <cellStyle name="Hyperlink" xfId="2520" builtinId="8" hidden="1"/>
    <cellStyle name="Hyperlink" xfId="2522" builtinId="8" hidden="1"/>
    <cellStyle name="Hyperlink" xfId="2524" builtinId="8" hidden="1"/>
    <cellStyle name="Hyperlink" xfId="2526" builtinId="8" hidden="1"/>
    <cellStyle name="Hyperlink" xfId="2528" builtinId="8" hidden="1"/>
    <cellStyle name="Hyperlink" xfId="2530" builtinId="8" hidden="1"/>
    <cellStyle name="Hyperlink" xfId="2532" builtinId="8" hidden="1"/>
    <cellStyle name="Hyperlink" xfId="2534" builtinId="8" hidden="1"/>
    <cellStyle name="Hyperlink" xfId="2536" builtinId="8" hidden="1"/>
    <cellStyle name="Hyperlink" xfId="2538" builtinId="8" hidden="1"/>
    <cellStyle name="Hyperlink" xfId="2540" builtinId="8" hidden="1"/>
    <cellStyle name="Hyperlink" xfId="2542" builtinId="8" hidden="1"/>
    <cellStyle name="Hyperlink" xfId="2544" builtinId="8" hidden="1"/>
    <cellStyle name="Hyperlink" xfId="2546" builtinId="8" hidden="1"/>
    <cellStyle name="Hyperlink" xfId="2548" builtinId="8" hidden="1"/>
    <cellStyle name="Hyperlink" xfId="2550" builtinId="8" hidden="1"/>
    <cellStyle name="Hyperlink" xfId="2552" builtinId="8" hidden="1"/>
    <cellStyle name="Hyperlink" xfId="2554" builtinId="8" hidden="1"/>
    <cellStyle name="Hyperlink" xfId="2556" builtinId="8" hidden="1"/>
    <cellStyle name="Hyperlink" xfId="2558" builtinId="8" hidden="1"/>
    <cellStyle name="Hyperlink" xfId="2560" builtinId="8" hidden="1"/>
    <cellStyle name="Hyperlink" xfId="2562" builtinId="8" hidden="1"/>
    <cellStyle name="Hyperlink" xfId="2564" builtinId="8" hidden="1"/>
    <cellStyle name="Hyperlink" xfId="2566" builtinId="8" hidden="1"/>
    <cellStyle name="Hyperlink" xfId="2568" builtinId="8" hidden="1"/>
    <cellStyle name="Hyperlink" xfId="2570" builtinId="8" hidden="1"/>
    <cellStyle name="Hyperlink" xfId="2572" builtinId="8" hidden="1"/>
    <cellStyle name="Hyperlink" xfId="2574" builtinId="8" hidden="1"/>
    <cellStyle name="Hyperlink" xfId="2576" builtinId="8" hidden="1"/>
    <cellStyle name="Hyperlink" xfId="2578" builtinId="8" hidden="1"/>
    <cellStyle name="Hyperlink" xfId="2580" builtinId="8" hidden="1"/>
    <cellStyle name="Hyperlink" xfId="2582" builtinId="8" hidden="1"/>
    <cellStyle name="Hyperlink" xfId="2584" builtinId="8" hidden="1"/>
    <cellStyle name="Hyperlink" xfId="2586" builtinId="8" hidden="1"/>
    <cellStyle name="Hyperlink" xfId="2588" builtinId="8" hidden="1"/>
    <cellStyle name="Hyperlink" xfId="2590" builtinId="8" hidden="1"/>
    <cellStyle name="Hyperlink" xfId="2592" builtinId="8" hidden="1"/>
    <cellStyle name="Hyperlink" xfId="2594" builtinId="8" hidden="1"/>
    <cellStyle name="Hyperlink" xfId="2596" builtinId="8" hidden="1"/>
    <cellStyle name="Hyperlink" xfId="2598" builtinId="8" hidden="1"/>
    <cellStyle name="Hyperlink" xfId="2600" builtinId="8" hidden="1"/>
    <cellStyle name="Hyperlink" xfId="2602" builtinId="8" hidden="1"/>
    <cellStyle name="Hyperlink" xfId="2604" builtinId="8" hidden="1"/>
    <cellStyle name="Hyperlink" xfId="2606" builtinId="8" hidden="1"/>
    <cellStyle name="Hyperlink" xfId="2608" builtinId="8" hidden="1"/>
    <cellStyle name="Hyperlink" xfId="2610" builtinId="8" hidden="1"/>
    <cellStyle name="Hyperlink" xfId="2612" builtinId="8" hidden="1"/>
    <cellStyle name="Hyperlink" xfId="2614" builtinId="8" hidden="1"/>
    <cellStyle name="Hyperlink" xfId="2616" builtinId="8" hidden="1"/>
    <cellStyle name="Hyperlink" xfId="2618" builtinId="8" hidden="1"/>
    <cellStyle name="Hyperlink" xfId="2620" builtinId="8" hidden="1"/>
    <cellStyle name="Hyperlink" xfId="2622" builtinId="8" hidden="1"/>
    <cellStyle name="Hyperlink" xfId="2624" builtinId="8" hidden="1"/>
    <cellStyle name="Hyperlink" xfId="2626" builtinId="8" hidden="1"/>
    <cellStyle name="Hyperlink" xfId="2628" builtinId="8" hidden="1"/>
    <cellStyle name="Hyperlink" xfId="2630" builtinId="8" hidden="1"/>
    <cellStyle name="Hyperlink" xfId="2632" builtinId="8" hidden="1"/>
    <cellStyle name="Hyperlink" xfId="2634" builtinId="8" hidden="1"/>
    <cellStyle name="Hyperlink" xfId="2636" builtinId="8" hidden="1"/>
    <cellStyle name="Hyperlink" xfId="2638" builtinId="8" hidden="1"/>
    <cellStyle name="Hyperlink" xfId="2640" builtinId="8" hidden="1"/>
    <cellStyle name="Hyperlink" xfId="2642" builtinId="8" hidden="1"/>
    <cellStyle name="Hyperlink" xfId="2644" builtinId="8" hidden="1"/>
    <cellStyle name="Hyperlink" xfId="2646" builtinId="8" hidden="1"/>
    <cellStyle name="Hyperlink" xfId="2648" builtinId="8" hidden="1"/>
    <cellStyle name="Hyperlink" xfId="2650" builtinId="8" hidden="1"/>
    <cellStyle name="Hyperlink" xfId="2652" builtinId="8" hidden="1"/>
    <cellStyle name="Hyperlink" xfId="2654" builtinId="8" hidden="1"/>
    <cellStyle name="Hyperlink" xfId="2656" builtinId="8" hidden="1"/>
    <cellStyle name="Hyperlink" xfId="2658" builtinId="8" hidden="1"/>
    <cellStyle name="Hyperlink" xfId="2660" builtinId="8" hidden="1"/>
    <cellStyle name="Hyperlink" xfId="2662" builtinId="8" hidden="1"/>
    <cellStyle name="Hyperlink" xfId="2664" builtinId="8" hidden="1"/>
    <cellStyle name="Hyperlink" xfId="2666" builtinId="8" hidden="1"/>
    <cellStyle name="Hyperlink" xfId="2668" builtinId="8" hidden="1"/>
    <cellStyle name="Hyperlink" xfId="2670" builtinId="8" hidden="1"/>
    <cellStyle name="Hyperlink" xfId="2672" builtinId="8" hidden="1"/>
    <cellStyle name="Hyperlink" xfId="2674" builtinId="8" hidden="1"/>
    <cellStyle name="Hyperlink" xfId="2676" builtinId="8" hidden="1"/>
    <cellStyle name="Hyperlink" xfId="2678" builtinId="8" hidden="1"/>
    <cellStyle name="Hyperlink" xfId="2680" builtinId="8" hidden="1"/>
    <cellStyle name="Hyperlink" xfId="2682" builtinId="8" hidden="1"/>
    <cellStyle name="Hyperlink" xfId="2684" builtinId="8" hidden="1"/>
    <cellStyle name="Hyperlink" xfId="2686" builtinId="8" hidden="1"/>
    <cellStyle name="Hyperlink" xfId="2688" builtinId="8" hidden="1"/>
    <cellStyle name="Hyperlink" xfId="2690" builtinId="8" hidden="1"/>
    <cellStyle name="Hyperlink" xfId="2692" builtinId="8" hidden="1"/>
    <cellStyle name="Hyperlink" xfId="2694" builtinId="8" hidden="1"/>
    <cellStyle name="Hyperlink" xfId="2696" builtinId="8" hidden="1"/>
    <cellStyle name="Hyperlink" xfId="2698" builtinId="8" hidden="1"/>
    <cellStyle name="Hyperlink" xfId="2700" builtinId="8" hidden="1"/>
    <cellStyle name="Hyperlink" xfId="2702" builtinId="8" hidden="1"/>
    <cellStyle name="Hyperlink" xfId="2704" builtinId="8" hidden="1"/>
    <cellStyle name="Hyperlink" xfId="2706" builtinId="8" hidden="1"/>
    <cellStyle name="Hyperlink" xfId="2708" builtinId="8" hidden="1"/>
    <cellStyle name="Hyperlink" xfId="2710" builtinId="8" hidden="1"/>
    <cellStyle name="Hyperlink" xfId="2712" builtinId="8" hidden="1"/>
    <cellStyle name="Hyperlink" xfId="2714" builtinId="8" hidden="1"/>
    <cellStyle name="Hyperlink" xfId="2716" builtinId="8" hidden="1"/>
    <cellStyle name="Hyperlink" xfId="2718" builtinId="8" hidden="1"/>
    <cellStyle name="Hyperlink" xfId="2720" builtinId="8" hidden="1"/>
    <cellStyle name="Hyperlink" xfId="2722" builtinId="8" hidden="1"/>
    <cellStyle name="Hyperlink" xfId="2724" builtinId="8" hidden="1"/>
    <cellStyle name="Hyperlink" xfId="2726" builtinId="8" hidden="1"/>
    <cellStyle name="Hyperlink" xfId="2728" builtinId="8" hidden="1"/>
    <cellStyle name="Hyperlink" xfId="2730" builtinId="8" hidden="1"/>
    <cellStyle name="Hyperlink" xfId="2732" builtinId="8" hidden="1"/>
    <cellStyle name="Hyperlink" xfId="2734" builtinId="8" hidden="1"/>
    <cellStyle name="Hyperlink" xfId="2736" builtinId="8" hidden="1"/>
    <cellStyle name="Hyperlink" xfId="2738" builtinId="8" hidden="1"/>
    <cellStyle name="Hyperlink" xfId="2740" builtinId="8" hidden="1"/>
    <cellStyle name="Hyperlink" xfId="2742" builtinId="8" hidden="1"/>
    <cellStyle name="Hyperlink" xfId="2744" builtinId="8" hidden="1"/>
    <cellStyle name="Hyperlink" xfId="2746" builtinId="8" hidden="1"/>
    <cellStyle name="Hyperlink" xfId="2748" builtinId="8" hidden="1"/>
    <cellStyle name="Hyperlink" xfId="2750" builtinId="8" hidden="1"/>
    <cellStyle name="Hyperlink" xfId="2752" builtinId="8" hidden="1"/>
    <cellStyle name="Hyperlink" xfId="2754" builtinId="8" hidden="1"/>
    <cellStyle name="Hyperlink" xfId="2756" builtinId="8" hidden="1"/>
    <cellStyle name="Hyperlink" xfId="2758" builtinId="8" hidden="1"/>
    <cellStyle name="Hyperlink" xfId="2760" builtinId="8" hidden="1"/>
    <cellStyle name="Hyperlink" xfId="2762" builtinId="8" hidden="1"/>
    <cellStyle name="Hyperlink" xfId="2764" builtinId="8" hidden="1"/>
    <cellStyle name="Hyperlink" xfId="2766" builtinId="8" hidden="1"/>
    <cellStyle name="Hyperlink" xfId="2768" builtinId="8" hidden="1"/>
    <cellStyle name="Hyperlink" xfId="2770" builtinId="8" hidden="1"/>
    <cellStyle name="Hyperlink" xfId="2772" builtinId="8" hidden="1"/>
    <cellStyle name="Hyperlink" xfId="2774" builtinId="8" hidden="1"/>
    <cellStyle name="Hyperlink" xfId="2776" builtinId="8" hidden="1"/>
    <cellStyle name="Hyperlink" xfId="2778" builtinId="8" hidden="1"/>
    <cellStyle name="Hyperlink" xfId="2780" builtinId="8" hidden="1"/>
    <cellStyle name="Hyperlink" xfId="2782" builtinId="8" hidden="1"/>
    <cellStyle name="Hyperlink" xfId="2784" builtinId="8" hidden="1"/>
    <cellStyle name="Hyperlink" xfId="2786" builtinId="8" hidden="1"/>
    <cellStyle name="Hyperlink" xfId="2788" builtinId="8" hidden="1"/>
    <cellStyle name="Hyperlink" xfId="2790" builtinId="8" hidden="1"/>
    <cellStyle name="Hyperlink" xfId="2792" builtinId="8" hidden="1"/>
    <cellStyle name="Hyperlink" xfId="2794" builtinId="8" hidden="1"/>
    <cellStyle name="Hyperlink" xfId="2796" builtinId="8" hidden="1"/>
    <cellStyle name="Hyperlink" xfId="2798" builtinId="8" hidden="1"/>
    <cellStyle name="Hyperlink" xfId="2800" builtinId="8" hidden="1"/>
    <cellStyle name="Hyperlink" xfId="2802" builtinId="8" hidden="1"/>
    <cellStyle name="Hyperlink" xfId="2804" builtinId="8" hidden="1"/>
    <cellStyle name="Hyperlink" xfId="2806" builtinId="8" hidden="1"/>
    <cellStyle name="Hyperlink" xfId="2808" builtinId="8" hidden="1"/>
    <cellStyle name="Hyperlink" xfId="2810" builtinId="8" hidden="1"/>
    <cellStyle name="Hyperlink" xfId="2812" builtinId="8" hidden="1"/>
    <cellStyle name="Hyperlink" xfId="2814" builtinId="8" hidden="1"/>
    <cellStyle name="Hyperlink" xfId="2816" builtinId="8" hidden="1"/>
    <cellStyle name="Hyperlink" xfId="2818" builtinId="8" hidden="1"/>
    <cellStyle name="Hyperlink" xfId="2820" builtinId="8" hidden="1"/>
    <cellStyle name="Hyperlink" xfId="2822" builtinId="8" hidden="1"/>
    <cellStyle name="Hyperlink" xfId="2824" builtinId="8" hidden="1"/>
    <cellStyle name="Hyperlink" xfId="2826" builtinId="8" hidden="1"/>
    <cellStyle name="Hyperlink" xfId="2828" builtinId="8" hidden="1"/>
    <cellStyle name="Hyperlink" xfId="2830" builtinId="8" hidden="1"/>
    <cellStyle name="Hyperlink" xfId="2832" builtinId="8" hidden="1"/>
    <cellStyle name="Hyperlink" xfId="2834" builtinId="8" hidden="1"/>
    <cellStyle name="Hyperlink" xfId="2836" builtinId="8" hidden="1"/>
    <cellStyle name="Hyperlink" xfId="2838" builtinId="8" hidden="1"/>
    <cellStyle name="Hyperlink" xfId="2840" builtinId="8" hidden="1"/>
    <cellStyle name="Hyperlink" xfId="2842" builtinId="8" hidden="1"/>
    <cellStyle name="Hyperlink" xfId="2844" builtinId="8" hidden="1"/>
    <cellStyle name="Hyperlink" xfId="2846" builtinId="8" hidden="1"/>
    <cellStyle name="Hyperlink" xfId="2848" builtinId="8" hidden="1"/>
    <cellStyle name="Hyperlink" xfId="2850" builtinId="8" hidden="1"/>
    <cellStyle name="Hyperlink" xfId="2852" builtinId="8" hidden="1"/>
    <cellStyle name="Hyperlink" xfId="2854" builtinId="8" hidden="1"/>
    <cellStyle name="Hyperlink" xfId="2856" builtinId="8" hidden="1"/>
    <cellStyle name="Hyperlink" xfId="2858" builtinId="8" hidden="1"/>
    <cellStyle name="Hyperlink" xfId="2860" builtinId="8" hidden="1"/>
    <cellStyle name="Hyperlink" xfId="2862" builtinId="8" hidden="1"/>
    <cellStyle name="Hyperlink" xfId="2864" builtinId="8" hidden="1"/>
    <cellStyle name="Hyperlink" xfId="2866" builtinId="8" hidden="1"/>
    <cellStyle name="Hyperlink" xfId="2868" builtinId="8" hidden="1"/>
    <cellStyle name="Hyperlink" xfId="2870" builtinId="8" hidden="1"/>
    <cellStyle name="Hyperlink" xfId="2872" builtinId="8" hidden="1"/>
    <cellStyle name="Hyperlink" xfId="2874" builtinId="8" hidden="1"/>
    <cellStyle name="Hyperlink" xfId="2876" builtinId="8" hidden="1"/>
    <cellStyle name="Hyperlink" xfId="2878" builtinId="8" hidden="1"/>
    <cellStyle name="Hyperlink" xfId="2880" builtinId="8" hidden="1"/>
    <cellStyle name="Hyperlink" xfId="2882" builtinId="8" hidden="1"/>
    <cellStyle name="Hyperlink" xfId="2884" builtinId="8" hidden="1"/>
    <cellStyle name="Hyperlink" xfId="2886" builtinId="8" hidden="1"/>
    <cellStyle name="Hyperlink" xfId="2888" builtinId="8" hidden="1"/>
    <cellStyle name="Hyperlink" xfId="2890" builtinId="8" hidden="1"/>
    <cellStyle name="Hyperlink" xfId="2892" builtinId="8" hidden="1"/>
    <cellStyle name="Hyperlink" xfId="2894" builtinId="8" hidden="1"/>
    <cellStyle name="Hyperlink" xfId="2896" builtinId="8" hidden="1"/>
    <cellStyle name="Hyperlink" xfId="2898" builtinId="8" hidden="1"/>
    <cellStyle name="Hyperlink" xfId="2900" builtinId="8" hidden="1"/>
    <cellStyle name="Hyperlink" xfId="2902" builtinId="8" hidden="1"/>
    <cellStyle name="Hyperlink" xfId="2904" builtinId="8" hidden="1"/>
    <cellStyle name="Hyperlink" xfId="2906" builtinId="8" hidden="1"/>
    <cellStyle name="Hyperlink" xfId="2908" builtinId="8" hidden="1"/>
    <cellStyle name="Hyperlink" xfId="2910" builtinId="8" hidden="1"/>
    <cellStyle name="Hyperlink" xfId="2912" builtinId="8" hidden="1"/>
    <cellStyle name="Hyperlink" xfId="2914" builtinId="8" hidden="1"/>
    <cellStyle name="Hyperlink" xfId="2916" builtinId="8" hidden="1"/>
    <cellStyle name="Hyperlink" xfId="2918" builtinId="8" hidden="1"/>
    <cellStyle name="Hyperlink" xfId="2920" builtinId="8" hidden="1"/>
    <cellStyle name="Hyperlink" xfId="2922" builtinId="8" hidden="1"/>
    <cellStyle name="Hyperlink" xfId="2924" builtinId="8" hidden="1"/>
    <cellStyle name="Hyperlink" xfId="2926" builtinId="8" hidden="1"/>
    <cellStyle name="Hyperlink" xfId="2928" builtinId="8" hidden="1"/>
    <cellStyle name="Hyperlink" xfId="2930" builtinId="8" hidden="1"/>
    <cellStyle name="Hyperlink" xfId="2932" builtinId="8" hidden="1"/>
    <cellStyle name="Hyperlink" xfId="2934" builtinId="8" hidden="1"/>
    <cellStyle name="Hyperlink" xfId="2936" builtinId="8" hidden="1"/>
    <cellStyle name="Hyperlink" xfId="2938" builtinId="8" hidden="1"/>
    <cellStyle name="Hyperlink" xfId="2940" builtinId="8" hidden="1"/>
    <cellStyle name="Hyperlink" xfId="2942" builtinId="8" hidden="1"/>
    <cellStyle name="Hyperlink" xfId="2944" builtinId="8" hidden="1"/>
    <cellStyle name="Hyperlink" xfId="2946" builtinId="8" hidden="1"/>
    <cellStyle name="Hyperlink" xfId="2948" builtinId="8" hidden="1"/>
    <cellStyle name="Hyperlink" xfId="2950" builtinId="8" hidden="1"/>
    <cellStyle name="Hyperlink" xfId="2952" builtinId="8" hidden="1"/>
    <cellStyle name="Hyperlink" xfId="2954" builtinId="8" hidden="1"/>
    <cellStyle name="Hyperlink" xfId="2956" builtinId="8" hidden="1"/>
    <cellStyle name="Hyperlink" xfId="2958" builtinId="8" hidden="1"/>
    <cellStyle name="Hyperlink" xfId="2960" builtinId="8" hidden="1"/>
    <cellStyle name="Hyperlink" xfId="2962" builtinId="8" hidden="1"/>
    <cellStyle name="Hyperlink" xfId="2964" builtinId="8" hidden="1"/>
    <cellStyle name="Hyperlink" xfId="2966" builtinId="8" hidden="1"/>
    <cellStyle name="Hyperlink" xfId="2968" builtinId="8" hidden="1"/>
    <cellStyle name="Hyperlink" xfId="2970" builtinId="8" hidden="1"/>
    <cellStyle name="Hyperlink" xfId="2972" builtinId="8" hidden="1"/>
    <cellStyle name="Hyperlink" xfId="2974" builtinId="8" hidden="1"/>
    <cellStyle name="Hyperlink" xfId="2976" builtinId="8" hidden="1"/>
    <cellStyle name="Hyperlink" xfId="2978" builtinId="8" hidden="1"/>
    <cellStyle name="Hyperlink" xfId="2980" builtinId="8" hidden="1"/>
    <cellStyle name="Hyperlink" xfId="2982" builtinId="8" hidden="1"/>
    <cellStyle name="Hyperlink" xfId="2984" builtinId="8" hidden="1"/>
    <cellStyle name="Hyperlink" xfId="2986" builtinId="8" hidden="1"/>
    <cellStyle name="Hyperlink" xfId="2988" builtinId="8" hidden="1"/>
    <cellStyle name="Hyperlink" xfId="2990" builtinId="8" hidden="1"/>
    <cellStyle name="Hyperlink" xfId="2992" builtinId="8" hidden="1"/>
    <cellStyle name="Hyperlink" xfId="2994" builtinId="8" hidden="1"/>
    <cellStyle name="Hyperlink" xfId="2996" builtinId="8" hidden="1"/>
    <cellStyle name="Hyperlink" xfId="2998" builtinId="8" hidden="1"/>
    <cellStyle name="Hyperlink" xfId="3000" builtinId="8" hidden="1"/>
    <cellStyle name="Hyperlink" xfId="3002" builtinId="8" hidden="1"/>
    <cellStyle name="Hyperlink" xfId="3004" builtinId="8" hidden="1"/>
    <cellStyle name="Hyperlink" xfId="3006" builtinId="8" hidden="1"/>
    <cellStyle name="Hyperlink" xfId="3008" builtinId="8" hidden="1"/>
    <cellStyle name="Hyperlink" xfId="3010" builtinId="8" hidden="1"/>
    <cellStyle name="Hyperlink" xfId="3012" builtinId="8" hidden="1"/>
    <cellStyle name="Hyperlink" xfId="3014" builtinId="8" hidden="1"/>
    <cellStyle name="Hyperlink" xfId="3016" builtinId="8" hidden="1"/>
    <cellStyle name="Hyperlink" xfId="3018" builtinId="8" hidden="1"/>
    <cellStyle name="Hyperlink" xfId="3020" builtinId="8" hidden="1"/>
    <cellStyle name="Hyperlink" xfId="3022" builtinId="8" hidden="1"/>
    <cellStyle name="Hyperlink" xfId="3024" builtinId="8" hidden="1"/>
    <cellStyle name="Hyperlink" xfId="3026" builtinId="8" hidden="1"/>
    <cellStyle name="Hyperlink" xfId="3028" builtinId="8" hidden="1"/>
    <cellStyle name="Hyperlink" xfId="3030" builtinId="8" hidden="1"/>
    <cellStyle name="Hyperlink" xfId="3032" builtinId="8" hidden="1"/>
    <cellStyle name="Hyperlink" xfId="3034" builtinId="8" hidden="1"/>
    <cellStyle name="Hyperlink" xfId="3036" builtinId="8" hidden="1"/>
    <cellStyle name="Hyperlink" xfId="3038" builtinId="8" hidden="1"/>
    <cellStyle name="Hyperlink" xfId="3040" builtinId="8" hidden="1"/>
    <cellStyle name="Hyperlink" xfId="3043" builtinId="8" hidden="1"/>
    <cellStyle name="Hyperlink" xfId="3045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3" builtinId="8" hidden="1"/>
    <cellStyle name="Hyperlink" xfId="3055" builtinId="8" hidden="1"/>
    <cellStyle name="Hyperlink" xfId="3057" builtinId="8" hidden="1"/>
    <cellStyle name="Hyperlink" xfId="3059" builtinId="8" hidden="1"/>
    <cellStyle name="Hyperlink" xfId="3061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69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7" builtinId="8" hidden="1"/>
    <cellStyle name="Hyperlink" xfId="3079" builtinId="8" hidden="1"/>
    <cellStyle name="Hyperlink" xfId="3081" builtinId="8" hidden="1"/>
    <cellStyle name="Hyperlink" xfId="3083" builtinId="8" hidden="1"/>
    <cellStyle name="Hyperlink" xfId="3085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3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1" builtinId="8" hidden="1"/>
    <cellStyle name="Hyperlink" xfId="3103" builtinId="8" hidden="1"/>
    <cellStyle name="Hyperlink" xfId="3105" builtinId="8" hidden="1"/>
    <cellStyle name="Hyperlink" xfId="3107" builtinId="8" hidden="1"/>
    <cellStyle name="Hyperlink" xfId="3109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7" builtinId="8" hidden="1"/>
    <cellStyle name="Hyperlink" xfId="3119" builtinId="8" hidden="1"/>
    <cellStyle name="Hyperlink" xfId="3121" builtinId="8" hidden="1"/>
    <cellStyle name="Hyperlink" xfId="3123" builtinId="8" hidden="1"/>
    <cellStyle name="Hyperlink" xfId="3125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3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1" builtinId="8" hidden="1"/>
    <cellStyle name="Hyperlink" xfId="3143" builtinId="8" hidden="1"/>
    <cellStyle name="Hyperlink" xfId="3145" builtinId="8" hidden="1"/>
    <cellStyle name="Hyperlink" xfId="3147" builtinId="8" hidden="1"/>
    <cellStyle name="Hyperlink" xfId="3149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7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5" builtinId="8" hidden="1"/>
    <cellStyle name="Hyperlink" xfId="3167" builtinId="8" hidden="1"/>
    <cellStyle name="Hyperlink" xfId="3169" builtinId="8" hidden="1"/>
    <cellStyle name="Hyperlink" xfId="3171" builtinId="8" hidden="1"/>
    <cellStyle name="Hyperlink" xfId="3173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1" builtinId="8" hidden="1"/>
    <cellStyle name="Hyperlink" xfId="3183" builtinId="8" hidden="1"/>
    <cellStyle name="Hyperlink" xfId="3185" builtinId="8" hidden="1"/>
    <cellStyle name="Hyperlink" xfId="3187" builtinId="8" hidden="1"/>
    <cellStyle name="Hyperlink" xfId="3189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7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5" builtinId="8" hidden="1"/>
    <cellStyle name="Hyperlink" xfId="3207" builtinId="8" hidden="1"/>
    <cellStyle name="Hyperlink" xfId="3209" builtinId="8" hidden="1"/>
    <cellStyle name="Hyperlink" xfId="3211" builtinId="8" hidden="1"/>
    <cellStyle name="Hyperlink" xfId="3213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1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29" builtinId="8" hidden="1"/>
    <cellStyle name="Hyperlink" xfId="3231" builtinId="8" hidden="1"/>
    <cellStyle name="Hyperlink" xfId="3233" builtinId="8" hidden="1"/>
    <cellStyle name="Hyperlink" xfId="3235" builtinId="8" hidden="1"/>
    <cellStyle name="Hyperlink" xfId="3237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5" builtinId="8" hidden="1"/>
    <cellStyle name="Hyperlink" xfId="3247" builtinId="8" hidden="1"/>
    <cellStyle name="Hyperlink" xfId="3249" builtinId="8" hidden="1"/>
    <cellStyle name="Hyperlink" xfId="3251" builtinId="8" hidden="1"/>
    <cellStyle name="Hyperlink" xfId="3253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1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69" builtinId="8" hidden="1"/>
    <cellStyle name="Hyperlink" xfId="3271" builtinId="8" hidden="1"/>
    <cellStyle name="Hyperlink" xfId="3273" builtinId="8" hidden="1"/>
    <cellStyle name="Hyperlink" xfId="3275" builtinId="8" hidden="1"/>
    <cellStyle name="Hyperlink" xfId="3277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5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3" builtinId="8" hidden="1"/>
    <cellStyle name="Hyperlink" xfId="3295" builtinId="8" hidden="1"/>
    <cellStyle name="Hyperlink" xfId="3297" builtinId="8" hidden="1"/>
    <cellStyle name="Hyperlink" xfId="3299" builtinId="8" hidden="1"/>
    <cellStyle name="Hyperlink" xfId="3301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09" builtinId="8" hidden="1"/>
    <cellStyle name="Hyperlink" xfId="3311" builtinId="8" hidden="1"/>
    <cellStyle name="Hyperlink" xfId="3313" builtinId="8" hidden="1"/>
    <cellStyle name="Hyperlink" xfId="3315" builtinId="8" hidden="1"/>
    <cellStyle name="Hyperlink" xfId="3317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5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3" builtinId="8" hidden="1"/>
    <cellStyle name="Hyperlink" xfId="3335" builtinId="8" hidden="1"/>
    <cellStyle name="Hyperlink" xfId="3337" builtinId="8" hidden="1"/>
    <cellStyle name="Hyperlink" xfId="3339" builtinId="8" hidden="1"/>
    <cellStyle name="Hyperlink" xfId="3341" builtinId="8" hidden="1"/>
    <cellStyle name="Hyperlink" xfId="3343" builtinId="8" hidden="1"/>
    <cellStyle name="Hyperlink" xfId="3347" builtinId="8" hidden="1"/>
    <cellStyle name="Hyperlink" xfId="3349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57" builtinId="8" hidden="1"/>
    <cellStyle name="Hyperlink" xfId="3359" builtinId="8" hidden="1"/>
    <cellStyle name="Hyperlink" xfId="3361" builtinId="8" hidden="1"/>
    <cellStyle name="Hyperlink" xfId="3363" builtinId="8" hidden="1"/>
    <cellStyle name="Hyperlink" xfId="3365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3" builtinId="8" hidden="1"/>
    <cellStyle name="Hyperlink" xfId="3375" builtinId="8" hidden="1"/>
    <cellStyle name="Hyperlink" xfId="3377" builtinId="8" hidden="1"/>
    <cellStyle name="Hyperlink" xfId="3379" builtinId="8" hidden="1"/>
    <cellStyle name="Hyperlink" xfId="3381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89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7" builtinId="8" hidden="1"/>
    <cellStyle name="Hyperlink" xfId="3399" builtinId="8" hidden="1"/>
    <cellStyle name="Hyperlink" xfId="3401" builtinId="8" hidden="1"/>
    <cellStyle name="Hyperlink" xfId="3403" builtinId="8" hidden="1"/>
    <cellStyle name="Hyperlink" xfId="3405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3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1" builtinId="8" hidden="1"/>
    <cellStyle name="Hyperlink" xfId="3423" builtinId="8" hidden="1"/>
    <cellStyle name="Hyperlink" xfId="3425" builtinId="8" hidden="1"/>
    <cellStyle name="Hyperlink" xfId="3427" builtinId="8" hidden="1"/>
    <cellStyle name="Hyperlink" xfId="3429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7" builtinId="8" hidden="1"/>
    <cellStyle name="Hyperlink" xfId="3439" builtinId="8" hidden="1"/>
    <cellStyle name="Hyperlink" xfId="3441" builtinId="8" hidden="1"/>
    <cellStyle name="Hyperlink" xfId="3443" builtinId="8" hidden="1"/>
    <cellStyle name="Hyperlink" xfId="3445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3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1" builtinId="8" hidden="1"/>
    <cellStyle name="Hyperlink" xfId="3463" builtinId="8" hidden="1"/>
    <cellStyle name="Hyperlink" xfId="3465" builtinId="8" hidden="1"/>
    <cellStyle name="Hyperlink" xfId="3467" builtinId="8" hidden="1"/>
    <cellStyle name="Hyperlink" xfId="3469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7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5" builtinId="8" hidden="1"/>
    <cellStyle name="Hyperlink" xfId="3487" builtinId="8" hidden="1"/>
    <cellStyle name="Hyperlink" xfId="3489" builtinId="8" hidden="1"/>
    <cellStyle name="Hyperlink" xfId="3491" builtinId="8" hidden="1"/>
    <cellStyle name="Hyperlink" xfId="3493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1" builtinId="8" hidden="1"/>
    <cellStyle name="Hyperlink" xfId="3503" builtinId="8" hidden="1"/>
    <cellStyle name="Hyperlink" xfId="3505" builtinId="8" hidden="1"/>
    <cellStyle name="Hyperlink" xfId="3507" builtinId="8" hidden="1"/>
    <cellStyle name="Hyperlink" xfId="3509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7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5" builtinId="8" hidden="1"/>
    <cellStyle name="Hyperlink" xfId="3527" builtinId="8" hidden="1"/>
    <cellStyle name="Hyperlink" xfId="3529" builtinId="8" hidden="1"/>
    <cellStyle name="Hyperlink" xfId="3531" builtinId="8" hidden="1"/>
    <cellStyle name="Hyperlink" xfId="3533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1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49" builtinId="8" hidden="1"/>
    <cellStyle name="Hyperlink" xfId="3551" builtinId="8" hidden="1"/>
    <cellStyle name="Hyperlink" xfId="3553" builtinId="8" hidden="1"/>
    <cellStyle name="Hyperlink" xfId="3555" builtinId="8" hidden="1"/>
    <cellStyle name="Hyperlink" xfId="3557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5" builtinId="8" hidden="1"/>
    <cellStyle name="Hyperlink" xfId="3567" builtinId="8" hidden="1"/>
    <cellStyle name="Hyperlink" xfId="3569" builtinId="8" hidden="1"/>
    <cellStyle name="Hyperlink" xfId="3571" builtinId="8" hidden="1"/>
    <cellStyle name="Hyperlink" xfId="3573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1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89" builtinId="8" hidden="1"/>
    <cellStyle name="Hyperlink" xfId="3591" builtinId="8" hidden="1"/>
    <cellStyle name="Hyperlink" xfId="3593" builtinId="8" hidden="1"/>
    <cellStyle name="Hyperlink" xfId="3595" builtinId="8" hidden="1"/>
    <cellStyle name="Hyperlink" xfId="3597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5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3" builtinId="8" hidden="1"/>
    <cellStyle name="Hyperlink" xfId="3615" builtinId="8" hidden="1"/>
    <cellStyle name="Hyperlink" xfId="3617" builtinId="8" hidden="1"/>
    <cellStyle name="Hyperlink" xfId="3619" builtinId="8" hidden="1"/>
    <cellStyle name="Hyperlink" xfId="3621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29" builtinId="8" hidden="1"/>
    <cellStyle name="Hyperlink" xfId="3631" builtinId="8" hidden="1"/>
    <cellStyle name="Hyperlink" xfId="3633" builtinId="8" hidden="1"/>
    <cellStyle name="Hyperlink" xfId="3635" builtinId="8" hidden="1"/>
    <cellStyle name="Hyperlink" xfId="3637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5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3" builtinId="8" hidden="1"/>
    <cellStyle name="Hyperlink" xfId="3655" builtinId="8" hidden="1"/>
    <cellStyle name="Hyperlink" xfId="3657" builtinId="8" hidden="1"/>
    <cellStyle name="Hyperlink" xfId="3659" builtinId="8" hidden="1"/>
    <cellStyle name="Hyperlink" xfId="3661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69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77" builtinId="8" hidden="1"/>
    <cellStyle name="Hyperlink" xfId="3679" builtinId="8" hidden="1"/>
    <cellStyle name="Hyperlink" xfId="3681" builtinId="8" hidden="1"/>
    <cellStyle name="Hyperlink" xfId="3683" builtinId="8" hidden="1"/>
    <cellStyle name="Hyperlink" xfId="3685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3" builtinId="8" hidden="1"/>
    <cellStyle name="Hyperlink" xfId="3695" builtinId="8" hidden="1"/>
    <cellStyle name="Hyperlink" xfId="3697" builtinId="8" hidden="1"/>
    <cellStyle name="Hyperlink" xfId="3699" builtinId="8" hidden="1"/>
    <cellStyle name="Hyperlink" xfId="3701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09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7" builtinId="8" hidden="1"/>
    <cellStyle name="Hyperlink" xfId="3719" builtinId="8" hidden="1"/>
    <cellStyle name="Hyperlink" xfId="3721" builtinId="8" hidden="1"/>
    <cellStyle name="Hyperlink" xfId="3723" builtinId="8" hidden="1"/>
    <cellStyle name="Hyperlink" xfId="3725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3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1" builtinId="8" hidden="1"/>
    <cellStyle name="Hyperlink" xfId="3743" builtinId="8" hidden="1"/>
    <cellStyle name="Hyperlink" xfId="3745" builtinId="8" hidden="1"/>
    <cellStyle name="Hyperlink" xfId="3747" builtinId="8" hidden="1"/>
    <cellStyle name="Hyperlink" xfId="3749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7" builtinId="8" hidden="1"/>
    <cellStyle name="Hyperlink" xfId="3759" builtinId="8" hidden="1"/>
    <cellStyle name="Hyperlink" xfId="3761" builtinId="8" hidden="1"/>
    <cellStyle name="Hyperlink" xfId="3763" builtinId="8" hidden="1"/>
    <cellStyle name="Hyperlink" xfId="3765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3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1" builtinId="8" hidden="1"/>
    <cellStyle name="Hyperlink" xfId="3783" builtinId="8" hidden="1"/>
    <cellStyle name="Hyperlink" xfId="3785" builtinId="8" hidden="1"/>
    <cellStyle name="Hyperlink" xfId="3787" builtinId="8" hidden="1"/>
    <cellStyle name="Hyperlink" xfId="3789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7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5" builtinId="8" hidden="1"/>
    <cellStyle name="Hyperlink" xfId="3807" builtinId="8" hidden="1"/>
    <cellStyle name="Hyperlink" xfId="3809" builtinId="8" hidden="1"/>
    <cellStyle name="Hyperlink" xfId="3811" builtinId="8" hidden="1"/>
    <cellStyle name="Hyperlink" xfId="3813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1" builtinId="8" hidden="1"/>
    <cellStyle name="Hyperlink" xfId="3823" builtinId="8" hidden="1"/>
    <cellStyle name="Hyperlink" xfId="3825" builtinId="8" hidden="1"/>
    <cellStyle name="Hyperlink" xfId="3827" builtinId="8" hidden="1"/>
    <cellStyle name="Hyperlink" xfId="3829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7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5" builtinId="8" hidden="1"/>
    <cellStyle name="Hyperlink" xfId="3847" builtinId="8" hidden="1"/>
    <cellStyle name="Hyperlink" xfId="3849" builtinId="8" hidden="1"/>
    <cellStyle name="Hyperlink" xfId="3851" builtinId="8" hidden="1"/>
    <cellStyle name="Hyperlink" xfId="3853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1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69" builtinId="8" hidden="1"/>
    <cellStyle name="Hyperlink" xfId="3871" builtinId="8" hidden="1"/>
    <cellStyle name="Hyperlink" xfId="3873" builtinId="8" hidden="1"/>
    <cellStyle name="Hyperlink" xfId="3875" builtinId="8" hidden="1"/>
    <cellStyle name="Hyperlink" xfId="3877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5" builtinId="8" hidden="1"/>
    <cellStyle name="Hyperlink" xfId="3887" builtinId="8" hidden="1"/>
    <cellStyle name="Hyperlink" xfId="3889" builtinId="8" hidden="1"/>
    <cellStyle name="Hyperlink" xfId="3891" builtinId="8" hidden="1"/>
    <cellStyle name="Hyperlink" xfId="3893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1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09" builtinId="8" hidden="1"/>
    <cellStyle name="Hyperlink" xfId="3911" builtinId="8" hidden="1"/>
    <cellStyle name="Hyperlink" xfId="3913" builtinId="8" hidden="1"/>
    <cellStyle name="Hyperlink" xfId="3915" builtinId="8" hidden="1"/>
    <cellStyle name="Hyperlink" xfId="3917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5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1" builtinId="8" hidden="1"/>
    <cellStyle name="Hyperlink" xfId="3953" builtinId="8" hidden="1"/>
    <cellStyle name="Hyperlink" xfId="3955" builtinId="8" hidden="1"/>
    <cellStyle name="Hyperlink" xfId="3957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5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3" builtinId="8" hidden="1"/>
    <cellStyle name="Hyperlink" xfId="3975" builtinId="8" hidden="1"/>
    <cellStyle name="Hyperlink" xfId="3977" builtinId="8" hidden="1"/>
    <cellStyle name="Hyperlink" xfId="3979" builtinId="8" hidden="1"/>
    <cellStyle name="Hyperlink" xfId="3981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89" builtinId="8" hidden="1"/>
    <cellStyle name="Hyperlink" xfId="3991" builtinId="8" hidden="1"/>
    <cellStyle name="Hyperlink" xfId="3993" builtinId="8" hidden="1"/>
    <cellStyle name="Hyperlink" xfId="3995" builtinId="8" hidden="1"/>
    <cellStyle name="Hyperlink" xfId="3997" builtinId="8" hidden="1"/>
    <cellStyle name="Hyperlink" xfId="3999" builtinId="8" hidden="1"/>
    <cellStyle name="Hyperlink" xfId="4001" builtinId="8" hidden="1"/>
    <cellStyle name="Hyperlink" xfId="4003" builtinId="8" hidden="1"/>
    <cellStyle name="Hyperlink" xfId="4005" builtinId="8" hidden="1"/>
    <cellStyle name="Hyperlink" xfId="4007" builtinId="8" hidden="1"/>
    <cellStyle name="Hyperlink" xfId="4009" builtinId="8" hidden="1"/>
    <cellStyle name="Hyperlink" xfId="4011" builtinId="8" hidden="1"/>
    <cellStyle name="Hyperlink" xfId="4013" builtinId="8" hidden="1"/>
    <cellStyle name="Hyperlink" xfId="4015" builtinId="8" hidden="1"/>
    <cellStyle name="Hyperlink" xfId="4017" builtinId="8" hidden="1"/>
    <cellStyle name="Hyperlink" xfId="4019" builtinId="8" hidden="1"/>
    <cellStyle name="Hyperlink" xfId="4021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29" builtinId="8" hidden="1"/>
    <cellStyle name="Hyperlink" xfId="4031" builtinId="8" hidden="1"/>
    <cellStyle name="Hyperlink" xfId="4033" builtinId="8" hidden="1"/>
    <cellStyle name="Hyperlink" xfId="4035" builtinId="8" hidden="1"/>
    <cellStyle name="Hyperlink" xfId="4037" builtinId="8" hidden="1"/>
    <cellStyle name="Hyperlink" xfId="4039" builtinId="8" hidden="1"/>
    <cellStyle name="Hyperlink" xfId="4041" builtinId="8" hidden="1"/>
    <cellStyle name="Hyperlink" xfId="4043" builtinId="8" hidden="1"/>
    <cellStyle name="Hyperlink" xfId="4045" builtinId="8" hidden="1"/>
    <cellStyle name="Hyperlink" xfId="4047" builtinId="8" hidden="1"/>
    <cellStyle name="Hyperlink" xfId="4049" builtinId="8" hidden="1"/>
    <cellStyle name="Hyperlink" xfId="4051" builtinId="8" hidden="1"/>
    <cellStyle name="Hyperlink" xfId="4053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1" builtinId="8" hidden="1"/>
    <cellStyle name="Hyperlink" xfId="4063" builtinId="8" hidden="1"/>
    <cellStyle name="Hyperlink" xfId="4065" builtinId="8" hidden="1"/>
    <cellStyle name="Hyperlink" xfId="4067" builtinId="8" hidden="1"/>
    <cellStyle name="Hyperlink" xfId="4069" builtinId="8" hidden="1"/>
    <cellStyle name="Hyperlink" xfId="4071" builtinId="8" hidden="1"/>
    <cellStyle name="Hyperlink" xfId="4073" builtinId="8" hidden="1"/>
    <cellStyle name="Hyperlink" xfId="4075" builtinId="8" hidden="1"/>
    <cellStyle name="Hyperlink" xfId="4077" builtinId="8" hidden="1"/>
    <cellStyle name="Hyperlink" xfId="4079" builtinId="8" hidden="1"/>
    <cellStyle name="Hyperlink" xfId="4081" builtinId="8" hidden="1"/>
    <cellStyle name="Hyperlink" xfId="4083" builtinId="8" hidden="1"/>
    <cellStyle name="Hyperlink" xfId="4085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3" builtinId="8" hidden="1"/>
    <cellStyle name="Hyperlink" xfId="4095" builtinId="8" hidden="1"/>
    <cellStyle name="Hyperlink" xfId="4097" builtinId="8" hidden="1"/>
    <cellStyle name="Hyperlink" xfId="4099" builtinId="8" hidden="1"/>
    <cellStyle name="Hyperlink" xfId="4101" builtinId="8" hidden="1"/>
    <cellStyle name="Hyperlink" xfId="4103" builtinId="8" hidden="1"/>
    <cellStyle name="Hyperlink" xfId="4105" builtinId="8" hidden="1"/>
    <cellStyle name="Hyperlink" xfId="4107" builtinId="8" hidden="1"/>
    <cellStyle name="Hyperlink" xfId="4109" builtinId="8" hidden="1"/>
    <cellStyle name="Hyperlink" xfId="4111" builtinId="8" hidden="1"/>
    <cellStyle name="Hyperlink" xfId="4113" builtinId="8" hidden="1"/>
    <cellStyle name="Hyperlink" xfId="4115" builtinId="8" hidden="1"/>
    <cellStyle name="Hyperlink" xfId="4117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5" builtinId="8" hidden="1"/>
    <cellStyle name="Hyperlink" xfId="4127" builtinId="8" hidden="1"/>
    <cellStyle name="Hyperlink" xfId="4129" builtinId="8" hidden="1"/>
    <cellStyle name="Hyperlink" xfId="4131" builtinId="8" hidden="1"/>
    <cellStyle name="Hyperlink" xfId="4133" builtinId="8" hidden="1"/>
    <cellStyle name="Hyperlink" xfId="4135" builtinId="8" hidden="1"/>
    <cellStyle name="Hyperlink" xfId="4137" builtinId="8" hidden="1"/>
    <cellStyle name="Hyperlink" xfId="4139" builtinId="8" hidden="1"/>
    <cellStyle name="Hyperlink" xfId="4141" builtinId="8" hidden="1"/>
    <cellStyle name="Hyperlink" xfId="4143" builtinId="8" hidden="1"/>
    <cellStyle name="Hyperlink" xfId="4145" builtinId="8" hidden="1"/>
    <cellStyle name="Hyperlink" xfId="4147" builtinId="8" hidden="1"/>
    <cellStyle name="Hyperlink" xfId="4149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57" builtinId="8" hidden="1"/>
    <cellStyle name="Hyperlink" xfId="4159" builtinId="8" hidden="1"/>
    <cellStyle name="Hyperlink" xfId="4161" builtinId="8" hidden="1"/>
    <cellStyle name="Hyperlink" xfId="4163" builtinId="8" hidden="1"/>
    <cellStyle name="Hyperlink" xfId="4165" builtinId="8" hidden="1"/>
    <cellStyle name="Hyperlink" xfId="4167" builtinId="8" hidden="1"/>
    <cellStyle name="Hyperlink" xfId="4169" builtinId="8" hidden="1"/>
    <cellStyle name="Hyperlink" xfId="4171" builtinId="8" hidden="1"/>
    <cellStyle name="Hyperlink" xfId="4173" builtinId="8" hidden="1"/>
    <cellStyle name="Hyperlink" xfId="4175" builtinId="8" hidden="1"/>
    <cellStyle name="Hyperlink" xfId="4177" builtinId="8" hidden="1"/>
    <cellStyle name="Hyperlink" xfId="4179" builtinId="8" hidden="1"/>
    <cellStyle name="Hyperlink" xfId="4181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89" builtinId="8" hidden="1"/>
    <cellStyle name="Hyperlink" xfId="4191" builtinId="8" hidden="1"/>
    <cellStyle name="Hyperlink" xfId="4193" builtinId="8" hidden="1"/>
    <cellStyle name="Hyperlink" xfId="4195" builtinId="8" hidden="1"/>
    <cellStyle name="Hyperlink" xfId="4197" builtinId="8" hidden="1"/>
    <cellStyle name="Hyperlink" xfId="4199" builtinId="8" hidden="1"/>
    <cellStyle name="Hyperlink" xfId="4201" builtinId="8" hidden="1"/>
    <cellStyle name="Hyperlink" xfId="4203" builtinId="8" hidden="1"/>
    <cellStyle name="Hyperlink" xfId="4205" builtinId="8" hidden="1"/>
    <cellStyle name="Hyperlink" xfId="4207" builtinId="8" hidden="1"/>
    <cellStyle name="Hyperlink" xfId="4209" builtinId="8" hidden="1"/>
    <cellStyle name="Hyperlink" xfId="4211" builtinId="8" hidden="1"/>
    <cellStyle name="Hyperlink" xfId="4213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1" builtinId="8" hidden="1"/>
    <cellStyle name="Hyperlink" xfId="4223" builtinId="8" hidden="1"/>
    <cellStyle name="Hyperlink" xfId="4225" builtinId="8" hidden="1"/>
    <cellStyle name="Hyperlink" xfId="4227" builtinId="8" hidden="1"/>
    <cellStyle name="Hyperlink" xfId="4229" builtinId="8" hidden="1"/>
    <cellStyle name="Hyperlink" xfId="4231" builtinId="8" hidden="1"/>
    <cellStyle name="Hyperlink" xfId="4233" builtinId="8" hidden="1"/>
    <cellStyle name="Hyperlink" xfId="4235" builtinId="8" hidden="1"/>
    <cellStyle name="Hyperlink" xfId="4237" builtinId="8" hidden="1"/>
    <cellStyle name="Hyperlink" xfId="4239" builtinId="8" hidden="1"/>
    <cellStyle name="Hyperlink" xfId="4241" builtinId="8" hidden="1"/>
    <cellStyle name="Hyperlink" xfId="4243" builtinId="8" hidden="1"/>
    <cellStyle name="Hyperlink" xfId="4245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3" builtinId="8" hidden="1"/>
    <cellStyle name="Hyperlink" xfId="4255" builtinId="8" hidden="1"/>
    <cellStyle name="Hyperlink" xfId="4257" builtinId="8" hidden="1"/>
    <cellStyle name="Hyperlink" xfId="4259" builtinId="8" hidden="1"/>
    <cellStyle name="Hyperlink" xfId="4261" builtinId="8" hidden="1"/>
    <cellStyle name="Hyperlink" xfId="4263" builtinId="8" hidden="1"/>
    <cellStyle name="Hyperlink" xfId="4265" builtinId="8" hidden="1"/>
    <cellStyle name="Hyperlink" xfId="4267" builtinId="8" hidden="1"/>
    <cellStyle name="Hyperlink" xfId="4269" builtinId="8" hidden="1"/>
    <cellStyle name="Hyperlink" xfId="4271" builtinId="8" hidden="1"/>
    <cellStyle name="Hyperlink" xfId="4273" builtinId="8" hidden="1"/>
    <cellStyle name="Hyperlink" xfId="4275" builtinId="8" hidden="1"/>
    <cellStyle name="Hyperlink" xfId="4277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5" builtinId="8" hidden="1"/>
    <cellStyle name="Hyperlink" xfId="4287" builtinId="8" hidden="1"/>
    <cellStyle name="Hyperlink" xfId="4289" builtinId="8" hidden="1"/>
    <cellStyle name="Hyperlink" xfId="4291" builtinId="8" hidden="1"/>
    <cellStyle name="Hyperlink" xfId="4293" builtinId="8" hidden="1"/>
    <cellStyle name="Hyperlink" xfId="4295" builtinId="8" hidden="1"/>
    <cellStyle name="Hyperlink" xfId="4297" builtinId="8" hidden="1"/>
    <cellStyle name="Hyperlink" xfId="4299" builtinId="8" hidden="1"/>
    <cellStyle name="Hyperlink" xfId="4301" builtinId="8" hidden="1"/>
    <cellStyle name="Hyperlink" xfId="4303" builtinId="8" hidden="1"/>
    <cellStyle name="Hyperlink" xfId="4305" builtinId="8" hidden="1"/>
    <cellStyle name="Hyperlink" xfId="4307" builtinId="8" hidden="1"/>
    <cellStyle name="Hyperlink" xfId="4309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17" builtinId="8" hidden="1"/>
    <cellStyle name="Hyperlink" xfId="4319" builtinId="8" hidden="1"/>
    <cellStyle name="Hyperlink" xfId="4321" builtinId="8" hidden="1"/>
    <cellStyle name="Hyperlink" xfId="4323" builtinId="8" hidden="1"/>
    <cellStyle name="Hyperlink" xfId="4325" builtinId="8" hidden="1"/>
    <cellStyle name="Hyperlink" xfId="4327" builtinId="8" hidden="1"/>
    <cellStyle name="Hyperlink" xfId="4329" builtinId="8" hidden="1"/>
    <cellStyle name="Hyperlink" xfId="4331" builtinId="8" hidden="1"/>
    <cellStyle name="Hyperlink" xfId="4333" builtinId="8" hidden="1"/>
    <cellStyle name="Hyperlink" xfId="4335" builtinId="8" hidden="1"/>
    <cellStyle name="Hyperlink" xfId="4337" builtinId="8" hidden="1"/>
    <cellStyle name="Hyperlink" xfId="4339" builtinId="8" hidden="1"/>
    <cellStyle name="Hyperlink" xfId="4341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49" builtinId="8" hidden="1"/>
    <cellStyle name="Hyperlink" xfId="4351" builtinId="8" hidden="1"/>
    <cellStyle name="Hyperlink" xfId="4353" builtinId="8" hidden="1"/>
    <cellStyle name="Hyperlink" xfId="4355" builtinId="8" hidden="1"/>
    <cellStyle name="Hyperlink" xfId="4357" builtinId="8" hidden="1"/>
    <cellStyle name="Hyperlink" xfId="4359" builtinId="8" hidden="1"/>
    <cellStyle name="Hyperlink" xfId="4361" builtinId="8" hidden="1"/>
    <cellStyle name="Hyperlink" xfId="4363" builtinId="8" hidden="1"/>
    <cellStyle name="Hyperlink" xfId="4365" builtinId="8" hidden="1"/>
    <cellStyle name="Hyperlink" xfId="4367" builtinId="8" hidden="1"/>
    <cellStyle name="Hyperlink" xfId="4369" builtinId="8" hidden="1"/>
    <cellStyle name="Hyperlink" xfId="4371" builtinId="8" hidden="1"/>
    <cellStyle name="Hyperlink" xfId="4373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1" builtinId="8" hidden="1"/>
    <cellStyle name="Hyperlink" xfId="4383" builtinId="8" hidden="1"/>
    <cellStyle name="Hyperlink" xfId="4385" builtinId="8" hidden="1"/>
    <cellStyle name="Hyperlink" xfId="4387" builtinId="8" hidden="1"/>
    <cellStyle name="Hyperlink" xfId="4389" builtinId="8" hidden="1"/>
    <cellStyle name="Hyperlink" xfId="4391" builtinId="8" hidden="1"/>
    <cellStyle name="Hyperlink" xfId="4393" builtinId="8" hidden="1"/>
    <cellStyle name="Hyperlink" xfId="4395" builtinId="8" hidden="1"/>
    <cellStyle name="Hyperlink" xfId="4397" builtinId="8" hidden="1"/>
    <cellStyle name="Hyperlink" xfId="4399" builtinId="8" hidden="1"/>
    <cellStyle name="Hyperlink" xfId="4401" builtinId="8" hidden="1"/>
    <cellStyle name="Hyperlink" xfId="4403" builtinId="8" hidden="1"/>
    <cellStyle name="Hyperlink" xfId="4405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3" builtinId="8" hidden="1"/>
    <cellStyle name="Hyperlink" xfId="4415" builtinId="8" hidden="1"/>
    <cellStyle name="Hyperlink" xfId="4417" builtinId="8" hidden="1"/>
    <cellStyle name="Hyperlink" xfId="4419" builtinId="8" hidden="1"/>
    <cellStyle name="Hyperlink" xfId="4421" builtinId="8" hidden="1"/>
    <cellStyle name="Hyperlink" xfId="4423" builtinId="8" hidden="1"/>
    <cellStyle name="Hyperlink" xfId="4425" builtinId="8" hidden="1"/>
    <cellStyle name="Hyperlink" xfId="4427" builtinId="8" hidden="1"/>
    <cellStyle name="Hyperlink" xfId="4429" builtinId="8" hidden="1"/>
    <cellStyle name="Hyperlink" xfId="4431" builtinId="8" hidden="1"/>
    <cellStyle name="Hyperlink" xfId="4433" builtinId="8" hidden="1"/>
    <cellStyle name="Hyperlink" xfId="4435" builtinId="8" hidden="1"/>
    <cellStyle name="Hyperlink" xfId="4437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5" builtinId="8" hidden="1"/>
    <cellStyle name="Hyperlink" xfId="4447" builtinId="8" hidden="1"/>
    <cellStyle name="Hyperlink" xfId="4449" builtinId="8" hidden="1"/>
    <cellStyle name="Hyperlink" xfId="4451" builtinId="8" hidden="1"/>
    <cellStyle name="Hyperlink" xfId="4453" builtinId="8" hidden="1"/>
    <cellStyle name="Hyperlink" xfId="4455" builtinId="8" hidden="1"/>
    <cellStyle name="Hyperlink" xfId="4457" builtinId="8" hidden="1"/>
    <cellStyle name="Hyperlink" xfId="4459" builtinId="8" hidden="1"/>
    <cellStyle name="Hyperlink" xfId="4461" builtinId="8" hidden="1"/>
    <cellStyle name="Hyperlink" xfId="4463" builtinId="8" hidden="1"/>
    <cellStyle name="Hyperlink" xfId="4465" builtinId="8" hidden="1"/>
    <cellStyle name="Hyperlink" xfId="4467" builtinId="8" hidden="1"/>
    <cellStyle name="Hyperlink" xfId="4469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77" builtinId="8" hidden="1"/>
    <cellStyle name="Hyperlink" xfId="4479" builtinId="8" hidden="1"/>
    <cellStyle name="Hyperlink" xfId="4481" builtinId="8" hidden="1"/>
    <cellStyle name="Hyperlink" xfId="4483" builtinId="8" hidden="1"/>
    <cellStyle name="Hyperlink" xfId="4485" builtinId="8" hidden="1"/>
    <cellStyle name="Hyperlink" xfId="4487" builtinId="8" hidden="1"/>
    <cellStyle name="Hyperlink" xfId="4489" builtinId="8" hidden="1"/>
    <cellStyle name="Hyperlink" xfId="4491" builtinId="8" hidden="1"/>
    <cellStyle name="Hyperlink" xfId="4493" builtinId="8" hidden="1"/>
    <cellStyle name="Hyperlink" xfId="4495" builtinId="8" hidden="1"/>
    <cellStyle name="Hyperlink" xfId="4497" builtinId="8" hidden="1"/>
    <cellStyle name="Hyperlink" xfId="4499" builtinId="8" hidden="1"/>
    <cellStyle name="Hyperlink" xfId="4501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09" builtinId="8" hidden="1"/>
    <cellStyle name="Hyperlink" xfId="4511" builtinId="8" hidden="1"/>
    <cellStyle name="Hyperlink" xfId="4513" builtinId="8" hidden="1"/>
    <cellStyle name="Hyperlink" xfId="4515" builtinId="8" hidden="1"/>
    <cellStyle name="Hyperlink" xfId="4517" builtinId="8" hidden="1"/>
    <cellStyle name="Hyperlink" xfId="4519" builtinId="8" hidden="1"/>
    <cellStyle name="Hyperlink" xfId="4521" builtinId="8" hidden="1"/>
    <cellStyle name="Hyperlink" xfId="4523" builtinId="8" hidden="1"/>
    <cellStyle name="Hyperlink" xfId="4525" builtinId="8" hidden="1"/>
    <cellStyle name="Hyperlink" xfId="4527" builtinId="8" hidden="1"/>
    <cellStyle name="Hyperlink" xfId="4529" builtinId="8" hidden="1"/>
    <cellStyle name="Hyperlink" xfId="4531" builtinId="8" hidden="1"/>
    <cellStyle name="Hyperlink" xfId="4533" builtinId="8" hidden="1"/>
    <cellStyle name="Hyperlink" xfId="4535" builtinId="8" hidden="1"/>
    <cellStyle name="Hyperlink" xfId="4537" builtinId="8" hidden="1"/>
    <cellStyle name="Hyperlink" xfId="4544" builtinId="8" hidden="1"/>
    <cellStyle name="Hyperlink" xfId="4546" builtinId="8" hidden="1"/>
    <cellStyle name="Hyperlink" xfId="4548" builtinId="8" hidden="1"/>
    <cellStyle name="Hyperlink" xfId="4550" builtinId="8" hidden="1"/>
    <cellStyle name="Hyperlink" xfId="4552" builtinId="8" hidden="1"/>
    <cellStyle name="Hyperlink" xfId="4554" builtinId="8" hidden="1"/>
    <cellStyle name="Hyperlink" xfId="4556" builtinId="8" hidden="1"/>
    <cellStyle name="Hyperlink" xfId="4558" builtinId="8" hidden="1"/>
    <cellStyle name="Hyperlink" xfId="4560" builtinId="8" hidden="1"/>
    <cellStyle name="Hyperlink" xfId="4562" builtinId="8" hidden="1"/>
    <cellStyle name="Hyperlink" xfId="4564" builtinId="8" hidden="1"/>
    <cellStyle name="Hyperlink" xfId="4566" builtinId="8" hidden="1"/>
    <cellStyle name="Hyperlink" xfId="4568" builtinId="8" hidden="1"/>
    <cellStyle name="Hyperlink" xfId="4570" builtinId="8" hidden="1"/>
    <cellStyle name="Hyperlink" xfId="4572" builtinId="8" hidden="1"/>
    <cellStyle name="Hyperlink" xfId="4574" builtinId="8" hidden="1"/>
    <cellStyle name="Hyperlink" xfId="4576" builtinId="8" hidden="1"/>
    <cellStyle name="Hyperlink" xfId="4578" builtinId="8" hidden="1"/>
    <cellStyle name="Hyperlink" xfId="4580" builtinId="8" hidden="1"/>
    <cellStyle name="Hyperlink" xfId="4582" builtinId="8" hidden="1"/>
    <cellStyle name="Hyperlink" xfId="4584" builtinId="8" hidden="1"/>
    <cellStyle name="Hyperlink" xfId="4586" builtinId="8" hidden="1"/>
    <cellStyle name="Hyperlink" xfId="4588" builtinId="8" hidden="1"/>
    <cellStyle name="Hyperlink" xfId="4590" builtinId="8" hidden="1"/>
    <cellStyle name="Hyperlink" xfId="4592" builtinId="8" hidden="1"/>
    <cellStyle name="Hyperlink" xfId="4594" builtinId="8" hidden="1"/>
    <cellStyle name="Hyperlink" xfId="4596" builtinId="8" hidden="1"/>
    <cellStyle name="Hyperlink" xfId="4598" builtinId="8" hidden="1"/>
    <cellStyle name="Hyperlink" xfId="4600" builtinId="8" hidden="1"/>
    <cellStyle name="Hyperlink" xfId="4602" builtinId="8" hidden="1"/>
    <cellStyle name="Hyperlink" xfId="4604" builtinId="8" hidden="1"/>
    <cellStyle name="Hyperlink" xfId="4606" builtinId="8" hidden="1"/>
    <cellStyle name="Hyperlink" xfId="4608" builtinId="8" hidden="1"/>
    <cellStyle name="Hyperlink" xfId="4610" builtinId="8" hidden="1"/>
    <cellStyle name="Hyperlink" xfId="4612" builtinId="8" hidden="1"/>
    <cellStyle name="Hyperlink" xfId="4614" builtinId="8" hidden="1"/>
    <cellStyle name="Hyperlink" xfId="4616" builtinId="8" hidden="1"/>
    <cellStyle name="Hyperlink" xfId="4618" builtinId="8" hidden="1"/>
    <cellStyle name="Hyperlink" xfId="4620" builtinId="8" hidden="1"/>
    <cellStyle name="Hyperlink" xfId="4622" builtinId="8" hidden="1"/>
    <cellStyle name="Hyperlink" xfId="4624" builtinId="8" hidden="1"/>
    <cellStyle name="Hyperlink" xfId="4626" builtinId="8" hidden="1"/>
    <cellStyle name="Hyperlink" xfId="4628" builtinId="8" hidden="1"/>
    <cellStyle name="Hyperlink" xfId="4630" builtinId="8" hidden="1"/>
    <cellStyle name="Hyperlink" xfId="4632" builtinId="8" hidden="1"/>
    <cellStyle name="Hyperlink" xfId="4634" builtinId="8" hidden="1"/>
    <cellStyle name="Hyperlink" xfId="4636" builtinId="8" hidden="1"/>
    <cellStyle name="Hyperlink" xfId="4638" builtinId="8" hidden="1"/>
    <cellStyle name="Hyperlink" xfId="4640" builtinId="8" hidden="1"/>
    <cellStyle name="Hyperlink" xfId="4642" builtinId="8" hidden="1"/>
    <cellStyle name="Hyperlink" xfId="4644" builtinId="8" hidden="1"/>
    <cellStyle name="Hyperlink" xfId="4646" builtinId="8" hidden="1"/>
    <cellStyle name="Hyperlink" xfId="4648" builtinId="8" hidden="1"/>
    <cellStyle name="Hyperlink" xfId="4650" builtinId="8" hidden="1"/>
    <cellStyle name="Hyperlink" xfId="4652" builtinId="8" hidden="1"/>
    <cellStyle name="Hyperlink" xfId="4654" builtinId="8" hidden="1"/>
    <cellStyle name="Hyperlink" xfId="4656" builtinId="8" hidden="1"/>
    <cellStyle name="Hyperlink" xfId="4658" builtinId="8" hidden="1"/>
    <cellStyle name="Hyperlink" xfId="4660" builtinId="8" hidden="1"/>
    <cellStyle name="Hyperlink" xfId="4662" builtinId="8" hidden="1"/>
    <cellStyle name="Hyperlink" xfId="4664" builtinId="8" hidden="1"/>
    <cellStyle name="Hyperlink" xfId="4666" builtinId="8" hidden="1"/>
    <cellStyle name="Hyperlink" xfId="4668" builtinId="8" hidden="1"/>
    <cellStyle name="Hyperlink" xfId="4670" builtinId="8" hidden="1"/>
    <cellStyle name="Hyperlink" xfId="4672" builtinId="8" hidden="1"/>
    <cellStyle name="Hyperlink" xfId="4674" builtinId="8" hidden="1"/>
    <cellStyle name="Hyperlink" xfId="4676" builtinId="8" hidden="1"/>
    <cellStyle name="Hyperlink" xfId="4678" builtinId="8" hidden="1"/>
    <cellStyle name="Hyperlink" xfId="4680" builtinId="8" hidden="1"/>
    <cellStyle name="Hyperlink" xfId="4682" builtinId="8" hidden="1"/>
    <cellStyle name="Hyperlink" xfId="4684" builtinId="8" hidden="1"/>
    <cellStyle name="Hyperlink" xfId="4686" builtinId="8" hidden="1"/>
    <cellStyle name="Hyperlink" xfId="4688" builtinId="8" hidden="1"/>
    <cellStyle name="Hyperlink" xfId="4690" builtinId="8" hidden="1"/>
    <cellStyle name="Hyperlink" xfId="4692" builtinId="8" hidden="1"/>
    <cellStyle name="Hyperlink" xfId="4694" builtinId="8" hidden="1"/>
    <cellStyle name="Hyperlink" xfId="4696" builtinId="8" hidden="1"/>
    <cellStyle name="Hyperlink" xfId="4698" builtinId="8" hidden="1"/>
    <cellStyle name="Hyperlink" xfId="4700" builtinId="8" hidden="1"/>
    <cellStyle name="Hyperlink" xfId="4702" builtinId="8" hidden="1"/>
    <cellStyle name="Hyperlink" xfId="4704" builtinId="8" hidden="1"/>
    <cellStyle name="Hyperlink" xfId="4706" builtinId="8" hidden="1"/>
    <cellStyle name="Hyperlink" xfId="4708" builtinId="8" hidden="1"/>
    <cellStyle name="Hyperlink" xfId="4710" builtinId="8" hidden="1"/>
    <cellStyle name="Hyperlink" xfId="4712" builtinId="8" hidden="1"/>
    <cellStyle name="Hyperlink" xfId="4714" builtinId="8" hidden="1"/>
    <cellStyle name="Hyperlink" xfId="4716" builtinId="8" hidden="1"/>
    <cellStyle name="Hyperlink" xfId="4718" builtinId="8" hidden="1"/>
    <cellStyle name="Hyperlink" xfId="4720" builtinId="8" hidden="1"/>
    <cellStyle name="Hyperlink" xfId="4722" builtinId="8" hidden="1"/>
    <cellStyle name="Hyperlink" xfId="4724" builtinId="8" hidden="1"/>
    <cellStyle name="Hyperlink" xfId="4726" builtinId="8" hidden="1"/>
    <cellStyle name="Hyperlink" xfId="4728" builtinId="8" hidden="1"/>
    <cellStyle name="Hyperlink" xfId="4730" builtinId="8" hidden="1"/>
    <cellStyle name="Hyperlink" xfId="4732" builtinId="8" hidden="1"/>
    <cellStyle name="Hyperlink" xfId="4734" builtinId="8" hidden="1"/>
    <cellStyle name="Hyperlink" xfId="4736" builtinId="8" hidden="1"/>
    <cellStyle name="Hyperlink" xfId="4738" builtinId="8" hidden="1"/>
    <cellStyle name="Hyperlink" xfId="4740" builtinId="8" hidden="1"/>
    <cellStyle name="Hyperlink" xfId="4742" builtinId="8" hidden="1"/>
    <cellStyle name="Hyperlink" xfId="4744" builtinId="8" hidden="1"/>
    <cellStyle name="Hyperlink" xfId="4746" builtinId="8" hidden="1"/>
    <cellStyle name="Hyperlink" xfId="4748" builtinId="8" hidden="1"/>
    <cellStyle name="Hyperlink" xfId="4750" builtinId="8" hidden="1"/>
    <cellStyle name="Hyperlink" xfId="4752" builtinId="8" hidden="1"/>
    <cellStyle name="Hyperlink" xfId="4754" builtinId="8" hidden="1"/>
    <cellStyle name="Hyperlink" xfId="4756" builtinId="8" hidden="1"/>
    <cellStyle name="Hyperlink" xfId="4758" builtinId="8" hidden="1"/>
    <cellStyle name="Hyperlink" xfId="4760" builtinId="8" hidden="1"/>
    <cellStyle name="Hyperlink" xfId="4762" builtinId="8" hidden="1"/>
    <cellStyle name="Hyperlink" xfId="4764" builtinId="8" hidden="1"/>
    <cellStyle name="Hyperlink" xfId="4766" builtinId="8" hidden="1"/>
    <cellStyle name="Hyperlink" xfId="4768" builtinId="8" hidden="1"/>
    <cellStyle name="Hyperlink" xfId="4770" builtinId="8" hidden="1"/>
    <cellStyle name="Hyperlink" xfId="4772" builtinId="8" hidden="1"/>
    <cellStyle name="Hyperlink" xfId="4774" builtinId="8" hidden="1"/>
    <cellStyle name="Hyperlink" xfId="4776" builtinId="8" hidden="1"/>
    <cellStyle name="Hyperlink" xfId="4778" builtinId="8" hidden="1"/>
    <cellStyle name="Hyperlink" xfId="4780" builtinId="8" hidden="1"/>
    <cellStyle name="Hyperlink" xfId="4782" builtinId="8" hidden="1"/>
    <cellStyle name="Hyperlink" xfId="4784" builtinId="8" hidden="1"/>
    <cellStyle name="Hyperlink" xfId="4786" builtinId="8" hidden="1"/>
    <cellStyle name="Hyperlink" xfId="4788" builtinId="8" hidden="1"/>
    <cellStyle name="Hyperlink" xfId="4790" builtinId="8" hidden="1"/>
    <cellStyle name="Hyperlink" xfId="4792" builtinId="8" hidden="1"/>
    <cellStyle name="Hyperlink" xfId="4794" builtinId="8" hidden="1"/>
    <cellStyle name="Hyperlink" xfId="4796" builtinId="8" hidden="1"/>
    <cellStyle name="Hyperlink" xfId="4798" builtinId="8" hidden="1"/>
    <cellStyle name="Hyperlink" xfId="4800" builtinId="8" hidden="1"/>
    <cellStyle name="Hyperlink" xfId="4802" builtinId="8" hidden="1"/>
    <cellStyle name="Hyperlink" xfId="4804" builtinId="8" hidden="1"/>
    <cellStyle name="Hyperlink" xfId="4806" builtinId="8" hidden="1"/>
    <cellStyle name="Hyperlink" xfId="4808" builtinId="8" hidden="1"/>
    <cellStyle name="Hyperlink" xfId="4810" builtinId="8" hidden="1"/>
    <cellStyle name="Hyperlink" xfId="4812" builtinId="8" hidden="1"/>
    <cellStyle name="Hyperlink" xfId="4814" builtinId="8" hidden="1"/>
    <cellStyle name="Hyperlink" xfId="4816" builtinId="8" hidden="1"/>
    <cellStyle name="Hyperlink" xfId="4818" builtinId="8" hidden="1"/>
    <cellStyle name="Hyperlink" xfId="4820" builtinId="8" hidden="1"/>
    <cellStyle name="Hyperlink" xfId="4822" builtinId="8" hidden="1"/>
    <cellStyle name="Hyperlink" xfId="4824" builtinId="8" hidden="1"/>
    <cellStyle name="Hyperlink" xfId="4826" builtinId="8" hidden="1"/>
    <cellStyle name="Hyperlink" xfId="4828" builtinId="8" hidden="1"/>
    <cellStyle name="Hyperlink" xfId="4830" builtinId="8" hidden="1"/>
    <cellStyle name="Hyperlink" xfId="4832" builtinId="8" hidden="1"/>
    <cellStyle name="Hyperlink" xfId="4834" builtinId="8" hidden="1"/>
    <cellStyle name="Hyperlink" xfId="4836" builtinId="8" hidden="1"/>
    <cellStyle name="Hyperlink" xfId="4838" builtinId="8" hidden="1"/>
    <cellStyle name="Hyperlink" xfId="4840" builtinId="8" hidden="1"/>
    <cellStyle name="Hyperlink" xfId="4842" builtinId="8" hidden="1"/>
    <cellStyle name="Hyperlink" xfId="4844" builtinId="8" hidden="1"/>
    <cellStyle name="Hyperlink" xfId="4846" builtinId="8" hidden="1"/>
    <cellStyle name="Hyperlink" xfId="4848" builtinId="8" hidden="1"/>
    <cellStyle name="Hyperlink" xfId="4850" builtinId="8" hidden="1"/>
    <cellStyle name="Hyperlink" xfId="4852" builtinId="8" hidden="1"/>
    <cellStyle name="Hyperlink" xfId="4854" builtinId="8" hidden="1"/>
    <cellStyle name="Hyperlink" xfId="4856" builtinId="8" hidden="1"/>
    <cellStyle name="Hyperlink" xfId="4858" builtinId="8" hidden="1"/>
    <cellStyle name="Hyperlink" xfId="4860" builtinId="8" hidden="1"/>
    <cellStyle name="Hyperlink" xfId="4862" builtinId="8" hidden="1"/>
    <cellStyle name="Hyperlink" xfId="4864" builtinId="8" hidden="1"/>
    <cellStyle name="Hyperlink" xfId="4866" builtinId="8" hidden="1"/>
    <cellStyle name="Hyperlink" xfId="4868" builtinId="8" hidden="1"/>
    <cellStyle name="Hyperlink" xfId="4870" builtinId="8" hidden="1"/>
    <cellStyle name="Hyperlink" xfId="4872" builtinId="8" hidden="1"/>
    <cellStyle name="Hyperlink" xfId="4874" builtinId="8" hidden="1"/>
    <cellStyle name="Hyperlink" xfId="4876" builtinId="8" hidden="1"/>
    <cellStyle name="Hyperlink" xfId="4878" builtinId="8" hidden="1"/>
    <cellStyle name="Hyperlink" xfId="4880" builtinId="8" hidden="1"/>
    <cellStyle name="Hyperlink" xfId="4882" builtinId="8" hidden="1"/>
    <cellStyle name="Hyperlink" xfId="4884" builtinId="8" hidden="1"/>
    <cellStyle name="Hyperlink" xfId="4886" builtinId="8" hidden="1"/>
    <cellStyle name="Hyperlink" xfId="4888" builtinId="8" hidden="1"/>
    <cellStyle name="Hyperlink" xfId="4890" builtinId="8" hidden="1"/>
    <cellStyle name="Hyperlink" xfId="4892" builtinId="8" hidden="1"/>
    <cellStyle name="Hyperlink" xfId="4894" builtinId="8" hidden="1"/>
    <cellStyle name="Hyperlink" xfId="4896" builtinId="8" hidden="1"/>
    <cellStyle name="Hyperlink" xfId="4898" builtinId="8" hidden="1"/>
    <cellStyle name="Hyperlink" xfId="4900" builtinId="8" hidden="1"/>
    <cellStyle name="Hyperlink" xfId="4902" builtinId="8" hidden="1"/>
    <cellStyle name="Hyperlink" xfId="4904" builtinId="8" hidden="1"/>
    <cellStyle name="Hyperlink" xfId="4906" builtinId="8" hidden="1"/>
    <cellStyle name="Hyperlink" xfId="4908" builtinId="8" hidden="1"/>
    <cellStyle name="Hyperlink" xfId="4910" builtinId="8" hidden="1"/>
    <cellStyle name="Hyperlink" xfId="4912" builtinId="8" hidden="1"/>
    <cellStyle name="Hyperlink" xfId="4914" builtinId="8" hidden="1"/>
    <cellStyle name="Hyperlink" xfId="4916" builtinId="8" hidden="1"/>
    <cellStyle name="Hyperlink" xfId="4918" builtinId="8" hidden="1"/>
    <cellStyle name="Hyperlink" xfId="4920" builtinId="8" hidden="1"/>
    <cellStyle name="Hyperlink" xfId="4922" builtinId="8" hidden="1"/>
    <cellStyle name="Hyperlink" xfId="4924" builtinId="8" hidden="1"/>
    <cellStyle name="Hyperlink" xfId="4926" builtinId="8" hidden="1"/>
    <cellStyle name="Hyperlink" xfId="4928" builtinId="8" hidden="1"/>
    <cellStyle name="Hyperlink" xfId="4930" builtinId="8" hidden="1"/>
    <cellStyle name="Hyperlink" xfId="4932" builtinId="8" hidden="1"/>
    <cellStyle name="Hyperlink" xfId="4934" builtinId="8" hidden="1"/>
    <cellStyle name="Hyperlink" xfId="4936" builtinId="8" hidden="1"/>
    <cellStyle name="Hyperlink" xfId="4938" builtinId="8" hidden="1"/>
    <cellStyle name="Hyperlink" xfId="4940" builtinId="8" hidden="1"/>
    <cellStyle name="Hyperlink" xfId="4942" builtinId="8" hidden="1"/>
    <cellStyle name="Hyperlink" xfId="4944" builtinId="8" hidden="1"/>
    <cellStyle name="Hyperlink" xfId="4946" builtinId="8" hidden="1"/>
    <cellStyle name="Hyperlink" xfId="4948" builtinId="8" hidden="1"/>
    <cellStyle name="Hyperlink" xfId="4950" builtinId="8" hidden="1"/>
    <cellStyle name="Hyperlink" xfId="4952" builtinId="8" hidden="1"/>
    <cellStyle name="Hyperlink" xfId="4954" builtinId="8" hidden="1"/>
    <cellStyle name="Hyperlink" xfId="4956" builtinId="8" hidden="1"/>
    <cellStyle name="Hyperlink" xfId="4958" builtinId="8" hidden="1"/>
    <cellStyle name="Hyperlink" xfId="4960" builtinId="8" hidden="1"/>
    <cellStyle name="Hyperlink" xfId="4962" builtinId="8" hidden="1"/>
    <cellStyle name="Hyperlink" xfId="4964" builtinId="8" hidden="1"/>
    <cellStyle name="Hyperlink" xfId="4966" builtinId="8" hidden="1"/>
    <cellStyle name="Hyperlink" xfId="4968" builtinId="8" hidden="1"/>
    <cellStyle name="Hyperlink" xfId="4970" builtinId="8" hidden="1"/>
    <cellStyle name="Hyperlink" xfId="4972" builtinId="8" hidden="1"/>
    <cellStyle name="Hyperlink" xfId="4974" builtinId="8" hidden="1"/>
    <cellStyle name="Hyperlink" xfId="4976" builtinId="8" hidden="1"/>
    <cellStyle name="Hyperlink" xfId="4978" builtinId="8" hidden="1"/>
    <cellStyle name="Hyperlink" xfId="4980" builtinId="8" hidden="1"/>
    <cellStyle name="Hyperlink" xfId="4982" builtinId="8" hidden="1"/>
    <cellStyle name="Hyperlink" xfId="4984" builtinId="8" hidden="1"/>
    <cellStyle name="Hyperlink" xfId="4986" builtinId="8" hidden="1"/>
    <cellStyle name="Hyperlink" xfId="4988" builtinId="8" hidden="1"/>
    <cellStyle name="Hyperlink" xfId="4990" builtinId="8" hidden="1"/>
    <cellStyle name="Hyperlink" xfId="4992" builtinId="8" hidden="1"/>
    <cellStyle name="Hyperlink" xfId="4994" builtinId="8" hidden="1"/>
    <cellStyle name="Hyperlink" xfId="4996" builtinId="8" hidden="1"/>
    <cellStyle name="Hyperlink" xfId="4998" builtinId="8" hidden="1"/>
    <cellStyle name="Hyperlink" xfId="5000" builtinId="8" hidden="1"/>
    <cellStyle name="Hyperlink" xfId="5002" builtinId="8" hidden="1"/>
    <cellStyle name="Hyperlink" xfId="5004" builtinId="8" hidden="1"/>
    <cellStyle name="Hyperlink" xfId="5006" builtinId="8" hidden="1"/>
    <cellStyle name="Hyperlink" xfId="5008" builtinId="8" hidden="1"/>
    <cellStyle name="Hyperlink" xfId="5010" builtinId="8" hidden="1"/>
    <cellStyle name="Hyperlink" xfId="5012" builtinId="8" hidden="1"/>
    <cellStyle name="Hyperlink" xfId="5014" builtinId="8" hidden="1"/>
    <cellStyle name="Hyperlink" xfId="5016" builtinId="8" hidden="1"/>
    <cellStyle name="Hyperlink" xfId="5018" builtinId="8" hidden="1"/>
    <cellStyle name="Hyperlink" xfId="5020" builtinId="8" hidden="1"/>
    <cellStyle name="Hyperlink" xfId="5022" builtinId="8" hidden="1"/>
    <cellStyle name="Hyperlink" xfId="5024" builtinId="8" hidden="1"/>
    <cellStyle name="Hyperlink" xfId="5026" builtinId="8" hidden="1"/>
    <cellStyle name="Hyperlink" xfId="5028" builtinId="8" hidden="1"/>
    <cellStyle name="Hyperlink" xfId="5030" builtinId="8" hidden="1"/>
    <cellStyle name="Hyperlink" xfId="5032" builtinId="8" hidden="1"/>
    <cellStyle name="Hyperlink" xfId="5034" builtinId="8" hidden="1"/>
    <cellStyle name="Hyperlink" xfId="5036" builtinId="8" hidden="1"/>
    <cellStyle name="Hyperlink" xfId="5038" builtinId="8" hidden="1"/>
    <cellStyle name="Hyperlink" xfId="5040" builtinId="8" hidden="1"/>
    <cellStyle name="Hyperlink" xfId="5042" builtinId="8" hidden="1"/>
    <cellStyle name="Hyperlink" xfId="5044" builtinId="8" hidden="1"/>
    <cellStyle name="Hyperlink" xfId="5046" builtinId="8" hidden="1"/>
    <cellStyle name="Hyperlink" xfId="5048" builtinId="8" hidden="1"/>
    <cellStyle name="Hyperlink" xfId="5050" builtinId="8" hidden="1"/>
    <cellStyle name="Hyperlink" xfId="5052" builtinId="8" hidden="1"/>
    <cellStyle name="Hyperlink" xfId="5054" builtinId="8" hidden="1"/>
    <cellStyle name="Hyperlink" xfId="5056" builtinId="8" hidden="1"/>
    <cellStyle name="Hyperlink" xfId="5058" builtinId="8" hidden="1"/>
    <cellStyle name="Hyperlink" xfId="5060" builtinId="8" hidden="1"/>
    <cellStyle name="Hyperlink" xfId="5062" builtinId="8" hidden="1"/>
    <cellStyle name="Hyperlink" xfId="5064" builtinId="8" hidden="1"/>
    <cellStyle name="Hyperlink" xfId="5066" builtinId="8" hidden="1"/>
    <cellStyle name="Hyperlink" xfId="5068" builtinId="8" hidden="1"/>
    <cellStyle name="Hyperlink" xfId="5070" builtinId="8" hidden="1"/>
    <cellStyle name="Hyperlink" xfId="5072" builtinId="8" hidden="1"/>
    <cellStyle name="Hyperlink" xfId="5074" builtinId="8" hidden="1"/>
    <cellStyle name="Hyperlink" xfId="5076" builtinId="8" hidden="1"/>
    <cellStyle name="Hyperlink" xfId="5078" builtinId="8" hidden="1"/>
    <cellStyle name="Hyperlink" xfId="5080" builtinId="8" hidden="1"/>
    <cellStyle name="Hyperlink" xfId="5082" builtinId="8" hidden="1"/>
    <cellStyle name="Hyperlink" xfId="5084" builtinId="8" hidden="1"/>
    <cellStyle name="Hyperlink" xfId="5086" builtinId="8" hidden="1"/>
    <cellStyle name="Hyperlink" xfId="5088" builtinId="8" hidden="1"/>
    <cellStyle name="Hyperlink" xfId="5090" builtinId="8" hidden="1"/>
    <cellStyle name="Hyperlink" xfId="5092" builtinId="8" hidden="1"/>
    <cellStyle name="Hyperlink" xfId="5094" builtinId="8" hidden="1"/>
    <cellStyle name="Hyperlink" xfId="5096" builtinId="8" hidden="1"/>
    <cellStyle name="Hyperlink" xfId="5098" builtinId="8" hidden="1"/>
    <cellStyle name="Hyperlink" xfId="5100" builtinId="8" hidden="1"/>
    <cellStyle name="Hyperlink" xfId="5102" builtinId="8" hidden="1"/>
    <cellStyle name="Hyperlink" xfId="5104" builtinId="8" hidden="1"/>
    <cellStyle name="Hyperlink" xfId="5106" builtinId="8" hidden="1"/>
    <cellStyle name="Hyperlink" xfId="5108" builtinId="8" hidden="1"/>
    <cellStyle name="Hyperlink" xfId="5110" builtinId="8" hidden="1"/>
    <cellStyle name="Hyperlink" xfId="5112" builtinId="8" hidden="1"/>
    <cellStyle name="Hyperlink" xfId="5114" builtinId="8" hidden="1"/>
    <cellStyle name="Hyperlink" xfId="5116" builtinId="8" hidden="1"/>
    <cellStyle name="Hyperlink" xfId="5118" builtinId="8" hidden="1"/>
    <cellStyle name="Hyperlink" xfId="5120" builtinId="8" hidden="1"/>
    <cellStyle name="Hyperlink" xfId="5122" builtinId="8" hidden="1"/>
    <cellStyle name="Hyperlink" xfId="5124" builtinId="8" hidden="1"/>
    <cellStyle name="Hyperlink" xfId="5126" builtinId="8" hidden="1"/>
    <cellStyle name="Hyperlink" xfId="5128" builtinId="8" hidden="1"/>
    <cellStyle name="Hyperlink" xfId="5130" builtinId="8" hidden="1"/>
    <cellStyle name="Hyperlink" xfId="5132" builtinId="8" hidden="1"/>
    <cellStyle name="Hyperlink" xfId="5134" builtinId="8" hidden="1"/>
    <cellStyle name="Hyperlink" xfId="5136" builtinId="8" hidden="1"/>
    <cellStyle name="Hyperlink" xfId="5138" builtinId="8" hidden="1"/>
    <cellStyle name="Hyperlink" xfId="5140" builtinId="8" hidden="1"/>
    <cellStyle name="Hyperlink" xfId="5142" builtinId="8" hidden="1"/>
    <cellStyle name="Hyperlink" xfId="5144" builtinId="8" hidden="1"/>
    <cellStyle name="Hyperlink" xfId="5146" builtinId="8" hidden="1"/>
    <cellStyle name="Hyperlink" xfId="5148" builtinId="8" hidden="1"/>
    <cellStyle name="Hyperlink" xfId="5150" builtinId="8" hidden="1"/>
    <cellStyle name="Hyperlink" xfId="5152" builtinId="8" hidden="1"/>
    <cellStyle name="Hyperlink" xfId="5154" builtinId="8" hidden="1"/>
    <cellStyle name="Hyperlink" xfId="5156" builtinId="8" hidden="1"/>
    <cellStyle name="Hyperlink" xfId="5158" builtinId="8" hidden="1"/>
    <cellStyle name="Hyperlink" xfId="5160" builtinId="8" hidden="1"/>
    <cellStyle name="Hyperlink" xfId="5162" builtinId="8" hidden="1"/>
    <cellStyle name="Hyperlink" xfId="5164" builtinId="8" hidden="1"/>
    <cellStyle name="Hyperlink" xfId="5166" builtinId="8" hidden="1"/>
    <cellStyle name="Hyperlink" xfId="5168" builtinId="8" hidden="1"/>
    <cellStyle name="Hyperlink" xfId="5170" builtinId="8" hidden="1"/>
    <cellStyle name="Hyperlink" xfId="5172" builtinId="8" hidden="1"/>
    <cellStyle name="Hyperlink" xfId="5174" builtinId="8" hidden="1"/>
    <cellStyle name="Hyperlink" xfId="5176" builtinId="8" hidden="1"/>
    <cellStyle name="Hyperlink" xfId="5178" builtinId="8" hidden="1"/>
    <cellStyle name="Hyperlink" xfId="5180" builtinId="8" hidden="1"/>
    <cellStyle name="Hyperlink" xfId="5182" builtinId="8" hidden="1"/>
    <cellStyle name="Hyperlink" xfId="5184" builtinId="8" hidden="1"/>
    <cellStyle name="Hyperlink" xfId="5186" builtinId="8" hidden="1"/>
    <cellStyle name="Hyperlink" xfId="5188" builtinId="8" hidden="1"/>
    <cellStyle name="Hyperlink" xfId="5190" builtinId="8" hidden="1"/>
    <cellStyle name="Hyperlink" xfId="5192" builtinId="8" hidden="1"/>
    <cellStyle name="Hyperlink" xfId="5194" builtinId="8" hidden="1"/>
    <cellStyle name="Hyperlink" xfId="5196" builtinId="8" hidden="1"/>
    <cellStyle name="Hyperlink" xfId="5198" builtinId="8" hidden="1"/>
    <cellStyle name="Hyperlink" xfId="5200" builtinId="8" hidden="1"/>
    <cellStyle name="Hyperlink" xfId="5202" builtinId="8" hidden="1"/>
    <cellStyle name="Hyperlink" xfId="5204" builtinId="8" hidden="1"/>
    <cellStyle name="Hyperlink" xfId="5206" builtinId="8" hidden="1"/>
    <cellStyle name="Hyperlink" xfId="5208" builtinId="8" hidden="1"/>
    <cellStyle name="Hyperlink" xfId="5210" builtinId="8" hidden="1"/>
    <cellStyle name="Hyperlink" xfId="5212" builtinId="8" hidden="1"/>
    <cellStyle name="Hyperlink" xfId="5214" builtinId="8" hidden="1"/>
    <cellStyle name="Hyperlink" xfId="5216" builtinId="8" hidden="1"/>
    <cellStyle name="Hyperlink" xfId="5218" builtinId="8" hidden="1"/>
    <cellStyle name="Hyperlink" xfId="5220" builtinId="8" hidden="1"/>
    <cellStyle name="Hyperlink" xfId="5222" builtinId="8" hidden="1"/>
    <cellStyle name="Hyperlink" xfId="5224" builtinId="8" hidden="1"/>
    <cellStyle name="Hyperlink" xfId="5226" builtinId="8" hidden="1"/>
    <cellStyle name="Hyperlink" xfId="5228" builtinId="8" hidden="1"/>
    <cellStyle name="Hyperlink" xfId="5230" builtinId="8" hidden="1"/>
    <cellStyle name="Hyperlink" xfId="5232" builtinId="8" hidden="1"/>
    <cellStyle name="Hyperlink" xfId="5234" builtinId="8" hidden="1"/>
    <cellStyle name="Hyperlink" xfId="5236" builtinId="8" hidden="1"/>
    <cellStyle name="Hyperlink" xfId="5238" builtinId="8" hidden="1"/>
    <cellStyle name="Hyperlink" xfId="5240" builtinId="8" hidden="1"/>
    <cellStyle name="Hyperlink" xfId="5242" builtinId="8" hidden="1"/>
    <cellStyle name="Hyperlink" xfId="5244" builtinId="8" hidden="1"/>
    <cellStyle name="Hyperlink" xfId="5246" builtinId="8" hidden="1"/>
    <cellStyle name="Hyperlink" xfId="5248" builtinId="8" hidden="1"/>
    <cellStyle name="Hyperlink" xfId="5250" builtinId="8" hidden="1"/>
    <cellStyle name="Hyperlink" xfId="5252" builtinId="8" hidden="1"/>
    <cellStyle name="Hyperlink" xfId="5254" builtinId="8" hidden="1"/>
    <cellStyle name="Hyperlink" xfId="5256" builtinId="8" hidden="1"/>
    <cellStyle name="Hyperlink" xfId="5258" builtinId="8" hidden="1"/>
    <cellStyle name="Hyperlink" xfId="5260" builtinId="8" hidden="1"/>
    <cellStyle name="Hyperlink" xfId="5262" builtinId="8" hidden="1"/>
    <cellStyle name="Hyperlink" xfId="5264" builtinId="8" hidden="1"/>
    <cellStyle name="Hyperlink" xfId="5266" builtinId="8" hidden="1"/>
    <cellStyle name="Hyperlink" xfId="5268" builtinId="8" hidden="1"/>
    <cellStyle name="Hyperlink" xfId="5270" builtinId="8" hidden="1"/>
    <cellStyle name="Hyperlink" xfId="5272" builtinId="8" hidden="1"/>
    <cellStyle name="Hyperlink" xfId="5274" builtinId="8" hidden="1"/>
    <cellStyle name="Hyperlink" xfId="5276" builtinId="8" hidden="1"/>
    <cellStyle name="Hyperlink" xfId="5278" builtinId="8" hidden="1"/>
    <cellStyle name="Hyperlink" xfId="5280" builtinId="8" hidden="1"/>
    <cellStyle name="Hyperlink" xfId="5282" builtinId="8" hidden="1"/>
    <cellStyle name="Hyperlink" xfId="5284" builtinId="8" hidden="1"/>
    <cellStyle name="Hyperlink" xfId="5286" builtinId="8" hidden="1"/>
    <cellStyle name="Hyperlink" xfId="5288" builtinId="8" hidden="1"/>
    <cellStyle name="Hyperlink" xfId="5290" builtinId="8" hidden="1"/>
    <cellStyle name="Hyperlink" xfId="5292" builtinId="8" hidden="1"/>
    <cellStyle name="Hyperlink" xfId="5294" builtinId="8" hidden="1"/>
    <cellStyle name="Hyperlink" xfId="5296" builtinId="8" hidden="1"/>
    <cellStyle name="Hyperlink" xfId="5298" builtinId="8" hidden="1"/>
    <cellStyle name="Hyperlink" xfId="5300" builtinId="8" hidden="1"/>
    <cellStyle name="Hyperlink" xfId="5302" builtinId="8" hidden="1"/>
    <cellStyle name="Hyperlink" xfId="5304" builtinId="8" hidden="1"/>
    <cellStyle name="Hyperlink" xfId="5306" builtinId="8" hidden="1"/>
    <cellStyle name="Hyperlink" xfId="5308" builtinId="8" hidden="1"/>
    <cellStyle name="Hyperlink" xfId="5310" builtinId="8" hidden="1"/>
    <cellStyle name="Hyperlink" xfId="5312" builtinId="8" hidden="1"/>
    <cellStyle name="Hyperlink" xfId="5314" builtinId="8" hidden="1"/>
    <cellStyle name="Hyperlink" xfId="5316" builtinId="8" hidden="1"/>
    <cellStyle name="Hyperlink" xfId="5318" builtinId="8" hidden="1"/>
    <cellStyle name="Hyperlink" xfId="5320" builtinId="8" hidden="1"/>
    <cellStyle name="Hyperlink" xfId="5322" builtinId="8" hidden="1"/>
    <cellStyle name="Hyperlink" xfId="5324" builtinId="8" hidden="1"/>
    <cellStyle name="Hyperlink" xfId="5326" builtinId="8" hidden="1"/>
    <cellStyle name="Hyperlink" xfId="5328" builtinId="8" hidden="1"/>
    <cellStyle name="Hyperlink" xfId="5330" builtinId="8" hidden="1"/>
    <cellStyle name="Hyperlink" xfId="5332" builtinId="8" hidden="1"/>
    <cellStyle name="Hyperlink" xfId="5334" builtinId="8" hidden="1"/>
    <cellStyle name="Hyperlink" xfId="5336" builtinId="8" hidden="1"/>
    <cellStyle name="Hyperlink" xfId="5338" builtinId="8" hidden="1"/>
    <cellStyle name="Hyperlink" xfId="5340" builtinId="8" hidden="1"/>
    <cellStyle name="Hyperlink" xfId="5342" builtinId="8" hidden="1"/>
    <cellStyle name="Hyperlink" xfId="5344" builtinId="8" hidden="1"/>
    <cellStyle name="Hyperlink" xfId="5346" builtinId="8" hidden="1"/>
    <cellStyle name="Hyperlink" xfId="5348" builtinId="8" hidden="1"/>
    <cellStyle name="Hyperlink" xfId="5350" builtinId="8" hidden="1"/>
    <cellStyle name="Hyperlink" xfId="5352" builtinId="8" hidden="1"/>
    <cellStyle name="Hyperlink" xfId="5354" builtinId="8" hidden="1"/>
    <cellStyle name="Hyperlink" xfId="5356" builtinId="8" hidden="1"/>
    <cellStyle name="Hyperlink" xfId="5358" builtinId="8" hidden="1"/>
    <cellStyle name="Hyperlink" xfId="5360" builtinId="8" hidden="1"/>
    <cellStyle name="Hyperlink" xfId="5362" builtinId="8" hidden="1"/>
    <cellStyle name="Hyperlink" xfId="5364" builtinId="8" hidden="1"/>
    <cellStyle name="Hyperlink" xfId="5366" builtinId="8" hidden="1"/>
    <cellStyle name="Hyperlink" xfId="5368" builtinId="8" hidden="1"/>
    <cellStyle name="Hyperlink" xfId="5370" builtinId="8" hidden="1"/>
    <cellStyle name="Hyperlink" xfId="5372" builtinId="8" hidden="1"/>
    <cellStyle name="Hyperlink" xfId="5374" builtinId="8" hidden="1"/>
    <cellStyle name="Hyperlink" xfId="5376" builtinId="8" hidden="1"/>
    <cellStyle name="Hyperlink" xfId="5378" builtinId="8" hidden="1"/>
    <cellStyle name="Hyperlink" xfId="5380" builtinId="8" hidden="1"/>
    <cellStyle name="Hyperlink" xfId="5382" builtinId="8" hidden="1"/>
    <cellStyle name="Hyperlink" xfId="5384" builtinId="8" hidden="1"/>
    <cellStyle name="Hyperlink" xfId="5386" builtinId="8" hidden="1"/>
    <cellStyle name="Hyperlink" xfId="5388" builtinId="8" hidden="1"/>
    <cellStyle name="Hyperlink" xfId="5390" builtinId="8" hidden="1"/>
    <cellStyle name="Hyperlink" xfId="5392" builtinId="8" hidden="1"/>
    <cellStyle name="Hyperlink" xfId="5394" builtinId="8" hidden="1"/>
    <cellStyle name="Hyperlink" xfId="5396" builtinId="8" hidden="1"/>
    <cellStyle name="Hyperlink" xfId="5398" builtinId="8" hidden="1"/>
    <cellStyle name="Hyperlink" xfId="5400" builtinId="8" hidden="1"/>
    <cellStyle name="Hyperlink" xfId="5402" builtinId="8" hidden="1"/>
    <cellStyle name="Hyperlink" xfId="5404" builtinId="8" hidden="1"/>
    <cellStyle name="Hyperlink" xfId="5406" builtinId="8" hidden="1"/>
    <cellStyle name="Hyperlink" xfId="5408" builtinId="8" hidden="1"/>
    <cellStyle name="Hyperlink" xfId="5410" builtinId="8" hidden="1"/>
    <cellStyle name="Hyperlink" xfId="5412" builtinId="8" hidden="1"/>
    <cellStyle name="Hyperlink" xfId="5414" builtinId="8" hidden="1"/>
    <cellStyle name="Hyperlink" xfId="5416" builtinId="8" hidden="1"/>
    <cellStyle name="Hyperlink" xfId="5418" builtinId="8" hidden="1"/>
    <cellStyle name="Hyperlink" xfId="5420" builtinId="8" hidden="1"/>
    <cellStyle name="Hyperlink" xfId="5422" builtinId="8" hidden="1"/>
    <cellStyle name="Hyperlink" xfId="5424" builtinId="8" hidden="1"/>
    <cellStyle name="Hyperlink" xfId="5426" builtinId="8" hidden="1"/>
    <cellStyle name="Hyperlink" xfId="5428" builtinId="8" hidden="1"/>
    <cellStyle name="Hyperlink" xfId="5430" builtinId="8" hidden="1"/>
    <cellStyle name="Hyperlink" xfId="5432" builtinId="8" hidden="1"/>
    <cellStyle name="Hyperlink" xfId="5434" builtinId="8" hidden="1"/>
    <cellStyle name="Hyperlink" xfId="5436" builtinId="8" hidden="1"/>
    <cellStyle name="Hyperlink" xfId="5438" builtinId="8" hidden="1"/>
    <cellStyle name="Hyperlink" xfId="5440" builtinId="8" hidden="1"/>
    <cellStyle name="Hyperlink" xfId="5442" builtinId="8" hidden="1"/>
    <cellStyle name="Hyperlink" xfId="5444" builtinId="8" hidden="1"/>
    <cellStyle name="Hyperlink" xfId="5446" builtinId="8" hidden="1"/>
    <cellStyle name="Hyperlink" xfId="5448" builtinId="8" hidden="1"/>
    <cellStyle name="Hyperlink" xfId="5450" builtinId="8" hidden="1"/>
    <cellStyle name="Hyperlink" xfId="5452" builtinId="8" hidden="1"/>
    <cellStyle name="Hyperlink" xfId="5454" builtinId="8" hidden="1"/>
    <cellStyle name="Hyperlink" xfId="5456" builtinId="8" hidden="1"/>
    <cellStyle name="Hyperlink" xfId="5458" builtinId="8" hidden="1"/>
    <cellStyle name="Hyperlink" xfId="5460" builtinId="8" hidden="1"/>
    <cellStyle name="Hyperlink" xfId="5462" builtinId="8" hidden="1"/>
    <cellStyle name="Hyperlink" xfId="5464" builtinId="8" hidden="1"/>
    <cellStyle name="Hyperlink" xfId="5466" builtinId="8" hidden="1"/>
    <cellStyle name="Hyperlink" xfId="5468" builtinId="8" hidden="1"/>
    <cellStyle name="Hyperlink" xfId="5470" builtinId="8" hidden="1"/>
    <cellStyle name="Hyperlink" xfId="5472" builtinId="8" hidden="1"/>
    <cellStyle name="Hyperlink" xfId="5474" builtinId="8" hidden="1"/>
    <cellStyle name="Hyperlink" xfId="5476" builtinId="8" hidden="1"/>
    <cellStyle name="Hyperlink" xfId="5478" builtinId="8" hidden="1"/>
    <cellStyle name="Hyperlink" xfId="5480" builtinId="8" hidden="1"/>
    <cellStyle name="Hyperlink" xfId="5482" builtinId="8" hidden="1"/>
    <cellStyle name="Hyperlink" xfId="5484" builtinId="8" hidden="1"/>
    <cellStyle name="Hyperlink" xfId="5486" builtinId="8" hidden="1"/>
    <cellStyle name="Hyperlink" xfId="5488" builtinId="8" hidden="1"/>
    <cellStyle name="Hyperlink" xfId="5490" builtinId="8" hidden="1"/>
    <cellStyle name="Hyperlink" xfId="5492" builtinId="8" hidden="1"/>
    <cellStyle name="Hyperlink" xfId="5494" builtinId="8" hidden="1"/>
    <cellStyle name="Hyperlink" xfId="5496" builtinId="8" hidden="1"/>
    <cellStyle name="Hyperlink" xfId="5498" builtinId="8" hidden="1"/>
    <cellStyle name="Hyperlink" xfId="5500" builtinId="8" hidden="1"/>
    <cellStyle name="Hyperlink" xfId="5502" builtinId="8" hidden="1"/>
    <cellStyle name="Hyperlink" xfId="5504" builtinId="8" hidden="1"/>
    <cellStyle name="Hyperlink" xfId="5506" builtinId="8" hidden="1"/>
    <cellStyle name="Hyperlink" xfId="5508" builtinId="8" hidden="1"/>
    <cellStyle name="Hyperlink" xfId="5510" builtinId="8" hidden="1"/>
    <cellStyle name="Hyperlink" xfId="5512" builtinId="8" hidden="1"/>
    <cellStyle name="Hyperlink" xfId="5514" builtinId="8" hidden="1"/>
    <cellStyle name="Hyperlink" xfId="5516" builtinId="8" hidden="1"/>
    <cellStyle name="Hyperlink" xfId="5518" builtinId="8" hidden="1"/>
    <cellStyle name="Hyperlink" xfId="5520" builtinId="8" hidden="1"/>
    <cellStyle name="Hyperlink" xfId="5522" builtinId="8" hidden="1"/>
    <cellStyle name="Hyperlink" xfId="5524" builtinId="8" hidden="1"/>
    <cellStyle name="Hyperlink" xfId="5526" builtinId="8" hidden="1"/>
    <cellStyle name="Hyperlink" xfId="5528" builtinId="8" hidden="1"/>
    <cellStyle name="Hyperlink" xfId="5530" builtinId="8" hidden="1"/>
    <cellStyle name="Hyperlink" xfId="5532" builtinId="8" hidden="1"/>
    <cellStyle name="Hyperlink" xfId="5534" builtinId="8" hidden="1"/>
    <cellStyle name="Hyperlink" xfId="5536" builtinId="8" hidden="1"/>
    <cellStyle name="Hyperlink" xfId="5538" builtinId="8" hidden="1"/>
    <cellStyle name="Hyperlink" xfId="5540" builtinId="8" hidden="1"/>
    <cellStyle name="Hyperlink" xfId="5542" builtinId="8" hidden="1"/>
    <cellStyle name="Hyperlink" xfId="5544" builtinId="8" hidden="1"/>
    <cellStyle name="Hyperlink" xfId="5546" builtinId="8" hidden="1"/>
    <cellStyle name="Hyperlink" xfId="5548" builtinId="8" hidden="1"/>
    <cellStyle name="Hyperlink" xfId="5550" builtinId="8" hidden="1"/>
    <cellStyle name="Hyperlink" xfId="5552" builtinId="8" hidden="1"/>
    <cellStyle name="Hyperlink" xfId="5554" builtinId="8" hidden="1"/>
    <cellStyle name="Hyperlink" xfId="5556" builtinId="8" hidden="1"/>
    <cellStyle name="Hyperlink" xfId="5558" builtinId="8" hidden="1"/>
    <cellStyle name="Hyperlink" xfId="5560" builtinId="8" hidden="1"/>
    <cellStyle name="Hyperlink" xfId="5562" builtinId="8" hidden="1"/>
    <cellStyle name="Hyperlink" xfId="5564" builtinId="8" hidden="1"/>
    <cellStyle name="Hyperlink" xfId="5566" builtinId="8" hidden="1"/>
    <cellStyle name="Hyperlink" xfId="5568" builtinId="8" hidden="1"/>
    <cellStyle name="Hyperlink" xfId="5570" builtinId="8" hidden="1"/>
    <cellStyle name="Hyperlink" xfId="5572" builtinId="8" hidden="1"/>
    <cellStyle name="Hyperlink" xfId="5574" builtinId="8" hidden="1"/>
    <cellStyle name="Hyperlink" xfId="5576" builtinId="8" hidden="1"/>
    <cellStyle name="Hyperlink" xfId="5578" builtinId="8" hidden="1"/>
    <cellStyle name="Hyperlink" xfId="5580" builtinId="8" hidden="1"/>
    <cellStyle name="Hyperlink" xfId="5582" builtinId="8" hidden="1"/>
    <cellStyle name="Hyperlink" xfId="5584" builtinId="8" hidden="1"/>
    <cellStyle name="Hyperlink" xfId="5586" builtinId="8" hidden="1"/>
    <cellStyle name="Hyperlink" xfId="5588" builtinId="8" hidden="1"/>
    <cellStyle name="Hyperlink" xfId="5590" builtinId="8" hidden="1"/>
    <cellStyle name="Hyperlink" xfId="5592" builtinId="8" hidden="1"/>
    <cellStyle name="Hyperlink" xfId="5594" builtinId="8" hidden="1"/>
    <cellStyle name="Hyperlink" xfId="5596" builtinId="8" hidden="1"/>
    <cellStyle name="Hyperlink" xfId="5598" builtinId="8" hidden="1"/>
    <cellStyle name="Hyperlink" xfId="5600" builtinId="8" hidden="1"/>
    <cellStyle name="Hyperlink" xfId="5605" builtinId="8" hidden="1"/>
    <cellStyle name="Hyperlink" xfId="5607" builtinId="8" hidden="1"/>
    <cellStyle name="Hyperlink" xfId="5609" builtinId="8" hidden="1"/>
    <cellStyle name="Hyperlink" xfId="5611" builtinId="8" hidden="1"/>
    <cellStyle name="Hyperlink" xfId="5613" builtinId="8" hidden="1"/>
    <cellStyle name="Hyperlink" xfId="5615" builtinId="8" hidden="1"/>
    <cellStyle name="Hyperlink" xfId="5617" builtinId="8" hidden="1"/>
    <cellStyle name="Hyperlink" xfId="5619" builtinId="8" hidden="1"/>
    <cellStyle name="Hyperlink" xfId="5621" builtinId="8" hidden="1"/>
    <cellStyle name="Hyperlink" xfId="5623" builtinId="8" hidden="1"/>
    <cellStyle name="Hyperlink" xfId="5625" builtinId="8" hidden="1"/>
    <cellStyle name="Hyperlink" xfId="5627" builtinId="8" hidden="1"/>
    <cellStyle name="Hyperlink" xfId="5629" builtinId="8" hidden="1"/>
    <cellStyle name="Hyperlink" xfId="5631" builtinId="8" hidden="1"/>
    <cellStyle name="Hyperlink" xfId="5633" builtinId="8" hidden="1"/>
    <cellStyle name="Hyperlink" xfId="5635" builtinId="8" hidden="1"/>
    <cellStyle name="Hyperlink" xfId="5637" builtinId="8" hidden="1"/>
    <cellStyle name="Hyperlink" xfId="5639" builtinId="8" hidden="1"/>
    <cellStyle name="Hyperlink" xfId="5641" builtinId="8" hidden="1"/>
    <cellStyle name="Hyperlink" xfId="5643" builtinId="8" hidden="1"/>
    <cellStyle name="Hyperlink" xfId="5645" builtinId="8" hidden="1"/>
    <cellStyle name="Hyperlink" xfId="5647" builtinId="8" hidden="1"/>
    <cellStyle name="Hyperlink" xfId="5649" builtinId="8" hidden="1"/>
    <cellStyle name="Hyperlink" xfId="5651" builtinId="8" hidden="1"/>
    <cellStyle name="Hyperlink" xfId="5653" builtinId="8" hidden="1"/>
    <cellStyle name="Hyperlink" xfId="5655" builtinId="8" hidden="1"/>
    <cellStyle name="Hyperlink" xfId="5657" builtinId="8" hidden="1"/>
    <cellStyle name="Hyperlink" xfId="5659" builtinId="8" hidden="1"/>
    <cellStyle name="Hyperlink" xfId="5661" builtinId="8" hidden="1"/>
    <cellStyle name="Hyperlink" xfId="5663" builtinId="8" hidden="1"/>
    <cellStyle name="Hyperlink" xfId="5665" builtinId="8" hidden="1"/>
    <cellStyle name="Hyperlink" xfId="5667" builtinId="8" hidden="1"/>
    <cellStyle name="Hyperlink" xfId="5669" builtinId="8" hidden="1"/>
    <cellStyle name="Hyperlink" xfId="5671" builtinId="8" hidden="1"/>
    <cellStyle name="Hyperlink" xfId="5673" builtinId="8" hidden="1"/>
    <cellStyle name="Hyperlink" xfId="5675" builtinId="8" hidden="1"/>
    <cellStyle name="Hyperlink" xfId="5677" builtinId="8" hidden="1"/>
    <cellStyle name="Hyperlink" xfId="5679" builtinId="8" hidden="1"/>
    <cellStyle name="Hyperlink" xfId="5681" builtinId="8" hidden="1"/>
    <cellStyle name="Hyperlink" xfId="5683" builtinId="8" hidden="1"/>
    <cellStyle name="Hyperlink" xfId="5685" builtinId="8" hidden="1"/>
    <cellStyle name="Hyperlink" xfId="5687" builtinId="8" hidden="1"/>
    <cellStyle name="Hyperlink" xfId="5689" builtinId="8" hidden="1"/>
    <cellStyle name="Hyperlink" xfId="5691" builtinId="8" hidden="1"/>
    <cellStyle name="Hyperlink" xfId="5693" builtinId="8" hidden="1"/>
    <cellStyle name="Hyperlink" xfId="5695" builtinId="8" hidden="1"/>
    <cellStyle name="Hyperlink" xfId="5697" builtinId="8" hidden="1"/>
    <cellStyle name="Hyperlink" xfId="5699" builtinId="8" hidden="1"/>
    <cellStyle name="Hyperlink" xfId="5701" builtinId="8" hidden="1"/>
    <cellStyle name="Hyperlink" xfId="5703" builtinId="8" hidden="1"/>
    <cellStyle name="Hyperlink" xfId="5705" builtinId="8" hidden="1"/>
    <cellStyle name="Hyperlink" xfId="5707" builtinId="8" hidden="1"/>
    <cellStyle name="Hyperlink" xfId="5709" builtinId="8" hidden="1"/>
    <cellStyle name="Hyperlink" xfId="5711" builtinId="8" hidden="1"/>
    <cellStyle name="Hyperlink" xfId="5713" builtinId="8" hidden="1"/>
    <cellStyle name="Hyperlink" xfId="5715" builtinId="8" hidden="1"/>
    <cellStyle name="Hyperlink" xfId="5717" builtinId="8" hidden="1"/>
    <cellStyle name="Hyperlink" xfId="5719" builtinId="8" hidden="1"/>
    <cellStyle name="Hyperlink" xfId="5721" builtinId="8" hidden="1"/>
    <cellStyle name="Hyperlink" xfId="5723" builtinId="8" hidden="1"/>
    <cellStyle name="Hyperlink" xfId="5725" builtinId="8" hidden="1"/>
    <cellStyle name="Hyperlink" xfId="5727" builtinId="8" hidden="1"/>
    <cellStyle name="Hyperlink" xfId="5729" builtinId="8" hidden="1"/>
    <cellStyle name="Hyperlink" xfId="5731" builtinId="8" hidden="1"/>
    <cellStyle name="Hyperlink" xfId="5733" builtinId="8" hidden="1"/>
    <cellStyle name="Hyperlink" xfId="5735" builtinId="8" hidden="1"/>
    <cellStyle name="Hyperlink" xfId="5737" builtinId="8" hidden="1"/>
    <cellStyle name="Hyperlink" xfId="5739" builtinId="8" hidden="1"/>
    <cellStyle name="Hyperlink" xfId="5741" builtinId="8" hidden="1"/>
    <cellStyle name="Hyperlink" xfId="5743" builtinId="8" hidden="1"/>
    <cellStyle name="Hyperlink" xfId="5745" builtinId="8" hidden="1"/>
    <cellStyle name="Hyperlink" xfId="5747" builtinId="8" hidden="1"/>
    <cellStyle name="Hyperlink" xfId="5749" builtinId="8" hidden="1"/>
    <cellStyle name="Hyperlink" xfId="5751" builtinId="8" hidden="1"/>
    <cellStyle name="Hyperlink" xfId="5753" builtinId="8" hidden="1"/>
    <cellStyle name="Hyperlink" xfId="5755" builtinId="8" hidden="1"/>
    <cellStyle name="Hyperlink" xfId="5757" builtinId="8" hidden="1"/>
    <cellStyle name="Hyperlink" xfId="5759" builtinId="8" hidden="1"/>
    <cellStyle name="Hyperlink" xfId="5761" builtinId="8" hidden="1"/>
    <cellStyle name="Hyperlink" xfId="5763" builtinId="8" hidden="1"/>
    <cellStyle name="Hyperlink" xfId="5765" builtinId="8" hidden="1"/>
    <cellStyle name="Hyperlink" xfId="5767" builtinId="8" hidden="1"/>
    <cellStyle name="Hyperlink" xfId="5769" builtinId="8" hidden="1"/>
    <cellStyle name="Hyperlink" xfId="5771" builtinId="8" hidden="1"/>
    <cellStyle name="Hyperlink" xfId="5773" builtinId="8" hidden="1"/>
    <cellStyle name="Hyperlink" xfId="5775" builtinId="8" hidden="1"/>
    <cellStyle name="Hyperlink" xfId="5777" builtinId="8" hidden="1"/>
    <cellStyle name="Hyperlink" xfId="5779" builtinId="8" hidden="1"/>
    <cellStyle name="Hyperlink" xfId="5781" builtinId="8" hidden="1"/>
    <cellStyle name="Hyperlink" xfId="5783" builtinId="8" hidden="1"/>
    <cellStyle name="Hyperlink" xfId="5785" builtinId="8" hidden="1"/>
    <cellStyle name="Hyperlink" xfId="5787" builtinId="8" hidden="1"/>
    <cellStyle name="Hyperlink" xfId="5789" builtinId="8" hidden="1"/>
    <cellStyle name="Hyperlink" xfId="5791" builtinId="8" hidden="1"/>
    <cellStyle name="Hyperlink" xfId="5793" builtinId="8" hidden="1"/>
    <cellStyle name="Hyperlink" xfId="5795" builtinId="8" hidden="1"/>
    <cellStyle name="Hyperlink" xfId="5797" builtinId="8" hidden="1"/>
    <cellStyle name="Hyperlink" xfId="5799" builtinId="8" hidden="1"/>
    <cellStyle name="Hyperlink" xfId="5801" builtinId="8" hidden="1"/>
    <cellStyle name="Hyperlink" xfId="5803" builtinId="8" hidden="1"/>
    <cellStyle name="Hyperlink" xfId="5805" builtinId="8" hidden="1"/>
    <cellStyle name="Hyperlink" xfId="5807" builtinId="8" hidden="1"/>
    <cellStyle name="Hyperlink" xfId="5809" builtinId="8" hidden="1"/>
    <cellStyle name="Hyperlink" xfId="5811" builtinId="8" hidden="1"/>
    <cellStyle name="Hyperlink" xfId="5813" builtinId="8" hidden="1"/>
    <cellStyle name="Hyperlink" xfId="5815" builtinId="8" hidden="1"/>
    <cellStyle name="Hyperlink" xfId="5817" builtinId="8" hidden="1"/>
    <cellStyle name="Hyperlink" xfId="5819" builtinId="8" hidden="1"/>
    <cellStyle name="Hyperlink" xfId="5821" builtinId="8" hidden="1"/>
    <cellStyle name="Hyperlink" xfId="5823" builtinId="8" hidden="1"/>
    <cellStyle name="Hyperlink" xfId="5825" builtinId="8" hidden="1"/>
    <cellStyle name="Hyperlink" xfId="5827" builtinId="8" hidden="1"/>
    <cellStyle name="Hyperlink" xfId="5829" builtinId="8" hidden="1"/>
    <cellStyle name="Hyperlink" xfId="5831" builtinId="8" hidden="1"/>
    <cellStyle name="Hyperlink" xfId="5833" builtinId="8" hidden="1"/>
    <cellStyle name="Hyperlink" xfId="5835" builtinId="8" hidden="1"/>
    <cellStyle name="Hyperlink" xfId="5837" builtinId="8" hidden="1"/>
    <cellStyle name="Hyperlink" xfId="5839" builtinId="8" hidden="1"/>
    <cellStyle name="Hyperlink" xfId="5841" builtinId="8" hidden="1"/>
    <cellStyle name="Hyperlink" xfId="5843" builtinId="8" hidden="1"/>
    <cellStyle name="Hyperlink" xfId="5845" builtinId="8" hidden="1"/>
    <cellStyle name="Hyperlink" xfId="5847" builtinId="8" hidden="1"/>
    <cellStyle name="Hyperlink" xfId="5849" builtinId="8" hidden="1"/>
    <cellStyle name="Hyperlink" xfId="5851" builtinId="8" hidden="1"/>
    <cellStyle name="Hyperlink" xfId="5853" builtinId="8" hidden="1"/>
    <cellStyle name="Hyperlink" xfId="5855" builtinId="8" hidden="1"/>
    <cellStyle name="Hyperlink" xfId="5857" builtinId="8" hidden="1"/>
    <cellStyle name="Hyperlink" xfId="5859" builtinId="8" hidden="1"/>
    <cellStyle name="Hyperlink" xfId="5861" builtinId="8" hidden="1"/>
    <cellStyle name="Hyperlink" xfId="5863" builtinId="8" hidden="1"/>
    <cellStyle name="Hyperlink" xfId="5865" builtinId="8" hidden="1"/>
    <cellStyle name="Hyperlink" xfId="5867" builtinId="8" hidden="1"/>
    <cellStyle name="Hyperlink" xfId="5869" builtinId="8" hidden="1"/>
    <cellStyle name="Hyperlink" xfId="5871" builtinId="8" hidden="1"/>
    <cellStyle name="Hyperlink" xfId="5873" builtinId="8" hidden="1"/>
    <cellStyle name="Hyperlink" xfId="5875" builtinId="8" hidden="1"/>
    <cellStyle name="Hyperlink" xfId="5877" builtinId="8" hidden="1"/>
    <cellStyle name="Hyperlink" xfId="5879" builtinId="8" hidden="1"/>
    <cellStyle name="Hyperlink" xfId="5881" builtinId="8" hidden="1"/>
    <cellStyle name="Hyperlink" xfId="5883" builtinId="8" hidden="1"/>
    <cellStyle name="Hyperlink" xfId="5885" builtinId="8" hidden="1"/>
    <cellStyle name="Hyperlink" xfId="5887" builtinId="8" hidden="1"/>
    <cellStyle name="Hyperlink" xfId="5889" builtinId="8" hidden="1"/>
    <cellStyle name="Hyperlink" xfId="5891" builtinId="8" hidden="1"/>
    <cellStyle name="Hyperlink" xfId="5893" builtinId="8" hidden="1"/>
    <cellStyle name="Hyperlink" xfId="5895" builtinId="8" hidden="1"/>
    <cellStyle name="Hyperlink" xfId="5897" builtinId="8" hidden="1"/>
    <cellStyle name="Hyperlink" xfId="5899" builtinId="8" hidden="1"/>
    <cellStyle name="Hyperlink" xfId="5901" builtinId="8" hidden="1"/>
    <cellStyle name="Hyperlink" xfId="5903" builtinId="8" hidden="1"/>
    <cellStyle name="Hyperlink" xfId="5905" builtinId="8" hidden="1"/>
    <cellStyle name="Hyperlink" xfId="5907" builtinId="8" hidden="1"/>
    <cellStyle name="Hyperlink" xfId="5909" builtinId="8" hidden="1"/>
    <cellStyle name="Hyperlink" xfId="5911" builtinId="8" hidden="1"/>
    <cellStyle name="Hyperlink" xfId="5913" builtinId="8" hidden="1"/>
    <cellStyle name="Hyperlink" xfId="5915" builtinId="8" hidden="1"/>
    <cellStyle name="Hyperlink" xfId="5917" builtinId="8" hidden="1"/>
    <cellStyle name="Hyperlink" xfId="5919" builtinId="8" hidden="1"/>
    <cellStyle name="Hyperlink" xfId="5921" builtinId="8" hidden="1"/>
    <cellStyle name="Hyperlink" xfId="5923" builtinId="8" hidden="1"/>
    <cellStyle name="Hyperlink" xfId="5925" builtinId="8" hidden="1"/>
    <cellStyle name="Hyperlink" xfId="5927" builtinId="8" hidden="1"/>
    <cellStyle name="Hyperlink" xfId="5929" builtinId="8" hidden="1"/>
    <cellStyle name="Hyperlink" xfId="5931" builtinId="8" hidden="1"/>
    <cellStyle name="Hyperlink" xfId="5933" builtinId="8" hidden="1"/>
    <cellStyle name="Hyperlink" xfId="5935" builtinId="8" hidden="1"/>
    <cellStyle name="Hyperlink" xfId="5937" builtinId="8" hidden="1"/>
    <cellStyle name="Hyperlink" xfId="5939" builtinId="8" hidden="1"/>
    <cellStyle name="Hyperlink" xfId="5941" builtinId="8" hidden="1"/>
    <cellStyle name="Hyperlink" xfId="5943" builtinId="8" hidden="1"/>
    <cellStyle name="Hyperlink" xfId="5945" builtinId="8" hidden="1"/>
    <cellStyle name="Hyperlink" xfId="5947" builtinId="8" hidden="1"/>
    <cellStyle name="Hyperlink" xfId="5949" builtinId="8" hidden="1"/>
    <cellStyle name="Hyperlink" xfId="5951" builtinId="8" hidden="1"/>
    <cellStyle name="Hyperlink" xfId="5953" builtinId="8" hidden="1"/>
    <cellStyle name="Hyperlink" xfId="5955" builtinId="8" hidden="1"/>
    <cellStyle name="Hyperlink" xfId="5957" builtinId="8" hidden="1"/>
    <cellStyle name="Hyperlink" xfId="5959" builtinId="8" hidden="1"/>
    <cellStyle name="Hyperlink" xfId="5961" builtinId="8" hidden="1"/>
    <cellStyle name="Hyperlink" xfId="5963" builtinId="8" hidden="1"/>
    <cellStyle name="Hyperlink" xfId="5965" builtinId="8" hidden="1"/>
    <cellStyle name="Hyperlink" xfId="5967" builtinId="8" hidden="1"/>
    <cellStyle name="Hyperlink" xfId="5969" builtinId="8" hidden="1"/>
    <cellStyle name="Hyperlink" xfId="5971" builtinId="8" hidden="1"/>
    <cellStyle name="Hyperlink" xfId="5973" builtinId="8" hidden="1"/>
    <cellStyle name="Hyperlink" xfId="5975" builtinId="8" hidden="1"/>
    <cellStyle name="Hyperlink" xfId="5977" builtinId="8" hidden="1"/>
    <cellStyle name="Hyperlink" xfId="5979" builtinId="8" hidden="1"/>
    <cellStyle name="Hyperlink" xfId="5981" builtinId="8" hidden="1"/>
    <cellStyle name="Hyperlink" xfId="5983" builtinId="8" hidden="1"/>
    <cellStyle name="Hyperlink" xfId="5985" builtinId="8" hidden="1"/>
    <cellStyle name="Hyperlink" xfId="5987" builtinId="8" hidden="1"/>
    <cellStyle name="Hyperlink" xfId="5989" builtinId="8" hidden="1"/>
    <cellStyle name="Hyperlink" xfId="5991" builtinId="8" hidden="1"/>
    <cellStyle name="Hyperlink" xfId="5993" builtinId="8" hidden="1"/>
    <cellStyle name="Hyperlink" xfId="5995" builtinId="8" hidden="1"/>
    <cellStyle name="Hyperlink" xfId="5997" builtinId="8" hidden="1"/>
    <cellStyle name="Hyperlink" xfId="5999" builtinId="8" hidden="1"/>
    <cellStyle name="Hyperlink" xfId="6001" builtinId="8" hidden="1"/>
    <cellStyle name="Hyperlink" xfId="6003" builtinId="8" hidden="1"/>
    <cellStyle name="Hyperlink" xfId="6005" builtinId="8" hidden="1"/>
    <cellStyle name="Hyperlink" xfId="6007" builtinId="8" hidden="1"/>
    <cellStyle name="Hyperlink" xfId="6009" builtinId="8" hidden="1"/>
    <cellStyle name="Hyperlink" xfId="6011" builtinId="8" hidden="1"/>
    <cellStyle name="Hyperlink" xfId="6013" builtinId="8" hidden="1"/>
    <cellStyle name="Hyperlink" xfId="6015" builtinId="8" hidden="1"/>
    <cellStyle name="Hyperlink" xfId="6017" builtinId="8" hidden="1"/>
    <cellStyle name="Hyperlink" xfId="6019" builtinId="8" hidden="1"/>
    <cellStyle name="Hyperlink" xfId="6021" builtinId="8" hidden="1"/>
    <cellStyle name="Hyperlink" xfId="6023" builtinId="8" hidden="1"/>
    <cellStyle name="Hyperlink" xfId="6025" builtinId="8" hidden="1"/>
    <cellStyle name="Hyperlink" xfId="6027" builtinId="8" hidden="1"/>
    <cellStyle name="Hyperlink" xfId="6029" builtinId="8" hidden="1"/>
    <cellStyle name="Hyperlink" xfId="6031" builtinId="8" hidden="1"/>
    <cellStyle name="Hyperlink" xfId="6033" builtinId="8" hidden="1"/>
    <cellStyle name="Hyperlink" xfId="6035" builtinId="8" hidden="1"/>
    <cellStyle name="Hyperlink" xfId="6037" builtinId="8" hidden="1"/>
    <cellStyle name="Hyperlink" xfId="6039" builtinId="8" hidden="1"/>
    <cellStyle name="Hyperlink" xfId="6041" builtinId="8" hidden="1"/>
    <cellStyle name="Hyperlink" xfId="6043" builtinId="8" hidden="1"/>
    <cellStyle name="Hyperlink" xfId="6045" builtinId="8" hidden="1"/>
    <cellStyle name="Hyperlink" xfId="6047" builtinId="8" hidden="1"/>
    <cellStyle name="Hyperlink" xfId="6049" builtinId="8" hidden="1"/>
    <cellStyle name="Hyperlink" xfId="6051" builtinId="8" hidden="1"/>
    <cellStyle name="Hyperlink" xfId="6053" builtinId="8" hidden="1"/>
    <cellStyle name="Hyperlink" xfId="6055" builtinId="8" hidden="1"/>
    <cellStyle name="Hyperlink" xfId="6057" builtinId="8" hidden="1"/>
    <cellStyle name="Hyperlink" xfId="6059" builtinId="8" hidden="1"/>
    <cellStyle name="Hyperlink" xfId="6061" builtinId="8" hidden="1"/>
    <cellStyle name="Hyperlink" xfId="6063" builtinId="8" hidden="1"/>
    <cellStyle name="Hyperlink" xfId="6065" builtinId="8" hidden="1"/>
    <cellStyle name="Hyperlink" xfId="6067" builtinId="8" hidden="1"/>
    <cellStyle name="Hyperlink" xfId="6069" builtinId="8" hidden="1"/>
    <cellStyle name="Hyperlink" xfId="6071" builtinId="8" hidden="1"/>
    <cellStyle name="Hyperlink" xfId="6073" builtinId="8" hidden="1"/>
    <cellStyle name="Hyperlink" xfId="6075" builtinId="8" hidden="1"/>
    <cellStyle name="Hyperlink" xfId="6077" builtinId="8" hidden="1"/>
    <cellStyle name="Hyperlink" xfId="6079" builtinId="8" hidden="1"/>
    <cellStyle name="Hyperlink" xfId="6081" builtinId="8" hidden="1"/>
    <cellStyle name="Hyperlink" xfId="6083" builtinId="8" hidden="1"/>
    <cellStyle name="Hyperlink" xfId="6085" builtinId="8" hidden="1"/>
    <cellStyle name="Hyperlink" xfId="6087" builtinId="8" hidden="1"/>
    <cellStyle name="Hyperlink" xfId="6089" builtinId="8" hidden="1"/>
    <cellStyle name="Hyperlink" xfId="6091" builtinId="8" hidden="1"/>
    <cellStyle name="Hyperlink" xfId="6093" builtinId="8" hidden="1"/>
    <cellStyle name="Hyperlink" xfId="6095" builtinId="8" hidden="1"/>
    <cellStyle name="Hyperlink" xfId="6097" builtinId="8" hidden="1"/>
    <cellStyle name="Hyperlink" xfId="6099" builtinId="8" hidden="1"/>
    <cellStyle name="Hyperlink" xfId="6101" builtinId="8" hidden="1"/>
    <cellStyle name="Hyperlink" xfId="6103" builtinId="8" hidden="1"/>
    <cellStyle name="Hyperlink" xfId="6105" builtinId="8" hidden="1"/>
    <cellStyle name="Hyperlink" xfId="6107" builtinId="8" hidden="1"/>
    <cellStyle name="Hyperlink" xfId="6109" builtinId="8" hidden="1"/>
    <cellStyle name="Hyperlink" xfId="6111" builtinId="8" hidden="1"/>
    <cellStyle name="Hyperlink" xfId="6113" builtinId="8" hidden="1"/>
    <cellStyle name="Hyperlink" xfId="6115" builtinId="8" hidden="1"/>
    <cellStyle name="Hyperlink" xfId="6117" builtinId="8" hidden="1"/>
    <cellStyle name="Hyperlink" xfId="6119" builtinId="8" hidden="1"/>
    <cellStyle name="Hyperlink" xfId="6121" builtinId="8" hidden="1"/>
    <cellStyle name="Hyperlink" xfId="6123" builtinId="8" hidden="1"/>
    <cellStyle name="Hyperlink" xfId="6125" builtinId="8" hidden="1"/>
    <cellStyle name="Hyperlink" xfId="6127" builtinId="8" hidden="1"/>
    <cellStyle name="Hyperlink" xfId="6129" builtinId="8" hidden="1"/>
    <cellStyle name="Hyperlink" xfId="6131" builtinId="8" hidden="1"/>
    <cellStyle name="Hyperlink" xfId="6133" builtinId="8" hidden="1"/>
    <cellStyle name="Hyperlink" xfId="6135" builtinId="8" hidden="1"/>
    <cellStyle name="Hyperlink" xfId="6137" builtinId="8" hidden="1"/>
    <cellStyle name="Hyperlink" xfId="6139" builtinId="8" hidden="1"/>
    <cellStyle name="Hyperlink" xfId="6141" builtinId="8" hidden="1"/>
    <cellStyle name="Hyperlink" xfId="6143" builtinId="8" hidden="1"/>
    <cellStyle name="Hyperlink" xfId="6145" builtinId="8" hidden="1"/>
    <cellStyle name="Hyperlink" xfId="6147" builtinId="8" hidden="1"/>
    <cellStyle name="Hyperlink" xfId="6149" builtinId="8" hidden="1"/>
    <cellStyle name="Hyperlink" xfId="6151" builtinId="8" hidden="1"/>
    <cellStyle name="Hyperlink" xfId="6153" builtinId="8" hidden="1"/>
    <cellStyle name="Hyperlink" xfId="6155" builtinId="8" hidden="1"/>
    <cellStyle name="Hyperlink" xfId="6157" builtinId="8" hidden="1"/>
    <cellStyle name="Hyperlink" xfId="6159" builtinId="8" hidden="1"/>
    <cellStyle name="Hyperlink" xfId="6161" builtinId="8" hidden="1"/>
    <cellStyle name="Hyperlink" xfId="6163" builtinId="8" hidden="1"/>
    <cellStyle name="Hyperlink" xfId="6165" builtinId="8" hidden="1"/>
    <cellStyle name="Hyperlink" xfId="6167" builtinId="8" hidden="1"/>
    <cellStyle name="Hyperlink" xfId="6169" builtinId="8" hidden="1"/>
    <cellStyle name="Hyperlink" xfId="6171" builtinId="8" hidden="1"/>
    <cellStyle name="Hyperlink" xfId="6173" builtinId="8" hidden="1"/>
    <cellStyle name="Hyperlink" xfId="6175" builtinId="8" hidden="1"/>
    <cellStyle name="Hyperlink" xfId="6177" builtinId="8" hidden="1"/>
    <cellStyle name="Hyperlink" xfId="6179" builtinId="8" hidden="1"/>
    <cellStyle name="Hyperlink" xfId="6181" builtinId="8" hidden="1"/>
    <cellStyle name="Hyperlink" xfId="6183" builtinId="8" hidden="1"/>
    <cellStyle name="Hyperlink" xfId="6185" builtinId="8" hidden="1"/>
    <cellStyle name="Hyperlink" xfId="6187" builtinId="8" hidden="1"/>
    <cellStyle name="Hyperlink" xfId="6189" builtinId="8" hidden="1"/>
    <cellStyle name="Hyperlink" xfId="6191" builtinId="8" hidden="1"/>
    <cellStyle name="Hyperlink" xfId="6193" builtinId="8" hidden="1"/>
    <cellStyle name="Hyperlink" xfId="6195" builtinId="8" hidden="1"/>
    <cellStyle name="Hyperlink" xfId="6197" builtinId="8" hidden="1"/>
    <cellStyle name="Hyperlink" xfId="6199" builtinId="8" hidden="1"/>
    <cellStyle name="Hyperlink" xfId="6201" builtinId="8" hidden="1"/>
    <cellStyle name="Hyperlink" xfId="6203" builtinId="8" hidden="1"/>
    <cellStyle name="Hyperlink" xfId="6205" builtinId="8" hidden="1"/>
    <cellStyle name="Hyperlink" xfId="6207" builtinId="8" hidden="1"/>
    <cellStyle name="Hyperlink" xfId="6209" builtinId="8" hidden="1"/>
    <cellStyle name="Hyperlink" xfId="6211" builtinId="8" hidden="1"/>
    <cellStyle name="Hyperlink" xfId="6213" builtinId="8" hidden="1"/>
    <cellStyle name="Hyperlink" xfId="6215" builtinId="8" hidden="1"/>
    <cellStyle name="Hyperlink" xfId="6217" builtinId="8" hidden="1"/>
    <cellStyle name="Hyperlink" xfId="6219" builtinId="8" hidden="1"/>
    <cellStyle name="Hyperlink" xfId="6221" builtinId="8" hidden="1"/>
    <cellStyle name="Hyperlink" xfId="6223" builtinId="8" hidden="1"/>
    <cellStyle name="Hyperlink" xfId="6225" builtinId="8" hidden="1"/>
    <cellStyle name="Hyperlink" xfId="6227" builtinId="8" hidden="1"/>
    <cellStyle name="Hyperlink" xfId="6229" builtinId="8" hidden="1"/>
    <cellStyle name="Hyperlink" xfId="6231" builtinId="8" hidden="1"/>
    <cellStyle name="Hyperlink" xfId="6233" builtinId="8" hidden="1"/>
    <cellStyle name="Hyperlink" xfId="6235" builtinId="8" hidden="1"/>
    <cellStyle name="Hyperlink" xfId="6237" builtinId="8" hidden="1"/>
    <cellStyle name="Hyperlink" xfId="6239" builtinId="8" hidden="1"/>
    <cellStyle name="Hyperlink" xfId="6241" builtinId="8" hidden="1"/>
    <cellStyle name="Hyperlink" xfId="6243" builtinId="8" hidden="1"/>
    <cellStyle name="Hyperlink" xfId="6245" builtinId="8" hidden="1"/>
    <cellStyle name="Hyperlink" xfId="6247" builtinId="8" hidden="1"/>
    <cellStyle name="Hyperlink" xfId="6249" builtinId="8" hidden="1"/>
    <cellStyle name="Hyperlink" xfId="6251" builtinId="8" hidden="1"/>
    <cellStyle name="Hyperlink" xfId="6253" builtinId="8" hidden="1"/>
    <cellStyle name="Hyperlink" xfId="6255" builtinId="8" hidden="1"/>
    <cellStyle name="Hyperlink" xfId="6257" builtinId="8" hidden="1"/>
    <cellStyle name="Hyperlink" xfId="6259" builtinId="8" hidden="1"/>
    <cellStyle name="Hyperlink" xfId="6261" builtinId="8" hidden="1"/>
    <cellStyle name="Hyperlink" xfId="6263" builtinId="8" hidden="1"/>
    <cellStyle name="Hyperlink" xfId="6265" builtinId="8" hidden="1"/>
    <cellStyle name="Hyperlink" xfId="6267" builtinId="8" hidden="1"/>
    <cellStyle name="Hyperlink" xfId="6269" builtinId="8" hidden="1"/>
    <cellStyle name="Hyperlink" xfId="6271" builtinId="8" hidden="1"/>
    <cellStyle name="Hyperlink" xfId="6273" builtinId="8" hidden="1"/>
    <cellStyle name="Hyperlink" xfId="6275" builtinId="8" hidden="1"/>
    <cellStyle name="Hyperlink" xfId="6277" builtinId="8" hidden="1"/>
    <cellStyle name="Hyperlink" xfId="6279" builtinId="8" hidden="1"/>
    <cellStyle name="Hyperlink" xfId="6281" builtinId="8" hidden="1"/>
    <cellStyle name="Hyperlink" xfId="6283" builtinId="8" hidden="1"/>
    <cellStyle name="Hyperlink" xfId="6285" builtinId="8" hidden="1"/>
    <cellStyle name="Hyperlink" xfId="6287" builtinId="8" hidden="1"/>
    <cellStyle name="Hyperlink" xfId="6289" builtinId="8" hidden="1"/>
    <cellStyle name="Hyperlink" xfId="6291" builtinId="8" hidden="1"/>
    <cellStyle name="Hyperlink" xfId="6293" builtinId="8" hidden="1"/>
    <cellStyle name="Hyperlink" xfId="6295" builtinId="8" hidden="1"/>
    <cellStyle name="Hyperlink" xfId="6297" builtinId="8" hidden="1"/>
    <cellStyle name="Hyperlink" xfId="6299" builtinId="8" hidden="1"/>
    <cellStyle name="Hyperlink" xfId="6301" builtinId="8" hidden="1"/>
    <cellStyle name="Hyperlink" xfId="6303" builtinId="8" hidden="1"/>
    <cellStyle name="Hyperlink" xfId="6305" builtinId="8" hidden="1"/>
    <cellStyle name="Hyperlink" xfId="6307" builtinId="8" hidden="1"/>
    <cellStyle name="Hyperlink" xfId="6309" builtinId="8" hidden="1"/>
    <cellStyle name="Hyperlink" xfId="6311" builtinId="8" hidden="1"/>
    <cellStyle name="Hyperlink" xfId="6313" builtinId="8" hidden="1"/>
    <cellStyle name="Hyperlink" xfId="6315" builtinId="8" hidden="1"/>
    <cellStyle name="Hyperlink" xfId="6317" builtinId="8" hidden="1"/>
    <cellStyle name="Hyperlink" xfId="6319" builtinId="8" hidden="1"/>
    <cellStyle name="Hyperlink" xfId="6321" builtinId="8" hidden="1"/>
    <cellStyle name="Hyperlink" xfId="6323" builtinId="8" hidden="1"/>
    <cellStyle name="Hyperlink" xfId="6325" builtinId="8" hidden="1"/>
    <cellStyle name="Hyperlink" xfId="6327" builtinId="8" hidden="1"/>
    <cellStyle name="Hyperlink" xfId="6329" builtinId="8" hidden="1"/>
    <cellStyle name="Hyperlink" xfId="6331" builtinId="8" hidden="1"/>
    <cellStyle name="Hyperlink" xfId="6333" builtinId="8" hidden="1"/>
    <cellStyle name="Hyperlink" xfId="6335" builtinId="8" hidden="1"/>
    <cellStyle name="Hyperlink" xfId="6337" builtinId="8" hidden="1"/>
    <cellStyle name="Hyperlink" xfId="6339" builtinId="8" hidden="1"/>
    <cellStyle name="Hyperlink" xfId="6341" builtinId="8" hidden="1"/>
    <cellStyle name="Hyperlink" xfId="6343" builtinId="8" hidden="1"/>
    <cellStyle name="Hyperlink" xfId="6345" builtinId="8" hidden="1"/>
    <cellStyle name="Hyperlink" xfId="6347" builtinId="8" hidden="1"/>
    <cellStyle name="Hyperlink" xfId="6349" builtinId="8" hidden="1"/>
    <cellStyle name="Hyperlink" xfId="6351" builtinId="8" hidden="1"/>
    <cellStyle name="Hyperlink" xfId="6353" builtinId="8" hidden="1"/>
    <cellStyle name="Hyperlink" xfId="6355" builtinId="8" hidden="1"/>
    <cellStyle name="Hyperlink" xfId="6357" builtinId="8" hidden="1"/>
    <cellStyle name="Hyperlink" xfId="6359" builtinId="8" hidden="1"/>
    <cellStyle name="Hyperlink" xfId="6361" builtinId="8" hidden="1"/>
    <cellStyle name="Hyperlink" xfId="6363" builtinId="8" hidden="1"/>
    <cellStyle name="Hyperlink" xfId="6365" builtinId="8" hidden="1"/>
    <cellStyle name="Hyperlink" xfId="6367" builtinId="8" hidden="1"/>
    <cellStyle name="Hyperlink" xfId="6369" builtinId="8" hidden="1"/>
    <cellStyle name="Hyperlink" xfId="6371" builtinId="8" hidden="1"/>
    <cellStyle name="Hyperlink" xfId="6373" builtinId="8" hidden="1"/>
    <cellStyle name="Hyperlink" xfId="6375" builtinId="8" hidden="1"/>
    <cellStyle name="Hyperlink" xfId="6377" builtinId="8" hidden="1"/>
    <cellStyle name="Hyperlink" xfId="6379" builtinId="8" hidden="1"/>
    <cellStyle name="Hyperlink" xfId="6381" builtinId="8" hidden="1"/>
    <cellStyle name="Hyperlink" xfId="6383" builtinId="8" hidden="1"/>
    <cellStyle name="Hyperlink" xfId="6385" builtinId="8" hidden="1"/>
    <cellStyle name="Hyperlink" xfId="6387" builtinId="8" hidden="1"/>
    <cellStyle name="Hyperlink" xfId="6389" builtinId="8" hidden="1"/>
    <cellStyle name="Hyperlink" xfId="6391" builtinId="8" hidden="1"/>
    <cellStyle name="Hyperlink" xfId="6393" builtinId="8" hidden="1"/>
    <cellStyle name="Hyperlink" xfId="6395" builtinId="8" hidden="1"/>
    <cellStyle name="Hyperlink" xfId="6397" builtinId="8" hidden="1"/>
    <cellStyle name="Hyperlink" xfId="6399" builtinId="8" hidden="1"/>
    <cellStyle name="Hyperlink" xfId="6401" builtinId="8" hidden="1"/>
    <cellStyle name="Hyperlink" xfId="6403" builtinId="8" hidden="1"/>
    <cellStyle name="Hyperlink" xfId="6405" builtinId="8" hidden="1"/>
    <cellStyle name="Hyperlink" xfId="6407" builtinId="8" hidden="1"/>
    <cellStyle name="Hyperlink" xfId="6409" builtinId="8" hidden="1"/>
    <cellStyle name="Hyperlink" xfId="6411" builtinId="8" hidden="1"/>
    <cellStyle name="Hyperlink" xfId="6413" builtinId="8" hidden="1"/>
    <cellStyle name="Hyperlink" xfId="6415" builtinId="8" hidden="1"/>
    <cellStyle name="Hyperlink" xfId="6417" builtinId="8" hidden="1"/>
    <cellStyle name="Hyperlink" xfId="6419" builtinId="8" hidden="1"/>
    <cellStyle name="Hyperlink" xfId="6421" builtinId="8" hidden="1"/>
    <cellStyle name="Hyperlink" xfId="6423" builtinId="8" hidden="1"/>
    <cellStyle name="Hyperlink" xfId="6425" builtinId="8" hidden="1"/>
    <cellStyle name="Hyperlink" xfId="6427" builtinId="8" hidden="1"/>
    <cellStyle name="Hyperlink" xfId="6429" builtinId="8" hidden="1"/>
    <cellStyle name="Hyperlink" xfId="6433" builtinId="8" hidden="1"/>
    <cellStyle name="Hyperlink" xfId="6435" builtinId="8" hidden="1"/>
    <cellStyle name="Hyperlink" xfId="6437" builtinId="8" hidden="1"/>
    <cellStyle name="Hyperlink" xfId="6439" builtinId="8" hidden="1"/>
    <cellStyle name="Hyperlink" xfId="6441" builtinId="8" hidden="1"/>
    <cellStyle name="Hyperlink" xfId="6443" builtinId="8" hidden="1"/>
    <cellStyle name="Hyperlink" xfId="6445" builtinId="8" hidden="1"/>
    <cellStyle name="Hyperlink" xfId="6447" builtinId="8" hidden="1"/>
    <cellStyle name="Hyperlink" xfId="6449" builtinId="8" hidden="1"/>
    <cellStyle name="Hyperlink" xfId="6451" builtinId="8" hidden="1"/>
    <cellStyle name="Hyperlink" xfId="6453" builtinId="8" hidden="1"/>
    <cellStyle name="Hyperlink" xfId="6455" builtinId="8" hidden="1"/>
    <cellStyle name="Hyperlink" xfId="6457" builtinId="8" hidden="1"/>
    <cellStyle name="Hyperlink" xfId="6459" builtinId="8" hidden="1"/>
    <cellStyle name="Hyperlink" xfId="6461" builtinId="8" hidden="1"/>
    <cellStyle name="Hyperlink" xfId="6463" builtinId="8" hidden="1"/>
    <cellStyle name="Hyperlink" xfId="6465" builtinId="8" hidden="1"/>
    <cellStyle name="Hyperlink" xfId="6467" builtinId="8" hidden="1"/>
    <cellStyle name="Hyperlink" xfId="6469" builtinId="8" hidden="1"/>
    <cellStyle name="Hyperlink" xfId="6471" builtinId="8" hidden="1"/>
    <cellStyle name="Hyperlink" xfId="6473" builtinId="8" hidden="1"/>
    <cellStyle name="Hyperlink" xfId="6475" builtinId="8" hidden="1"/>
    <cellStyle name="Hyperlink" xfId="6477" builtinId="8" hidden="1"/>
    <cellStyle name="Hyperlink" xfId="6479" builtinId="8" hidden="1"/>
    <cellStyle name="Hyperlink" xfId="6481" builtinId="8" hidden="1"/>
    <cellStyle name="Hyperlink" xfId="6483" builtinId="8" hidden="1"/>
    <cellStyle name="Hyperlink" xfId="6485" builtinId="8" hidden="1"/>
    <cellStyle name="Hyperlink" xfId="6487" builtinId="8" hidden="1"/>
    <cellStyle name="Hyperlink" xfId="6489" builtinId="8" hidden="1"/>
    <cellStyle name="Hyperlink" xfId="6491" builtinId="8" hidden="1"/>
    <cellStyle name="Hyperlink" xfId="6493" builtinId="8" hidden="1"/>
    <cellStyle name="Hyperlink" xfId="6495" builtinId="8" hidden="1"/>
    <cellStyle name="Hyperlink" xfId="6497" builtinId="8" hidden="1"/>
    <cellStyle name="Hyperlink" xfId="6499" builtinId="8" hidden="1"/>
    <cellStyle name="Hyperlink" xfId="6501" builtinId="8" hidden="1"/>
    <cellStyle name="Hyperlink" xfId="6503" builtinId="8" hidden="1"/>
    <cellStyle name="Hyperlink" xfId="6505" builtinId="8" hidden="1"/>
    <cellStyle name="Hyperlink" xfId="6507" builtinId="8" hidden="1"/>
    <cellStyle name="Hyperlink" xfId="6509" builtinId="8" hidden="1"/>
    <cellStyle name="Hyperlink" xfId="6511" builtinId="8" hidden="1"/>
    <cellStyle name="Hyperlink" xfId="6513" builtinId="8" hidden="1"/>
    <cellStyle name="Hyperlink" xfId="6515" builtinId="8" hidden="1"/>
    <cellStyle name="Hyperlink" xfId="6517" builtinId="8" hidden="1"/>
    <cellStyle name="Hyperlink" xfId="6519" builtinId="8" hidden="1"/>
    <cellStyle name="Hyperlink" xfId="6521" builtinId="8" hidden="1"/>
    <cellStyle name="Hyperlink" xfId="6523" builtinId="8" hidden="1"/>
    <cellStyle name="Hyperlink" xfId="6525" builtinId="8" hidden="1"/>
    <cellStyle name="Hyperlink" xfId="6527" builtinId="8" hidden="1"/>
    <cellStyle name="Hyperlink" xfId="6529" builtinId="8" hidden="1"/>
    <cellStyle name="Hyperlink" xfId="6531" builtinId="8" hidden="1"/>
    <cellStyle name="Hyperlink" xfId="6533" builtinId="8" hidden="1"/>
    <cellStyle name="Hyperlink" xfId="6535" builtinId="8" hidden="1"/>
    <cellStyle name="Hyperlink" xfId="6537" builtinId="8" hidden="1"/>
    <cellStyle name="Hyperlink" xfId="6539" builtinId="8" hidden="1"/>
    <cellStyle name="Hyperlink" xfId="6541" builtinId="8" hidden="1"/>
    <cellStyle name="Hyperlink" xfId="6543" builtinId="8" hidden="1"/>
    <cellStyle name="Hyperlink" xfId="6545" builtinId="8" hidden="1"/>
    <cellStyle name="Hyperlink" xfId="6547" builtinId="8" hidden="1"/>
    <cellStyle name="Hyperlink" xfId="6549" builtinId="8" hidden="1"/>
    <cellStyle name="Hyperlink" xfId="6551" builtinId="8" hidden="1"/>
    <cellStyle name="Hyperlink" xfId="6553" builtinId="8" hidden="1"/>
    <cellStyle name="Hyperlink" xfId="6555" builtinId="8" hidden="1"/>
    <cellStyle name="Hyperlink" xfId="6557" builtinId="8" hidden="1"/>
    <cellStyle name="Hyperlink" xfId="6559" builtinId="8" hidden="1"/>
    <cellStyle name="Hyperlink" xfId="6561" builtinId="8" hidden="1"/>
    <cellStyle name="Hyperlink" xfId="6563" builtinId="8" hidden="1"/>
    <cellStyle name="Hyperlink" xfId="6565" builtinId="8" hidden="1"/>
    <cellStyle name="Hyperlink" xfId="6567" builtinId="8" hidden="1"/>
    <cellStyle name="Hyperlink" xfId="6569" builtinId="8" hidden="1"/>
    <cellStyle name="Hyperlink" xfId="6571" builtinId="8" hidden="1"/>
    <cellStyle name="Hyperlink" xfId="6573" builtinId="8" hidden="1"/>
    <cellStyle name="Hyperlink" xfId="6575" builtinId="8" hidden="1"/>
    <cellStyle name="Hyperlink" xfId="6577" builtinId="8" hidden="1"/>
    <cellStyle name="Hyperlink" xfId="6579" builtinId="8" hidden="1"/>
    <cellStyle name="Hyperlink" xfId="6581" builtinId="8" hidden="1"/>
    <cellStyle name="Hyperlink" xfId="6583" builtinId="8" hidden="1"/>
    <cellStyle name="Hyperlink" xfId="6585" builtinId="8" hidden="1"/>
    <cellStyle name="Hyperlink" xfId="6587" builtinId="8" hidden="1"/>
    <cellStyle name="Hyperlink" xfId="6589" builtinId="8" hidden="1"/>
    <cellStyle name="Hyperlink" xfId="6591" builtinId="8" hidden="1"/>
    <cellStyle name="Hyperlink" xfId="6593" builtinId="8" hidden="1"/>
    <cellStyle name="Hyperlink" xfId="6595" builtinId="8" hidden="1"/>
    <cellStyle name="Hyperlink" xfId="6597" builtinId="8" hidden="1"/>
    <cellStyle name="Hyperlink" xfId="6599" builtinId="8" hidden="1"/>
    <cellStyle name="Hyperlink" xfId="6601" builtinId="8" hidden="1"/>
    <cellStyle name="Hyperlink" xfId="6603" builtinId="8" hidden="1"/>
    <cellStyle name="Hyperlink" xfId="6605" builtinId="8" hidden="1"/>
    <cellStyle name="Hyperlink" xfId="6607" builtinId="8" hidden="1"/>
    <cellStyle name="Hyperlink" xfId="6609" builtinId="8" hidden="1"/>
    <cellStyle name="Hyperlink" xfId="6611" builtinId="8" hidden="1"/>
    <cellStyle name="Hyperlink" xfId="6613" builtinId="8" hidden="1"/>
    <cellStyle name="Hyperlink" xfId="6615" builtinId="8" hidden="1"/>
    <cellStyle name="Hyperlink" xfId="6617" builtinId="8" hidden="1"/>
    <cellStyle name="Hyperlink" xfId="6619" builtinId="8" hidden="1"/>
    <cellStyle name="Hyperlink" xfId="6621" builtinId="8" hidden="1"/>
    <cellStyle name="Hyperlink" xfId="6623" builtinId="8" hidden="1"/>
    <cellStyle name="Hyperlink" xfId="6625" builtinId="8" hidden="1"/>
    <cellStyle name="Hyperlink" xfId="6627" builtinId="8" hidden="1"/>
    <cellStyle name="Hyperlink" xfId="6629" builtinId="8" hidden="1"/>
    <cellStyle name="Hyperlink" xfId="6631" builtinId="8" hidden="1"/>
    <cellStyle name="Hyperlink" xfId="6633" builtinId="8" hidden="1"/>
    <cellStyle name="Hyperlink" xfId="6635" builtinId="8" hidden="1"/>
    <cellStyle name="Hyperlink" xfId="6637" builtinId="8" hidden="1"/>
    <cellStyle name="Hyperlink" xfId="6639" builtinId="8" hidden="1"/>
    <cellStyle name="Hyperlink" xfId="6641" builtinId="8" hidden="1"/>
    <cellStyle name="Hyperlink" xfId="6643" builtinId="8" hidden="1"/>
    <cellStyle name="Hyperlink" xfId="6645" builtinId="8" hidden="1"/>
    <cellStyle name="Hyperlink" xfId="6647" builtinId="8" hidden="1"/>
    <cellStyle name="Hyperlink" xfId="6649" builtinId="8" hidden="1"/>
    <cellStyle name="Hyperlink" xfId="6651" builtinId="8" hidden="1"/>
    <cellStyle name="Hyperlink" xfId="6653" builtinId="8" hidden="1"/>
    <cellStyle name="Hyperlink" xfId="6655" builtinId="8" hidden="1"/>
    <cellStyle name="Hyperlink" xfId="6657" builtinId="8" hidden="1"/>
    <cellStyle name="Hyperlink" xfId="6659" builtinId="8" hidden="1"/>
    <cellStyle name="Hyperlink" xfId="6661" builtinId="8" hidden="1"/>
    <cellStyle name="Hyperlink" xfId="6663" builtinId="8" hidden="1"/>
    <cellStyle name="Hyperlink" xfId="6665" builtinId="8" hidden="1"/>
    <cellStyle name="Hyperlink" xfId="6667" builtinId="8" hidden="1"/>
    <cellStyle name="Hyperlink" xfId="6669" builtinId="8" hidden="1"/>
    <cellStyle name="Hyperlink" xfId="6671" builtinId="8" hidden="1"/>
    <cellStyle name="Hyperlink" xfId="6673" builtinId="8" hidden="1"/>
    <cellStyle name="Hyperlink" xfId="6675" builtinId="8" hidden="1"/>
    <cellStyle name="Hyperlink" xfId="6677" builtinId="8" hidden="1"/>
    <cellStyle name="Hyperlink" xfId="6679" builtinId="8" hidden="1"/>
    <cellStyle name="Hyperlink" xfId="6681" builtinId="8" hidden="1"/>
    <cellStyle name="Hyperlink" xfId="6683" builtinId="8" hidden="1"/>
    <cellStyle name="Hyperlink" xfId="6685" builtinId="8" hidden="1"/>
    <cellStyle name="Hyperlink" xfId="6687" builtinId="8" hidden="1"/>
    <cellStyle name="Hyperlink" xfId="6689" builtinId="8" hidden="1"/>
    <cellStyle name="Hyperlink" xfId="6691" builtinId="8" hidden="1"/>
    <cellStyle name="Hyperlink" xfId="6693" builtinId="8" hidden="1"/>
    <cellStyle name="Hyperlink" xfId="6695" builtinId="8" hidden="1"/>
    <cellStyle name="Hyperlink" xfId="6697" builtinId="8" hidden="1"/>
    <cellStyle name="Monétaire 2" xfId="564" xr:uid="{00000000-0005-0000-0000-00001F1A0000}"/>
    <cellStyle name="Normal" xfId="0" builtinId="0"/>
    <cellStyle name="Normal 2" xfId="558" xr:uid="{00000000-0005-0000-0000-0000211A0000}"/>
    <cellStyle name="Normal 2 2" xfId="6702" xr:uid="{A0EFF262-1972-4797-97A3-31FAEBD40966}"/>
    <cellStyle name="Normal 3" xfId="565" xr:uid="{00000000-0005-0000-0000-0000221A0000}"/>
    <cellStyle name="Normal 3 3" xfId="6706" xr:uid="{E6BFCF23-4513-4D62-9050-4371AD777148}"/>
    <cellStyle name="Normal 4" xfId="566" xr:uid="{00000000-0005-0000-0000-0000231A0000}"/>
    <cellStyle name="Normal 5" xfId="3345" xr:uid="{00000000-0005-0000-0000-0000241A0000}"/>
    <cellStyle name="Normal 6" xfId="6703" xr:uid="{2161BC62-C180-44C2-9CF7-1254CB08B90C}"/>
    <cellStyle name="Percent" xfId="3" builtinId="5"/>
    <cellStyle name="Percent 2" xfId="567" xr:uid="{00000000-0005-0000-0000-0000261A0000}"/>
    <cellStyle name="Percent 3" xfId="568" xr:uid="{00000000-0005-0000-0000-0000271A0000}"/>
    <cellStyle name="Percent 4" xfId="4540" xr:uid="{00000000-0005-0000-0000-0000281A0000}"/>
    <cellStyle name="Percent 5" xfId="5603" xr:uid="{00000000-0005-0000-0000-0000291A0000}"/>
    <cellStyle name="Percent 6" xfId="6700" xr:uid="{6DF2050F-157C-844C-B058-D067D7BD8774}"/>
    <cellStyle name="Percent 7" xfId="6704" xr:uid="{79796B84-7591-49F0-AEFF-F0895AB0C48E}"/>
    <cellStyle name="Sheet header" xfId="569" xr:uid="{00000000-0005-0000-0000-00002A1A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1200152</xdr:colOff>
      <xdr:row>1</xdr:row>
      <xdr:rowOff>131431</xdr:rowOff>
    </xdr:from>
    <xdr:ext cx="1628420" cy="629499"/>
    <xdr:pic>
      <xdr:nvPicPr>
        <xdr:cNvPr id="2" name="Image 3">
          <a:extLst>
            <a:ext uri="{FF2B5EF4-FFF2-40B4-BE49-F238E27FC236}">
              <a16:creationId xmlns:a16="http://schemas.microsoft.com/office/drawing/2014/main" id="{3D888659-AA1D-4C53-97EF-6E264ACC9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01952" y="313464"/>
          <a:ext cx="1628420" cy="6294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15</xdr:col>
      <xdr:colOff>195800</xdr:colOff>
      <xdr:row>45</xdr:row>
      <xdr:rowOff>55390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F2F3F-41ED-4629-9770-C14E4CAF3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333" y="5770033"/>
          <a:ext cx="9678467" cy="3238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15</xdr:col>
      <xdr:colOff>424425</xdr:colOff>
      <xdr:row>69</xdr:row>
      <xdr:rowOff>51135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75636D-4A95-DD2F-4DBF-6ACA8B018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7333" y="10744200"/>
          <a:ext cx="9907092" cy="30356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15</xdr:col>
      <xdr:colOff>43383</xdr:colOff>
      <xdr:row>90</xdr:row>
      <xdr:rowOff>30053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214D06-C5DC-31A1-CB92-86FA43319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7333" y="14126633"/>
          <a:ext cx="9526050" cy="38104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1</xdr:rowOff>
    </xdr:from>
    <xdr:to>
      <xdr:col>14</xdr:col>
      <xdr:colOff>114300</xdr:colOff>
      <xdr:row>26</xdr:row>
      <xdr:rowOff>190102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9E5E3F-1C2C-8245-B8EF-5224ABED1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7333" y="596901"/>
          <a:ext cx="8919634" cy="47663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aniel%20Bastien/Downloads/Projections%20de%20cr&#233;dits_RS&amp;DE-CDAE_Medzy%20Inc.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ions"/>
      <sheetName val="Autre dépenses"/>
      <sheetName val="Calcul Salaires"/>
      <sheetName val="Calcul des CRÉDITS"/>
    </sheetNames>
    <sheetDataSet>
      <sheetData sheetId="0"/>
      <sheetData sheetId="1"/>
      <sheetData sheetId="2"/>
      <sheetData sheetId="3">
        <row r="18">
          <cell r="H18">
            <v>0</v>
          </cell>
        </row>
        <row r="36">
          <cell r="H36">
            <v>185033.1875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  <pageSetUpPr fitToPage="1"/>
  </sheetPr>
  <dimension ref="B1:N92"/>
  <sheetViews>
    <sheetView topLeftCell="A46" zoomScale="110" zoomScaleNormal="110" zoomScalePageLayoutView="125" workbookViewId="0">
      <selection activeCell="E87" sqref="E87"/>
    </sheetView>
  </sheetViews>
  <sheetFormatPr baseColWidth="10" defaultColWidth="4.5" defaultRowHeight="16" x14ac:dyDescent="0.2"/>
  <cols>
    <col min="2" max="2" width="2.83203125" customWidth="1"/>
    <col min="3" max="3" width="33.83203125" customWidth="1"/>
    <col min="4" max="4" width="20.33203125" customWidth="1"/>
    <col min="5" max="11" width="20" customWidth="1"/>
    <col min="13" max="13" width="14.33203125" bestFit="1" customWidth="1"/>
    <col min="14" max="14" width="16.33203125" customWidth="1"/>
  </cols>
  <sheetData>
    <row r="1" spans="2:11" x14ac:dyDescent="0.2">
      <c r="C1" s="32" t="s">
        <v>345</v>
      </c>
      <c r="D1" s="32"/>
    </row>
    <row r="2" spans="2:11" x14ac:dyDescent="0.2">
      <c r="C2" s="2"/>
      <c r="D2" s="2"/>
    </row>
    <row r="3" spans="2:11" x14ac:dyDescent="0.2">
      <c r="D3" s="692" t="s">
        <v>317</v>
      </c>
      <c r="E3" s="692"/>
      <c r="F3" s="692"/>
      <c r="G3" s="692"/>
      <c r="H3" s="693"/>
    </row>
    <row r="4" spans="2:11" s="19" customFormat="1" ht="21" x14ac:dyDescent="0.25">
      <c r="C4" s="45"/>
      <c r="D4" s="593" t="s">
        <v>340</v>
      </c>
      <c r="E4" s="593" t="s">
        <v>308</v>
      </c>
      <c r="F4" s="592" t="s">
        <v>309</v>
      </c>
      <c r="G4" s="595" t="s">
        <v>310</v>
      </c>
      <c r="H4" s="595" t="s">
        <v>311</v>
      </c>
      <c r="I4" s="595" t="s">
        <v>359</v>
      </c>
      <c r="J4" s="595" t="s">
        <v>362</v>
      </c>
      <c r="K4" s="595" t="s">
        <v>363</v>
      </c>
    </row>
    <row r="5" spans="2:11" x14ac:dyDescent="0.2">
      <c r="B5" s="694" t="s">
        <v>90</v>
      </c>
      <c r="D5" s="699" t="s">
        <v>335</v>
      </c>
      <c r="E5" s="699"/>
      <c r="F5" s="699"/>
      <c r="G5" s="695" t="s">
        <v>346</v>
      </c>
      <c r="H5" s="695"/>
      <c r="I5" s="695"/>
      <c r="J5" s="695"/>
      <c r="K5" s="695"/>
    </row>
    <row r="6" spans="2:11" x14ac:dyDescent="0.2">
      <c r="B6" s="694"/>
      <c r="C6" s="21" t="s">
        <v>71</v>
      </c>
      <c r="E6" s="9">
        <f>SUM('P&amp;L Medzy '!F10:Q10)</f>
        <v>0</v>
      </c>
      <c r="F6" s="9">
        <f>SUM('P&amp;L Medzy '!P10:AA10)</f>
        <v>461.42857142857139</v>
      </c>
      <c r="G6" s="9">
        <f>SUM('P&amp;L Medzy '!AD10:AO10)</f>
        <v>12909.770209838322</v>
      </c>
      <c r="H6" s="9">
        <f>SUM('P&amp;L Medzy '!AP10:BA10)</f>
        <v>32575.341176470589</v>
      </c>
      <c r="I6" s="9">
        <f>SUM('P&amp;L Medzy '!BB10:BM10)</f>
        <v>54208.941176470587</v>
      </c>
      <c r="J6" s="9">
        <f>SUM('P&amp;L Medzy '!BN10:BY10)</f>
        <v>73562.541176470593</v>
      </c>
      <c r="K6" s="9">
        <f>SUM('P&amp;L Medzy '!BZ10:CK10)</f>
        <v>92916.141176470584</v>
      </c>
    </row>
    <row r="7" spans="2:11" x14ac:dyDescent="0.2">
      <c r="B7" s="694"/>
      <c r="C7" s="21" t="s">
        <v>59</v>
      </c>
      <c r="E7" s="163">
        <f>SUM('P&amp;L Medzy '!F11:Q11)</f>
        <v>0</v>
      </c>
      <c r="F7" s="163">
        <f>SUM('P&amp;L Medzy '!P11:AA11)</f>
        <v>231.85579503808668</v>
      </c>
      <c r="G7" s="163">
        <f>SUM('P&amp;L Medzy '!AD11:AO11)</f>
        <v>1557.4311133336898</v>
      </c>
      <c r="H7" s="163">
        <f>SUM('P&amp;L Medzy '!AP11:BA11)</f>
        <v>5199.0281097400039</v>
      </c>
      <c r="I7" s="9">
        <f>SUM('P&amp;L Medzy '!BB11:BM11)</f>
        <v>12824.986345936522</v>
      </c>
      <c r="J7" s="9">
        <f>SUM('P&amp;L Medzy '!BN11:BY11)</f>
        <v>22808.061852016966</v>
      </c>
      <c r="K7" s="9">
        <f>SUM('P&amp;L Medzy '!BZ11:CK11)</f>
        <v>34422.458669670952</v>
      </c>
    </row>
    <row r="8" spans="2:11" x14ac:dyDescent="0.2">
      <c r="B8" s="694"/>
      <c r="C8" s="21" t="s">
        <v>72</v>
      </c>
      <c r="E8" s="9">
        <f>'P&amp;L Medzy '!Q12</f>
        <v>0</v>
      </c>
      <c r="F8" s="9">
        <f>'P&amp;L Medzy '!AA12</f>
        <v>4645.6078121141209</v>
      </c>
      <c r="G8" s="9">
        <f>'P&amp;L Medzy '!AO12</f>
        <v>15819.689845912793</v>
      </c>
      <c r="H8" s="9">
        <f>'P&amp;L Medzy '!BA12</f>
        <v>42560.002912643387</v>
      </c>
      <c r="I8" s="9">
        <f>SUM('P&amp;L Medzy '!BB12:BM12)</f>
        <v>740659.65494983015</v>
      </c>
      <c r="J8" s="9">
        <f>SUM('P&amp;L Medzy '!BN12:BY12)</f>
        <v>1240124.2043662693</v>
      </c>
      <c r="K8" s="9">
        <f>SUM('P&amp;L Medzy '!BZ12:CK12)</f>
        <v>1832417.476794064</v>
      </c>
    </row>
    <row r="9" spans="2:11" ht="17" thickBot="1" x14ac:dyDescent="0.25">
      <c r="B9" s="694"/>
      <c r="C9" s="51" t="str">
        <f>'P&amp;L Medzy '!B13</f>
        <v>Pharmacy Revenues</v>
      </c>
      <c r="D9" s="164">
        <v>2869230.75</v>
      </c>
      <c r="E9" s="164">
        <v>4030102.31</v>
      </c>
      <c r="F9" s="164">
        <f>SUM('P&amp;L Medzy '!P13:AA13)</f>
        <v>4942683.7714285711</v>
      </c>
      <c r="G9" s="164">
        <f>SUM('P&amp;L Medzy '!AD13:AO13)</f>
        <v>8978508.2082866412</v>
      </c>
      <c r="H9" s="164">
        <f>SUM('P&amp;L Medzy '!AP13:BA13)</f>
        <v>27076731.785574999</v>
      </c>
      <c r="I9" s="679">
        <f>SUM('P&amp;L Medzy '!BB13:BM13)</f>
        <v>56566516.782856308</v>
      </c>
      <c r="J9" s="679">
        <f>SUM('P&amp;L Medzy '!BN13:BY13)</f>
        <v>94205353.308392614</v>
      </c>
      <c r="K9" s="679">
        <f>SUM('P&amp;L Medzy '!BZ13:CK13)</f>
        <v>137748335.60677874</v>
      </c>
    </row>
    <row r="10" spans="2:11" ht="17" thickTop="1" x14ac:dyDescent="0.2">
      <c r="B10" s="694"/>
    </row>
    <row r="11" spans="2:11" x14ac:dyDescent="0.2">
      <c r="B11" s="694"/>
      <c r="C11" s="2" t="s">
        <v>174</v>
      </c>
      <c r="D11" s="8">
        <v>502115.3</v>
      </c>
      <c r="E11" s="8">
        <v>706554.49</v>
      </c>
      <c r="F11" s="8">
        <f>SUM('P&amp;L Medzy '!P16:AA16)</f>
        <v>843819.3689195147</v>
      </c>
      <c r="G11" s="8">
        <f>SUM('P&amp;L Medzy '!AD16:AO16)</f>
        <v>1445221.4539397033</v>
      </c>
      <c r="H11" s="8">
        <f>SUM('P&amp;L Medzy '!AP16:BA16)</f>
        <v>4353571.7027621698</v>
      </c>
      <c r="I11" s="9">
        <f>SUM('P&amp;L Medzy '!BB16:BM16)</f>
        <v>11598674.289450869</v>
      </c>
      <c r="J11" s="9">
        <f>SUM('P&amp;L Medzy '!BN16:BY16)</f>
        <v>20629790.832430579</v>
      </c>
      <c r="K11" s="9">
        <f>SUM('P&amp;L Medzy '!BZ16:CK16)</f>
        <v>30917512.327265322</v>
      </c>
    </row>
    <row r="12" spans="2:11" x14ac:dyDescent="0.2">
      <c r="B12" s="694"/>
      <c r="C12" s="18" t="s">
        <v>341</v>
      </c>
      <c r="D12" s="588">
        <v>86807.64</v>
      </c>
      <c r="E12" s="8">
        <v>3590.43</v>
      </c>
      <c r="F12" s="8"/>
      <c r="G12" s="8"/>
      <c r="H12" s="8"/>
      <c r="I12" s="8"/>
      <c r="J12" s="8"/>
      <c r="K12" s="8"/>
    </row>
    <row r="13" spans="2:11" x14ac:dyDescent="0.2">
      <c r="B13" s="694"/>
    </row>
    <row r="14" spans="2:11" x14ac:dyDescent="0.2">
      <c r="B14" s="694"/>
      <c r="C14" s="47" t="s">
        <v>8</v>
      </c>
      <c r="D14" s="48">
        <f t="shared" ref="D14:I14" si="0">SUM(D11:D12)</f>
        <v>588922.93999999994</v>
      </c>
      <c r="E14" s="48">
        <f t="shared" si="0"/>
        <v>710144.92</v>
      </c>
      <c r="F14" s="48">
        <f t="shared" si="0"/>
        <v>843819.3689195147</v>
      </c>
      <c r="G14" s="48">
        <f t="shared" si="0"/>
        <v>1445221.4539397033</v>
      </c>
      <c r="H14" s="48">
        <f t="shared" si="0"/>
        <v>4353571.7027621698</v>
      </c>
      <c r="I14" s="48">
        <f t="shared" si="0"/>
        <v>11598674.289450869</v>
      </c>
      <c r="J14" s="48">
        <f t="shared" ref="J14:K14" si="1">SUM(J11:J12)</f>
        <v>20629790.832430579</v>
      </c>
      <c r="K14" s="48">
        <f t="shared" si="1"/>
        <v>30917512.327265322</v>
      </c>
    </row>
    <row r="16" spans="2:11" ht="21" x14ac:dyDescent="0.25">
      <c r="C16" s="45"/>
      <c r="D16" s="593" t="s">
        <v>340</v>
      </c>
      <c r="E16" s="593" t="s">
        <v>308</v>
      </c>
      <c r="F16" s="592" t="s">
        <v>309</v>
      </c>
      <c r="G16" s="595" t="s">
        <v>310</v>
      </c>
      <c r="H16" s="595" t="s">
        <v>311</v>
      </c>
      <c r="I16" s="595" t="s">
        <v>359</v>
      </c>
      <c r="J16" s="595" t="s">
        <v>362</v>
      </c>
      <c r="K16" s="595" t="s">
        <v>363</v>
      </c>
    </row>
    <row r="17" spans="2:13" x14ac:dyDescent="0.2">
      <c r="B17" s="694" t="s">
        <v>17</v>
      </c>
      <c r="C17" s="18" t="str">
        <f>'P&amp;L Medzy '!B31</f>
        <v>COS</v>
      </c>
      <c r="D17" s="699" t="s">
        <v>335</v>
      </c>
      <c r="E17" s="699"/>
      <c r="F17" s="699"/>
      <c r="G17" s="695" t="s">
        <v>346</v>
      </c>
      <c r="H17" s="695"/>
      <c r="I17" s="695"/>
      <c r="J17" s="695"/>
      <c r="K17" s="695"/>
    </row>
    <row r="18" spans="2:13" x14ac:dyDescent="0.2">
      <c r="B18" s="694"/>
      <c r="C18" s="18"/>
      <c r="D18" s="18"/>
      <c r="E18" s="8"/>
      <c r="F18" s="8"/>
      <c r="G18" s="8"/>
      <c r="H18" s="8"/>
      <c r="I18" s="8"/>
      <c r="J18" s="8"/>
      <c r="K18" s="8"/>
    </row>
    <row r="19" spans="2:13" ht="16" customHeight="1" x14ac:dyDescent="0.2">
      <c r="B19" s="694"/>
      <c r="C19" s="18" t="str">
        <f>'P&amp;L Medzy '!B33</f>
        <v>Salaries</v>
      </c>
      <c r="D19" s="18"/>
      <c r="E19" s="8"/>
      <c r="F19" s="8"/>
      <c r="G19" s="8"/>
      <c r="H19" s="8"/>
      <c r="I19" s="8"/>
      <c r="J19" s="8"/>
      <c r="K19" s="8"/>
    </row>
    <row r="20" spans="2:13" ht="16" customHeight="1" x14ac:dyDescent="0.2">
      <c r="B20" s="694"/>
      <c r="C20" s="443" t="str">
        <f>'P&amp;L Medzy '!B34</f>
        <v>IT</v>
      </c>
      <c r="D20" s="586">
        <v>417888.58</v>
      </c>
      <c r="E20" s="8">
        <v>717436.34</v>
      </c>
      <c r="F20" s="8">
        <f>SUM('P&amp;L Medzy '!P34:AA34)</f>
        <v>1126399.94</v>
      </c>
      <c r="G20" s="8">
        <f>SUM('P&amp;L Medzy '!AB34:AM34)</f>
        <v>1017794.4199999997</v>
      </c>
      <c r="H20" s="8">
        <f>SUM('P&amp;L Medzy '!AN34:BA34)</f>
        <v>1593879.1666666667</v>
      </c>
      <c r="I20" s="8">
        <f>SUM('P&amp;L Medzy '!BB34:BM34)</f>
        <v>1492200.0000000002</v>
      </c>
      <c r="J20" s="8">
        <f>SUM('P&amp;L Medzy '!BN34:BY34)</f>
        <v>1492200.0000000002</v>
      </c>
      <c r="K20" s="8">
        <f>SUM('P&amp;L Medzy '!BZ34:CK34)</f>
        <v>1492200.0000000002</v>
      </c>
    </row>
    <row r="21" spans="2:13" ht="16" customHeight="1" x14ac:dyDescent="0.2">
      <c r="B21" s="694"/>
      <c r="C21" s="443" t="str">
        <f>'P&amp;L Medzy '!B35</f>
        <v>Sales / Marketing</v>
      </c>
      <c r="D21" s="586">
        <v>93569.48</v>
      </c>
      <c r="E21" s="8">
        <v>81287.16</v>
      </c>
      <c r="F21" s="8">
        <f>SUM('P&amp;L Medzy '!P35:AA35)</f>
        <v>105541.57</v>
      </c>
      <c r="G21" s="8">
        <f>SUM('P&amp;L Medzy '!AB35:AM35)</f>
        <v>318550</v>
      </c>
      <c r="H21" s="8">
        <f>SUM('P&amp;L Medzy '!AN35:BA35)</f>
        <v>1105866.6666666667</v>
      </c>
      <c r="I21" s="8">
        <f>SUM('P&amp;L Medzy '!BB35:BM35)</f>
        <v>1025085</v>
      </c>
      <c r="J21" s="8">
        <f>SUM('P&amp;L Medzy '!BN35:BY35)</f>
        <v>1055624.25</v>
      </c>
      <c r="K21" s="8">
        <f>SUM('P&amp;L Medzy '!BZ35:CK35)</f>
        <v>1087690.4624999999</v>
      </c>
    </row>
    <row r="22" spans="2:13" ht="16" customHeight="1" x14ac:dyDescent="0.2">
      <c r="B22" s="694"/>
      <c r="C22" s="443" t="str">
        <f>'P&amp;L Medzy '!B36</f>
        <v>Operations</v>
      </c>
      <c r="D22" s="586">
        <v>104396.35</v>
      </c>
      <c r="E22" s="8">
        <v>39939.72</v>
      </c>
      <c r="F22" s="8">
        <f>SUM('P&amp;L Medzy '!P36:AA36)</f>
        <v>110207</v>
      </c>
      <c r="G22" s="8">
        <f>SUM('P&amp;L Medzy '!AB36:AM36)</f>
        <v>325416.66666666669</v>
      </c>
      <c r="H22" s="8">
        <f>SUM('P&amp;L Medzy '!AN36:BA36)</f>
        <v>1057916.6666666665</v>
      </c>
      <c r="I22" s="8">
        <f>SUM('P&amp;L Medzy '!BB36:BM36)</f>
        <v>912499.99999999988</v>
      </c>
      <c r="J22" s="8">
        <f>SUM('P&amp;L Medzy '!BN36:BY36)</f>
        <v>912499.99999999988</v>
      </c>
      <c r="K22" s="8">
        <f>SUM('P&amp;L Medzy '!BZ36:CK36)</f>
        <v>912499.99999999988</v>
      </c>
    </row>
    <row r="23" spans="2:13" ht="16" customHeight="1" thickBot="1" x14ac:dyDescent="0.25">
      <c r="B23" s="694"/>
      <c r="C23" s="444" t="str">
        <f>'P&amp;L Medzy '!B37</f>
        <v>Sub total</v>
      </c>
      <c r="D23" s="53">
        <f>SUM(D20:D22)</f>
        <v>615854.41</v>
      </c>
      <c r="E23" s="53">
        <f>SUM(E20:E22)</f>
        <v>838663.22</v>
      </c>
      <c r="F23" s="53">
        <f>SUM('P&amp;L Medzy '!P37:AA37)</f>
        <v>1342148.5099999998</v>
      </c>
      <c r="G23" s="53">
        <f>SUM('P&amp;L Medzy '!AB37:AM37)</f>
        <v>1661761.0866666669</v>
      </c>
      <c r="H23" s="53">
        <f>SUM('P&amp;L Medzy '!AN37:BA37)</f>
        <v>3757662.4999999995</v>
      </c>
      <c r="I23" s="53">
        <f>SUM('P&amp;L Medzy '!BB37:BM37)</f>
        <v>3429784.9999999995</v>
      </c>
      <c r="J23" s="53">
        <f>SUM('P&amp;L Medzy '!BN37:BY37)</f>
        <v>3460324.2499999995</v>
      </c>
      <c r="K23" s="53">
        <f>SUM('P&amp;L Medzy '!BZ37:CK37)</f>
        <v>3492390.4625000004</v>
      </c>
    </row>
    <row r="24" spans="2:13" ht="16" customHeight="1" thickTop="1" x14ac:dyDescent="0.2">
      <c r="B24" s="694"/>
      <c r="C24" s="18"/>
      <c r="D24" s="587"/>
      <c r="E24" s="8"/>
      <c r="F24" s="8"/>
      <c r="G24" s="8"/>
      <c r="H24" s="8"/>
      <c r="I24" s="8"/>
      <c r="J24" s="8"/>
      <c r="K24" s="8"/>
    </row>
    <row r="25" spans="2:13" x14ac:dyDescent="0.2">
      <c r="B25" s="694"/>
      <c r="C25" s="18" t="str">
        <f>'P&amp;L Medzy '!B39</f>
        <v>Fringes + Bonus</v>
      </c>
      <c r="D25" s="587">
        <v>0</v>
      </c>
      <c r="E25" s="101">
        <v>0</v>
      </c>
      <c r="F25" s="8">
        <f>SUM('P&amp;L Medzy '!P39:AA39)</f>
        <v>0</v>
      </c>
      <c r="G25" s="8">
        <f>SUM('P&amp;L Medzy '!AB39:AM39)</f>
        <v>160241.9</v>
      </c>
      <c r="H25" s="8">
        <f>SUM('P&amp;L Medzy '!AN39:BA39)</f>
        <v>450919.5</v>
      </c>
      <c r="I25" s="8">
        <f>SUM('P&amp;L Medzy '!BB39:BM39)</f>
        <v>411574.1999999999</v>
      </c>
      <c r="J25" s="8">
        <f>SUM('P&amp;L Medzy '!BN39:BY39)</f>
        <v>415238.91</v>
      </c>
      <c r="K25" s="8">
        <f>SUM('P&amp;L Medzy '!BZ39:CK39)</f>
        <v>419086.85550000012</v>
      </c>
    </row>
    <row r="26" spans="2:13" x14ac:dyDescent="0.2">
      <c r="B26" s="694"/>
      <c r="C26" s="18"/>
      <c r="D26" s="587"/>
      <c r="E26" s="101"/>
      <c r="F26" s="8"/>
      <c r="G26" s="8"/>
      <c r="H26" s="8"/>
      <c r="I26" s="8"/>
      <c r="J26" s="8"/>
      <c r="K26" s="8"/>
    </row>
    <row r="27" spans="2:13" x14ac:dyDescent="0.2">
      <c r="B27" s="694"/>
      <c r="C27" s="18" t="str">
        <f>'P&amp;L Medzy '!B41</f>
        <v>Contractuals - Tech</v>
      </c>
      <c r="D27" s="588">
        <v>0</v>
      </c>
      <c r="E27" s="588">
        <v>0</v>
      </c>
      <c r="F27" s="8">
        <f>SUM('P&amp;L Medzy '!P41:AA41)</f>
        <v>8448</v>
      </c>
      <c r="G27" s="8">
        <f>SUM('P&amp;L Medzy '!AB41:AM41)</f>
        <v>0</v>
      </c>
      <c r="H27" s="8">
        <f>SUM('P&amp;L Medzy '!AN41:BA41)</f>
        <v>0</v>
      </c>
      <c r="I27" s="8">
        <f>SUM('P&amp;L Medzy '!BB41:BM41)</f>
        <v>0</v>
      </c>
      <c r="J27" s="8">
        <f>SUM('P&amp;L Medzy '!BN41:BY41)</f>
        <v>0</v>
      </c>
      <c r="K27" s="8">
        <f>SUM('P&amp;L Medzy '!BZ41:CK41)</f>
        <v>0</v>
      </c>
    </row>
    <row r="28" spans="2:13" x14ac:dyDescent="0.2">
      <c r="B28" s="694"/>
      <c r="C28" s="18" t="str">
        <f>'P&amp;L Medzy '!B42</f>
        <v>Contractuals - Operations</v>
      </c>
      <c r="D28" s="588">
        <f>140930.08+254789.8</f>
        <v>395719.88</v>
      </c>
      <c r="E28" s="588">
        <f>281521.71+520357.4</f>
        <v>801879.1100000001</v>
      </c>
      <c r="F28" s="8">
        <f>SUM('P&amp;L Medzy '!P42:AA42)</f>
        <v>342552.55</v>
      </c>
      <c r="G28" s="8">
        <f>SUM('P&amp;L Medzy '!AB42:AM42)</f>
        <v>70000</v>
      </c>
      <c r="H28" s="8">
        <f>SUM('P&amp;L Medzy '!AN42:BA42)</f>
        <v>5000</v>
      </c>
      <c r="I28" s="8">
        <f>SUM('P&amp;L Medzy '!BB42:BM42)</f>
        <v>0</v>
      </c>
      <c r="J28" s="8">
        <f>SUM('P&amp;L Medzy '!BN42:BY42)</f>
        <v>0</v>
      </c>
      <c r="K28" s="8">
        <f>SUM('P&amp;L Medzy '!BZ42:CK42)</f>
        <v>0</v>
      </c>
      <c r="M28" s="179"/>
    </row>
    <row r="29" spans="2:13" x14ac:dyDescent="0.2">
      <c r="B29" s="694"/>
      <c r="C29" s="18"/>
      <c r="D29" s="588"/>
      <c r="E29" s="588"/>
      <c r="F29" s="8"/>
      <c r="G29" s="8"/>
      <c r="H29" s="8"/>
      <c r="I29" s="8"/>
      <c r="J29" s="8"/>
      <c r="K29" s="8"/>
    </row>
    <row r="30" spans="2:13" x14ac:dyDescent="0.2">
      <c r="B30" s="694"/>
      <c r="C30" s="18" t="str">
        <f>'P&amp;L Medzy '!B44</f>
        <v>Professionals</v>
      </c>
      <c r="D30" s="588"/>
      <c r="E30" s="588"/>
      <c r="F30" s="8"/>
      <c r="G30" s="8"/>
      <c r="H30" s="8"/>
      <c r="I30" s="8"/>
      <c r="J30" s="8"/>
      <c r="K30" s="8"/>
    </row>
    <row r="31" spans="2:13" x14ac:dyDescent="0.2">
      <c r="B31" s="694"/>
      <c r="C31" s="443" t="str">
        <f>'P&amp;L Medzy '!B45</f>
        <v>Accounting Fees</v>
      </c>
      <c r="D31" s="586"/>
      <c r="E31" s="588"/>
      <c r="F31" s="8">
        <f>SUM('P&amp;L Medzy '!P45:AA45)</f>
        <v>34550.5</v>
      </c>
      <c r="G31" s="8">
        <f>SUM('P&amp;L Medzy '!AB45:AM45)</f>
        <v>40000</v>
      </c>
      <c r="H31" s="8">
        <f>SUM('P&amp;L Medzy '!AN45:BA45)</f>
        <v>42000</v>
      </c>
      <c r="I31" s="8">
        <f>SUM('P&amp;L Medzy '!BB45:BM45)</f>
        <v>39500</v>
      </c>
      <c r="J31" s="8">
        <f>SUM('P&amp;L Medzy '!BN45:BY45)</f>
        <v>39500</v>
      </c>
      <c r="K31" s="8">
        <f>SUM('P&amp;L Medzy '!BZ45:CK45)</f>
        <v>39500</v>
      </c>
    </row>
    <row r="32" spans="2:13" x14ac:dyDescent="0.2">
      <c r="B32" s="694"/>
      <c r="C32" s="443" t="str">
        <f>'P&amp;L Medzy '!B46</f>
        <v>Legal Fees</v>
      </c>
      <c r="D32" s="586">
        <v>43059.58</v>
      </c>
      <c r="E32" s="588">
        <v>113846.78</v>
      </c>
      <c r="F32" s="8">
        <f>SUM('P&amp;L Medzy '!P46:AA46)</f>
        <v>28264.65</v>
      </c>
      <c r="G32" s="8">
        <f>SUM('P&amp;L Medzy '!AB46:AM46)</f>
        <v>60000</v>
      </c>
      <c r="H32" s="8">
        <f>SUM('P&amp;L Medzy '!AN46:BA46)</f>
        <v>68000</v>
      </c>
      <c r="I32" s="8">
        <f>SUM('P&amp;L Medzy '!BB46:BM46)</f>
        <v>60000</v>
      </c>
      <c r="J32" s="8">
        <f>SUM('P&amp;L Medzy '!BN46:BY46)</f>
        <v>60000</v>
      </c>
      <c r="K32" s="8">
        <f>SUM('P&amp;L Medzy '!BZ46:CK46)</f>
        <v>60000</v>
      </c>
    </row>
    <row r="33" spans="2:12" x14ac:dyDescent="0.2">
      <c r="B33" s="694"/>
      <c r="C33" s="443" t="str">
        <f>'P&amp;L Medzy '!B47</f>
        <v>Other</v>
      </c>
      <c r="D33" s="586"/>
      <c r="E33" s="588"/>
      <c r="F33" s="8">
        <f>SUM('P&amp;L Medzy '!P47:AA47)</f>
        <v>37076.400000000001</v>
      </c>
      <c r="G33" s="8">
        <f>SUM('P&amp;L Medzy '!AB47:AM47)</f>
        <v>80000</v>
      </c>
      <c r="H33" s="8">
        <f>SUM('P&amp;L Medzy '!AN47:BA47)</f>
        <v>170000</v>
      </c>
      <c r="I33" s="8">
        <f>SUM('P&amp;L Medzy '!BB47:BM47)</f>
        <v>150000</v>
      </c>
      <c r="J33" s="8">
        <f>SUM('P&amp;L Medzy '!BN47:BY47)</f>
        <v>150000</v>
      </c>
      <c r="K33" s="8">
        <f>SUM('P&amp;L Medzy '!BZ47:CK47)</f>
        <v>150000</v>
      </c>
    </row>
    <row r="34" spans="2:12" x14ac:dyDescent="0.2">
      <c r="B34" s="694"/>
      <c r="C34" s="18"/>
      <c r="D34" s="588"/>
      <c r="E34" s="588"/>
      <c r="F34" s="8"/>
      <c r="G34" s="8"/>
      <c r="H34" s="8"/>
      <c r="I34" s="8"/>
      <c r="J34" s="8"/>
      <c r="K34" s="8"/>
    </row>
    <row r="35" spans="2:12" hidden="1" x14ac:dyDescent="0.2">
      <c r="B35" s="694"/>
      <c r="C35" s="18"/>
      <c r="D35" s="588"/>
      <c r="E35" s="588"/>
      <c r="F35" s="8"/>
      <c r="G35" s="8"/>
      <c r="H35" s="8"/>
      <c r="I35" s="8"/>
      <c r="J35" s="8"/>
      <c r="K35" s="8"/>
    </row>
    <row r="36" spans="2:12" hidden="1" x14ac:dyDescent="0.2">
      <c r="B36" s="694"/>
      <c r="C36" s="18"/>
      <c r="D36" s="588"/>
      <c r="E36" s="588"/>
      <c r="F36" s="8"/>
      <c r="G36" s="8"/>
      <c r="H36" s="8"/>
      <c r="I36" s="8"/>
      <c r="J36" s="8"/>
      <c r="K36" s="8"/>
    </row>
    <row r="37" spans="2:12" hidden="1" x14ac:dyDescent="0.2">
      <c r="B37" s="694"/>
      <c r="C37" s="18" t="str">
        <f>'P&amp;L Medzy '!B51</f>
        <v>SubTotal Salaries</v>
      </c>
      <c r="D37" s="588"/>
      <c r="E37" s="588"/>
      <c r="F37" s="8"/>
      <c r="G37" s="8"/>
      <c r="H37" s="8"/>
      <c r="I37" s="8"/>
      <c r="J37" s="8"/>
      <c r="K37" s="8"/>
    </row>
    <row r="38" spans="2:12" hidden="1" x14ac:dyDescent="0.2">
      <c r="B38" s="694"/>
      <c r="C38" s="18">
        <f>'P&amp;L Medzy '!B52</f>
        <v>0</v>
      </c>
      <c r="D38" s="588"/>
      <c r="E38" s="588"/>
      <c r="F38" s="8">
        <f>SUM('P&amp;L Medzy '!P52:AA52)</f>
        <v>0</v>
      </c>
      <c r="G38" s="8">
        <f>SUM('P&amp;L Medzy '!AB52:AM52)</f>
        <v>0</v>
      </c>
      <c r="H38" s="8">
        <f>SUM('P&amp;L Medzy '!AN52:BA52)</f>
        <v>0</v>
      </c>
      <c r="I38" s="8"/>
      <c r="J38" s="8"/>
      <c r="K38" s="8"/>
    </row>
    <row r="39" spans="2:12" x14ac:dyDescent="0.2">
      <c r="B39" s="694"/>
      <c r="C39" s="18" t="str">
        <f>'P&amp;L Medzy '!B53</f>
        <v>Rent</v>
      </c>
      <c r="D39" s="588">
        <v>28253.4</v>
      </c>
      <c r="E39" s="588">
        <v>35644.639999999999</v>
      </c>
      <c r="F39" s="8">
        <f>SUM('P&amp;L Medzy '!P53:AA53)</f>
        <v>54996.26999999999</v>
      </c>
      <c r="G39" s="8">
        <f>SUM('P&amp;L Medzy '!AB53:AM53)</f>
        <v>63029.359999999993</v>
      </c>
      <c r="H39" s="8">
        <f>SUM('P&amp;L Medzy '!AN53:BA53)</f>
        <v>84000</v>
      </c>
      <c r="I39" s="8">
        <f>SUM('P&amp;L Medzy '!BB53:BM53)</f>
        <v>72000</v>
      </c>
      <c r="J39" s="8">
        <f>SUM('P&amp;L Medzy '!BN53:BY53)</f>
        <v>72000</v>
      </c>
      <c r="K39" s="8">
        <f>SUM('P&amp;L Medzy '!BZ53:CK53)</f>
        <v>72000</v>
      </c>
    </row>
    <row r="40" spans="2:12" x14ac:dyDescent="0.2">
      <c r="B40" s="694"/>
      <c r="C40" s="18" t="str">
        <f>'P&amp;L Medzy '!B54</f>
        <v>Utilities</v>
      </c>
      <c r="D40" s="588"/>
      <c r="E40" s="588"/>
      <c r="F40" s="8">
        <f>SUM('P&amp;L Medzy '!P54:AA54)</f>
        <v>2075.75</v>
      </c>
      <c r="G40" s="8">
        <f>SUM('P&amp;L Medzy '!AB54:AM54)</f>
        <v>5400</v>
      </c>
      <c r="H40" s="8">
        <f>SUM('P&amp;L Medzy '!AN54:BA54)</f>
        <v>9600</v>
      </c>
      <c r="I40" s="8">
        <f>SUM('P&amp;L Medzy '!BB54:BM54)</f>
        <v>8400</v>
      </c>
      <c r="J40" s="8">
        <f>SUM('P&amp;L Medzy '!BN54:BY54)</f>
        <v>8400</v>
      </c>
      <c r="K40" s="8">
        <f>SUM('P&amp;L Medzy '!BZ54:CK54)</f>
        <v>8400</v>
      </c>
    </row>
    <row r="41" spans="2:12" x14ac:dyDescent="0.2">
      <c r="B41" s="694"/>
      <c r="C41" s="18" t="str">
        <f>'P&amp;L Medzy '!B55</f>
        <v>Insurance</v>
      </c>
      <c r="D41" s="588">
        <v>9863.01</v>
      </c>
      <c r="E41" s="630">
        <f>-230961.75+16209.9</f>
        <v>-214751.85</v>
      </c>
      <c r="F41" s="8">
        <f>SUM('P&amp;L Medzy '!P55:AA55)</f>
        <v>13884.760000000002</v>
      </c>
      <c r="G41" s="8">
        <f>SUM('P&amp;L Medzy '!AB55:AM55)</f>
        <v>14407.44</v>
      </c>
      <c r="H41" s="8">
        <f>SUM('P&amp;L Medzy '!AN55:BA55)</f>
        <v>30400</v>
      </c>
      <c r="I41" s="8">
        <f>SUM('P&amp;L Medzy '!BB55:BM55)</f>
        <v>26400</v>
      </c>
      <c r="J41" s="8">
        <f>SUM('P&amp;L Medzy '!BN55:BY55)</f>
        <v>26400</v>
      </c>
      <c r="K41" s="8">
        <f>SUM('P&amp;L Medzy '!BZ55:CK55)</f>
        <v>26400</v>
      </c>
    </row>
    <row r="42" spans="2:12" x14ac:dyDescent="0.2">
      <c r="B42" s="694"/>
      <c r="C42" s="18" t="str">
        <f>'P&amp;L Medzy '!B56</f>
        <v>Meals and Entertainment</v>
      </c>
      <c r="D42" s="588">
        <v>619.4</v>
      </c>
      <c r="E42" s="588">
        <v>34.89</v>
      </c>
      <c r="F42" s="8">
        <f>SUM('P&amp;L Medzy '!P56:AA56)</f>
        <v>293.76</v>
      </c>
      <c r="G42" s="8">
        <f>SUM('P&amp;L Medzy '!AB56:AM56)</f>
        <v>10837.52</v>
      </c>
      <c r="H42" s="8">
        <f>SUM('P&amp;L Medzy '!AN56:BA56)</f>
        <v>40250</v>
      </c>
      <c r="I42" s="8">
        <f>SUM('P&amp;L Medzy '!BB56:BM56)</f>
        <v>29500</v>
      </c>
      <c r="J42" s="8">
        <f>SUM('P&amp;L Medzy '!BN56:BY56)</f>
        <v>29500</v>
      </c>
      <c r="K42" s="8">
        <f>SUM('P&amp;L Medzy '!BZ56:CK56)</f>
        <v>29500</v>
      </c>
    </row>
    <row r="43" spans="2:12" x14ac:dyDescent="0.2">
      <c r="B43" s="694"/>
      <c r="C43" s="18" t="str">
        <f>'P&amp;L Medzy '!B57</f>
        <v>Travel Expenses</v>
      </c>
      <c r="D43" s="588">
        <v>373.71</v>
      </c>
      <c r="E43" s="588">
        <v>12153.03</v>
      </c>
      <c r="F43" s="8">
        <f>SUM('P&amp;L Medzy '!P57:AA57)</f>
        <v>2308.5799999999995</v>
      </c>
      <c r="G43" s="8">
        <f>SUM('P&amp;L Medzy '!AB57:AM57)</f>
        <v>24001.72</v>
      </c>
      <c r="H43" s="8">
        <f>SUM('P&amp;L Medzy '!AN57:BA57)</f>
        <v>54000</v>
      </c>
      <c r="I43" s="8">
        <f>SUM('P&amp;L Medzy '!BB57:BM57)</f>
        <v>48000</v>
      </c>
      <c r="J43" s="8">
        <f>SUM('P&amp;L Medzy '!BN57:BY57)</f>
        <v>48000</v>
      </c>
      <c r="K43" s="8">
        <f>SUM('P&amp;L Medzy '!BZ57:CK57)</f>
        <v>48000</v>
      </c>
    </row>
    <row r="44" spans="2:12" x14ac:dyDescent="0.2">
      <c r="B44" s="694"/>
      <c r="C44" s="18" t="str">
        <f>'P&amp;L Medzy '!B58</f>
        <v>Depreciation - (delivery box)</v>
      </c>
      <c r="D44" s="589">
        <f>23881.13+12920.71</f>
        <v>36801.839999999997</v>
      </c>
      <c r="E44" s="589">
        <v>29169.96</v>
      </c>
      <c r="F44" s="8">
        <f>SUM('P&amp;L Medzy '!P58:AA58)</f>
        <v>1290.48</v>
      </c>
      <c r="G44" s="8">
        <f>SUM('P&amp;L Medzy '!AB58:AM58)</f>
        <v>5161.9199999999992</v>
      </c>
      <c r="H44" s="8">
        <f>SUM('P&amp;L Medzy '!AN58:BA58)</f>
        <v>6022.2399999999989</v>
      </c>
      <c r="I44" s="8">
        <f>SUM('P&amp;L Medzy '!BB58:BM58)</f>
        <v>5161.9199999999992</v>
      </c>
      <c r="J44" s="8">
        <f>SUM('P&amp;L Medzy '!BN58:BY58)</f>
        <v>5161.9199999999992</v>
      </c>
      <c r="K44" s="8">
        <f>SUM('P&amp;L Medzy '!BZ58:CK58)</f>
        <v>5161.9199999999992</v>
      </c>
    </row>
    <row r="45" spans="2:12" x14ac:dyDescent="0.2">
      <c r="B45" s="694"/>
      <c r="C45" s="18" t="str">
        <f>'P&amp;L Medzy '!B59</f>
        <v>Telecommunication</v>
      </c>
      <c r="D45" s="588">
        <v>1091.1300000000001</v>
      </c>
      <c r="E45" s="588">
        <v>1096.07</v>
      </c>
      <c r="F45" s="8">
        <f>SUM('P&amp;L Medzy '!P59:AA59)</f>
        <v>1925.7700000000002</v>
      </c>
      <c r="G45" s="8">
        <f>SUM('P&amp;L Medzy '!AB59:AM59)</f>
        <v>3439.68</v>
      </c>
      <c r="H45" s="8">
        <f>SUM('P&amp;L Medzy '!AN59:BA59)</f>
        <v>5500</v>
      </c>
      <c r="I45" s="8">
        <f>SUM('P&amp;L Medzy '!BB59:BM59)</f>
        <v>4800</v>
      </c>
      <c r="J45" s="8">
        <f>SUM('P&amp;L Medzy '!BN59:BY59)</f>
        <v>4800</v>
      </c>
      <c r="K45" s="8">
        <f>SUM('P&amp;L Medzy '!BZ59:CK59)</f>
        <v>4800</v>
      </c>
      <c r="L45" s="39"/>
    </row>
    <row r="46" spans="2:12" x14ac:dyDescent="0.2">
      <c r="B46" s="694"/>
      <c r="C46" s="18" t="str">
        <f>'P&amp;L Medzy '!B60</f>
        <v>License and Subscriptions</v>
      </c>
      <c r="D46" s="588">
        <v>64710.01</v>
      </c>
      <c r="E46" s="588">
        <f>72183.09-89.97</f>
        <v>72093.119999999995</v>
      </c>
      <c r="F46" s="8">
        <f>SUM('P&amp;L Medzy '!P60:AA60)</f>
        <v>72750.859999999986</v>
      </c>
      <c r="G46" s="8">
        <f>SUM('P&amp;L Medzy '!AB60:AM60)</f>
        <v>92311.6</v>
      </c>
      <c r="H46" s="8">
        <f>SUM('P&amp;L Medzy '!AN60:BA60)</f>
        <v>170000</v>
      </c>
      <c r="I46" s="8">
        <f>SUM('P&amp;L Medzy '!BB60:BM60)</f>
        <v>150000</v>
      </c>
      <c r="J46" s="8">
        <f>SUM('P&amp;L Medzy '!BN60:BY60)</f>
        <v>150000</v>
      </c>
      <c r="K46" s="8">
        <f>SUM('P&amp;L Medzy '!BZ60:CK60)</f>
        <v>150000</v>
      </c>
      <c r="L46" s="40"/>
    </row>
    <row r="47" spans="2:12" x14ac:dyDescent="0.2">
      <c r="B47" s="694"/>
      <c r="C47" s="18" t="str">
        <f>'P&amp;L Medzy '!B61</f>
        <v>Repair and Maintenance</v>
      </c>
      <c r="D47" s="588">
        <v>19290.5</v>
      </c>
      <c r="E47" s="588">
        <v>10770</v>
      </c>
      <c r="F47" s="8">
        <f>SUM('P&amp;L Medzy '!P61:AA61)</f>
        <v>2980.01</v>
      </c>
      <c r="G47" s="8">
        <f>SUM('P&amp;L Medzy '!AB61:AM61)</f>
        <v>12000</v>
      </c>
      <c r="H47" s="8">
        <f>SUM('P&amp;L Medzy '!AN61:BA61)</f>
        <v>27000</v>
      </c>
      <c r="I47" s="8">
        <f>SUM('P&amp;L Medzy '!BB61:BM61)</f>
        <v>24000</v>
      </c>
      <c r="J47" s="8">
        <f>SUM('P&amp;L Medzy '!BN61:BY61)</f>
        <v>24000</v>
      </c>
      <c r="K47" s="8">
        <f>SUM('P&amp;L Medzy '!BZ61:CK61)</f>
        <v>24000</v>
      </c>
      <c r="L47" s="40"/>
    </row>
    <row r="48" spans="2:12" x14ac:dyDescent="0.2">
      <c r="B48" s="694"/>
      <c r="C48" s="18" t="str">
        <f>'P&amp;L Medzy '!B62</f>
        <v>Recruitment Charges</v>
      </c>
      <c r="D48" s="588">
        <v>11605.5</v>
      </c>
      <c r="E48" s="588">
        <v>4555.82</v>
      </c>
      <c r="F48" s="8">
        <f>SUM('P&amp;L Medzy '!P62:AA62)</f>
        <v>1634.73</v>
      </c>
      <c r="G48" s="8">
        <f>SUM('P&amp;L Medzy '!AB62:AM62)</f>
        <v>20890.559999999998</v>
      </c>
      <c r="H48" s="8">
        <f>SUM('P&amp;L Medzy '!AN62:BA62)</f>
        <v>35000</v>
      </c>
      <c r="I48" s="8">
        <f>SUM('P&amp;L Medzy '!BB62:BM62)</f>
        <v>30000</v>
      </c>
      <c r="J48" s="8">
        <f>SUM('P&amp;L Medzy '!BN62:BY62)</f>
        <v>30000</v>
      </c>
      <c r="K48" s="8">
        <f>SUM('P&amp;L Medzy '!BZ62:CK62)</f>
        <v>30000</v>
      </c>
      <c r="L48" s="40"/>
    </row>
    <row r="49" spans="2:14" x14ac:dyDescent="0.2">
      <c r="B49" s="694"/>
      <c r="C49" s="18" t="str">
        <f>'P&amp;L Medzy '!B63</f>
        <v>Offices Expenses</v>
      </c>
      <c r="D49" s="588">
        <v>107890.65</v>
      </c>
      <c r="E49" s="588">
        <f>151.37+36765.19</f>
        <v>36916.560000000005</v>
      </c>
      <c r="F49" s="8">
        <f>SUM('P&amp;L Medzy '!P63:AA63)</f>
        <v>24286.949999999997</v>
      </c>
      <c r="G49" s="8">
        <f>SUM('P&amp;L Medzy '!AB63:AM63)</f>
        <v>36203</v>
      </c>
      <c r="H49" s="8">
        <f>SUM('P&amp;L Medzy '!AN63:BA63)</f>
        <v>67000</v>
      </c>
      <c r="I49" s="8">
        <f>SUM('P&amp;L Medzy '!BB63:BM63)</f>
        <v>60000</v>
      </c>
      <c r="J49" s="8">
        <f>SUM('P&amp;L Medzy '!BN63:BY63)</f>
        <v>60000</v>
      </c>
      <c r="K49" s="8">
        <f>SUM('P&amp;L Medzy '!BZ63:CK63)</f>
        <v>60000</v>
      </c>
      <c r="L49" s="40"/>
    </row>
    <row r="50" spans="2:14" x14ac:dyDescent="0.2">
      <c r="B50" s="694"/>
      <c r="C50" s="18" t="str">
        <f>'P&amp;L Medzy '!B64</f>
        <v>Taxes, Permit</v>
      </c>
      <c r="D50" s="588">
        <f>218+1299.03</f>
        <v>1517.03</v>
      </c>
      <c r="E50" s="588">
        <f>787+2736.7</f>
        <v>3523.7</v>
      </c>
      <c r="F50" s="8">
        <f>SUM('P&amp;L Medzy '!P64:AA64)</f>
        <v>2345.0100000000002</v>
      </c>
      <c r="G50" s="8">
        <f>SUM('P&amp;L Medzy '!AB64:AM64)</f>
        <v>4000</v>
      </c>
      <c r="H50" s="8">
        <f>SUM('P&amp;L Medzy '!AN64:BA64)</f>
        <v>10000</v>
      </c>
      <c r="I50" s="8">
        <f>SUM('P&amp;L Medzy '!BB64:BM64)</f>
        <v>9000</v>
      </c>
      <c r="J50" s="8">
        <f>SUM('P&amp;L Medzy '!BN64:BY64)</f>
        <v>9000</v>
      </c>
      <c r="K50" s="8">
        <f>SUM('P&amp;L Medzy '!BZ64:CK64)</f>
        <v>9000</v>
      </c>
      <c r="L50" s="40"/>
    </row>
    <row r="51" spans="2:14" x14ac:dyDescent="0.2">
      <c r="B51" s="694"/>
      <c r="C51" s="18" t="str">
        <f>'P&amp;L Medzy '!B65</f>
        <v>Interest and bank charges</v>
      </c>
      <c r="D51" s="588">
        <f>2315.7+10750</f>
        <v>13065.7</v>
      </c>
      <c r="E51" s="588">
        <f>9261.43+163.76+710.54</f>
        <v>10135.73</v>
      </c>
      <c r="F51" s="8">
        <f>SUM('P&amp;L Medzy '!P65:AA65)</f>
        <v>23233.889999999992</v>
      </c>
      <c r="G51" s="8">
        <f>SUM('P&amp;L Medzy '!AB65:AM65)</f>
        <v>16914.96</v>
      </c>
      <c r="H51" s="8">
        <f>SUM('P&amp;L Medzy '!AN65:BA65)</f>
        <v>16400</v>
      </c>
      <c r="I51" s="8">
        <f>SUM('P&amp;L Medzy '!BB65:BM65)</f>
        <v>14400</v>
      </c>
      <c r="J51" s="8">
        <f>SUM('P&amp;L Medzy '!BN65:BY65)</f>
        <v>14400</v>
      </c>
      <c r="K51" s="8">
        <f>SUM('P&amp;L Medzy '!BZ65:CK65)</f>
        <v>14400</v>
      </c>
      <c r="L51" s="40"/>
    </row>
    <row r="52" spans="2:14" x14ac:dyDescent="0.2">
      <c r="B52" s="694"/>
      <c r="C52" s="18" t="str">
        <f>'P&amp;L Medzy '!B66</f>
        <v>Shipping</v>
      </c>
      <c r="D52" s="588">
        <v>0</v>
      </c>
      <c r="E52" s="588">
        <v>0</v>
      </c>
      <c r="F52" s="8">
        <f>SUM('P&amp;L Medzy '!P66:AA66)</f>
        <v>3095.9799999999996</v>
      </c>
      <c r="G52" s="8">
        <f>SUM('P&amp;L Medzy '!AB66:AM66)</f>
        <v>5401.96</v>
      </c>
      <c r="H52" s="8">
        <f>SUM('P&amp;L Medzy '!AN66:BA66)</f>
        <v>7000</v>
      </c>
      <c r="I52" s="8">
        <f>SUM('P&amp;L Medzy '!BB66:BM66)</f>
        <v>6000</v>
      </c>
      <c r="J52" s="8">
        <f>SUM('P&amp;L Medzy '!BN66:BY66)</f>
        <v>6000</v>
      </c>
      <c r="K52" s="8">
        <f>SUM('P&amp;L Medzy '!BZ66:CK66)</f>
        <v>6000</v>
      </c>
      <c r="L52" s="40"/>
    </row>
    <row r="53" spans="2:14" x14ac:dyDescent="0.2">
      <c r="B53" s="694"/>
      <c r="C53" s="18" t="str">
        <f>'P&amp;L Medzy '!B67</f>
        <v>Exchange Gain or Loss</v>
      </c>
      <c r="D53" s="588">
        <v>58.95</v>
      </c>
      <c r="E53" s="588">
        <v>5.79</v>
      </c>
      <c r="F53" s="8">
        <f>SUM('P&amp;L Medzy '!P67:AA67)</f>
        <v>261.92</v>
      </c>
      <c r="G53" s="8">
        <f>SUM('P&amp;L Medzy '!AB67:AM67)</f>
        <v>492.96</v>
      </c>
      <c r="H53" s="8">
        <f>SUM('P&amp;L Medzy '!AN67:BA67)</f>
        <v>0</v>
      </c>
      <c r="I53" s="8">
        <f>SUM('P&amp;L Medzy '!BB67:BM67)</f>
        <v>0</v>
      </c>
      <c r="J53" s="8">
        <f>SUM('P&amp;L Medzy '!BN67:BY67)</f>
        <v>0</v>
      </c>
      <c r="K53" s="8">
        <f>SUM('P&amp;L Medzy '!BZ67:CK67)</f>
        <v>0</v>
      </c>
      <c r="L53" s="40"/>
    </row>
    <row r="54" spans="2:14" x14ac:dyDescent="0.2">
      <c r="B54" s="694"/>
      <c r="C54" s="18" t="str">
        <f>'P&amp;L Medzy '!B68</f>
        <v>Loans Interests</v>
      </c>
      <c r="D54" s="588">
        <v>59246.09</v>
      </c>
      <c r="E54" s="588">
        <v>32208.44</v>
      </c>
      <c r="F54" s="8">
        <f>SUM('P&amp;L Medzy '!P68:AA68)</f>
        <v>31118.13</v>
      </c>
      <c r="G54" s="8">
        <f>SUM('P&amp;L Medzy '!AB68:AM68)</f>
        <v>29301.72</v>
      </c>
      <c r="H54" s="8">
        <f>SUM('P&amp;L Medzy '!AN68:BA68)</f>
        <v>21453.599999999999</v>
      </c>
      <c r="I54" s="8">
        <f>SUM('P&amp;L Medzy '!BB68:BM68)</f>
        <v>6423.5999999999995</v>
      </c>
      <c r="J54" s="8">
        <f>SUM('P&amp;L Medzy '!BN68:BY68)</f>
        <v>36.75</v>
      </c>
      <c r="K54" s="8">
        <f>SUM('P&amp;L Medzy '!BZ68:CK68)</f>
        <v>0</v>
      </c>
      <c r="L54" s="40"/>
    </row>
    <row r="55" spans="2:14" x14ac:dyDescent="0.2">
      <c r="B55" s="694"/>
      <c r="C55" s="18"/>
      <c r="D55" s="588"/>
      <c r="E55" s="588"/>
      <c r="F55" s="8"/>
      <c r="G55" s="8"/>
      <c r="H55" s="8"/>
      <c r="I55" s="8"/>
      <c r="J55" s="8"/>
      <c r="K55" s="8"/>
      <c r="L55" s="40"/>
    </row>
    <row r="56" spans="2:14" x14ac:dyDescent="0.2">
      <c r="B56" s="694"/>
      <c r="C56" s="18" t="str">
        <f>'P&amp;L Medzy '!B70</f>
        <v>Tech &amp; Marketing (Content&amp;Advertising)</v>
      </c>
      <c r="D56" s="588">
        <f>49919.07+439413.4</f>
        <v>489332.47000000003</v>
      </c>
      <c r="E56" s="588">
        <v>184257.88</v>
      </c>
      <c r="F56" s="8">
        <f>SUM('P&amp;L Medzy '!P70:AA70)</f>
        <v>51790.149999999994</v>
      </c>
      <c r="G56" s="8">
        <f>SUM('P&amp;L Medzy '!AB70:AM70)</f>
        <v>424790.93497174839</v>
      </c>
      <c r="H56" s="8">
        <f>SUM('P&amp;L Medzy '!AN70:BA70)</f>
        <v>1469722.1833835393</v>
      </c>
      <c r="I56" s="8">
        <f>SUM('P&amp;L Medzy '!BB70:BM70)</f>
        <v>2905223.971841787</v>
      </c>
      <c r="J56" s="8">
        <f>SUM('P&amp;L Medzy '!BN70:BY70)</f>
        <v>4991582.0112442821</v>
      </c>
      <c r="K56" s="8">
        <f>SUM('P&amp;L Medzy '!BZ70:CK70)</f>
        <v>7494553.9065740397</v>
      </c>
      <c r="L56" s="40"/>
    </row>
    <row r="57" spans="2:14" x14ac:dyDescent="0.2">
      <c r="B57" s="694"/>
      <c r="C57" s="18" t="str">
        <f>'P&amp;L Medzy '!B71</f>
        <v>Trade and Events</v>
      </c>
      <c r="D57" s="588">
        <v>436.9</v>
      </c>
      <c r="E57" s="588">
        <v>3685</v>
      </c>
      <c r="F57" s="8">
        <f>SUM('P&amp;L Medzy '!P71:AA71)</f>
        <v>6986.4</v>
      </c>
      <c r="G57" s="8">
        <f>SUM('P&amp;L Medzy '!AB71:AM71)</f>
        <v>31334.799999999999</v>
      </c>
      <c r="H57" s="8">
        <f>SUM('P&amp;L Medzy '!AN71:BA71)</f>
        <v>100000</v>
      </c>
      <c r="I57" s="8">
        <f>SUM('P&amp;L Medzy '!BB71:BM71)</f>
        <v>90000</v>
      </c>
      <c r="J57" s="8">
        <f>SUM('P&amp;L Medzy '!BN71:BY71)</f>
        <v>90000</v>
      </c>
      <c r="K57" s="8">
        <f>SUM('P&amp;L Medzy '!BZ71:CK71)</f>
        <v>90000</v>
      </c>
      <c r="L57" s="40"/>
    </row>
    <row r="58" spans="2:14" x14ac:dyDescent="0.2">
      <c r="B58" s="694"/>
      <c r="C58" s="2"/>
      <c r="D58" s="2"/>
      <c r="E58" s="8"/>
      <c r="F58" s="8"/>
      <c r="G58" s="8"/>
      <c r="H58" s="8"/>
      <c r="I58" s="8"/>
      <c r="J58" s="8"/>
      <c r="K58" s="8"/>
      <c r="L58" s="40"/>
    </row>
    <row r="59" spans="2:14" x14ac:dyDescent="0.2">
      <c r="B59" s="694"/>
      <c r="E59" s="8"/>
      <c r="F59" s="8"/>
      <c r="G59" s="8"/>
      <c r="H59" s="8"/>
      <c r="I59" s="8"/>
      <c r="J59" s="8"/>
      <c r="K59" s="8"/>
      <c r="L59" s="40"/>
    </row>
    <row r="60" spans="2:14" x14ac:dyDescent="0.2">
      <c r="B60" s="694"/>
      <c r="C60" s="49" t="s">
        <v>6</v>
      </c>
      <c r="D60" s="50">
        <f t="shared" ref="D60:E60" si="2">SUM(D23:D59)</f>
        <v>1898790.1599999997</v>
      </c>
      <c r="E60" s="50">
        <f t="shared" si="2"/>
        <v>1975887.8899999997</v>
      </c>
      <c r="F60" s="50">
        <f>SUM(F23:F59)</f>
        <v>2090300.0099999993</v>
      </c>
      <c r="G60" s="50">
        <f t="shared" ref="G60:H60" si="3">SUM(G23:G59)</f>
        <v>2871923.1216384154</v>
      </c>
      <c r="H60" s="50">
        <f t="shared" si="3"/>
        <v>6646930.0233835392</v>
      </c>
      <c r="I60" s="50">
        <f t="shared" ref="I60:J60" si="4">SUM(I23:I59)</f>
        <v>7580168.6918417858</v>
      </c>
      <c r="J60" s="50">
        <f t="shared" si="4"/>
        <v>9694343.8412442822</v>
      </c>
      <c r="K60" s="50">
        <f t="shared" ref="K60" si="5">SUM(K23:K59)</f>
        <v>12233193.144574039</v>
      </c>
      <c r="M60" s="252"/>
    </row>
    <row r="61" spans="2:14" x14ac:dyDescent="0.2">
      <c r="E61" s="8"/>
      <c r="F61" s="8"/>
      <c r="G61" s="8"/>
      <c r="H61" s="8"/>
      <c r="I61" s="8"/>
      <c r="J61" s="8"/>
      <c r="K61" s="8"/>
    </row>
    <row r="62" spans="2:14" ht="21" customHeight="1" x14ac:dyDescent="0.2">
      <c r="B62" s="694" t="s">
        <v>19</v>
      </c>
      <c r="C62" s="32" t="s">
        <v>13</v>
      </c>
      <c r="D62" s="42">
        <f t="shared" ref="D62:E62" si="6">D14-D60</f>
        <v>-1309867.2199999997</v>
      </c>
      <c r="E62" s="42">
        <f t="shared" si="6"/>
        <v>-1265742.9699999997</v>
      </c>
      <c r="F62" s="42">
        <f t="shared" ref="F62:K62" si="7">F14-F60</f>
        <v>-1246480.6410804847</v>
      </c>
      <c r="G62" s="43">
        <f t="shared" si="7"/>
        <v>-1426701.6676987121</v>
      </c>
      <c r="H62" s="43">
        <f t="shared" si="7"/>
        <v>-2293358.3206213694</v>
      </c>
      <c r="I62" s="43">
        <f t="shared" si="7"/>
        <v>4018505.5976090832</v>
      </c>
      <c r="J62" s="43">
        <f t="shared" si="7"/>
        <v>10935446.991186297</v>
      </c>
      <c r="K62" s="43">
        <f t="shared" si="7"/>
        <v>18684319.182691284</v>
      </c>
      <c r="M62" s="2" t="s">
        <v>364</v>
      </c>
      <c r="N62" s="676">
        <f>SUM(G62:K62)</f>
        <v>29918211.78316658</v>
      </c>
    </row>
    <row r="63" spans="2:14" ht="21" customHeight="1" x14ac:dyDescent="0.2">
      <c r="B63" s="694"/>
      <c r="C63" s="32" t="s">
        <v>379</v>
      </c>
      <c r="D63" s="585">
        <v>139000</v>
      </c>
      <c r="E63" s="42">
        <v>139000</v>
      </c>
      <c r="F63" s="43">
        <f>'Loans &amp; Grants'!AH41+'Loans &amp; Grants'!AK42</f>
        <v>415732.58750000002</v>
      </c>
      <c r="G63" s="43">
        <f>F63</f>
        <v>415732.58750000002</v>
      </c>
      <c r="H63" s="43">
        <f>G63</f>
        <v>415732.58750000002</v>
      </c>
      <c r="I63" s="43">
        <f>H63</f>
        <v>415732.58750000002</v>
      </c>
      <c r="J63" s="43">
        <f>I63</f>
        <v>415732.58750000002</v>
      </c>
      <c r="K63" s="43">
        <f>J63</f>
        <v>415732.58750000002</v>
      </c>
      <c r="M63" s="2" t="s">
        <v>365</v>
      </c>
      <c r="N63" s="282">
        <v>0.15</v>
      </c>
    </row>
    <row r="64" spans="2:14" ht="21" customHeight="1" x14ac:dyDescent="0.2">
      <c r="B64" s="694"/>
      <c r="C64" s="32" t="s">
        <v>336</v>
      </c>
      <c r="D64" s="42">
        <f>+D62+D63</f>
        <v>-1170867.2199999997</v>
      </c>
      <c r="E64" s="42">
        <f t="shared" ref="E64:G64" si="8">+E62+E63</f>
        <v>-1126742.9699999997</v>
      </c>
      <c r="F64" s="42">
        <f t="shared" si="8"/>
        <v>-830748.0535804847</v>
      </c>
      <c r="G64" s="42">
        <f t="shared" si="8"/>
        <v>-1010969.0801987121</v>
      </c>
      <c r="H64" s="42">
        <f t="shared" ref="H64:I64" si="9">+H62+H63</f>
        <v>-1877625.7331213695</v>
      </c>
      <c r="I64" s="42">
        <f t="shared" si="9"/>
        <v>4434238.1851090835</v>
      </c>
      <c r="J64" s="42">
        <f t="shared" ref="J64:K64" si="10">+J62+J63</f>
        <v>11351179.578686297</v>
      </c>
      <c r="K64" s="42">
        <f t="shared" si="10"/>
        <v>19100051.770191282</v>
      </c>
      <c r="M64" s="678" t="s">
        <v>366</v>
      </c>
      <c r="N64" s="677">
        <f>NPV(N63,G62,H62,I62,J62,K62)</f>
        <v>15209300.265484573</v>
      </c>
    </row>
    <row r="67" spans="2:11" ht="21" x14ac:dyDescent="0.25">
      <c r="C67" s="38"/>
      <c r="D67" s="596">
        <v>2022</v>
      </c>
      <c r="E67" s="597">
        <v>2022</v>
      </c>
      <c r="F67" s="596">
        <v>2023</v>
      </c>
      <c r="G67" s="596">
        <v>2024</v>
      </c>
      <c r="H67" s="596">
        <v>2025</v>
      </c>
      <c r="I67" s="596">
        <v>2026</v>
      </c>
      <c r="J67" s="596">
        <v>2027</v>
      </c>
      <c r="K67" s="596">
        <v>2028</v>
      </c>
    </row>
    <row r="68" spans="2:11" x14ac:dyDescent="0.2">
      <c r="B68" s="694" t="s">
        <v>347</v>
      </c>
      <c r="D68" s="700" t="s">
        <v>335</v>
      </c>
      <c r="E68" s="776"/>
      <c r="F68" s="777"/>
      <c r="G68" s="778" t="s">
        <v>346</v>
      </c>
      <c r="H68" s="779"/>
      <c r="I68" s="779"/>
      <c r="J68" s="779"/>
      <c r="K68" s="779"/>
    </row>
    <row r="69" spans="2:11" x14ac:dyDescent="0.2">
      <c r="B69" s="694"/>
      <c r="D69" s="594"/>
      <c r="E69" s="594"/>
      <c r="F69" s="600"/>
      <c r="G69" s="604"/>
      <c r="H69" s="605"/>
      <c r="I69" s="605"/>
      <c r="J69" s="605"/>
      <c r="K69" s="605"/>
    </row>
    <row r="70" spans="2:11" x14ac:dyDescent="0.2">
      <c r="B70" s="694"/>
      <c r="C70" t="s">
        <v>58</v>
      </c>
      <c r="D70" s="8">
        <v>2500000</v>
      </c>
      <c r="E70" s="13"/>
      <c r="F70" s="601">
        <f>SUM('P&amp;L Medzy '!Z91:Z95)</f>
        <v>300000</v>
      </c>
      <c r="G70" s="472">
        <f>SUM('P&amp;L Medzy '!AB91:AM95)</f>
        <v>2800000</v>
      </c>
      <c r="H70" s="577">
        <f>SUM('P&amp;L Medzy '!AN91:BA95)</f>
        <v>0</v>
      </c>
      <c r="I70" s="577">
        <f>SUM('P&amp;L Medzy '!AO91:BB95)</f>
        <v>0</v>
      </c>
      <c r="J70" s="577">
        <f>SUM('P&amp;L Medzy '!AP91:BC95)</f>
        <v>0</v>
      </c>
      <c r="K70" s="577">
        <f>SUM('P&amp;L Medzy '!AQ91:BD95)</f>
        <v>0</v>
      </c>
    </row>
    <row r="71" spans="2:11" x14ac:dyDescent="0.2">
      <c r="B71" s="694"/>
      <c r="C71" t="s">
        <v>343</v>
      </c>
      <c r="D71" s="8">
        <f>250000+216000</f>
        <v>466000</v>
      </c>
      <c r="E71" s="13">
        <v>200000</v>
      </c>
      <c r="F71" s="601">
        <v>0</v>
      </c>
      <c r="G71" s="472">
        <f>SUM('P&amp;L Medzy '!AB96:AM96)</f>
        <v>0</v>
      </c>
      <c r="H71" s="577">
        <f>SUM('P&amp;L Medzy '!AN96:BA96)</f>
        <v>0</v>
      </c>
      <c r="I71" s="577">
        <f>SUM('P&amp;L Medzy '!AO96:BB96)</f>
        <v>0</v>
      </c>
      <c r="J71" s="577">
        <f>SUM('P&amp;L Medzy '!AP96:BC96)</f>
        <v>0</v>
      </c>
      <c r="K71" s="577">
        <f>SUM('P&amp;L Medzy '!AQ96:BD96)</f>
        <v>0</v>
      </c>
    </row>
    <row r="72" spans="2:11" x14ac:dyDescent="0.2">
      <c r="B72" s="694"/>
      <c r="C72" t="s">
        <v>313</v>
      </c>
      <c r="D72" s="8">
        <v>139000</v>
      </c>
      <c r="E72" s="13">
        <v>305000</v>
      </c>
      <c r="F72" s="601">
        <f>SUM('P&amp;L Medzy '!P98:AA98)</f>
        <v>227169</v>
      </c>
      <c r="G72" s="472">
        <f>SUM('P&amp;L Medzy '!AB98:AM98)</f>
        <v>835732.58750000002</v>
      </c>
      <c r="H72" s="577">
        <f>SUM('P&amp;L Medzy '!AN98:BA98)</f>
        <v>1565732.5874999999</v>
      </c>
      <c r="I72" s="577">
        <f>SUM('P&amp;L Medzy '!AO98:BB98)</f>
        <v>1290732.5874999999</v>
      </c>
      <c r="J72" s="577">
        <f>SUM('P&amp;L Medzy '!AP98:BC98)</f>
        <v>1265732.5874999999</v>
      </c>
      <c r="K72" s="577">
        <f>SUM('P&amp;L Medzy '!AQ98:BD98)</f>
        <v>1240732.5874999999</v>
      </c>
    </row>
    <row r="73" spans="2:11" x14ac:dyDescent="0.2">
      <c r="B73" s="694"/>
      <c r="E73" s="8"/>
      <c r="F73" s="579"/>
      <c r="G73" s="470"/>
      <c r="H73" s="578"/>
      <c r="I73" s="578"/>
      <c r="J73" s="578"/>
      <c r="K73" s="578"/>
    </row>
    <row r="74" spans="2:11" ht="17" thickBot="1" x14ac:dyDescent="0.25">
      <c r="B74" s="694"/>
      <c r="C74" s="35" t="s">
        <v>0</v>
      </c>
      <c r="D74" s="36">
        <f>SUM(D70:D72)</f>
        <v>3105000</v>
      </c>
      <c r="E74" s="36">
        <f>SUM(E70:E72)</f>
        <v>505000</v>
      </c>
      <c r="F74" s="602">
        <f t="shared" ref="F74:K74" si="11">SUM(F68:F73)</f>
        <v>527169</v>
      </c>
      <c r="G74" s="598">
        <f t="shared" si="11"/>
        <v>3635732.5874999999</v>
      </c>
      <c r="H74" s="606">
        <f t="shared" si="11"/>
        <v>1565732.5874999999</v>
      </c>
      <c r="I74" s="606">
        <f t="shared" si="11"/>
        <v>1290732.5874999999</v>
      </c>
      <c r="J74" s="606">
        <f t="shared" si="11"/>
        <v>1265732.5874999999</v>
      </c>
      <c r="K74" s="606">
        <f t="shared" si="11"/>
        <v>1240732.5874999999</v>
      </c>
    </row>
    <row r="75" spans="2:11" x14ac:dyDescent="0.2">
      <c r="E75" s="8"/>
      <c r="F75" s="572"/>
      <c r="G75" s="494"/>
      <c r="H75" s="557"/>
      <c r="I75" s="557"/>
      <c r="J75" s="557"/>
      <c r="K75" s="557"/>
    </row>
    <row r="76" spans="2:11" ht="17" thickBot="1" x14ac:dyDescent="0.25">
      <c r="C76" s="51" t="s">
        <v>344</v>
      </c>
      <c r="D76" s="164">
        <f>D74</f>
        <v>3105000</v>
      </c>
      <c r="E76" s="110">
        <f>D74+E74</f>
        <v>3610000</v>
      </c>
      <c r="F76" s="603">
        <f>E74+F74</f>
        <v>1032169</v>
      </c>
      <c r="G76" s="599">
        <f>F76+G74</f>
        <v>4667901.5875000004</v>
      </c>
      <c r="H76" s="607">
        <f>G76+H74</f>
        <v>6233634.1750000007</v>
      </c>
      <c r="I76" s="607">
        <f>H76+I74</f>
        <v>7524366.7625000011</v>
      </c>
      <c r="J76" s="607">
        <f>I76+J74</f>
        <v>8790099.3500000015</v>
      </c>
      <c r="K76" s="607">
        <f>J76+K74</f>
        <v>10030831.937500002</v>
      </c>
    </row>
    <row r="77" spans="2:11" ht="17" thickTop="1" x14ac:dyDescent="0.2"/>
    <row r="79" spans="2:11" ht="17" thickBot="1" x14ac:dyDescent="0.25"/>
    <row r="80" spans="2:11" x14ac:dyDescent="0.2">
      <c r="C80" s="696" t="s">
        <v>342</v>
      </c>
      <c r="D80" s="697"/>
      <c r="E80" s="697"/>
      <c r="F80" s="698"/>
      <c r="G80" s="2"/>
    </row>
    <row r="81" spans="3:6" x14ac:dyDescent="0.2">
      <c r="C81" s="21"/>
      <c r="F81" s="22"/>
    </row>
    <row r="82" spans="3:6" x14ac:dyDescent="0.2">
      <c r="C82" s="118" t="s">
        <v>299</v>
      </c>
      <c r="D82" s="12">
        <v>2500000</v>
      </c>
      <c r="E82" s="12"/>
      <c r="F82" s="590">
        <f>D82/$D$89</f>
        <v>0.48063380526237975</v>
      </c>
    </row>
    <row r="83" spans="3:6" x14ac:dyDescent="0.2">
      <c r="C83" s="118" t="str">
        <f>C72</f>
        <v>Grants / Tax Credits</v>
      </c>
      <c r="D83" s="12">
        <f>G72+H72</f>
        <v>2401465.1749999998</v>
      </c>
      <c r="E83" s="12"/>
      <c r="F83" s="590">
        <f>D83/$D$89</f>
        <v>0.46169013810613468</v>
      </c>
    </row>
    <row r="84" spans="3:6" x14ac:dyDescent="0.2">
      <c r="C84" s="118" t="s">
        <v>51</v>
      </c>
      <c r="D84" s="12">
        <v>300000</v>
      </c>
      <c r="E84" s="12"/>
      <c r="F84" s="590">
        <f>D84/$D$89</f>
        <v>5.7676056631485569E-2</v>
      </c>
    </row>
    <row r="85" spans="3:6" x14ac:dyDescent="0.2">
      <c r="C85" s="118"/>
      <c r="D85" s="12"/>
      <c r="E85" s="12"/>
      <c r="F85" s="591"/>
    </row>
    <row r="86" spans="3:6" x14ac:dyDescent="0.2">
      <c r="C86" s="118" t="s">
        <v>315</v>
      </c>
      <c r="D86" s="780" t="s">
        <v>381</v>
      </c>
      <c r="E86" s="12">
        <v>750000</v>
      </c>
      <c r="F86" s="590">
        <f>E86/E89</f>
        <v>0.14419014157871393</v>
      </c>
    </row>
    <row r="87" spans="3:6" x14ac:dyDescent="0.2">
      <c r="C87" s="118" t="s">
        <v>316</v>
      </c>
      <c r="D87" s="12"/>
      <c r="E87" s="12">
        <v>400000</v>
      </c>
      <c r="F87" s="590">
        <f>E87/E89</f>
        <v>7.6901408841980767E-2</v>
      </c>
    </row>
    <row r="88" spans="3:6" x14ac:dyDescent="0.2">
      <c r="C88" s="118" t="s">
        <v>314</v>
      </c>
      <c r="D88" s="12"/>
      <c r="E88" s="12">
        <f>D89-E86-E87</f>
        <v>4051465.1749999998</v>
      </c>
      <c r="F88" s="590">
        <f>E88/E89</f>
        <v>0.77890844957930527</v>
      </c>
    </row>
    <row r="89" spans="3:6" ht="17" thickBot="1" x14ac:dyDescent="0.25">
      <c r="C89" s="124"/>
      <c r="D89" s="445">
        <f>SUM(D82:D88)</f>
        <v>5201465.1749999998</v>
      </c>
      <c r="E89" s="445">
        <f>SUM(E82:E88)</f>
        <v>5201465.1749999998</v>
      </c>
      <c r="F89" s="126"/>
    </row>
    <row r="90" spans="3:6" x14ac:dyDescent="0.2">
      <c r="E90" s="106"/>
      <c r="F90" s="106"/>
    </row>
    <row r="92" spans="3:6" x14ac:dyDescent="0.2">
      <c r="F92" s="109"/>
    </row>
  </sheetData>
  <mergeCells count="12">
    <mergeCell ref="C80:F80"/>
    <mergeCell ref="D5:F5"/>
    <mergeCell ref="D68:F68"/>
    <mergeCell ref="D17:F17"/>
    <mergeCell ref="G68:K68"/>
    <mergeCell ref="G17:K17"/>
    <mergeCell ref="D3:H3"/>
    <mergeCell ref="B5:B14"/>
    <mergeCell ref="B68:B74"/>
    <mergeCell ref="B62:B64"/>
    <mergeCell ref="B17:B60"/>
    <mergeCell ref="G5:K5"/>
  </mergeCells>
  <phoneticPr fontId="75" type="noConversion"/>
  <pageMargins left="0.25" right="0.25" top="0.75" bottom="0.75" header="0.3" footer="0.3"/>
  <pageSetup scale="68" fitToHeight="0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</sheetPr>
  <dimension ref="A1:CK135"/>
  <sheetViews>
    <sheetView tabSelected="1" zoomScaleNormal="100" workbookViewId="0">
      <pane xSplit="4" ySplit="5" topLeftCell="W6" activePane="bottomRight" state="frozen"/>
      <selection activeCell="I11" sqref="I11"/>
      <selection pane="topRight" activeCell="I11" sqref="I11"/>
      <selection pane="bottomLeft" activeCell="I11" sqref="I11"/>
      <selection pane="bottomRight" activeCell="BL104" sqref="BL104"/>
    </sheetView>
  </sheetViews>
  <sheetFormatPr baseColWidth="10" defaultColWidth="4.5" defaultRowHeight="16" x14ac:dyDescent="0.2"/>
  <cols>
    <col min="1" max="1" width="1" style="557" customWidth="1"/>
    <col min="2" max="2" width="32.6640625" customWidth="1"/>
    <col min="3" max="3" width="7.5" customWidth="1"/>
    <col min="4" max="4" width="16.1640625" style="22" customWidth="1"/>
    <col min="5" max="5" width="4.33203125" style="22" customWidth="1"/>
    <col min="6" max="8" width="4.83203125" hidden="1" customWidth="1"/>
    <col min="9" max="9" width="5.5" hidden="1" customWidth="1"/>
    <col min="10" max="10" width="5.33203125" hidden="1" customWidth="1"/>
    <col min="11" max="11" width="5.5" hidden="1" customWidth="1"/>
    <col min="12" max="14" width="6" hidden="1" customWidth="1"/>
    <col min="15" max="15" width="27.6640625" customWidth="1"/>
    <col min="16" max="16" width="15.6640625" style="494" customWidth="1"/>
    <col min="17" max="17" width="13" style="557" customWidth="1"/>
    <col min="18" max="20" width="13" customWidth="1"/>
    <col min="21" max="22" width="13.1640625" customWidth="1"/>
    <col min="23" max="23" width="13.83203125" customWidth="1"/>
    <col min="24" max="28" width="13.33203125" customWidth="1"/>
    <col min="29" max="29" width="13.33203125" style="557" customWidth="1"/>
    <col min="30" max="40" width="13.33203125" customWidth="1"/>
    <col min="41" max="41" width="13.33203125" style="557" customWidth="1"/>
    <col min="42" max="52" width="13.33203125" customWidth="1"/>
    <col min="53" max="53" width="13.33203125" style="557" customWidth="1"/>
    <col min="54" max="64" width="13.33203125" customWidth="1"/>
    <col min="65" max="65" width="13.33203125" style="557" customWidth="1"/>
    <col min="66" max="76" width="13.33203125" customWidth="1"/>
    <col min="77" max="77" width="13.33203125" style="557" customWidth="1"/>
    <col min="78" max="88" width="13.33203125" customWidth="1"/>
    <col min="89" max="89" width="13.33203125" style="557" customWidth="1"/>
  </cols>
  <sheetData>
    <row r="1" spans="1:89" ht="18.75" customHeight="1" x14ac:dyDescent="0.2">
      <c r="B1" s="556" t="s">
        <v>334</v>
      </c>
    </row>
    <row r="2" spans="1:89" ht="6" customHeight="1" x14ac:dyDescent="0.2">
      <c r="D2" s="531"/>
      <c r="E2" s="531"/>
    </row>
    <row r="3" spans="1:89" ht="21" customHeight="1" thickBot="1" x14ac:dyDescent="0.25">
      <c r="B3" s="17"/>
      <c r="F3" s="23"/>
      <c r="G3" s="23"/>
      <c r="H3" s="23"/>
      <c r="I3" s="23"/>
      <c r="J3" s="23"/>
      <c r="K3" s="23"/>
      <c r="L3" s="23"/>
      <c r="M3" s="23"/>
      <c r="N3" s="23"/>
      <c r="O3" s="23"/>
      <c r="P3" s="713" t="s">
        <v>368</v>
      </c>
      <c r="Q3" s="714"/>
      <c r="R3" s="714"/>
      <c r="S3" s="714"/>
      <c r="T3" s="714"/>
      <c r="U3" s="714"/>
      <c r="V3" s="714"/>
      <c r="W3" s="714"/>
      <c r="X3" s="714"/>
      <c r="Y3" s="714"/>
      <c r="Z3" s="714"/>
      <c r="AA3" s="688"/>
      <c r="AB3" s="635" t="s">
        <v>356</v>
      </c>
      <c r="AC3" s="635" t="s">
        <v>356</v>
      </c>
      <c r="AD3" s="635" t="s">
        <v>356</v>
      </c>
      <c r="AE3" s="635" t="s">
        <v>356</v>
      </c>
      <c r="AF3" s="635" t="s">
        <v>356</v>
      </c>
      <c r="AG3" s="635" t="s">
        <v>356</v>
      </c>
      <c r="AH3" s="635" t="s">
        <v>356</v>
      </c>
      <c r="AI3" s="635" t="s">
        <v>356</v>
      </c>
      <c r="AJ3" s="635" t="s">
        <v>356</v>
      </c>
      <c r="AK3" s="635" t="s">
        <v>356</v>
      </c>
      <c r="AL3" s="635" t="s">
        <v>356</v>
      </c>
      <c r="AM3" s="635" t="s">
        <v>356</v>
      </c>
      <c r="AN3" s="635" t="s">
        <v>356</v>
      </c>
      <c r="AO3" s="635" t="s">
        <v>356</v>
      </c>
      <c r="AP3" s="635" t="s">
        <v>356</v>
      </c>
      <c r="AQ3" s="635" t="s">
        <v>356</v>
      </c>
      <c r="AR3" s="635" t="s">
        <v>356</v>
      </c>
      <c r="AS3" s="635" t="s">
        <v>356</v>
      </c>
      <c r="AT3" s="635" t="s">
        <v>356</v>
      </c>
      <c r="AU3" s="635" t="s">
        <v>356</v>
      </c>
      <c r="AV3" s="635" t="s">
        <v>356</v>
      </c>
      <c r="AW3" s="635" t="s">
        <v>356</v>
      </c>
      <c r="AX3" s="635" t="s">
        <v>356</v>
      </c>
      <c r="AY3" s="635" t="s">
        <v>356</v>
      </c>
      <c r="AZ3" s="635" t="s">
        <v>356</v>
      </c>
      <c r="BA3" s="635" t="s">
        <v>356</v>
      </c>
      <c r="BB3" s="635" t="s">
        <v>356</v>
      </c>
      <c r="BC3" s="635" t="s">
        <v>356</v>
      </c>
      <c r="BD3" s="635" t="s">
        <v>356</v>
      </c>
      <c r="BE3" s="635" t="s">
        <v>356</v>
      </c>
      <c r="BF3" s="635" t="s">
        <v>356</v>
      </c>
      <c r="BG3" s="635" t="s">
        <v>356</v>
      </c>
      <c r="BH3" s="635" t="s">
        <v>356</v>
      </c>
      <c r="BI3" s="635" t="s">
        <v>356</v>
      </c>
      <c r="BJ3" s="635" t="s">
        <v>356</v>
      </c>
      <c r="BK3" s="635" t="s">
        <v>356</v>
      </c>
      <c r="BL3" s="635" t="s">
        <v>356</v>
      </c>
      <c r="BM3" s="635" t="s">
        <v>356</v>
      </c>
      <c r="BN3" s="635" t="s">
        <v>356</v>
      </c>
      <c r="BO3" s="635" t="s">
        <v>356</v>
      </c>
      <c r="BP3" s="635" t="s">
        <v>356</v>
      </c>
      <c r="BQ3" s="635" t="s">
        <v>356</v>
      </c>
      <c r="BR3" s="635" t="s">
        <v>356</v>
      </c>
      <c r="BS3" s="635" t="s">
        <v>356</v>
      </c>
      <c r="BT3" s="635" t="s">
        <v>356</v>
      </c>
      <c r="BU3" s="635" t="s">
        <v>356</v>
      </c>
      <c r="BV3" s="635" t="s">
        <v>356</v>
      </c>
      <c r="BW3" s="635" t="s">
        <v>356</v>
      </c>
      <c r="BX3" s="635" t="s">
        <v>356</v>
      </c>
      <c r="BY3" s="635" t="s">
        <v>356</v>
      </c>
      <c r="BZ3" s="635" t="s">
        <v>356</v>
      </c>
      <c r="CA3" s="635" t="s">
        <v>356</v>
      </c>
      <c r="CB3" s="635" t="s">
        <v>356</v>
      </c>
      <c r="CC3" s="635" t="s">
        <v>356</v>
      </c>
      <c r="CD3" s="635" t="s">
        <v>356</v>
      </c>
      <c r="CE3" s="635" t="s">
        <v>356</v>
      </c>
      <c r="CF3" s="635" t="s">
        <v>356</v>
      </c>
      <c r="CG3" s="635" t="s">
        <v>356</v>
      </c>
      <c r="CH3" s="635" t="s">
        <v>356</v>
      </c>
      <c r="CI3" s="635" t="s">
        <v>356</v>
      </c>
      <c r="CJ3" s="635" t="s">
        <v>356</v>
      </c>
      <c r="CK3" s="635" t="s">
        <v>356</v>
      </c>
    </row>
    <row r="4" spans="1:89" ht="14" customHeight="1" x14ac:dyDescent="0.2">
      <c r="A4" s="721"/>
      <c r="B4" s="83" t="s">
        <v>1</v>
      </c>
      <c r="C4" s="722"/>
      <c r="D4" s="723"/>
      <c r="E4" s="724"/>
      <c r="F4" s="715">
        <v>2022</v>
      </c>
      <c r="G4" s="716"/>
      <c r="H4" s="716"/>
      <c r="I4" s="716"/>
      <c r="J4" s="716"/>
      <c r="K4" s="716"/>
      <c r="L4" s="716"/>
      <c r="M4" s="716"/>
      <c r="N4" s="716"/>
      <c r="O4" s="716"/>
      <c r="P4" s="716"/>
      <c r="Q4" s="717"/>
      <c r="R4" s="701">
        <v>2023</v>
      </c>
      <c r="S4" s="702"/>
      <c r="T4" s="702"/>
      <c r="U4" s="702"/>
      <c r="V4" s="702"/>
      <c r="W4" s="702"/>
      <c r="X4" s="702"/>
      <c r="Y4" s="702"/>
      <c r="Z4" s="702"/>
      <c r="AA4" s="702"/>
      <c r="AB4" s="702"/>
      <c r="AC4" s="703"/>
      <c r="AD4" s="715">
        <v>2024</v>
      </c>
      <c r="AE4" s="716"/>
      <c r="AF4" s="716"/>
      <c r="AG4" s="716"/>
      <c r="AH4" s="716"/>
      <c r="AI4" s="716"/>
      <c r="AJ4" s="716"/>
      <c r="AK4" s="716"/>
      <c r="AL4" s="716"/>
      <c r="AM4" s="716"/>
      <c r="AN4" s="716"/>
      <c r="AO4" s="717"/>
      <c r="AP4" s="701">
        <v>2025</v>
      </c>
      <c r="AQ4" s="702"/>
      <c r="AR4" s="702"/>
      <c r="AS4" s="702"/>
      <c r="AT4" s="702"/>
      <c r="AU4" s="702"/>
      <c r="AV4" s="702"/>
      <c r="AW4" s="702"/>
      <c r="AX4" s="702"/>
      <c r="AY4" s="702"/>
      <c r="AZ4" s="702"/>
      <c r="BA4" s="703"/>
      <c r="BB4" s="701">
        <v>2026</v>
      </c>
      <c r="BC4" s="702"/>
      <c r="BD4" s="702"/>
      <c r="BE4" s="702"/>
      <c r="BF4" s="702"/>
      <c r="BG4" s="702"/>
      <c r="BH4" s="702"/>
      <c r="BI4" s="702"/>
      <c r="BJ4" s="702"/>
      <c r="BK4" s="702"/>
      <c r="BL4" s="702"/>
      <c r="BM4" s="703"/>
      <c r="BN4" s="701">
        <v>2027</v>
      </c>
      <c r="BO4" s="702"/>
      <c r="BP4" s="702"/>
      <c r="BQ4" s="702"/>
      <c r="BR4" s="702"/>
      <c r="BS4" s="702"/>
      <c r="BT4" s="702"/>
      <c r="BU4" s="702"/>
      <c r="BV4" s="702"/>
      <c r="BW4" s="702"/>
      <c r="BX4" s="702"/>
      <c r="BY4" s="703"/>
      <c r="BZ4" s="701">
        <v>2028</v>
      </c>
      <c r="CA4" s="702"/>
      <c r="CB4" s="702"/>
      <c r="CC4" s="702"/>
      <c r="CD4" s="702"/>
      <c r="CE4" s="702"/>
      <c r="CF4" s="702"/>
      <c r="CG4" s="702"/>
      <c r="CH4" s="702"/>
      <c r="CI4" s="702"/>
      <c r="CJ4" s="702"/>
      <c r="CK4" s="703"/>
    </row>
    <row r="5" spans="1:89" x14ac:dyDescent="0.2">
      <c r="A5" s="721"/>
      <c r="B5" s="4"/>
      <c r="C5" s="145"/>
      <c r="D5" s="532"/>
      <c r="E5" s="146"/>
      <c r="F5" s="508">
        <v>44562</v>
      </c>
      <c r="G5" s="251">
        <v>44593</v>
      </c>
      <c r="H5" s="251">
        <v>44621</v>
      </c>
      <c r="I5" s="251">
        <v>44652</v>
      </c>
      <c r="J5" s="251">
        <v>44682</v>
      </c>
      <c r="K5" s="251">
        <v>44713</v>
      </c>
      <c r="L5" s="251">
        <v>44743</v>
      </c>
      <c r="M5" s="251">
        <v>44774</v>
      </c>
      <c r="N5" s="251">
        <v>44805</v>
      </c>
      <c r="O5" s="491">
        <v>44835</v>
      </c>
      <c r="P5" s="251">
        <v>44866</v>
      </c>
      <c r="Q5" s="558">
        <v>44896</v>
      </c>
      <c r="R5" s="248">
        <v>44927</v>
      </c>
      <c r="S5" s="248">
        <v>44958</v>
      </c>
      <c r="T5" s="248">
        <v>44986</v>
      </c>
      <c r="U5" s="248">
        <v>45017</v>
      </c>
      <c r="V5" s="248">
        <v>45047</v>
      </c>
      <c r="W5" s="248">
        <v>45078</v>
      </c>
      <c r="X5" s="248">
        <v>45108</v>
      </c>
      <c r="Y5" s="248">
        <v>45139</v>
      </c>
      <c r="Z5" s="248">
        <v>45170</v>
      </c>
      <c r="AA5" s="248">
        <v>45200</v>
      </c>
      <c r="AB5" s="248">
        <v>45231</v>
      </c>
      <c r="AC5" s="248">
        <v>45261</v>
      </c>
      <c r="AD5" s="506">
        <v>45292</v>
      </c>
      <c r="AE5" s="249">
        <v>45323</v>
      </c>
      <c r="AF5" s="249">
        <v>45352</v>
      </c>
      <c r="AG5" s="249">
        <v>45383</v>
      </c>
      <c r="AH5" s="249">
        <v>45413</v>
      </c>
      <c r="AI5" s="249">
        <v>45444</v>
      </c>
      <c r="AJ5" s="249">
        <v>45474</v>
      </c>
      <c r="AK5" s="249">
        <v>45505</v>
      </c>
      <c r="AL5" s="249">
        <v>45536</v>
      </c>
      <c r="AM5" s="249">
        <v>45566</v>
      </c>
      <c r="AN5" s="249">
        <v>45597</v>
      </c>
      <c r="AO5" s="249">
        <v>45627</v>
      </c>
      <c r="AP5" s="507">
        <v>45658</v>
      </c>
      <c r="AQ5" s="250">
        <v>45689</v>
      </c>
      <c r="AR5" s="250">
        <v>45717</v>
      </c>
      <c r="AS5" s="250">
        <v>45748</v>
      </c>
      <c r="AT5" s="250">
        <v>45778</v>
      </c>
      <c r="AU5" s="250">
        <v>45809</v>
      </c>
      <c r="AV5" s="250">
        <v>45839</v>
      </c>
      <c r="AW5" s="250">
        <v>45870</v>
      </c>
      <c r="AX5" s="250">
        <v>45901</v>
      </c>
      <c r="AY5" s="250">
        <v>45931</v>
      </c>
      <c r="AZ5" s="250">
        <v>45962</v>
      </c>
      <c r="BA5" s="250">
        <v>45992</v>
      </c>
      <c r="BB5" s="507">
        <v>45658</v>
      </c>
      <c r="BC5" s="250">
        <v>45689</v>
      </c>
      <c r="BD5" s="250">
        <v>45717</v>
      </c>
      <c r="BE5" s="250">
        <v>45748</v>
      </c>
      <c r="BF5" s="250">
        <v>45778</v>
      </c>
      <c r="BG5" s="250">
        <v>45809</v>
      </c>
      <c r="BH5" s="250">
        <v>45839</v>
      </c>
      <c r="BI5" s="250">
        <v>45870</v>
      </c>
      <c r="BJ5" s="250">
        <v>45901</v>
      </c>
      <c r="BK5" s="250">
        <v>45931</v>
      </c>
      <c r="BL5" s="250">
        <v>45962</v>
      </c>
      <c r="BM5" s="250">
        <v>45992</v>
      </c>
      <c r="BN5" s="507">
        <v>45658</v>
      </c>
      <c r="BO5" s="250">
        <v>45689</v>
      </c>
      <c r="BP5" s="250">
        <v>45717</v>
      </c>
      <c r="BQ5" s="250">
        <v>45748</v>
      </c>
      <c r="BR5" s="250">
        <v>45778</v>
      </c>
      <c r="BS5" s="250">
        <v>45809</v>
      </c>
      <c r="BT5" s="250">
        <v>45839</v>
      </c>
      <c r="BU5" s="250">
        <v>45870</v>
      </c>
      <c r="BV5" s="250">
        <v>45901</v>
      </c>
      <c r="BW5" s="250">
        <v>45931</v>
      </c>
      <c r="BX5" s="250">
        <v>45962</v>
      </c>
      <c r="BY5" s="250">
        <v>45992</v>
      </c>
      <c r="BZ5" s="507">
        <v>45658</v>
      </c>
      <c r="CA5" s="250">
        <v>45689</v>
      </c>
      <c r="CB5" s="250">
        <v>45717</v>
      </c>
      <c r="CC5" s="250">
        <v>45748</v>
      </c>
      <c r="CD5" s="250">
        <v>45778</v>
      </c>
      <c r="CE5" s="250">
        <v>45809</v>
      </c>
      <c r="CF5" s="250">
        <v>45839</v>
      </c>
      <c r="CG5" s="250">
        <v>45870</v>
      </c>
      <c r="CH5" s="250">
        <v>45901</v>
      </c>
      <c r="CI5" s="250">
        <v>45931</v>
      </c>
      <c r="CJ5" s="250">
        <v>45962</v>
      </c>
      <c r="CK5" s="250">
        <v>45992</v>
      </c>
    </row>
    <row r="6" spans="1:89" x14ac:dyDescent="0.2">
      <c r="A6" s="721"/>
    </row>
    <row r="7" spans="1:89" x14ac:dyDescent="0.2">
      <c r="A7" s="721"/>
    </row>
    <row r="8" spans="1:89" x14ac:dyDescent="0.2">
      <c r="A8" s="721"/>
      <c r="B8" s="2" t="s">
        <v>91</v>
      </c>
    </row>
    <row r="9" spans="1:89" ht="7" customHeight="1" x14ac:dyDescent="0.2">
      <c r="A9" s="721"/>
    </row>
    <row r="10" spans="1:89" x14ac:dyDescent="0.2">
      <c r="A10" s="721"/>
      <c r="B10" t="s">
        <v>71</v>
      </c>
      <c r="F10" s="12"/>
      <c r="G10" s="12"/>
      <c r="H10" s="12"/>
      <c r="I10" s="12"/>
      <c r="J10" s="12"/>
      <c r="K10" s="12"/>
      <c r="L10" s="12"/>
      <c r="M10" s="12"/>
      <c r="N10" s="23"/>
      <c r="O10" s="23"/>
      <c r="P10" s="495"/>
      <c r="Q10" s="559"/>
      <c r="R10" s="23"/>
      <c r="S10" s="23"/>
      <c r="T10" s="23"/>
      <c r="U10" s="23"/>
      <c r="V10" s="23"/>
      <c r="W10" s="23"/>
      <c r="X10" s="23"/>
      <c r="Y10" s="23">
        <f>'Marketing and Sales'!Y5</f>
        <v>151.8095238095238</v>
      </c>
      <c r="Z10" s="23">
        <f>'Marketing and Sales'!Z5</f>
        <v>153.8095238095238</v>
      </c>
      <c r="AA10" s="23">
        <f>'Marketing and Sales'!AA5</f>
        <v>155.8095238095238</v>
      </c>
      <c r="AB10" s="23">
        <f>'Marketing and Sales'!AB5</f>
        <v>179</v>
      </c>
      <c r="AC10" s="559">
        <f>'Marketing and Sales'!AC5</f>
        <v>181</v>
      </c>
      <c r="AD10" s="23">
        <f>'Marketing and Sales'!AD5</f>
        <v>184.31578947368422</v>
      </c>
      <c r="AE10" s="23">
        <f>'Marketing and Sales'!AE5</f>
        <v>226.31578947368422</v>
      </c>
      <c r="AF10" s="23">
        <f>'Marketing and Sales'!AF5</f>
        <v>294.10526315789474</v>
      </c>
      <c r="AG10" s="23">
        <f>'Marketing and Sales'!AG5</f>
        <v>727.45263157894726</v>
      </c>
      <c r="AH10" s="23">
        <f>'Marketing and Sales'!AH5</f>
        <v>901.85263157894724</v>
      </c>
      <c r="AI10" s="23">
        <f>'Marketing and Sales'!AI5</f>
        <v>1019.6444444444445</v>
      </c>
      <c r="AJ10" s="23">
        <f>'Marketing and Sales'!AJ5</f>
        <v>1114.0444444444445</v>
      </c>
      <c r="AK10" s="23">
        <f>'Marketing and Sales'!AK5</f>
        <v>1228.4444444444443</v>
      </c>
      <c r="AL10" s="23">
        <f>'Marketing and Sales'!AL5</f>
        <v>1662.8444444444444</v>
      </c>
      <c r="AM10" s="23">
        <f>'Marketing and Sales'!AM5</f>
        <v>1777.2444444444445</v>
      </c>
      <c r="AN10" s="23">
        <f>'Marketing and Sales'!AN5</f>
        <v>1917.7882352941176</v>
      </c>
      <c r="AO10" s="559">
        <f>'Marketing and Sales'!AO5</f>
        <v>1855.7176470588236</v>
      </c>
      <c r="AP10" s="23">
        <f>'Marketing and Sales'!AP5</f>
        <v>2052.4705882352941</v>
      </c>
      <c r="AQ10" s="23">
        <f>'Marketing and Sales'!AQ5</f>
        <v>2166.8705882352942</v>
      </c>
      <c r="AR10" s="23">
        <f>'Marketing and Sales'!AR5</f>
        <v>2304.8000000000002</v>
      </c>
      <c r="AS10" s="23">
        <f>'Marketing and Sales'!AS5</f>
        <v>2419.1999999999998</v>
      </c>
      <c r="AT10" s="23">
        <f>'Marketing and Sales'!AT5</f>
        <v>2533.6</v>
      </c>
      <c r="AU10" s="23">
        <f>'Marketing and Sales'!AU5</f>
        <v>2648</v>
      </c>
      <c r="AV10" s="23">
        <f>'Marketing and Sales'!AV5</f>
        <v>2789.0666666666666</v>
      </c>
      <c r="AW10" s="23">
        <f>'Marketing and Sales'!AW5</f>
        <v>2903.4666666666667</v>
      </c>
      <c r="AX10" s="23">
        <f>'Marketing and Sales'!AX5</f>
        <v>3017.8666666666668</v>
      </c>
      <c r="AY10" s="23">
        <f>'Marketing and Sales'!AY5</f>
        <v>3132.2666666666664</v>
      </c>
      <c r="AZ10" s="23">
        <f>'Marketing and Sales'!AZ5</f>
        <v>3246.666666666667</v>
      </c>
      <c r="BA10" s="559">
        <f>'Marketing and Sales'!BA5</f>
        <v>3361.0666666666666</v>
      </c>
      <c r="BB10" s="23">
        <f>'Marketing and Sales'!BB5</f>
        <v>3745.2705882352939</v>
      </c>
      <c r="BC10" s="23">
        <f>'Marketing and Sales'!BC5</f>
        <v>3879.6705882352944</v>
      </c>
      <c r="BD10" s="23">
        <f>'Marketing and Sales'!BD5</f>
        <v>4037.6</v>
      </c>
      <c r="BE10" s="23">
        <f>'Marketing and Sales'!BE5</f>
        <v>4172</v>
      </c>
      <c r="BF10" s="23">
        <f>'Marketing and Sales'!BF5</f>
        <v>4306.3999999999996</v>
      </c>
      <c r="BG10" s="23">
        <f>'Marketing and Sales'!BG5</f>
        <v>4440.8</v>
      </c>
      <c r="BH10" s="23">
        <f>'Marketing and Sales'!BH5</f>
        <v>4601.8666666666668</v>
      </c>
      <c r="BI10" s="23">
        <f>'Marketing and Sales'!BI5</f>
        <v>4736.2666666666664</v>
      </c>
      <c r="BJ10" s="23">
        <f>'Marketing and Sales'!BJ5</f>
        <v>4870.666666666667</v>
      </c>
      <c r="BK10" s="23">
        <f>'Marketing and Sales'!BK5</f>
        <v>5005.0666666666666</v>
      </c>
      <c r="BL10" s="23">
        <f>'Marketing and Sales'!BL5</f>
        <v>5139.4666666666672</v>
      </c>
      <c r="BM10" s="559">
        <f>'Marketing and Sales'!BM5</f>
        <v>5273.8666666666668</v>
      </c>
      <c r="BN10" s="23">
        <f>'Marketing and Sales'!BN5</f>
        <v>5358.0705882352941</v>
      </c>
      <c r="BO10" s="23">
        <f>'Marketing and Sales'!BO5</f>
        <v>5492.4705882352937</v>
      </c>
      <c r="BP10" s="23">
        <f>'Marketing and Sales'!BP5</f>
        <v>5650.4</v>
      </c>
      <c r="BQ10" s="23">
        <f>'Marketing and Sales'!BQ5</f>
        <v>5784.8</v>
      </c>
      <c r="BR10" s="23">
        <f>'Marketing and Sales'!BR5</f>
        <v>5919.2</v>
      </c>
      <c r="BS10" s="23">
        <f>'Marketing and Sales'!BS5</f>
        <v>6053.6</v>
      </c>
      <c r="BT10" s="23">
        <f>'Marketing and Sales'!BT5</f>
        <v>6214.6666666666661</v>
      </c>
      <c r="BU10" s="23">
        <f>'Marketing and Sales'!BU5</f>
        <v>6349.0666666666666</v>
      </c>
      <c r="BV10" s="23">
        <f>'Marketing and Sales'!BV5</f>
        <v>6483.4666666666672</v>
      </c>
      <c r="BW10" s="23">
        <f>'Marketing and Sales'!BW5</f>
        <v>6617.8666666666668</v>
      </c>
      <c r="BX10" s="23">
        <f>'Marketing and Sales'!BX5</f>
        <v>6752.2666666666664</v>
      </c>
      <c r="BY10" s="559">
        <f>'Marketing and Sales'!BY5</f>
        <v>6886.6666666666661</v>
      </c>
      <c r="BZ10" s="23">
        <f>'Marketing and Sales'!BZ5</f>
        <v>6970.8705882352942</v>
      </c>
      <c r="CA10" s="23">
        <f>'Marketing and Sales'!CA5</f>
        <v>7105.2705882352948</v>
      </c>
      <c r="CB10" s="23">
        <f>'Marketing and Sales'!CB5</f>
        <v>7263.2</v>
      </c>
      <c r="CC10" s="23">
        <f>'Marketing and Sales'!CC5</f>
        <v>7397.6</v>
      </c>
      <c r="CD10" s="23">
        <f>'Marketing and Sales'!CD5</f>
        <v>7532</v>
      </c>
      <c r="CE10" s="23">
        <f>'Marketing and Sales'!CE5</f>
        <v>7666.4</v>
      </c>
      <c r="CF10" s="23">
        <f>'Marketing and Sales'!CF5</f>
        <v>7827.4666666666662</v>
      </c>
      <c r="CG10" s="23">
        <f>'Marketing and Sales'!CG5</f>
        <v>7961.8666666666668</v>
      </c>
      <c r="CH10" s="23">
        <f>'Marketing and Sales'!CH5</f>
        <v>8096.2666666666664</v>
      </c>
      <c r="CI10" s="23">
        <f>'Marketing and Sales'!CI5</f>
        <v>8230.6666666666661</v>
      </c>
      <c r="CJ10" s="23">
        <f>'Marketing and Sales'!CJ5</f>
        <v>8365.0666666666657</v>
      </c>
      <c r="CK10" s="559">
        <f>'Marketing and Sales'!CK5</f>
        <v>8499.4666666666672</v>
      </c>
    </row>
    <row r="11" spans="1:89" x14ac:dyDescent="0.2">
      <c r="A11" s="721"/>
      <c r="B11" t="s">
        <v>59</v>
      </c>
      <c r="F11" s="12"/>
      <c r="G11" s="12"/>
      <c r="H11" s="12"/>
      <c r="I11" s="12"/>
      <c r="J11" s="12"/>
      <c r="K11" s="12"/>
      <c r="L11" s="14"/>
      <c r="M11" s="14"/>
      <c r="N11" s="23"/>
      <c r="O11" s="23"/>
      <c r="P11" s="636"/>
      <c r="Q11" s="637"/>
      <c r="R11" s="638"/>
      <c r="S11" s="638"/>
      <c r="T11" s="638"/>
      <c r="U11" s="23"/>
      <c r="V11" s="23"/>
      <c r="W11" s="23"/>
      <c r="X11" s="23"/>
      <c r="Y11" s="23">
        <f>'Marketing and Sales'!Y6</f>
        <v>76.320674088019473</v>
      </c>
      <c r="Z11" s="23">
        <f>'Marketing and Sales'!Z6</f>
        <v>77.171637052184181</v>
      </c>
      <c r="AA11" s="23">
        <f>'Marketing and Sales'!AA6</f>
        <v>78.363483897883043</v>
      </c>
      <c r="AB11" s="23">
        <f>'Marketing and Sales'!AB6</f>
        <v>79.540251552806751</v>
      </c>
      <c r="AC11" s="559">
        <f>'Marketing and Sales'!AC6</f>
        <v>80.716811153150886</v>
      </c>
      <c r="AD11" s="23">
        <f>'Marketing and Sales'!AD6</f>
        <v>82.222231881675924</v>
      </c>
      <c r="AE11" s="23">
        <f>'Marketing and Sales'!AE6</f>
        <v>83.729917816057238</v>
      </c>
      <c r="AF11" s="23">
        <f>'Marketing and Sales'!AF6</f>
        <v>85.210687600754923</v>
      </c>
      <c r="AG11" s="23">
        <f>'Marketing and Sales'!AG6</f>
        <v>87.641230334698562</v>
      </c>
      <c r="AH11" s="23">
        <f>'Marketing and Sales'!AH6</f>
        <v>97.547447445521499</v>
      </c>
      <c r="AI11" s="23">
        <f>'Marketing and Sales'!AI6</f>
        <v>108.18200919080311</v>
      </c>
      <c r="AJ11" s="23">
        <f>'Marketing and Sales'!AJ6</f>
        <v>122.29153273348089</v>
      </c>
      <c r="AK11" s="23">
        <f>'Marketing and Sales'!AK6</f>
        <v>137.84686719952117</v>
      </c>
      <c r="AL11" s="23">
        <f>'Marketing and Sales'!AL6</f>
        <v>154.7896060921631</v>
      </c>
      <c r="AM11" s="23">
        <f>'Marketing and Sales'!AM6</f>
        <v>173.19356159393118</v>
      </c>
      <c r="AN11" s="23">
        <f>'Marketing and Sales'!AN6</f>
        <v>198.68366787016512</v>
      </c>
      <c r="AO11" s="559">
        <f>'Marketing and Sales'!AO6</f>
        <v>226.09235357491701</v>
      </c>
      <c r="AP11" s="23">
        <f>'Marketing and Sales'!AP6</f>
        <v>251.74135435968358</v>
      </c>
      <c r="AQ11" s="23">
        <f>'Marketing and Sales'!AQ6</f>
        <v>280.18821027554441</v>
      </c>
      <c r="AR11" s="23">
        <f>'Marketing and Sales'!AR6</f>
        <v>309.9418698983182</v>
      </c>
      <c r="AS11" s="23">
        <f>'Marketing and Sales'!AS6</f>
        <v>341.39038555449054</v>
      </c>
      <c r="AT11" s="23">
        <f>'Marketing and Sales'!AT6</f>
        <v>374.09152754143918</v>
      </c>
      <c r="AU11" s="23">
        <f>'Marketing and Sales'!AU6</f>
        <v>408.02260677852115</v>
      </c>
      <c r="AV11" s="23">
        <f>'Marketing and Sales'!AV6</f>
        <v>443.16136728098371</v>
      </c>
      <c r="AW11" s="23">
        <f>'Marketing and Sales'!AW6</f>
        <v>479.95264441520345</v>
      </c>
      <c r="AX11" s="23">
        <f>'Marketing and Sales'!AX6</f>
        <v>517.90018998532412</v>
      </c>
      <c r="AY11" s="23">
        <f>'Marketing and Sales'!AY6</f>
        <v>556.98314039789454</v>
      </c>
      <c r="AZ11" s="23">
        <f>'Marketing and Sales'!AZ6</f>
        <v>597.18102998362087</v>
      </c>
      <c r="BA11" s="559">
        <f>'Marketing and Sales'!BA6</f>
        <v>638.47378326898047</v>
      </c>
      <c r="BB11" s="23">
        <f>'Marketing and Sales'!BB6</f>
        <v>737.66670739907306</v>
      </c>
      <c r="BC11" s="23">
        <f>'Marketing and Sales'!BC6</f>
        <v>792.98955333618596</v>
      </c>
      <c r="BD11" s="23">
        <f>'Marketing and Sales'!BD6</f>
        <v>849.74592524292564</v>
      </c>
      <c r="BE11" s="23">
        <f>'Marketing and Sales'!BE6</f>
        <v>908.30860481176228</v>
      </c>
      <c r="BF11" s="23">
        <f>'Marketing and Sales'!BF6</f>
        <v>968.22105941269899</v>
      </c>
      <c r="BG11" s="23">
        <f>'Marketing and Sales'!BG6</f>
        <v>1029.4472108817718</v>
      </c>
      <c r="BH11" s="23">
        <f>'Marketing and Sales'!BH6</f>
        <v>1091.9522766869779</v>
      </c>
      <c r="BI11" s="23">
        <f>'Marketing and Sales'!BI6</f>
        <v>1156.1693796429977</v>
      </c>
      <c r="BJ11" s="23">
        <f>'Marketing and Sales'!BJ6</f>
        <v>1221.5913270785809</v>
      </c>
      <c r="BK11" s="23">
        <f>'Marketing and Sales'!BK6</f>
        <v>1288.1870355634246</v>
      </c>
      <c r="BL11" s="23">
        <f>'Marketing and Sales'!BL6</f>
        <v>1355.9265031415212</v>
      </c>
      <c r="BM11" s="559">
        <f>'Marketing and Sales'!BM6</f>
        <v>1424.7807627386017</v>
      </c>
      <c r="BN11" s="23">
        <f>'Marketing and Sales'!BN6</f>
        <v>1494.7218378265566</v>
      </c>
      <c r="BO11" s="23">
        <f>'Marketing and Sales'!BO6</f>
        <v>1564.844268857094</v>
      </c>
      <c r="BP11" s="23">
        <f>'Marketing and Sales'!BP6</f>
        <v>1636.0157397672149</v>
      </c>
      <c r="BQ11" s="23">
        <f>'Marketing and Sales'!BQ6</f>
        <v>1708.6224962177039</v>
      </c>
      <c r="BR11" s="23">
        <f>'Marketing and Sales'!BR6</f>
        <v>1782.2208868410466</v>
      </c>
      <c r="BS11" s="23">
        <f>'Marketing and Sales'!BS6</f>
        <v>1856.7871604812126</v>
      </c>
      <c r="BT11" s="23">
        <f>'Marketing and Sales'!BT6</f>
        <v>1932.2983342014254</v>
      </c>
      <c r="BU11" s="23">
        <f>'Marketing and Sales'!BU6</f>
        <v>2009.198828462851</v>
      </c>
      <c r="BV11" s="23">
        <f>'Marketing and Sales'!BV6</f>
        <v>2086.9922704576543</v>
      </c>
      <c r="BW11" s="23">
        <f>'Marketing and Sales'!BW6</f>
        <v>2165.6579417713046</v>
      </c>
      <c r="BX11" s="23">
        <f>'Marketing and Sales'!BX6</f>
        <v>2245.175772385172</v>
      </c>
      <c r="BY11" s="559">
        <f>'Marketing and Sales'!BY6</f>
        <v>2325.5263147477262</v>
      </c>
      <c r="BZ11" s="23">
        <f>'Marketing and Sales'!BZ6</f>
        <v>2406.6907190547317</v>
      </c>
      <c r="CA11" s="23">
        <f>'Marketing and Sales'!CA6</f>
        <v>2487.7722783051645</v>
      </c>
      <c r="CB11" s="23">
        <f>'Marketing and Sales'!CB6</f>
        <v>2569.6470724870678</v>
      </c>
      <c r="CC11" s="23">
        <f>'Marketing and Sales'!CC6</f>
        <v>2652.70940360345</v>
      </c>
      <c r="CD11" s="23">
        <f>'Marketing and Sales'!CD6</f>
        <v>2736.5233528609883</v>
      </c>
      <c r="CE11" s="23">
        <f>'Marketing and Sales'!CE6</f>
        <v>2821.0725930478848</v>
      </c>
      <c r="CF11" s="23">
        <f>'Marketing and Sales'!CF6</f>
        <v>2906.3412709186296</v>
      </c>
      <c r="CG11" s="23">
        <f>'Marketing and Sales'!CG6</f>
        <v>2992.7806560280014</v>
      </c>
      <c r="CH11" s="23">
        <f>'Marketing and Sales'!CH6</f>
        <v>3079.9009570351632</v>
      </c>
      <c r="CI11" s="23">
        <f>'Marketing and Sales'!CI6</f>
        <v>3167.6877816880988</v>
      </c>
      <c r="CJ11" s="23">
        <f>'Marketing and Sales'!CJ6</f>
        <v>3256.127142533006</v>
      </c>
      <c r="CK11" s="559">
        <f>'Marketing and Sales'!CK6</f>
        <v>3345.2054421087637</v>
      </c>
    </row>
    <row r="12" spans="1:89" s="2" customFormat="1" x14ac:dyDescent="0.2">
      <c r="A12" s="721"/>
      <c r="B12" t="s">
        <v>72</v>
      </c>
      <c r="D12" s="138"/>
      <c r="E12" s="138"/>
      <c r="F12" s="111">
        <v>3500</v>
      </c>
      <c r="G12" s="111">
        <v>3500</v>
      </c>
      <c r="H12" s="111">
        <v>3500</v>
      </c>
      <c r="I12" s="111">
        <v>3500</v>
      </c>
      <c r="J12" s="111">
        <v>3500</v>
      </c>
      <c r="K12" s="111">
        <v>3500</v>
      </c>
      <c r="L12" s="111">
        <v>3550</v>
      </c>
      <c r="M12" s="111">
        <v>3800</v>
      </c>
      <c r="N12" s="111">
        <v>4000</v>
      </c>
      <c r="O12" s="111">
        <v>4100</v>
      </c>
      <c r="P12" s="639"/>
      <c r="Q12" s="640"/>
      <c r="R12" s="641"/>
      <c r="S12" s="641"/>
      <c r="T12" s="641"/>
      <c r="U12" s="111">
        <f>'Marketing and Sales'!U7</f>
        <v>4343.4440264279401</v>
      </c>
      <c r="V12" s="111">
        <f>'Marketing and Sales'!V7</f>
        <v>4370.6320282824117</v>
      </c>
      <c r="W12" s="111">
        <f>'Marketing and Sales'!W7</f>
        <v>4398.0361602561015</v>
      </c>
      <c r="X12" s="111">
        <f>'Marketing and Sales'!X7</f>
        <v>4446.0350357236366</v>
      </c>
      <c r="Y12" s="111">
        <f>'Marketing and Sales'!Y7</f>
        <v>4513.52388544514</v>
      </c>
      <c r="Z12" s="111">
        <f>'Marketing and Sales'!Z7</f>
        <v>4580.1617722024803</v>
      </c>
      <c r="AA12" s="111">
        <f>'Marketing and Sales'!AA7</f>
        <v>4645.6078121141209</v>
      </c>
      <c r="AB12" s="111">
        <f>'Marketing and Sales'!AB7</f>
        <v>4731.0675605613142</v>
      </c>
      <c r="AC12" s="608">
        <f>'Marketing and Sales'!AC7</f>
        <v>4815.3507494081623</v>
      </c>
      <c r="AD12" s="111">
        <f>'Marketing and Sales'!AD7</f>
        <v>4899.4443070001707</v>
      </c>
      <c r="AE12" s="111">
        <f>'Marketing and Sales'!AE7</f>
        <v>5022.0301786577975</v>
      </c>
      <c r="AF12" s="111">
        <f>'Marketing and Sales'!AF7</f>
        <v>5208.9247542149378</v>
      </c>
      <c r="AG12" s="111">
        <f>'Marketing and Sales'!AG7</f>
        <v>5824.7361554591862</v>
      </c>
      <c r="AH12" s="111">
        <f>'Marketing and Sales'!AH7</f>
        <v>6603.0413395926125</v>
      </c>
      <c r="AI12" s="111">
        <f>'Marketing and Sales'!AI7</f>
        <v>7486.5037748462546</v>
      </c>
      <c r="AJ12" s="111">
        <f>'Marketing and Sales'!AJ7</f>
        <v>8448.2566865572189</v>
      </c>
      <c r="AK12" s="111">
        <f>'Marketing and Sales'!AK7</f>
        <v>9506.8542638021408</v>
      </c>
      <c r="AL12" s="111">
        <f>'Marketing and Sales'!AL7</f>
        <v>10980.909102154425</v>
      </c>
      <c r="AM12" s="111">
        <f>'Marketing and Sales'!AM7</f>
        <v>12548.959985004934</v>
      </c>
      <c r="AN12" s="111">
        <f>'Marketing and Sales'!AN7</f>
        <v>14230.06455242889</v>
      </c>
      <c r="AO12" s="608">
        <f>'Marketing and Sales'!AO7</f>
        <v>15819.689845912793</v>
      </c>
      <c r="AP12" s="111">
        <f>'Marketing and Sales'!AP7</f>
        <v>17578.419079788404</v>
      </c>
      <c r="AQ12" s="111">
        <f>'Marketing and Sales'!AQ7</f>
        <v>19421.101457748151</v>
      </c>
      <c r="AR12" s="111">
        <f>'Marketing and Sales'!AR7</f>
        <v>21369.959587849837</v>
      </c>
      <c r="AS12" s="111">
        <f>'Marketing and Sales'!AS7</f>
        <v>23399.769202295345</v>
      </c>
      <c r="AT12" s="111">
        <f>'Marketing and Sales'!AT7</f>
        <v>25509.277674753906</v>
      </c>
      <c r="AU12" s="111">
        <f>'Marketing and Sales'!AU7</f>
        <v>27697.255067975384</v>
      </c>
      <c r="AV12" s="111">
        <f>'Marketing and Sales'!AV7</f>
        <v>29989.160367361066</v>
      </c>
      <c r="AW12" s="111">
        <f>'Marketing and Sales'!AW7</f>
        <v>32356.67438961253</v>
      </c>
      <c r="AX12" s="111">
        <f>'Marketing and Sales'!AX7</f>
        <v>34798.640866293877</v>
      </c>
      <c r="AY12" s="111">
        <f>'Marketing and Sales'!AY7</f>
        <v>37313.924392562643</v>
      </c>
      <c r="AZ12" s="111">
        <f>'Marketing and Sales'!AZ7</f>
        <v>39901.410029245693</v>
      </c>
      <c r="BA12" s="608">
        <f>'Marketing and Sales'!BA7</f>
        <v>42560.002912643387</v>
      </c>
      <c r="BB12" s="111">
        <f>'Marketing and Sales'!BB7</f>
        <v>45238.431793479605</v>
      </c>
      <c r="BC12" s="111">
        <f>'Marketing and Sales'!BC7</f>
        <v>47986.715328378705</v>
      </c>
      <c r="BD12" s="111">
        <f>'Marketing and Sales'!BD7</f>
        <v>50827.330653135788</v>
      </c>
      <c r="BE12" s="111">
        <f>'Marketing and Sales'!BE7</f>
        <v>53735.303173324013</v>
      </c>
      <c r="BF12" s="111">
        <f>'Marketing and Sales'!BF7</f>
        <v>56709.625176411319</v>
      </c>
      <c r="BG12" s="111">
        <f>'Marketing and Sales'!BG7</f>
        <v>59749.306971779544</v>
      </c>
      <c r="BH12" s="111">
        <f>'Marketing and Sales'!BH7</f>
        <v>62880.043214884252</v>
      </c>
      <c r="BI12" s="111">
        <f>'Marketing and Sales'!BI7</f>
        <v>66073.745904720403</v>
      </c>
      <c r="BJ12" s="111">
        <f>'Marketing and Sales'!BJ7</f>
        <v>69329.485554464743</v>
      </c>
      <c r="BK12" s="111">
        <f>'Marketing and Sales'!BK7</f>
        <v>72646.349225583603</v>
      </c>
      <c r="BL12" s="111">
        <f>'Marketing and Sales'!BL7</f>
        <v>76023.440213616559</v>
      </c>
      <c r="BM12" s="608">
        <f>'Marketing and Sales'!BM7</f>
        <v>79459.877740051656</v>
      </c>
      <c r="BN12" s="111">
        <f>'Marketing and Sales'!BN7</f>
        <v>82904.600571742034</v>
      </c>
      <c r="BO12" s="111">
        <f>'Marketing and Sales'!BO7</f>
        <v>86407.833391276523</v>
      </c>
      <c r="BP12" s="111">
        <f>'Marketing and Sales'!BP7</f>
        <v>89992.255447601521</v>
      </c>
      <c r="BQ12" s="111">
        <f>'Marketing and Sales'!BQ7</f>
        <v>93633.090422468202</v>
      </c>
      <c r="BR12" s="111">
        <f>'Marketing and Sales'!BR7</f>
        <v>97329.525116906938</v>
      </c>
      <c r="BS12" s="111">
        <f>'Marketing and Sales'!BS7</f>
        <v>101080.76066415128</v>
      </c>
      <c r="BT12" s="111">
        <f>'Marketing and Sales'!BT7</f>
        <v>104912.67892527812</v>
      </c>
      <c r="BU12" s="111">
        <f>'Marketing and Sales'!BU7</f>
        <v>108797.37555675722</v>
      </c>
      <c r="BV12" s="111">
        <f>'Marketing and Sales'!BV7</f>
        <v>112734.10124980845</v>
      </c>
      <c r="BW12" s="111">
        <f>'Marketing and Sales'!BW7</f>
        <v>116722.11983188227</v>
      </c>
      <c r="BX12" s="111">
        <f>'Marketing and Sales'!BX7</f>
        <v>120760.7080185001</v>
      </c>
      <c r="BY12" s="608">
        <f>'Marketing and Sales'!BY7</f>
        <v>124849.15516989646</v>
      </c>
      <c r="BZ12" s="111">
        <f>'Marketing and Sales'!BZ7</f>
        <v>128936.5669739376</v>
      </c>
      <c r="CA12" s="111">
        <f>'Marketing and Sales'!CA7</f>
        <v>133073.33187875446</v>
      </c>
      <c r="CB12" s="111">
        <f>'Marketing and Sales'!CB7</f>
        <v>137282.28980441109</v>
      </c>
      <c r="CC12" s="111">
        <f>'Marketing and Sales'!CC7</f>
        <v>141538.822069207</v>
      </c>
      <c r="CD12" s="111">
        <f>'Marketing and Sales'!CD7</f>
        <v>145842.27013483821</v>
      </c>
      <c r="CE12" s="111">
        <f>'Marketing and Sales'!CE7</f>
        <v>150191.98687686253</v>
      </c>
      <c r="CF12" s="111">
        <f>'Marketing and Sales'!CF7</f>
        <v>154614.00303675816</v>
      </c>
      <c r="CG12" s="111">
        <f>'Marketing and Sales'!CG7</f>
        <v>159080.56034479084</v>
      </c>
      <c r="CH12" s="111">
        <f>'Marketing and Sales'!CH7</f>
        <v>163591.05281360899</v>
      </c>
      <c r="CI12" s="111">
        <f>'Marketing and Sales'!CI7</f>
        <v>168144.88489290443</v>
      </c>
      <c r="CJ12" s="111">
        <f>'Marketing and Sales'!CJ7</f>
        <v>172741.47127339567</v>
      </c>
      <c r="CK12" s="608">
        <f>'Marketing and Sales'!CK7</f>
        <v>177380.23669459531</v>
      </c>
    </row>
    <row r="13" spans="1:89" x14ac:dyDescent="0.2">
      <c r="A13" s="721"/>
      <c r="B13" s="2" t="s">
        <v>325</v>
      </c>
      <c r="F13" s="12">
        <v>271351.31</v>
      </c>
      <c r="G13" s="12">
        <v>346671.19</v>
      </c>
      <c r="H13" s="12">
        <v>299360.68</v>
      </c>
      <c r="I13" s="12">
        <v>286619.21000000002</v>
      </c>
      <c r="J13" s="12">
        <v>335521.53999999998</v>
      </c>
      <c r="K13" s="12">
        <v>308437.92</v>
      </c>
      <c r="L13" s="12">
        <v>327251.67</v>
      </c>
      <c r="M13" s="12">
        <v>423725.2</v>
      </c>
      <c r="N13" s="12">
        <v>381647.99</v>
      </c>
      <c r="O13" s="12">
        <v>392558</v>
      </c>
      <c r="P13" s="642">
        <f>'Marketing and Sales'!P8</f>
        <v>375747.67</v>
      </c>
      <c r="Q13" s="643">
        <f>'Marketing and Sales'!Q8</f>
        <v>359175</v>
      </c>
      <c r="R13" s="642">
        <v>395802</v>
      </c>
      <c r="S13" s="642">
        <v>393267.57</v>
      </c>
      <c r="T13" s="642">
        <v>385053.93</v>
      </c>
      <c r="U13" s="293">
        <v>436144.26</v>
      </c>
      <c r="V13" s="293">
        <v>429750.16</v>
      </c>
      <c r="W13" s="293">
        <v>407798.21</v>
      </c>
      <c r="X13" s="293">
        <v>462265.2</v>
      </c>
      <c r="Y13" s="293">
        <f>Y16/17.5*100</f>
        <v>399268.34285714291</v>
      </c>
      <c r="Z13" s="293">
        <f>Z16/17.5*100</f>
        <v>397411.42857142858</v>
      </c>
      <c r="AA13" s="293">
        <v>501000</v>
      </c>
      <c r="AB13" s="293">
        <f>'Marketing and Sales'!AB8</f>
        <v>450193.95</v>
      </c>
      <c r="AC13" s="775">
        <f>'Marketing and Sales'!AC8</f>
        <v>460150.73</v>
      </c>
      <c r="AD13" s="293">
        <f>'Marketing and Sales'!AD8</f>
        <v>426918.17</v>
      </c>
      <c r="AE13" s="14">
        <f>'Marketing and Sales'!AE8</f>
        <v>434143.8451313313</v>
      </c>
      <c r="AF13" s="14">
        <f>'Marketing and Sales'!AF8</f>
        <v>448390.13150030689</v>
      </c>
      <c r="AG13" s="14">
        <f>'Marketing and Sales'!AG8</f>
        <v>504042.40265668137</v>
      </c>
      <c r="AH13" s="14">
        <f>'Marketing and Sales'!AH8</f>
        <v>568991.42744120746</v>
      </c>
      <c r="AI13" s="14">
        <f>'Marketing and Sales'!AI8</f>
        <v>641535.19037095027</v>
      </c>
      <c r="AJ13" s="14">
        <f>'Marketing and Sales'!AJ8</f>
        <v>719126.7886686204</v>
      </c>
      <c r="AK13" s="14">
        <f>'Marketing and Sales'!AK8</f>
        <v>803880.81714163173</v>
      </c>
      <c r="AL13" s="14">
        <f>'Marketing and Sales'!AL8</f>
        <v>919714.97040266229</v>
      </c>
      <c r="AM13" s="14">
        <f>'Marketing and Sales'!AM8</f>
        <v>1042519.4318755844</v>
      </c>
      <c r="AN13" s="14">
        <f>'Marketing and Sales'!AN8</f>
        <v>1174376.4440385473</v>
      </c>
      <c r="AO13" s="577">
        <f>'Marketing and Sales'!AO8</f>
        <v>1294868.5890591156</v>
      </c>
      <c r="AP13" s="14">
        <f>'Marketing and Sales'!AP8</f>
        <v>1437586.9891877263</v>
      </c>
      <c r="AQ13" s="14">
        <f>'Marketing and Sales'!AQ8</f>
        <v>1586698.7486653565</v>
      </c>
      <c r="AR13" s="14">
        <f>'Marketing and Sales'!AR8</f>
        <v>1747082.7493016773</v>
      </c>
      <c r="AS13" s="14">
        <f>'Marketing and Sales'!AS8</f>
        <v>1825455.234888555</v>
      </c>
      <c r="AT13" s="14">
        <f>'Marketing and Sales'!AT8</f>
        <v>1976168.7222244802</v>
      </c>
      <c r="AU13" s="14">
        <f>'Marketing and Sales'!AU8</f>
        <v>2131703.2527815755</v>
      </c>
      <c r="AV13" s="14">
        <f>'Marketing and Sales'!AV8</f>
        <v>2294654.556202522</v>
      </c>
      <c r="AW13" s="14">
        <f>'Marketing and Sales'!AW8</f>
        <v>2462239.6169467764</v>
      </c>
      <c r="AX13" s="14">
        <f>'Marketing and Sales'!AX8</f>
        <v>2634390.8004765739</v>
      </c>
      <c r="AY13" s="14">
        <f>'Marketing and Sales'!AY8</f>
        <v>2811041.6656150571</v>
      </c>
      <c r="AZ13" s="14">
        <f>'Marketing and Sales'!AZ8</f>
        <v>2992126.9419008335</v>
      </c>
      <c r="BA13" s="577">
        <f>'Marketing and Sales'!BA8</f>
        <v>3177582.507383869</v>
      </c>
      <c r="BB13" s="14">
        <f>'Marketing and Sales'!BB8</f>
        <v>3209963.4097375209</v>
      </c>
      <c r="BC13" s="14">
        <f>'Marketing and Sales'!BC8</f>
        <v>3695823.9454446179</v>
      </c>
      <c r="BD13" s="14">
        <f>'Marketing and Sales'!BD8</f>
        <v>3912317.1964999274</v>
      </c>
      <c r="BE13" s="14">
        <f>'Marketing and Sales'!BE8</f>
        <v>4133464.9333819151</v>
      </c>
      <c r="BF13" s="14">
        <f>'Marketing and Sales'!BF8</f>
        <v>4359182.0404619789</v>
      </c>
      <c r="BG13" s="14">
        <f>'Marketing and Sales'!BG8</f>
        <v>4589385.7937680474</v>
      </c>
      <c r="BH13" s="14">
        <f>'Marketing and Sales'!BH8</f>
        <v>4826662.4365841849</v>
      </c>
      <c r="BI13" s="14">
        <f>'Marketing and Sales'!BI8</f>
        <v>5068220.4258707752</v>
      </c>
      <c r="BJ13" s="14">
        <f>'Marketing and Sales'!BJ8</f>
        <v>5313984.4992985725</v>
      </c>
      <c r="BK13" s="14">
        <f>'Marketing and Sales'!BK8</f>
        <v>5563881.4317423105</v>
      </c>
      <c r="BL13" s="14">
        <f>'Marketing and Sales'!BL8</f>
        <v>5817839.9598813746</v>
      </c>
      <c r="BM13" s="577">
        <f>'Marketing and Sales'!BM8</f>
        <v>6075790.7101850826</v>
      </c>
      <c r="BN13" s="14">
        <f>'Marketing and Sales'!BN8</f>
        <v>6332646.5222722627</v>
      </c>
      <c r="BO13" s="14">
        <f>'Marketing and Sales'!BO8</f>
        <v>6593449.049839492</v>
      </c>
      <c r="BP13" s="14">
        <f>'Marketing and Sales'!BP8</f>
        <v>6860485.5919487486</v>
      </c>
      <c r="BQ13" s="14">
        <f>'Marketing and Sales'!BQ8</f>
        <v>7131298.0481003998</v>
      </c>
      <c r="BR13" s="14">
        <f>'Marketing and Sales'!BR8</f>
        <v>7405824.7573873447</v>
      </c>
      <c r="BS13" s="14">
        <f>'Marketing and Sales'!BS8</f>
        <v>7684005.5922548808</v>
      </c>
      <c r="BT13" s="14">
        <f>'Marketing and Sales'!BT8</f>
        <v>7968448.5723816575</v>
      </c>
      <c r="BU13" s="14">
        <f>'Marketing and Sales'!BU8</f>
        <v>8256383.1474957988</v>
      </c>
      <c r="BV13" s="14">
        <f>'Marketing and Sales'!BV8</f>
        <v>8547754.2990164068</v>
      </c>
      <c r="BW13" s="14">
        <f>'Marketing and Sales'!BW8</f>
        <v>8842508.3294579126</v>
      </c>
      <c r="BX13" s="14">
        <f>'Marketing and Sales'!BX8</f>
        <v>9140592.8183318265</v>
      </c>
      <c r="BY13" s="577">
        <f>'Marketing and Sales'!BY8</f>
        <v>9441956.5799058899</v>
      </c>
      <c r="BZ13" s="14">
        <f>'Marketing and Sales'!BZ8</f>
        <v>9741530.0148884989</v>
      </c>
      <c r="CA13" s="14">
        <f>'Marketing and Sales'!CA8</f>
        <v>10044371.738306817</v>
      </c>
      <c r="CB13" s="14">
        <f>'Marketing and Sales'!CB8</f>
        <v>10352785.436439617</v>
      </c>
      <c r="CC13" s="14">
        <f>'Marketing and Sales'!CC8</f>
        <v>10664328.846297279</v>
      </c>
      <c r="CD13" s="14">
        <f>'Marketing and Sales'!CD8</f>
        <v>10978955.618007896</v>
      </c>
      <c r="CE13" s="14">
        <f>'Marketing and Sales'!CE8</f>
        <v>11296620.430693867</v>
      </c>
      <c r="CF13" s="14">
        <f>'Marketing and Sales'!CF8</f>
        <v>11619945.627411</v>
      </c>
      <c r="CG13" s="14">
        <f>'Marketing and Sales'!CG8</f>
        <v>11946174.518018045</v>
      </c>
      <c r="CH13" s="14">
        <f>'Marketing and Sales'!CH8</f>
        <v>12275265.499917679</v>
      </c>
      <c r="CI13" s="14">
        <f>'Marketing and Sales'!CI8</f>
        <v>12607177.865654878</v>
      </c>
      <c r="CJ13" s="14">
        <f>'Marketing and Sales'!CJ8</f>
        <v>12941871.776152877</v>
      </c>
      <c r="CK13" s="577">
        <f>'Marketing and Sales'!CK8</f>
        <v>13279308.234990254</v>
      </c>
    </row>
    <row r="14" spans="1:89" ht="18" customHeight="1" x14ac:dyDescent="0.2">
      <c r="A14" s="721"/>
      <c r="B14" t="s">
        <v>111</v>
      </c>
      <c r="F14" s="165" t="s">
        <v>118</v>
      </c>
      <c r="G14" s="165" t="s">
        <v>118</v>
      </c>
      <c r="H14" s="165" t="s">
        <v>118</v>
      </c>
      <c r="I14" s="165" t="s">
        <v>118</v>
      </c>
      <c r="J14" s="165" t="s">
        <v>118</v>
      </c>
      <c r="K14" s="165" t="s">
        <v>118</v>
      </c>
      <c r="L14" s="12">
        <v>325000</v>
      </c>
      <c r="M14" s="12">
        <v>340000</v>
      </c>
      <c r="N14" s="12">
        <v>345000</v>
      </c>
      <c r="O14" s="12">
        <v>360000</v>
      </c>
      <c r="P14" s="644"/>
      <c r="Q14" s="645"/>
      <c r="R14" s="646"/>
      <c r="S14" s="646"/>
      <c r="T14" s="646"/>
      <c r="U14" s="12"/>
      <c r="V14" s="12"/>
      <c r="W14" s="12"/>
      <c r="X14" s="12"/>
      <c r="Y14" s="12"/>
      <c r="Z14" s="12"/>
      <c r="AA14" s="12"/>
      <c r="AB14" s="12"/>
      <c r="AC14" s="578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578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578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578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578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578"/>
    </row>
    <row r="15" spans="1:89" ht="18" customHeight="1" x14ac:dyDescent="0.2">
      <c r="A15" s="72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644"/>
      <c r="Q15" s="645"/>
      <c r="R15" s="646"/>
      <c r="S15" s="646"/>
      <c r="T15" s="646"/>
      <c r="U15" s="12"/>
      <c r="V15" s="12"/>
      <c r="W15" s="12"/>
      <c r="X15" s="12"/>
      <c r="Y15" s="12"/>
      <c r="Z15" s="12"/>
      <c r="AA15" s="12"/>
      <c r="AB15" s="12"/>
      <c r="AC15" s="578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578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578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578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578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578"/>
    </row>
    <row r="16" spans="1:89" x14ac:dyDescent="0.2">
      <c r="A16" s="721"/>
      <c r="B16" s="2" t="s">
        <v>174</v>
      </c>
      <c r="C16" s="252">
        <v>0.17499999999999999</v>
      </c>
      <c r="F16" s="12">
        <f>F13*$C$16</f>
        <v>47486.479249999997</v>
      </c>
      <c r="G16" s="24">
        <f t="shared" ref="G16:O16" si="0">G13*$C$16</f>
        <v>60667.458249999996</v>
      </c>
      <c r="H16" s="24">
        <f t="shared" si="0"/>
        <v>52388.118999999999</v>
      </c>
      <c r="I16" s="24">
        <f t="shared" si="0"/>
        <v>50158.361750000004</v>
      </c>
      <c r="J16" s="24">
        <f t="shared" si="0"/>
        <v>58716.269499999995</v>
      </c>
      <c r="K16" s="24">
        <f t="shared" si="0"/>
        <v>53976.635999999991</v>
      </c>
      <c r="L16" s="24">
        <f t="shared" si="0"/>
        <v>57269.042249999991</v>
      </c>
      <c r="M16" s="24">
        <f t="shared" si="0"/>
        <v>74151.91</v>
      </c>
      <c r="N16" s="24">
        <f t="shared" si="0"/>
        <v>66788.398249999998</v>
      </c>
      <c r="O16" s="24">
        <f t="shared" si="0"/>
        <v>68697.649999999994</v>
      </c>
      <c r="P16" s="646">
        <f>'Marketing and Sales'!P10</f>
        <v>67254.145163824724</v>
      </c>
      <c r="Q16" s="645">
        <f>'Marketing and Sales'!Q10</f>
        <v>69258.154139082792</v>
      </c>
      <c r="R16" s="646">
        <f>'Marketing and Sales'!R10</f>
        <v>70328.320000000007</v>
      </c>
      <c r="S16" s="646">
        <v>68821</v>
      </c>
      <c r="T16" s="646">
        <v>67834</v>
      </c>
      <c r="U16" s="293">
        <v>73237</v>
      </c>
      <c r="V16" s="666">
        <v>71263.839999999997</v>
      </c>
      <c r="W16" s="666">
        <v>69604.03</v>
      </c>
      <c r="X16" s="666">
        <v>77682.41</v>
      </c>
      <c r="Y16" s="293">
        <v>69871.960000000006</v>
      </c>
      <c r="Z16" s="293">
        <v>69547</v>
      </c>
      <c r="AA16" s="293">
        <f>'Marketing and Sales'!AA10</f>
        <v>69117.509616607174</v>
      </c>
      <c r="AB16" s="293">
        <f>'Marketing and Sales'!AB10</f>
        <v>69586.356309975585</v>
      </c>
      <c r="AC16" s="775">
        <f>'Marketing and Sales'!AC10</f>
        <v>70049.786692432957</v>
      </c>
      <c r="AD16" s="293">
        <f>'Marketing and Sales'!AD10</f>
        <v>70527.864182821795</v>
      </c>
      <c r="AE16" s="12">
        <f>'Marketing and Sales'!AE10</f>
        <v>71347.257296232972</v>
      </c>
      <c r="AF16" s="12">
        <f>'Marketing and Sales'!AF10</f>
        <v>72915.6884636787</v>
      </c>
      <c r="AG16" s="12">
        <f>'Marketing and Sales'!AG10</f>
        <v>81651.115072061715</v>
      </c>
      <c r="AH16" s="12">
        <f>'Marketing and Sales'!AH10</f>
        <v>91935.220254842556</v>
      </c>
      <c r="AI16" s="12">
        <f>'Marketing and Sales'!AI10</f>
        <v>103470.94182147612</v>
      </c>
      <c r="AJ16" s="12">
        <f>'Marketing and Sales'!AJ10</f>
        <v>115813.35431904208</v>
      </c>
      <c r="AK16" s="12">
        <f>'Marketing and Sales'!AK10</f>
        <v>129123.28646675344</v>
      </c>
      <c r="AL16" s="12">
        <f>'Marketing and Sales'!AL10</f>
        <v>147587.10162441348</v>
      </c>
      <c r="AM16" s="12">
        <f>'Marketing and Sales'!AM10</f>
        <v>166990.54094750516</v>
      </c>
      <c r="AN16" s="12">
        <f>'Marketing and Sales'!AN10</f>
        <v>187702.94825798424</v>
      </c>
      <c r="AO16" s="578">
        <f>'Marketing and Sales'!AO10</f>
        <v>206156.1352328909</v>
      </c>
      <c r="AP16" s="12">
        <f>'Marketing and Sales'!AP10</f>
        <v>226920.81654988535</v>
      </c>
      <c r="AQ16" s="12">
        <f>'Marketing and Sales'!AQ10</f>
        <v>248517.16397699525</v>
      </c>
      <c r="AR16" s="12">
        <f>'Marketing and Sales'!AR10</f>
        <v>271344.19735393097</v>
      </c>
      <c r="AS16" s="12">
        <f>'Marketing and Sales'!AS10</f>
        <v>294970.43333882897</v>
      </c>
      <c r="AT16" s="12">
        <f>'Marketing and Sales'!AT10</f>
        <v>319383.71291115449</v>
      </c>
      <c r="AU16" s="12">
        <f>'Marketing and Sales'!AU10</f>
        <v>344572.09808631288</v>
      </c>
      <c r="AV16" s="12">
        <f>'Marketing and Sales'!AV10</f>
        <v>370990.53431975975</v>
      </c>
      <c r="AW16" s="12">
        <f>'Marketing and Sales'!AW10</f>
        <v>398152.67966150894</v>
      </c>
      <c r="AX16" s="12">
        <f>'Marketing and Sales'!AX10</f>
        <v>426047.37690938043</v>
      </c>
      <c r="AY16" s="12">
        <f>'Marketing and Sales'!AY10</f>
        <v>454663.67084165663</v>
      </c>
      <c r="AZ16" s="12">
        <f>'Marketing and Sales'!AZ10</f>
        <v>483990.80432340765</v>
      </c>
      <c r="BA16" s="578">
        <f>'Marketing and Sales'!BA10</f>
        <v>514018.2144893487</v>
      </c>
      <c r="BB16" s="12">
        <f>'Marketing and Sales'!BB10</f>
        <v>619610.73338133004</v>
      </c>
      <c r="BC16" s="12">
        <f>'Marketing and Sales'!BC10</f>
        <v>718812.75968560041</v>
      </c>
      <c r="BD16" s="12">
        <f>'Marketing and Sales'!BD10</f>
        <v>771236.22537850693</v>
      </c>
      <c r="BE16" s="12">
        <f>'Marketing and Sales'!BE10</f>
        <v>824813.227953027</v>
      </c>
      <c r="BF16" s="12">
        <f>'Marketing and Sales'!BF10</f>
        <v>879508.33293837786</v>
      </c>
      <c r="BG16" s="12">
        <f>'Marketing and Sales'!BG10</f>
        <v>935287.63531145302</v>
      </c>
      <c r="BH16" s="12">
        <f>'Marketing and Sales'!BH10</f>
        <v>992585.35131601442</v>
      </c>
      <c r="BI16" s="12">
        <f>'Marketing and Sales'!BI10</f>
        <v>1050895.5807879283</v>
      </c>
      <c r="BJ16" s="12">
        <f>'Marketing and Sales'!BJ10</f>
        <v>1110188.7160359207</v>
      </c>
      <c r="BK16" s="12">
        <f>'Marketing and Sales'!BK10</f>
        <v>1170436.3991701961</v>
      </c>
      <c r="BL16" s="12">
        <f>'Marketing and Sales'!BL10</f>
        <v>1231611.4614948086</v>
      </c>
      <c r="BM16" s="578">
        <f>'Marketing and Sales'!BM10</f>
        <v>1293687.8659977065</v>
      </c>
      <c r="BN16" s="12">
        <f>'Marketing and Sales'!BN10</f>
        <v>1355762.2214043662</v>
      </c>
      <c r="BO16" s="12">
        <f>'Marketing and Sales'!BO10</f>
        <v>1418704.3970537418</v>
      </c>
      <c r="BP16" s="12">
        <f>'Marketing and Sales'!BP10</f>
        <v>1482902.9302162302</v>
      </c>
      <c r="BQ16" s="12">
        <f>'Marketing and Sales'!BQ10</f>
        <v>1547916.5570907735</v>
      </c>
      <c r="BR16" s="12">
        <f>'Marketing and Sales'!BR10</f>
        <v>1613724.0004263876</v>
      </c>
      <c r="BS16" s="12">
        <f>'Marketing and Sales'!BS10</f>
        <v>1680304.8285090588</v>
      </c>
      <c r="BT16" s="12">
        <f>'Marketing and Sales'!BT10</f>
        <v>1748106.081883661</v>
      </c>
      <c r="BU16" s="12">
        <f>'Marketing and Sales'!BU10</f>
        <v>1816634.0687628642</v>
      </c>
      <c r="BV16" s="12">
        <f>'Marketing and Sales'!BV10</f>
        <v>1885870.8052681121</v>
      </c>
      <c r="BW16" s="12">
        <f>'Marketing and Sales'!BW10</f>
        <v>1955799.0024855314</v>
      </c>
      <c r="BX16" s="12">
        <f>'Marketing and Sales'!BX10</f>
        <v>2026402.0340384147</v>
      </c>
      <c r="BY16" s="578">
        <f>'Marketing and Sales'!BY10</f>
        <v>2097663.90529144</v>
      </c>
      <c r="BZ16" s="12">
        <f>'Marketing and Sales'!BZ10</f>
        <v>2168690.7927294928</v>
      </c>
      <c r="CA16" s="12">
        <f>'Marketing and Sales'!CA10</f>
        <v>2240361.6828427268</v>
      </c>
      <c r="CB16" s="12">
        <f>'Marketing and Sales'!CB10</f>
        <v>2313073.8022066131</v>
      </c>
      <c r="CC16" s="12">
        <f>'Marketing and Sales'!CC10</f>
        <v>2386394.1700595454</v>
      </c>
      <c r="CD16" s="12">
        <f>'Marketing and Sales'!CD10</f>
        <v>2460309.4063852439</v>
      </c>
      <c r="CE16" s="12">
        <f>'Marketing and Sales'!CE10</f>
        <v>2534806.6102996389</v>
      </c>
      <c r="CF16" s="12">
        <f>'Marketing and Sales'!CF10</f>
        <v>2610340.0051674927</v>
      </c>
      <c r="CG16" s="12">
        <f>'Marketing and Sales'!CG10</f>
        <v>2686422.7514534402</v>
      </c>
      <c r="CH16" s="12">
        <f>'Marketing and Sales'!CH10</f>
        <v>2763043.403502434</v>
      </c>
      <c r="CI16" s="12">
        <f>'Marketing and Sales'!CI10</f>
        <v>2840190.912279753</v>
      </c>
      <c r="CJ16" s="12">
        <f>'Marketing and Sales'!CJ10</f>
        <v>2917854.6078170347</v>
      </c>
      <c r="CK16" s="578">
        <f>'Marketing and Sales'!CK10</f>
        <v>2996024.1825219076</v>
      </c>
    </row>
    <row r="17" spans="1:89" x14ac:dyDescent="0.2">
      <c r="A17" s="721"/>
      <c r="B17" t="s">
        <v>112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644"/>
      <c r="Q17" s="645"/>
      <c r="R17" s="433"/>
      <c r="S17" s="433"/>
      <c r="T17" s="433"/>
      <c r="U17" s="169"/>
      <c r="V17" s="169"/>
      <c r="W17" s="169"/>
      <c r="X17" s="169"/>
      <c r="Y17" s="169"/>
      <c r="Z17" s="169"/>
      <c r="AA17" s="169"/>
      <c r="AB17" s="169"/>
      <c r="AC17" s="626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626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626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626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626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626"/>
    </row>
    <row r="18" spans="1:89" x14ac:dyDescent="0.2">
      <c r="A18" s="721"/>
      <c r="B18" t="s">
        <v>113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644"/>
      <c r="Q18" s="645"/>
      <c r="R18" s="433"/>
      <c r="S18" s="433"/>
      <c r="T18" s="433"/>
      <c r="U18" s="169"/>
      <c r="V18" s="169"/>
      <c r="W18" s="169"/>
      <c r="X18" s="169"/>
      <c r="Y18" s="169"/>
      <c r="Z18" s="169"/>
      <c r="AA18" s="169"/>
      <c r="AB18" s="169"/>
      <c r="AC18" s="626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626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626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69"/>
      <c r="BM18" s="626"/>
      <c r="BN18" s="169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626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626"/>
    </row>
    <row r="19" spans="1:89" x14ac:dyDescent="0.2">
      <c r="A19" s="721"/>
      <c r="B19" t="s">
        <v>114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470"/>
      <c r="Q19" s="578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578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578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578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578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578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578"/>
    </row>
    <row r="20" spans="1:89" x14ac:dyDescent="0.2">
      <c r="A20" s="721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470"/>
      <c r="Q20" s="578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578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578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578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578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578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578"/>
    </row>
    <row r="21" spans="1:89" x14ac:dyDescent="0.2">
      <c r="A21" s="721"/>
      <c r="B21" s="407" t="s">
        <v>220</v>
      </c>
      <c r="C21" s="15">
        <v>0</v>
      </c>
      <c r="D21" s="22" t="s">
        <v>57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470"/>
      <c r="Q21" s="578"/>
      <c r="R21" s="12"/>
      <c r="S21" s="12"/>
      <c r="T21" s="12"/>
      <c r="U21" s="12"/>
      <c r="V21" s="12"/>
      <c r="W21" s="12"/>
      <c r="X21" s="12">
        <f>X12*$C21*$C22</f>
        <v>0</v>
      </c>
      <c r="Y21" s="12">
        <f>Y12*$C21*$C22</f>
        <v>0</v>
      </c>
      <c r="Z21" s="12">
        <f t="shared" ref="Z21:BA21" si="1">Z12*$C21*$C22</f>
        <v>0</v>
      </c>
      <c r="AA21" s="12">
        <f t="shared" si="1"/>
        <v>0</v>
      </c>
      <c r="AB21" s="12">
        <f t="shared" si="1"/>
        <v>0</v>
      </c>
      <c r="AC21" s="578">
        <f t="shared" si="1"/>
        <v>0</v>
      </c>
      <c r="AD21" s="12">
        <f t="shared" si="1"/>
        <v>0</v>
      </c>
      <c r="AE21" s="12">
        <f t="shared" si="1"/>
        <v>0</v>
      </c>
      <c r="AF21" s="12">
        <f t="shared" si="1"/>
        <v>0</v>
      </c>
      <c r="AG21" s="12">
        <f t="shared" si="1"/>
        <v>0</v>
      </c>
      <c r="AH21" s="12">
        <f t="shared" si="1"/>
        <v>0</v>
      </c>
      <c r="AI21" s="12">
        <f t="shared" si="1"/>
        <v>0</v>
      </c>
      <c r="AJ21" s="12">
        <f t="shared" si="1"/>
        <v>0</v>
      </c>
      <c r="AK21" s="12">
        <f t="shared" si="1"/>
        <v>0</v>
      </c>
      <c r="AL21" s="12">
        <f t="shared" si="1"/>
        <v>0</v>
      </c>
      <c r="AM21" s="12">
        <f t="shared" si="1"/>
        <v>0</v>
      </c>
      <c r="AN21" s="12">
        <f t="shared" si="1"/>
        <v>0</v>
      </c>
      <c r="AO21" s="578">
        <f t="shared" si="1"/>
        <v>0</v>
      </c>
      <c r="AP21" s="12">
        <f t="shared" si="1"/>
        <v>0</v>
      </c>
      <c r="AQ21" s="12">
        <f t="shared" si="1"/>
        <v>0</v>
      </c>
      <c r="AR21" s="12">
        <f t="shared" si="1"/>
        <v>0</v>
      </c>
      <c r="AS21" s="12">
        <f t="shared" si="1"/>
        <v>0</v>
      </c>
      <c r="AT21" s="12">
        <f t="shared" si="1"/>
        <v>0</v>
      </c>
      <c r="AU21" s="12">
        <f t="shared" si="1"/>
        <v>0</v>
      </c>
      <c r="AV21" s="12">
        <f t="shared" si="1"/>
        <v>0</v>
      </c>
      <c r="AW21" s="12">
        <f t="shared" si="1"/>
        <v>0</v>
      </c>
      <c r="AX21" s="12">
        <f t="shared" si="1"/>
        <v>0</v>
      </c>
      <c r="AY21" s="12">
        <f t="shared" si="1"/>
        <v>0</v>
      </c>
      <c r="AZ21" s="12">
        <f t="shared" si="1"/>
        <v>0</v>
      </c>
      <c r="BA21" s="578">
        <f t="shared" si="1"/>
        <v>0</v>
      </c>
      <c r="BB21" s="12">
        <f t="shared" ref="BB21:BM21" si="2">BB12*$C21*$C22</f>
        <v>0</v>
      </c>
      <c r="BC21" s="12">
        <f t="shared" si="2"/>
        <v>0</v>
      </c>
      <c r="BD21" s="12">
        <f t="shared" si="2"/>
        <v>0</v>
      </c>
      <c r="BE21" s="12">
        <f t="shared" si="2"/>
        <v>0</v>
      </c>
      <c r="BF21" s="12">
        <f t="shared" si="2"/>
        <v>0</v>
      </c>
      <c r="BG21" s="12">
        <f t="shared" si="2"/>
        <v>0</v>
      </c>
      <c r="BH21" s="12">
        <f t="shared" si="2"/>
        <v>0</v>
      </c>
      <c r="BI21" s="12">
        <f t="shared" si="2"/>
        <v>0</v>
      </c>
      <c r="BJ21" s="12">
        <f t="shared" si="2"/>
        <v>0</v>
      </c>
      <c r="BK21" s="12">
        <f t="shared" si="2"/>
        <v>0</v>
      </c>
      <c r="BL21" s="12">
        <f t="shared" si="2"/>
        <v>0</v>
      </c>
      <c r="BM21" s="578">
        <f t="shared" si="2"/>
        <v>0</v>
      </c>
      <c r="BN21" s="12">
        <f t="shared" ref="BN21:BY21" si="3">BN12*$C21*$C22</f>
        <v>0</v>
      </c>
      <c r="BO21" s="12">
        <f t="shared" si="3"/>
        <v>0</v>
      </c>
      <c r="BP21" s="12">
        <f t="shared" si="3"/>
        <v>0</v>
      </c>
      <c r="BQ21" s="12">
        <f t="shared" si="3"/>
        <v>0</v>
      </c>
      <c r="BR21" s="12">
        <f t="shared" si="3"/>
        <v>0</v>
      </c>
      <c r="BS21" s="12">
        <f t="shared" si="3"/>
        <v>0</v>
      </c>
      <c r="BT21" s="12">
        <f t="shared" si="3"/>
        <v>0</v>
      </c>
      <c r="BU21" s="12">
        <f t="shared" si="3"/>
        <v>0</v>
      </c>
      <c r="BV21" s="12">
        <f t="shared" si="3"/>
        <v>0</v>
      </c>
      <c r="BW21" s="12">
        <f t="shared" si="3"/>
        <v>0</v>
      </c>
      <c r="BX21" s="12">
        <f t="shared" si="3"/>
        <v>0</v>
      </c>
      <c r="BY21" s="578">
        <f t="shared" si="3"/>
        <v>0</v>
      </c>
      <c r="BZ21" s="12">
        <f t="shared" ref="BZ21:CK21" si="4">BZ12*$C21*$C22</f>
        <v>0</v>
      </c>
      <c r="CA21" s="12">
        <f t="shared" si="4"/>
        <v>0</v>
      </c>
      <c r="CB21" s="12">
        <f t="shared" si="4"/>
        <v>0</v>
      </c>
      <c r="CC21" s="12">
        <f t="shared" si="4"/>
        <v>0</v>
      </c>
      <c r="CD21" s="12">
        <f t="shared" si="4"/>
        <v>0</v>
      </c>
      <c r="CE21" s="12">
        <f t="shared" si="4"/>
        <v>0</v>
      </c>
      <c r="CF21" s="12">
        <f t="shared" si="4"/>
        <v>0</v>
      </c>
      <c r="CG21" s="12">
        <f t="shared" si="4"/>
        <v>0</v>
      </c>
      <c r="CH21" s="12">
        <f t="shared" si="4"/>
        <v>0</v>
      </c>
      <c r="CI21" s="12">
        <f t="shared" si="4"/>
        <v>0</v>
      </c>
      <c r="CJ21" s="12">
        <f t="shared" si="4"/>
        <v>0</v>
      </c>
      <c r="CK21" s="578">
        <f t="shared" si="4"/>
        <v>0</v>
      </c>
    </row>
    <row r="22" spans="1:89" x14ac:dyDescent="0.2">
      <c r="A22" s="721"/>
      <c r="C22" s="147">
        <v>0</v>
      </c>
      <c r="D22" s="22" t="s">
        <v>92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470"/>
      <c r="Q22" s="578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578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578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578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578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578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578"/>
    </row>
    <row r="23" spans="1:89" x14ac:dyDescent="0.2">
      <c r="A23" s="721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471"/>
      <c r="Q23" s="57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57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57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57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57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57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576"/>
    </row>
    <row r="24" spans="1:89" x14ac:dyDescent="0.2">
      <c r="A24" s="721"/>
      <c r="B24" s="7" t="s">
        <v>175</v>
      </c>
      <c r="C24" s="7"/>
      <c r="D24" s="149"/>
      <c r="E24" s="149"/>
      <c r="F24" s="172">
        <f>F17</f>
        <v>0</v>
      </c>
      <c r="G24" s="172">
        <f t="shared" ref="G24:O24" si="5">G17</f>
        <v>0</v>
      </c>
      <c r="H24" s="172">
        <f t="shared" si="5"/>
        <v>0</v>
      </c>
      <c r="I24" s="172">
        <f t="shared" si="5"/>
        <v>0</v>
      </c>
      <c r="J24" s="172">
        <f t="shared" si="5"/>
        <v>0</v>
      </c>
      <c r="K24" s="172">
        <f t="shared" si="5"/>
        <v>0</v>
      </c>
      <c r="L24" s="172">
        <f t="shared" si="5"/>
        <v>0</v>
      </c>
      <c r="M24" s="172">
        <f t="shared" si="5"/>
        <v>0</v>
      </c>
      <c r="N24" s="172">
        <f t="shared" si="5"/>
        <v>0</v>
      </c>
      <c r="O24" s="172">
        <f t="shared" si="5"/>
        <v>0</v>
      </c>
      <c r="P24" s="496">
        <f t="shared" ref="P24:Q24" si="6">SUM(P16:P23)</f>
        <v>67254.145163824724</v>
      </c>
      <c r="Q24" s="609">
        <f t="shared" si="6"/>
        <v>69258.154139082792</v>
      </c>
      <c r="R24" s="172">
        <f>SUM(R16:R23)</f>
        <v>70328.320000000007</v>
      </c>
      <c r="S24" s="27">
        <f t="shared" ref="S24:BA24" si="7">SUM(S16:S23)</f>
        <v>68821</v>
      </c>
      <c r="T24" s="27">
        <f t="shared" si="7"/>
        <v>67834</v>
      </c>
      <c r="U24" s="27">
        <f t="shared" si="7"/>
        <v>73237</v>
      </c>
      <c r="V24" s="27">
        <f t="shared" si="7"/>
        <v>71263.839999999997</v>
      </c>
      <c r="W24" s="27">
        <f t="shared" si="7"/>
        <v>69604.03</v>
      </c>
      <c r="X24" s="27">
        <f t="shared" si="7"/>
        <v>77682.41</v>
      </c>
      <c r="Y24" s="27">
        <f t="shared" si="7"/>
        <v>69871.960000000006</v>
      </c>
      <c r="Z24" s="27">
        <f t="shared" si="7"/>
        <v>69547</v>
      </c>
      <c r="AA24" s="27">
        <f t="shared" si="7"/>
        <v>69117.509616607174</v>
      </c>
      <c r="AB24" s="27">
        <f t="shared" si="7"/>
        <v>69586.356309975585</v>
      </c>
      <c r="AC24" s="609">
        <f t="shared" si="7"/>
        <v>70049.786692432957</v>
      </c>
      <c r="AD24" s="172">
        <f t="shared" si="7"/>
        <v>70527.864182821795</v>
      </c>
      <c r="AE24" s="27">
        <f t="shared" si="7"/>
        <v>71347.257296232972</v>
      </c>
      <c r="AF24" s="27">
        <f t="shared" si="7"/>
        <v>72915.6884636787</v>
      </c>
      <c r="AG24" s="27">
        <f t="shared" si="7"/>
        <v>81651.115072061715</v>
      </c>
      <c r="AH24" s="27">
        <f t="shared" si="7"/>
        <v>91935.220254842556</v>
      </c>
      <c r="AI24" s="27">
        <f t="shared" si="7"/>
        <v>103470.94182147612</v>
      </c>
      <c r="AJ24" s="27">
        <f t="shared" si="7"/>
        <v>115813.35431904208</v>
      </c>
      <c r="AK24" s="27">
        <f t="shared" si="7"/>
        <v>129123.28646675344</v>
      </c>
      <c r="AL24" s="27">
        <f t="shared" si="7"/>
        <v>147587.10162441348</v>
      </c>
      <c r="AM24" s="27">
        <f t="shared" si="7"/>
        <v>166990.54094750516</v>
      </c>
      <c r="AN24" s="27">
        <f t="shared" si="7"/>
        <v>187702.94825798424</v>
      </c>
      <c r="AO24" s="609">
        <f t="shared" si="7"/>
        <v>206156.1352328909</v>
      </c>
      <c r="AP24" s="172">
        <f t="shared" si="7"/>
        <v>226920.81654988535</v>
      </c>
      <c r="AQ24" s="27">
        <f t="shared" si="7"/>
        <v>248517.16397699525</v>
      </c>
      <c r="AR24" s="27">
        <f t="shared" si="7"/>
        <v>271344.19735393097</v>
      </c>
      <c r="AS24" s="27">
        <f t="shared" si="7"/>
        <v>294970.43333882897</v>
      </c>
      <c r="AT24" s="27">
        <f t="shared" si="7"/>
        <v>319383.71291115449</v>
      </c>
      <c r="AU24" s="27">
        <f t="shared" si="7"/>
        <v>344572.09808631288</v>
      </c>
      <c r="AV24" s="27">
        <f t="shared" si="7"/>
        <v>370990.53431975975</v>
      </c>
      <c r="AW24" s="27">
        <f t="shared" si="7"/>
        <v>398152.67966150894</v>
      </c>
      <c r="AX24" s="27">
        <f t="shared" si="7"/>
        <v>426047.37690938043</v>
      </c>
      <c r="AY24" s="27">
        <f t="shared" si="7"/>
        <v>454663.67084165663</v>
      </c>
      <c r="AZ24" s="27">
        <f t="shared" si="7"/>
        <v>483990.80432340765</v>
      </c>
      <c r="BA24" s="609">
        <f t="shared" si="7"/>
        <v>514018.2144893487</v>
      </c>
      <c r="BB24" s="172">
        <f t="shared" ref="BB24:BM24" si="8">SUM(BB16:BB23)</f>
        <v>619610.73338133004</v>
      </c>
      <c r="BC24" s="27">
        <f t="shared" si="8"/>
        <v>718812.75968560041</v>
      </c>
      <c r="BD24" s="27">
        <f t="shared" si="8"/>
        <v>771236.22537850693</v>
      </c>
      <c r="BE24" s="27">
        <f t="shared" si="8"/>
        <v>824813.227953027</v>
      </c>
      <c r="BF24" s="27">
        <f t="shared" si="8"/>
        <v>879508.33293837786</v>
      </c>
      <c r="BG24" s="27">
        <f t="shared" si="8"/>
        <v>935287.63531145302</v>
      </c>
      <c r="BH24" s="27">
        <f t="shared" si="8"/>
        <v>992585.35131601442</v>
      </c>
      <c r="BI24" s="27">
        <f t="shared" si="8"/>
        <v>1050895.5807879283</v>
      </c>
      <c r="BJ24" s="27">
        <f t="shared" si="8"/>
        <v>1110188.7160359207</v>
      </c>
      <c r="BK24" s="27">
        <f t="shared" si="8"/>
        <v>1170436.3991701961</v>
      </c>
      <c r="BL24" s="27">
        <f t="shared" si="8"/>
        <v>1231611.4614948086</v>
      </c>
      <c r="BM24" s="609">
        <f t="shared" si="8"/>
        <v>1293687.8659977065</v>
      </c>
      <c r="BN24" s="172">
        <f t="shared" ref="BN24:BY24" si="9">SUM(BN16:BN23)</f>
        <v>1355762.2214043662</v>
      </c>
      <c r="BO24" s="27">
        <f t="shared" si="9"/>
        <v>1418704.3970537418</v>
      </c>
      <c r="BP24" s="27">
        <f t="shared" si="9"/>
        <v>1482902.9302162302</v>
      </c>
      <c r="BQ24" s="27">
        <f t="shared" si="9"/>
        <v>1547916.5570907735</v>
      </c>
      <c r="BR24" s="27">
        <f t="shared" si="9"/>
        <v>1613724.0004263876</v>
      </c>
      <c r="BS24" s="27">
        <f t="shared" si="9"/>
        <v>1680304.8285090588</v>
      </c>
      <c r="BT24" s="27">
        <f t="shared" si="9"/>
        <v>1748106.081883661</v>
      </c>
      <c r="BU24" s="27">
        <f t="shared" si="9"/>
        <v>1816634.0687628642</v>
      </c>
      <c r="BV24" s="27">
        <f t="shared" si="9"/>
        <v>1885870.8052681121</v>
      </c>
      <c r="BW24" s="27">
        <f t="shared" si="9"/>
        <v>1955799.0024855314</v>
      </c>
      <c r="BX24" s="27">
        <f t="shared" si="9"/>
        <v>2026402.0340384147</v>
      </c>
      <c r="BY24" s="609">
        <f t="shared" si="9"/>
        <v>2097663.90529144</v>
      </c>
      <c r="BZ24" s="172">
        <f t="shared" ref="BZ24:CK24" si="10">SUM(BZ16:BZ23)</f>
        <v>2168690.7927294928</v>
      </c>
      <c r="CA24" s="27">
        <f t="shared" si="10"/>
        <v>2240361.6828427268</v>
      </c>
      <c r="CB24" s="27">
        <f t="shared" si="10"/>
        <v>2313073.8022066131</v>
      </c>
      <c r="CC24" s="27">
        <f t="shared" si="10"/>
        <v>2386394.1700595454</v>
      </c>
      <c r="CD24" s="27">
        <f t="shared" si="10"/>
        <v>2460309.4063852439</v>
      </c>
      <c r="CE24" s="27">
        <f t="shared" si="10"/>
        <v>2534806.6102996389</v>
      </c>
      <c r="CF24" s="27">
        <f t="shared" si="10"/>
        <v>2610340.0051674927</v>
      </c>
      <c r="CG24" s="27">
        <f t="shared" si="10"/>
        <v>2686422.7514534402</v>
      </c>
      <c r="CH24" s="27">
        <f t="shared" si="10"/>
        <v>2763043.403502434</v>
      </c>
      <c r="CI24" s="27">
        <f t="shared" si="10"/>
        <v>2840190.912279753</v>
      </c>
      <c r="CJ24" s="27">
        <f t="shared" si="10"/>
        <v>2917854.6078170347</v>
      </c>
      <c r="CK24" s="609">
        <f t="shared" si="10"/>
        <v>2996024.1825219076</v>
      </c>
    </row>
    <row r="25" spans="1:89" x14ac:dyDescent="0.2">
      <c r="A25" s="721"/>
      <c r="B25" s="6" t="s">
        <v>137</v>
      </c>
      <c r="C25" s="6"/>
      <c r="D25" s="87"/>
      <c r="E25" s="87"/>
      <c r="F25" s="173">
        <f t="shared" ref="F25:O25" si="11">E25+F24</f>
        <v>0</v>
      </c>
      <c r="G25" s="173">
        <f t="shared" si="11"/>
        <v>0</v>
      </c>
      <c r="H25" s="173">
        <f t="shared" si="11"/>
        <v>0</v>
      </c>
      <c r="I25" s="173">
        <f t="shared" si="11"/>
        <v>0</v>
      </c>
      <c r="J25" s="173">
        <f t="shared" si="11"/>
        <v>0</v>
      </c>
      <c r="K25" s="173">
        <f t="shared" si="11"/>
        <v>0</v>
      </c>
      <c r="L25" s="173">
        <f t="shared" si="11"/>
        <v>0</v>
      </c>
      <c r="M25" s="173">
        <f t="shared" si="11"/>
        <v>0</v>
      </c>
      <c r="N25" s="173">
        <f t="shared" si="11"/>
        <v>0</v>
      </c>
      <c r="O25" s="173">
        <f t="shared" si="11"/>
        <v>0</v>
      </c>
      <c r="P25" s="497">
        <f t="shared" ref="P25" si="12">O25+P24</f>
        <v>67254.145163824724</v>
      </c>
      <c r="Q25" s="610">
        <f t="shared" ref="Q25" si="13">P25+Q24</f>
        <v>136512.29930290752</v>
      </c>
      <c r="R25" s="173">
        <f t="shared" ref="R25:AD25" si="14">Q25+R24</f>
        <v>206840.61930290752</v>
      </c>
      <c r="S25" s="173">
        <f t="shared" si="14"/>
        <v>275661.61930290749</v>
      </c>
      <c r="T25" s="173">
        <f t="shared" si="14"/>
        <v>343495.61930290749</v>
      </c>
      <c r="U25" s="173">
        <f t="shared" si="14"/>
        <v>416732.61930290749</v>
      </c>
      <c r="V25" s="173">
        <f t="shared" si="14"/>
        <v>487996.45930290746</v>
      </c>
      <c r="W25" s="173">
        <f t="shared" si="14"/>
        <v>557600.48930290749</v>
      </c>
      <c r="X25" s="173">
        <f>W25+X24</f>
        <v>635282.89930290752</v>
      </c>
      <c r="Y25" s="173">
        <f>X25+Y24</f>
        <v>705154.85930290748</v>
      </c>
      <c r="Z25" s="173">
        <f t="shared" si="14"/>
        <v>774701.85930290748</v>
      </c>
      <c r="AA25" s="173">
        <f t="shared" si="14"/>
        <v>843819.3689195147</v>
      </c>
      <c r="AB25" s="173">
        <f t="shared" si="14"/>
        <v>913405.72522949032</v>
      </c>
      <c r="AC25" s="627">
        <f t="shared" si="14"/>
        <v>983455.51192192326</v>
      </c>
      <c r="AD25" s="173">
        <f t="shared" si="14"/>
        <v>1053983.3761047451</v>
      </c>
      <c r="AE25" s="173">
        <f t="shared" ref="AE25:BA25" si="15">AD25+AE24</f>
        <v>1125330.6334009781</v>
      </c>
      <c r="AF25" s="173">
        <f t="shared" si="15"/>
        <v>1198246.3218646566</v>
      </c>
      <c r="AG25" s="173">
        <f t="shared" si="15"/>
        <v>1279897.4369367184</v>
      </c>
      <c r="AH25" s="173">
        <f t="shared" si="15"/>
        <v>1371832.6571915611</v>
      </c>
      <c r="AI25" s="173">
        <f t="shared" si="15"/>
        <v>1475303.5990130373</v>
      </c>
      <c r="AJ25" s="173">
        <f t="shared" si="15"/>
        <v>1591116.9533320793</v>
      </c>
      <c r="AK25" s="173">
        <f t="shared" si="15"/>
        <v>1720240.2397988327</v>
      </c>
      <c r="AL25" s="173">
        <f t="shared" si="15"/>
        <v>1867827.3414232461</v>
      </c>
      <c r="AM25" s="173">
        <f t="shared" si="15"/>
        <v>2034817.8823707514</v>
      </c>
      <c r="AN25" s="173">
        <f t="shared" si="15"/>
        <v>2222520.8306287355</v>
      </c>
      <c r="AO25" s="627">
        <f t="shared" si="15"/>
        <v>2428676.9658616264</v>
      </c>
      <c r="AP25" s="173">
        <f t="shared" si="15"/>
        <v>2655597.782411512</v>
      </c>
      <c r="AQ25" s="173">
        <f t="shared" si="15"/>
        <v>2904114.9463885073</v>
      </c>
      <c r="AR25" s="173">
        <f t="shared" si="15"/>
        <v>3175459.1437424384</v>
      </c>
      <c r="AS25" s="173">
        <f t="shared" si="15"/>
        <v>3470429.5770812673</v>
      </c>
      <c r="AT25" s="173">
        <f t="shared" si="15"/>
        <v>3789813.2899924219</v>
      </c>
      <c r="AU25" s="173">
        <f t="shared" si="15"/>
        <v>4134385.3880787347</v>
      </c>
      <c r="AV25" s="173">
        <f t="shared" si="15"/>
        <v>4505375.9223984946</v>
      </c>
      <c r="AW25" s="173">
        <f t="shared" si="15"/>
        <v>4903528.6020600032</v>
      </c>
      <c r="AX25" s="173">
        <f t="shared" si="15"/>
        <v>5329575.978969384</v>
      </c>
      <c r="AY25" s="173">
        <f t="shared" si="15"/>
        <v>5784239.6498110406</v>
      </c>
      <c r="AZ25" s="173">
        <f t="shared" si="15"/>
        <v>6268230.4541344484</v>
      </c>
      <c r="BA25" s="627">
        <f t="shared" si="15"/>
        <v>6782248.6686237976</v>
      </c>
      <c r="BB25" s="173">
        <f t="shared" ref="BB25" si="16">BA25+BB24</f>
        <v>7401859.4020051276</v>
      </c>
      <c r="BC25" s="173">
        <f t="shared" ref="BC25" si="17">BB25+BC24</f>
        <v>8120672.1616907278</v>
      </c>
      <c r="BD25" s="173">
        <f t="shared" ref="BD25" si="18">BC25+BD24</f>
        <v>8891908.3870692346</v>
      </c>
      <c r="BE25" s="173">
        <f t="shared" ref="BE25" si="19">BD25+BE24</f>
        <v>9716721.6150222607</v>
      </c>
      <c r="BF25" s="173">
        <f t="shared" ref="BF25" si="20">BE25+BF24</f>
        <v>10596229.947960639</v>
      </c>
      <c r="BG25" s="173">
        <f t="shared" ref="BG25" si="21">BF25+BG24</f>
        <v>11531517.583272092</v>
      </c>
      <c r="BH25" s="173">
        <f t="shared" ref="BH25" si="22">BG25+BH24</f>
        <v>12524102.934588106</v>
      </c>
      <c r="BI25" s="173">
        <f t="shared" ref="BI25" si="23">BH25+BI24</f>
        <v>13574998.515376035</v>
      </c>
      <c r="BJ25" s="173">
        <f t="shared" ref="BJ25" si="24">BI25+BJ24</f>
        <v>14685187.231411956</v>
      </c>
      <c r="BK25" s="173">
        <f t="shared" ref="BK25" si="25">BJ25+BK24</f>
        <v>15855623.630582152</v>
      </c>
      <c r="BL25" s="173">
        <f t="shared" ref="BL25" si="26">BK25+BL24</f>
        <v>17087235.092076961</v>
      </c>
      <c r="BM25" s="627">
        <f t="shared" ref="BM25" si="27">BL25+BM24</f>
        <v>18380922.958074667</v>
      </c>
      <c r="BN25" s="173">
        <f t="shared" ref="BN25" si="28">BM25+BN24</f>
        <v>19736685.179479033</v>
      </c>
      <c r="BO25" s="173">
        <f t="shared" ref="BO25" si="29">BN25+BO24</f>
        <v>21155389.576532774</v>
      </c>
      <c r="BP25" s="173">
        <f t="shared" ref="BP25" si="30">BO25+BP24</f>
        <v>22638292.506749004</v>
      </c>
      <c r="BQ25" s="173">
        <f t="shared" ref="BQ25" si="31">BP25+BQ24</f>
        <v>24186209.063839778</v>
      </c>
      <c r="BR25" s="173">
        <f t="shared" ref="BR25" si="32">BQ25+BR24</f>
        <v>25799933.064266168</v>
      </c>
      <c r="BS25" s="173">
        <f t="shared" ref="BS25" si="33">BR25+BS24</f>
        <v>27480237.892775226</v>
      </c>
      <c r="BT25" s="173">
        <f t="shared" ref="BT25" si="34">BS25+BT24</f>
        <v>29228343.974658888</v>
      </c>
      <c r="BU25" s="173">
        <f t="shared" ref="BU25" si="35">BT25+BU24</f>
        <v>31044978.043421753</v>
      </c>
      <c r="BV25" s="173">
        <f t="shared" ref="BV25" si="36">BU25+BV24</f>
        <v>32930848.848689865</v>
      </c>
      <c r="BW25" s="173">
        <f t="shared" ref="BW25" si="37">BV25+BW24</f>
        <v>34886647.851175398</v>
      </c>
      <c r="BX25" s="173">
        <f t="shared" ref="BX25" si="38">BW25+BX24</f>
        <v>36913049.885213815</v>
      </c>
      <c r="BY25" s="627">
        <f t="shared" ref="BY25" si="39">BX25+BY24</f>
        <v>39010713.790505253</v>
      </c>
      <c r="BZ25" s="173">
        <f t="shared" ref="BZ25" si="40">BY25+BZ24</f>
        <v>41179404.583234742</v>
      </c>
      <c r="CA25" s="173">
        <f t="shared" ref="CA25" si="41">BZ25+CA24</f>
        <v>43419766.266077466</v>
      </c>
      <c r="CB25" s="173">
        <f t="shared" ref="CB25" si="42">CA25+CB24</f>
        <v>45732840.068284079</v>
      </c>
      <c r="CC25" s="173">
        <f t="shared" ref="CC25" si="43">CB25+CC24</f>
        <v>48119234.238343626</v>
      </c>
      <c r="CD25" s="173">
        <f t="shared" ref="CD25" si="44">CC25+CD24</f>
        <v>50579543.644728869</v>
      </c>
      <c r="CE25" s="173">
        <f t="shared" ref="CE25" si="45">CD25+CE24</f>
        <v>53114350.255028509</v>
      </c>
      <c r="CF25" s="173">
        <f t="shared" ref="CF25" si="46">CE25+CF24</f>
        <v>55724690.260196</v>
      </c>
      <c r="CG25" s="173">
        <f t="shared" ref="CG25" si="47">CF25+CG24</f>
        <v>58411113.011649437</v>
      </c>
      <c r="CH25" s="173">
        <f t="shared" ref="CH25" si="48">CG25+CH24</f>
        <v>61174156.415151872</v>
      </c>
      <c r="CI25" s="173">
        <f t="shared" ref="CI25" si="49">CH25+CI24</f>
        <v>64014347.327431627</v>
      </c>
      <c r="CJ25" s="173">
        <f t="shared" ref="CJ25" si="50">CI25+CJ24</f>
        <v>66932201.935248658</v>
      </c>
      <c r="CK25" s="627">
        <f t="shared" ref="CK25" si="51">CJ25+CK24</f>
        <v>69928226.117770568</v>
      </c>
    </row>
    <row r="26" spans="1:89" x14ac:dyDescent="0.2">
      <c r="A26" s="721"/>
      <c r="B26" s="20"/>
      <c r="C26" s="20"/>
      <c r="D26" s="31"/>
      <c r="E26" s="31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98"/>
      <c r="Q26" s="611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611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611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611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611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611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611"/>
    </row>
    <row r="28" spans="1:89" ht="17" thickBot="1" x14ac:dyDescent="0.25"/>
    <row r="29" spans="1:89" x14ac:dyDescent="0.2">
      <c r="B29" s="5" t="s">
        <v>2</v>
      </c>
      <c r="C29" s="55" t="s">
        <v>10</v>
      </c>
      <c r="D29" s="150"/>
      <c r="E29" s="150"/>
      <c r="F29" s="715">
        <v>2022</v>
      </c>
      <c r="G29" s="716"/>
      <c r="H29" s="716"/>
      <c r="I29" s="716"/>
      <c r="J29" s="716"/>
      <c r="K29" s="716"/>
      <c r="L29" s="716"/>
      <c r="M29" s="716"/>
      <c r="N29" s="716"/>
      <c r="O29" s="716"/>
      <c r="P29" s="716"/>
      <c r="Q29" s="717"/>
      <c r="R29" s="731">
        <v>2023</v>
      </c>
      <c r="S29" s="732"/>
      <c r="T29" s="732"/>
      <c r="U29" s="732"/>
      <c r="V29" s="732"/>
      <c r="W29" s="732"/>
      <c r="X29" s="732"/>
      <c r="Y29" s="732"/>
      <c r="Z29" s="732"/>
      <c r="AA29" s="732"/>
      <c r="AB29" s="732"/>
      <c r="AC29" s="733"/>
      <c r="AD29" s="728">
        <v>2024</v>
      </c>
      <c r="AE29" s="729"/>
      <c r="AF29" s="729"/>
      <c r="AG29" s="729"/>
      <c r="AH29" s="729"/>
      <c r="AI29" s="729"/>
      <c r="AJ29" s="729"/>
      <c r="AK29" s="729"/>
      <c r="AL29" s="729"/>
      <c r="AM29" s="729"/>
      <c r="AN29" s="729"/>
      <c r="AO29" s="730"/>
      <c r="AP29" s="704">
        <v>2025</v>
      </c>
      <c r="AQ29" s="705"/>
      <c r="AR29" s="705"/>
      <c r="AS29" s="705"/>
      <c r="AT29" s="705"/>
      <c r="AU29" s="705"/>
      <c r="AV29" s="705"/>
      <c r="AW29" s="705"/>
      <c r="AX29" s="705"/>
      <c r="AY29" s="705"/>
      <c r="AZ29" s="705"/>
      <c r="BA29" s="706"/>
      <c r="BB29" s="704">
        <v>2026</v>
      </c>
      <c r="BC29" s="705"/>
      <c r="BD29" s="705"/>
      <c r="BE29" s="705"/>
      <c r="BF29" s="705"/>
      <c r="BG29" s="705"/>
      <c r="BH29" s="705"/>
      <c r="BI29" s="705"/>
      <c r="BJ29" s="705"/>
      <c r="BK29" s="705"/>
      <c r="BL29" s="705"/>
      <c r="BM29" s="706"/>
      <c r="BN29" s="704">
        <v>2027</v>
      </c>
      <c r="BO29" s="705"/>
      <c r="BP29" s="705"/>
      <c r="BQ29" s="705"/>
      <c r="BR29" s="705"/>
      <c r="BS29" s="705"/>
      <c r="BT29" s="705"/>
      <c r="BU29" s="705"/>
      <c r="BV29" s="705"/>
      <c r="BW29" s="705"/>
      <c r="BX29" s="705"/>
      <c r="BY29" s="706"/>
      <c r="BZ29" s="704">
        <v>2028</v>
      </c>
      <c r="CA29" s="705"/>
      <c r="CB29" s="705"/>
      <c r="CC29" s="705"/>
      <c r="CD29" s="705"/>
      <c r="CE29" s="705"/>
      <c r="CF29" s="705"/>
      <c r="CG29" s="705"/>
      <c r="CH29" s="705"/>
      <c r="CI29" s="705"/>
      <c r="CJ29" s="705"/>
      <c r="CK29" s="706"/>
    </row>
    <row r="30" spans="1:89" x14ac:dyDescent="0.2">
      <c r="B30" s="4"/>
      <c r="C30" s="10" t="s">
        <v>11</v>
      </c>
      <c r="D30" s="87"/>
      <c r="E30" s="87"/>
      <c r="F30" s="508">
        <v>44562</v>
      </c>
      <c r="G30" s="251">
        <v>44593</v>
      </c>
      <c r="H30" s="251">
        <v>44621</v>
      </c>
      <c r="I30" s="251">
        <v>44652</v>
      </c>
      <c r="J30" s="251">
        <v>44682</v>
      </c>
      <c r="K30" s="251">
        <v>44713</v>
      </c>
      <c r="L30" s="251">
        <v>44743</v>
      </c>
      <c r="M30" s="251">
        <v>44774</v>
      </c>
      <c r="N30" s="251">
        <v>44805</v>
      </c>
      <c r="O30" s="491">
        <v>44835</v>
      </c>
      <c r="P30" s="251">
        <v>44866</v>
      </c>
      <c r="Q30" s="558">
        <v>44896</v>
      </c>
      <c r="R30" s="248">
        <v>44927</v>
      </c>
      <c r="S30" s="248">
        <v>44958</v>
      </c>
      <c r="T30" s="248">
        <v>44986</v>
      </c>
      <c r="U30" s="248">
        <v>45017</v>
      </c>
      <c r="V30" s="248">
        <v>45047</v>
      </c>
      <c r="W30" s="248">
        <v>45078</v>
      </c>
      <c r="X30" s="248">
        <v>45108</v>
      </c>
      <c r="Y30" s="248">
        <v>45139</v>
      </c>
      <c r="Z30" s="248">
        <v>45170</v>
      </c>
      <c r="AA30" s="248">
        <v>45200</v>
      </c>
      <c r="AB30" s="248">
        <v>45231</v>
      </c>
      <c r="AC30" s="248">
        <v>45261</v>
      </c>
      <c r="AD30" s="506">
        <v>45292</v>
      </c>
      <c r="AE30" s="249">
        <v>45323</v>
      </c>
      <c r="AF30" s="249">
        <v>45352</v>
      </c>
      <c r="AG30" s="249">
        <v>45383</v>
      </c>
      <c r="AH30" s="249">
        <v>45413</v>
      </c>
      <c r="AI30" s="249">
        <v>45444</v>
      </c>
      <c r="AJ30" s="249">
        <v>45474</v>
      </c>
      <c r="AK30" s="249">
        <v>45505</v>
      </c>
      <c r="AL30" s="249">
        <v>45536</v>
      </c>
      <c r="AM30" s="249">
        <v>45566</v>
      </c>
      <c r="AN30" s="249">
        <v>45597</v>
      </c>
      <c r="AO30" s="249">
        <v>45627</v>
      </c>
      <c r="AP30" s="507">
        <v>45658</v>
      </c>
      <c r="AQ30" s="250">
        <v>45689</v>
      </c>
      <c r="AR30" s="250">
        <v>45717</v>
      </c>
      <c r="AS30" s="250">
        <v>45748</v>
      </c>
      <c r="AT30" s="250">
        <v>45778</v>
      </c>
      <c r="AU30" s="250">
        <v>45809</v>
      </c>
      <c r="AV30" s="250">
        <v>45839</v>
      </c>
      <c r="AW30" s="250">
        <v>45870</v>
      </c>
      <c r="AX30" s="250">
        <v>45901</v>
      </c>
      <c r="AY30" s="250">
        <v>45931</v>
      </c>
      <c r="AZ30" s="250">
        <v>45962</v>
      </c>
      <c r="BA30" s="250">
        <v>45992</v>
      </c>
      <c r="BB30" s="507">
        <v>45658</v>
      </c>
      <c r="BC30" s="250">
        <v>45689</v>
      </c>
      <c r="BD30" s="250">
        <v>45717</v>
      </c>
      <c r="BE30" s="250">
        <v>45748</v>
      </c>
      <c r="BF30" s="250">
        <v>45778</v>
      </c>
      <c r="BG30" s="250">
        <v>45809</v>
      </c>
      <c r="BH30" s="250">
        <v>45839</v>
      </c>
      <c r="BI30" s="250">
        <v>45870</v>
      </c>
      <c r="BJ30" s="250">
        <v>45901</v>
      </c>
      <c r="BK30" s="250">
        <v>45931</v>
      </c>
      <c r="BL30" s="250">
        <v>45962</v>
      </c>
      <c r="BM30" s="250">
        <v>45992</v>
      </c>
      <c r="BN30" s="507">
        <v>45658</v>
      </c>
      <c r="BO30" s="250">
        <v>45689</v>
      </c>
      <c r="BP30" s="250">
        <v>45717</v>
      </c>
      <c r="BQ30" s="250">
        <v>45748</v>
      </c>
      <c r="BR30" s="250">
        <v>45778</v>
      </c>
      <c r="BS30" s="250">
        <v>45809</v>
      </c>
      <c r="BT30" s="250">
        <v>45839</v>
      </c>
      <c r="BU30" s="250">
        <v>45870</v>
      </c>
      <c r="BV30" s="250">
        <v>45901</v>
      </c>
      <c r="BW30" s="250">
        <v>45931</v>
      </c>
      <c r="BX30" s="250">
        <v>45962</v>
      </c>
      <c r="BY30" s="250">
        <v>45992</v>
      </c>
      <c r="BZ30" s="507">
        <v>45658</v>
      </c>
      <c r="CA30" s="250">
        <v>45689</v>
      </c>
      <c r="CB30" s="250">
        <v>45717</v>
      </c>
      <c r="CC30" s="250">
        <v>45748</v>
      </c>
      <c r="CD30" s="250">
        <v>45778</v>
      </c>
      <c r="CE30" s="250">
        <v>45809</v>
      </c>
      <c r="CF30" s="250">
        <v>45839</v>
      </c>
      <c r="CG30" s="250">
        <v>45870</v>
      </c>
      <c r="CH30" s="250">
        <v>45901</v>
      </c>
      <c r="CI30" s="250">
        <v>45931</v>
      </c>
      <c r="CJ30" s="250">
        <v>45962</v>
      </c>
      <c r="CK30" s="250">
        <v>45992</v>
      </c>
    </row>
    <row r="31" spans="1:89" x14ac:dyDescent="0.2">
      <c r="B31" s="2" t="s">
        <v>117</v>
      </c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499"/>
      <c r="Q31" s="612"/>
    </row>
    <row r="32" spans="1:89" x14ac:dyDescent="0.2"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499"/>
      <c r="Q32" s="612"/>
    </row>
    <row r="33" spans="1:89" x14ac:dyDescent="0.2">
      <c r="B33" s="2" t="s">
        <v>3</v>
      </c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499"/>
      <c r="Q33" s="612"/>
    </row>
    <row r="34" spans="1:89" x14ac:dyDescent="0.2">
      <c r="B34" s="253" t="s">
        <v>4</v>
      </c>
      <c r="F34" s="96">
        <v>48745.74</v>
      </c>
      <c r="G34" s="96">
        <v>54972.78</v>
      </c>
      <c r="H34" s="96">
        <v>84348.68</v>
      </c>
      <c r="I34" s="96">
        <v>58881.67</v>
      </c>
      <c r="J34" s="96">
        <v>56288.86</v>
      </c>
      <c r="K34" s="96">
        <v>59612.95</v>
      </c>
      <c r="L34" s="96">
        <v>67173.039999999994</v>
      </c>
      <c r="M34" s="96">
        <v>44926.400000000001</v>
      </c>
      <c r="N34" s="96">
        <v>67827.67</v>
      </c>
      <c r="O34" s="96">
        <v>72345.39</v>
      </c>
      <c r="P34" s="647">
        <v>76912.42</v>
      </c>
      <c r="Q34" s="648">
        <v>80555.259999999995</v>
      </c>
      <c r="R34" s="646">
        <v>79313.91</v>
      </c>
      <c r="S34" s="646">
        <f>-12000+103958.34</f>
        <v>91958.34</v>
      </c>
      <c r="T34" s="646">
        <v>137055.95000000001</v>
      </c>
      <c r="U34" s="14">
        <v>104155.54</v>
      </c>
      <c r="V34" s="14">
        <v>93533.52</v>
      </c>
      <c r="W34" s="14">
        <v>98175.1</v>
      </c>
      <c r="X34" s="14">
        <v>80667.600000000006</v>
      </c>
      <c r="Y34" s="14">
        <v>102940.38</v>
      </c>
      <c r="Z34" s="14">
        <v>90565.96</v>
      </c>
      <c r="AA34" s="14">
        <v>90565.96</v>
      </c>
      <c r="AB34" s="14">
        <v>90565.96</v>
      </c>
      <c r="AC34" s="577">
        <v>90565.96</v>
      </c>
      <c r="AD34" s="14">
        <v>80000</v>
      </c>
      <c r="AE34" s="14">
        <v>60000</v>
      </c>
      <c r="AF34" s="14">
        <v>60000</v>
      </c>
      <c r="AG34" s="12">
        <f>'Salaries &amp; Contractuals'!AH29</f>
        <v>80654.166666666657</v>
      </c>
      <c r="AH34" s="12">
        <f>'Salaries &amp; Contractuals'!AI29</f>
        <v>80654.166666666657</v>
      </c>
      <c r="AI34" s="12">
        <f>'Salaries &amp; Contractuals'!AJ29</f>
        <v>95070.833333333314</v>
      </c>
      <c r="AJ34" s="12">
        <f>'Salaries &amp; Contractuals'!AK29</f>
        <v>95070.833333333314</v>
      </c>
      <c r="AK34" s="12">
        <f>'Salaries &amp; Contractuals'!AL29</f>
        <v>95070.833333333314</v>
      </c>
      <c r="AL34" s="12">
        <f>'Salaries &amp; Contractuals'!AM29</f>
        <v>95070.833333333314</v>
      </c>
      <c r="AM34" s="12">
        <f>'Salaries &amp; Contractuals'!AN29</f>
        <v>95070.833333333314</v>
      </c>
      <c r="AN34" s="12">
        <f>'Salaries &amp; Contractuals'!AO29</f>
        <v>95070.833333333314</v>
      </c>
      <c r="AO34" s="578">
        <f>'Salaries &amp; Contractuals'!AP29</f>
        <v>95070.833333333314</v>
      </c>
      <c r="AP34" s="12">
        <f>'Salaries &amp; Contractuals'!AQ29</f>
        <v>116978.12500000001</v>
      </c>
      <c r="AQ34" s="12">
        <f>'Salaries &amp; Contractuals'!AR29</f>
        <v>116978.12500000001</v>
      </c>
      <c r="AR34" s="12">
        <f>'Salaries &amp; Contractuals'!AS29</f>
        <v>116978.12500000001</v>
      </c>
      <c r="AS34" s="12">
        <f>'Salaries &amp; Contractuals'!AT29</f>
        <v>116978.12500000001</v>
      </c>
      <c r="AT34" s="12">
        <f>'Salaries &amp; Contractuals'!AU29</f>
        <v>116978.12500000001</v>
      </c>
      <c r="AU34" s="12">
        <f>'Salaries &amp; Contractuals'!AV29</f>
        <v>116978.12500000001</v>
      </c>
      <c r="AV34" s="12">
        <f>'Salaries &amp; Contractuals'!AW29</f>
        <v>116978.12500000001</v>
      </c>
      <c r="AW34" s="12">
        <f>'Salaries &amp; Contractuals'!AX29</f>
        <v>116978.12500000001</v>
      </c>
      <c r="AX34" s="12">
        <f>'Salaries &amp; Contractuals'!AY29</f>
        <v>116978.12500000001</v>
      </c>
      <c r="AY34" s="12">
        <f>'Salaries &amp; Contractuals'!AZ29</f>
        <v>116978.12500000001</v>
      </c>
      <c r="AZ34" s="12">
        <f>'Salaries &amp; Contractuals'!BA29</f>
        <v>116978.12500000001</v>
      </c>
      <c r="BA34" s="578">
        <f>'Salaries &amp; Contractuals'!BB29</f>
        <v>116978.12500000001</v>
      </c>
      <c r="BB34" s="12">
        <f>'Salaries &amp; Contractuals'!BC29</f>
        <v>124350.00000000001</v>
      </c>
      <c r="BC34" s="12">
        <f>'Salaries &amp; Contractuals'!BD29</f>
        <v>124350.00000000001</v>
      </c>
      <c r="BD34" s="12">
        <f>'Salaries &amp; Contractuals'!BE29</f>
        <v>124350.00000000001</v>
      </c>
      <c r="BE34" s="12">
        <f>'Salaries &amp; Contractuals'!BF29</f>
        <v>124350.00000000001</v>
      </c>
      <c r="BF34" s="12">
        <f>'Salaries &amp; Contractuals'!BG29</f>
        <v>124350.00000000001</v>
      </c>
      <c r="BG34" s="12">
        <f>'Salaries &amp; Contractuals'!BH29</f>
        <v>124350.00000000001</v>
      </c>
      <c r="BH34" s="12">
        <f>'Salaries &amp; Contractuals'!BI29</f>
        <v>124350.00000000001</v>
      </c>
      <c r="BI34" s="12">
        <f>'Salaries &amp; Contractuals'!BJ29</f>
        <v>124350.00000000001</v>
      </c>
      <c r="BJ34" s="12">
        <f>'Salaries &amp; Contractuals'!BK29</f>
        <v>124350.00000000001</v>
      </c>
      <c r="BK34" s="12">
        <f>'Salaries &amp; Contractuals'!BL29</f>
        <v>124350.00000000001</v>
      </c>
      <c r="BL34" s="12">
        <f>'Salaries &amp; Contractuals'!BM29</f>
        <v>124350.00000000001</v>
      </c>
      <c r="BM34" s="578">
        <f>'Salaries &amp; Contractuals'!BN29</f>
        <v>124350.00000000001</v>
      </c>
      <c r="BN34" s="12">
        <f>'Salaries &amp; Contractuals'!BO29</f>
        <v>124350.00000000001</v>
      </c>
      <c r="BO34" s="12">
        <f>'Salaries &amp; Contractuals'!BP29</f>
        <v>124350.00000000001</v>
      </c>
      <c r="BP34" s="12">
        <f>'Salaries &amp; Contractuals'!BQ29</f>
        <v>124350.00000000001</v>
      </c>
      <c r="BQ34" s="12">
        <f>'Salaries &amp; Contractuals'!BR29</f>
        <v>124350.00000000001</v>
      </c>
      <c r="BR34" s="12">
        <f>'Salaries &amp; Contractuals'!BS29</f>
        <v>124350.00000000001</v>
      </c>
      <c r="BS34" s="12">
        <f>'Salaries &amp; Contractuals'!BT29</f>
        <v>124350.00000000001</v>
      </c>
      <c r="BT34" s="12">
        <f>'Salaries &amp; Contractuals'!BU29</f>
        <v>124350.00000000001</v>
      </c>
      <c r="BU34" s="12">
        <f>'Salaries &amp; Contractuals'!BV29</f>
        <v>124350.00000000001</v>
      </c>
      <c r="BV34" s="12">
        <f>'Salaries &amp; Contractuals'!BW29</f>
        <v>124350.00000000001</v>
      </c>
      <c r="BW34" s="12">
        <f>'Salaries &amp; Contractuals'!BX29</f>
        <v>124350.00000000001</v>
      </c>
      <c r="BX34" s="12">
        <f>'Salaries &amp; Contractuals'!BY29</f>
        <v>124350.00000000001</v>
      </c>
      <c r="BY34" s="578">
        <f>'Salaries &amp; Contractuals'!BZ29</f>
        <v>124350.00000000001</v>
      </c>
      <c r="BZ34" s="12">
        <f>'Salaries &amp; Contractuals'!CA29</f>
        <v>124350.00000000001</v>
      </c>
      <c r="CA34" s="12">
        <f>'Salaries &amp; Contractuals'!CB29</f>
        <v>124350.00000000001</v>
      </c>
      <c r="CB34" s="12">
        <f>'Salaries &amp; Contractuals'!CC29</f>
        <v>124350.00000000001</v>
      </c>
      <c r="CC34" s="12">
        <f>'Salaries &amp; Contractuals'!CD29</f>
        <v>124350.00000000001</v>
      </c>
      <c r="CD34" s="12">
        <f>'Salaries &amp; Contractuals'!CE29</f>
        <v>124350.00000000001</v>
      </c>
      <c r="CE34" s="12">
        <f>'Salaries &amp; Contractuals'!CF29</f>
        <v>124350.00000000001</v>
      </c>
      <c r="CF34" s="12">
        <f>'Salaries &amp; Contractuals'!CG29</f>
        <v>124350.00000000001</v>
      </c>
      <c r="CG34" s="12">
        <f>'Salaries &amp; Contractuals'!CH29</f>
        <v>124350.00000000001</v>
      </c>
      <c r="CH34" s="12">
        <f>'Salaries &amp; Contractuals'!CI29</f>
        <v>124350.00000000001</v>
      </c>
      <c r="CI34" s="12">
        <f>'Salaries &amp; Contractuals'!CJ29</f>
        <v>124350.00000000001</v>
      </c>
      <c r="CJ34" s="12">
        <f>'Salaries &amp; Contractuals'!CK29</f>
        <v>124350.00000000001</v>
      </c>
      <c r="CK34" s="578">
        <f>'Salaries &amp; Contractuals'!CL29</f>
        <v>124350.00000000001</v>
      </c>
    </row>
    <row r="35" spans="1:89" x14ac:dyDescent="0.2">
      <c r="B35" s="560" t="s">
        <v>16</v>
      </c>
      <c r="C35" s="12"/>
      <c r="F35" s="96">
        <v>7108.15</v>
      </c>
      <c r="G35" s="96">
        <v>9225.6299999999992</v>
      </c>
      <c r="H35" s="96">
        <v>11046.54</v>
      </c>
      <c r="I35" s="96">
        <v>7268.44</v>
      </c>
      <c r="J35" s="96">
        <v>7196.29</v>
      </c>
      <c r="K35" s="96">
        <v>9403.81</v>
      </c>
      <c r="L35" s="96">
        <v>11246.98</v>
      </c>
      <c r="M35" s="96">
        <v>3205.51</v>
      </c>
      <c r="N35" s="96">
        <v>1715.57</v>
      </c>
      <c r="O35" s="96">
        <v>0</v>
      </c>
      <c r="P35" s="647">
        <v>0</v>
      </c>
      <c r="Q35" s="648">
        <v>0</v>
      </c>
      <c r="R35" s="634">
        <v>0</v>
      </c>
      <c r="S35" s="634">
        <v>0</v>
      </c>
      <c r="T35" s="634">
        <v>0</v>
      </c>
      <c r="U35" s="14">
        <v>39609.07</v>
      </c>
      <c r="V35" s="14">
        <v>22272.5</v>
      </c>
      <c r="W35" s="14">
        <v>13460</v>
      </c>
      <c r="X35" s="14">
        <v>18545</v>
      </c>
      <c r="Y35" s="14">
        <v>9015</v>
      </c>
      <c r="Z35" s="14">
        <v>1320</v>
      </c>
      <c r="AA35" s="14">
        <v>1320</v>
      </c>
      <c r="AB35" s="14">
        <v>1320</v>
      </c>
      <c r="AC35" s="577">
        <v>1320</v>
      </c>
      <c r="AD35" s="14">
        <v>1320</v>
      </c>
      <c r="AE35" s="14">
        <v>1320</v>
      </c>
      <c r="AF35" s="14">
        <v>1320</v>
      </c>
      <c r="AG35" s="14">
        <f>'Salaries &amp; Contractuals'!AH44</f>
        <v>16683.333333333336</v>
      </c>
      <c r="AH35" s="14">
        <f>'Salaries &amp; Contractuals'!AI44</f>
        <v>30433.333333333336</v>
      </c>
      <c r="AI35" s="14">
        <f>'Salaries &amp; Contractuals'!AJ44</f>
        <v>40016.666666666672</v>
      </c>
      <c r="AJ35" s="14">
        <f>'Salaries &amp; Contractuals'!AK44</f>
        <v>40016.666666666672</v>
      </c>
      <c r="AK35" s="14">
        <f>'Salaries &amp; Contractuals'!AL44</f>
        <v>57433.333333333343</v>
      </c>
      <c r="AL35" s="14">
        <f>'Salaries &amp; Contractuals'!AM44</f>
        <v>63683.333333333343</v>
      </c>
      <c r="AM35" s="14">
        <f>'Salaries &amp; Contractuals'!AN44</f>
        <v>63683.333333333343</v>
      </c>
      <c r="AN35" s="14">
        <f>'Salaries &amp; Contractuals'!AO44</f>
        <v>63683.333333333343</v>
      </c>
      <c r="AO35" s="577">
        <f>'Salaries &amp; Contractuals'!AP44</f>
        <v>63683.333333333343</v>
      </c>
      <c r="AP35" s="14">
        <f>'Salaries &amp; Contractuals'!AQ44</f>
        <v>74250</v>
      </c>
      <c r="AQ35" s="14">
        <f>'Salaries &amp; Contractuals'!AR44</f>
        <v>74250</v>
      </c>
      <c r="AR35" s="14">
        <f>'Salaries &amp; Contractuals'!AS44</f>
        <v>83000</v>
      </c>
      <c r="AS35" s="14">
        <f>'Salaries &amp; Contractuals'!AT44</f>
        <v>83000</v>
      </c>
      <c r="AT35" s="14">
        <f>'Salaries &amp; Contractuals'!AU44</f>
        <v>83000</v>
      </c>
      <c r="AU35" s="14">
        <f>'Salaries &amp; Contractuals'!AV44</f>
        <v>83000</v>
      </c>
      <c r="AV35" s="14">
        <f>'Salaries &amp; Contractuals'!AW44</f>
        <v>83000</v>
      </c>
      <c r="AW35" s="14">
        <f>'Salaries &amp; Contractuals'!AX44</f>
        <v>83000</v>
      </c>
      <c r="AX35" s="14">
        <f>'Salaries &amp; Contractuals'!AY44</f>
        <v>83000</v>
      </c>
      <c r="AY35" s="14">
        <f>'Salaries &amp; Contractuals'!AZ44</f>
        <v>83000</v>
      </c>
      <c r="AZ35" s="14">
        <f>'Salaries &amp; Contractuals'!BA44</f>
        <v>83000</v>
      </c>
      <c r="BA35" s="577">
        <f>'Salaries &amp; Contractuals'!BB44</f>
        <v>83000</v>
      </c>
      <c r="BB35" s="14">
        <f>'Salaries &amp; Contractuals'!BC44</f>
        <v>85423.75</v>
      </c>
      <c r="BC35" s="14">
        <f>'Salaries &amp; Contractuals'!BD44</f>
        <v>85423.75</v>
      </c>
      <c r="BD35" s="14">
        <f>'Salaries &amp; Contractuals'!BE44</f>
        <v>85423.75</v>
      </c>
      <c r="BE35" s="14">
        <f>'Salaries &amp; Contractuals'!BF44</f>
        <v>85423.75</v>
      </c>
      <c r="BF35" s="14">
        <f>'Salaries &amp; Contractuals'!BG44</f>
        <v>85423.75</v>
      </c>
      <c r="BG35" s="14">
        <f>'Salaries &amp; Contractuals'!BH44</f>
        <v>85423.75</v>
      </c>
      <c r="BH35" s="14">
        <f>'Salaries &amp; Contractuals'!BI44</f>
        <v>85423.75</v>
      </c>
      <c r="BI35" s="14">
        <f>'Salaries &amp; Contractuals'!BJ44</f>
        <v>85423.75</v>
      </c>
      <c r="BJ35" s="14">
        <f>'Salaries &amp; Contractuals'!BK44</f>
        <v>85423.75</v>
      </c>
      <c r="BK35" s="14">
        <f>'Salaries &amp; Contractuals'!BL44</f>
        <v>85423.75</v>
      </c>
      <c r="BL35" s="14">
        <f>'Salaries &amp; Contractuals'!BM44</f>
        <v>85423.75</v>
      </c>
      <c r="BM35" s="577">
        <f>'Salaries &amp; Contractuals'!BN44</f>
        <v>85423.75</v>
      </c>
      <c r="BN35" s="14">
        <f>'Salaries &amp; Contractuals'!BO44</f>
        <v>87968.6875</v>
      </c>
      <c r="BO35" s="14">
        <f>'Salaries &amp; Contractuals'!BP44</f>
        <v>87968.6875</v>
      </c>
      <c r="BP35" s="14">
        <f>'Salaries &amp; Contractuals'!BQ44</f>
        <v>87968.6875</v>
      </c>
      <c r="BQ35" s="14">
        <f>'Salaries &amp; Contractuals'!BR44</f>
        <v>87968.6875</v>
      </c>
      <c r="BR35" s="14">
        <f>'Salaries &amp; Contractuals'!BS44</f>
        <v>87968.6875</v>
      </c>
      <c r="BS35" s="14">
        <f>'Salaries &amp; Contractuals'!BT44</f>
        <v>87968.6875</v>
      </c>
      <c r="BT35" s="14">
        <f>'Salaries &amp; Contractuals'!BU44</f>
        <v>87968.6875</v>
      </c>
      <c r="BU35" s="14">
        <f>'Salaries &amp; Contractuals'!BV44</f>
        <v>87968.6875</v>
      </c>
      <c r="BV35" s="14">
        <f>'Salaries &amp; Contractuals'!BW44</f>
        <v>87968.6875</v>
      </c>
      <c r="BW35" s="14">
        <f>'Salaries &amp; Contractuals'!BX44</f>
        <v>87968.6875</v>
      </c>
      <c r="BX35" s="14">
        <f>'Salaries &amp; Contractuals'!BY44</f>
        <v>87968.6875</v>
      </c>
      <c r="BY35" s="577">
        <f>'Salaries &amp; Contractuals'!BZ44</f>
        <v>87968.6875</v>
      </c>
      <c r="BZ35" s="14">
        <f>'Salaries &amp; Contractuals'!CA44</f>
        <v>90640.871875000012</v>
      </c>
      <c r="CA35" s="14">
        <f>'Salaries &amp; Contractuals'!CB44</f>
        <v>90640.871875000012</v>
      </c>
      <c r="CB35" s="14">
        <f>'Salaries &amp; Contractuals'!CC44</f>
        <v>90640.871875000012</v>
      </c>
      <c r="CC35" s="14">
        <f>'Salaries &amp; Contractuals'!CD44</f>
        <v>90640.871875000012</v>
      </c>
      <c r="CD35" s="14">
        <f>'Salaries &amp; Contractuals'!CE44</f>
        <v>90640.871875000012</v>
      </c>
      <c r="CE35" s="14">
        <f>'Salaries &amp; Contractuals'!CF44</f>
        <v>90640.871875000012</v>
      </c>
      <c r="CF35" s="14">
        <f>'Salaries &amp; Contractuals'!CG44</f>
        <v>90640.871875000012</v>
      </c>
      <c r="CG35" s="14">
        <f>'Salaries &amp; Contractuals'!CH44</f>
        <v>90640.871875000012</v>
      </c>
      <c r="CH35" s="14">
        <f>'Salaries &amp; Contractuals'!CI44</f>
        <v>90640.871875000012</v>
      </c>
      <c r="CI35" s="14">
        <f>'Salaries &amp; Contractuals'!CJ44</f>
        <v>90640.871875000012</v>
      </c>
      <c r="CJ35" s="14">
        <f>'Salaries &amp; Contractuals'!CK44</f>
        <v>90640.871875000012</v>
      </c>
      <c r="CK35" s="577">
        <f>'Salaries &amp; Contractuals'!CL44</f>
        <v>90640.871875000012</v>
      </c>
    </row>
    <row r="36" spans="1:89" x14ac:dyDescent="0.2">
      <c r="B36" s="560" t="s">
        <v>9</v>
      </c>
      <c r="C36" s="12"/>
      <c r="F36" s="96">
        <v>6338.31</v>
      </c>
      <c r="G36" s="96">
        <v>1869.05</v>
      </c>
      <c r="H36" s="96">
        <v>0</v>
      </c>
      <c r="I36" s="96">
        <v>0</v>
      </c>
      <c r="J36" s="96">
        <v>0</v>
      </c>
      <c r="K36" s="96">
        <v>0</v>
      </c>
      <c r="L36" s="96">
        <v>676.06</v>
      </c>
      <c r="M36" s="96">
        <v>1944.12</v>
      </c>
      <c r="N36" s="96">
        <v>0</v>
      </c>
      <c r="O36" s="96">
        <v>0</v>
      </c>
      <c r="P36" s="647">
        <f>2600+300+2250+2422</f>
        <v>7572</v>
      </c>
      <c r="Q36" s="648">
        <f>5000+1400+525</f>
        <v>6925</v>
      </c>
      <c r="R36" s="634">
        <v>14200</v>
      </c>
      <c r="S36" s="634">
        <v>2700</v>
      </c>
      <c r="T36" s="634">
        <v>5650</v>
      </c>
      <c r="U36" s="14">
        <v>28600</v>
      </c>
      <c r="V36" s="14">
        <v>17778</v>
      </c>
      <c r="W36" s="14">
        <v>21232</v>
      </c>
      <c r="X36" s="14">
        <v>5550</v>
      </c>
      <c r="Y36" s="14">
        <v>0</v>
      </c>
      <c r="Z36" s="14">
        <v>0</v>
      </c>
      <c r="AA36" s="14">
        <v>0</v>
      </c>
      <c r="AB36" s="14">
        <v>0</v>
      </c>
      <c r="AC36" s="577">
        <v>0</v>
      </c>
      <c r="AD36" s="14">
        <v>0</v>
      </c>
      <c r="AE36" s="14">
        <v>0</v>
      </c>
      <c r="AF36" s="14"/>
      <c r="AG36" s="14">
        <f>'Salaries &amp; Contractuals'!AH57</f>
        <v>22916.666666666672</v>
      </c>
      <c r="AH36" s="14">
        <f>'Salaries &amp; Contractuals'!AI57</f>
        <v>22916.666666666672</v>
      </c>
      <c r="AI36" s="14">
        <f>'Salaries &amp; Contractuals'!AJ57</f>
        <v>45833.333333333336</v>
      </c>
      <c r="AJ36" s="14">
        <f>'Salaries &amp; Contractuals'!AK57</f>
        <v>45833.333333333336</v>
      </c>
      <c r="AK36" s="14">
        <f>'Salaries &amp; Contractuals'!AL57</f>
        <v>55000</v>
      </c>
      <c r="AL36" s="14">
        <f>'Salaries &amp; Contractuals'!AM57</f>
        <v>66458.333333333328</v>
      </c>
      <c r="AM36" s="14">
        <f>'Salaries &amp; Contractuals'!AN57</f>
        <v>66458.333333333328</v>
      </c>
      <c r="AN36" s="14">
        <f>'Salaries &amp; Contractuals'!AO57</f>
        <v>72708.333333333328</v>
      </c>
      <c r="AO36" s="577">
        <f>'Salaries &amp; Contractuals'!AP57</f>
        <v>72708.333333333328</v>
      </c>
      <c r="AP36" s="14">
        <f>'Salaries &amp; Contractuals'!AQ57</f>
        <v>76041.666666666672</v>
      </c>
      <c r="AQ36" s="14">
        <f>'Salaries &amp; Contractuals'!AR57</f>
        <v>76041.666666666672</v>
      </c>
      <c r="AR36" s="14">
        <f>'Salaries &amp; Contractuals'!AS57</f>
        <v>76041.666666666672</v>
      </c>
      <c r="AS36" s="14">
        <f>'Salaries &amp; Contractuals'!AT57</f>
        <v>76041.666666666672</v>
      </c>
      <c r="AT36" s="14">
        <f>'Salaries &amp; Contractuals'!AU57</f>
        <v>76041.666666666672</v>
      </c>
      <c r="AU36" s="14">
        <f>'Salaries &amp; Contractuals'!AV57</f>
        <v>76041.666666666672</v>
      </c>
      <c r="AV36" s="14">
        <f>'Salaries &amp; Contractuals'!AW57</f>
        <v>76041.666666666672</v>
      </c>
      <c r="AW36" s="14">
        <f>'Salaries &amp; Contractuals'!AX57</f>
        <v>76041.666666666672</v>
      </c>
      <c r="AX36" s="14">
        <f>'Salaries &amp; Contractuals'!AY57</f>
        <v>76041.666666666672</v>
      </c>
      <c r="AY36" s="14">
        <f>'Salaries &amp; Contractuals'!AZ57</f>
        <v>76041.666666666672</v>
      </c>
      <c r="AZ36" s="14">
        <f>'Salaries &amp; Contractuals'!BA57</f>
        <v>76041.666666666672</v>
      </c>
      <c r="BA36" s="577">
        <f>'Salaries &amp; Contractuals'!BB57</f>
        <v>76041.666666666672</v>
      </c>
      <c r="BB36" s="14">
        <f>'Salaries &amp; Contractuals'!BC57</f>
        <v>76041.666666666672</v>
      </c>
      <c r="BC36" s="14">
        <f>'Salaries &amp; Contractuals'!BD57</f>
        <v>76041.666666666672</v>
      </c>
      <c r="BD36" s="14">
        <f>'Salaries &amp; Contractuals'!BE57</f>
        <v>76041.666666666672</v>
      </c>
      <c r="BE36" s="14">
        <f>'Salaries &amp; Contractuals'!BF57</f>
        <v>76041.666666666672</v>
      </c>
      <c r="BF36" s="14">
        <f>'Salaries &amp; Contractuals'!BG57</f>
        <v>76041.666666666672</v>
      </c>
      <c r="BG36" s="14">
        <f>'Salaries &amp; Contractuals'!BH57</f>
        <v>76041.666666666672</v>
      </c>
      <c r="BH36" s="14">
        <f>'Salaries &amp; Contractuals'!BI57</f>
        <v>76041.666666666672</v>
      </c>
      <c r="BI36" s="14">
        <f>'Salaries &amp; Contractuals'!BJ57</f>
        <v>76041.666666666672</v>
      </c>
      <c r="BJ36" s="14">
        <f>'Salaries &amp; Contractuals'!BK57</f>
        <v>76041.666666666672</v>
      </c>
      <c r="BK36" s="14">
        <f>'Salaries &amp; Contractuals'!BL57</f>
        <v>76041.666666666672</v>
      </c>
      <c r="BL36" s="14">
        <f>'Salaries &amp; Contractuals'!BM57</f>
        <v>76041.666666666672</v>
      </c>
      <c r="BM36" s="577">
        <f>'Salaries &amp; Contractuals'!BN57</f>
        <v>76041.666666666672</v>
      </c>
      <c r="BN36" s="14">
        <f>'Salaries &amp; Contractuals'!BO57</f>
        <v>76041.666666666672</v>
      </c>
      <c r="BO36" s="14">
        <f>'Salaries &amp; Contractuals'!BP57</f>
        <v>76041.666666666672</v>
      </c>
      <c r="BP36" s="14">
        <f>'Salaries &amp; Contractuals'!BQ57</f>
        <v>76041.666666666672</v>
      </c>
      <c r="BQ36" s="14">
        <f>'Salaries &amp; Contractuals'!BR57</f>
        <v>76041.666666666672</v>
      </c>
      <c r="BR36" s="14">
        <f>'Salaries &amp; Contractuals'!BS57</f>
        <v>76041.666666666672</v>
      </c>
      <c r="BS36" s="14">
        <f>'Salaries &amp; Contractuals'!BT57</f>
        <v>76041.666666666672</v>
      </c>
      <c r="BT36" s="14">
        <f>'Salaries &amp; Contractuals'!BU57</f>
        <v>76041.666666666672</v>
      </c>
      <c r="BU36" s="14">
        <f>'Salaries &amp; Contractuals'!BV57</f>
        <v>76041.666666666672</v>
      </c>
      <c r="BV36" s="14">
        <f>'Salaries &amp; Contractuals'!BW57</f>
        <v>76041.666666666672</v>
      </c>
      <c r="BW36" s="14">
        <f>'Salaries &amp; Contractuals'!BX57</f>
        <v>76041.666666666672</v>
      </c>
      <c r="BX36" s="14">
        <f>'Salaries &amp; Contractuals'!BY57</f>
        <v>76041.666666666672</v>
      </c>
      <c r="BY36" s="577">
        <f>'Salaries &amp; Contractuals'!BZ57</f>
        <v>76041.666666666672</v>
      </c>
      <c r="BZ36" s="14">
        <f>'Salaries &amp; Contractuals'!CA57</f>
        <v>76041.666666666672</v>
      </c>
      <c r="CA36" s="14">
        <f>'Salaries &amp; Contractuals'!CB57</f>
        <v>76041.666666666672</v>
      </c>
      <c r="CB36" s="14">
        <f>'Salaries &amp; Contractuals'!CC57</f>
        <v>76041.666666666672</v>
      </c>
      <c r="CC36" s="14">
        <f>'Salaries &amp; Contractuals'!CD57</f>
        <v>76041.666666666672</v>
      </c>
      <c r="CD36" s="14">
        <f>'Salaries &amp; Contractuals'!CE57</f>
        <v>76041.666666666672</v>
      </c>
      <c r="CE36" s="14">
        <f>'Salaries &amp; Contractuals'!CF57</f>
        <v>76041.666666666672</v>
      </c>
      <c r="CF36" s="14">
        <f>'Salaries &amp; Contractuals'!CG57</f>
        <v>76041.666666666672</v>
      </c>
      <c r="CG36" s="14">
        <f>'Salaries &amp; Contractuals'!CH57</f>
        <v>76041.666666666672</v>
      </c>
      <c r="CH36" s="14">
        <f>'Salaries &amp; Contractuals'!CI57</f>
        <v>76041.666666666672</v>
      </c>
      <c r="CI36" s="14">
        <f>'Salaries &amp; Contractuals'!CJ57</f>
        <v>76041.666666666672</v>
      </c>
      <c r="CJ36" s="14">
        <f>'Salaries &amp; Contractuals'!CK57</f>
        <v>76041.666666666672</v>
      </c>
      <c r="CK36" s="577">
        <f>'Salaries &amp; Contractuals'!CL57</f>
        <v>76041.666666666672</v>
      </c>
    </row>
    <row r="37" spans="1:89" s="2" customFormat="1" x14ac:dyDescent="0.2">
      <c r="A37" s="570"/>
      <c r="B37" s="561" t="s">
        <v>126</v>
      </c>
      <c r="C37" s="166"/>
      <c r="D37" s="167"/>
      <c r="E37" s="167"/>
      <c r="F37" s="168">
        <f t="shared" ref="F37:BA37" si="52">SUM(F34:F36)</f>
        <v>62192.2</v>
      </c>
      <c r="G37" s="168">
        <f t="shared" si="52"/>
        <v>66067.459999999992</v>
      </c>
      <c r="H37" s="168">
        <f t="shared" si="52"/>
        <v>95395.22</v>
      </c>
      <c r="I37" s="168">
        <f t="shared" si="52"/>
        <v>66150.11</v>
      </c>
      <c r="J37" s="168">
        <f t="shared" si="52"/>
        <v>63485.15</v>
      </c>
      <c r="K37" s="168">
        <f t="shared" si="52"/>
        <v>69016.759999999995</v>
      </c>
      <c r="L37" s="168">
        <f t="shared" si="52"/>
        <v>79096.079999999987</v>
      </c>
      <c r="M37" s="168">
        <f t="shared" si="52"/>
        <v>50076.030000000006</v>
      </c>
      <c r="N37" s="168">
        <f t="shared" si="52"/>
        <v>69543.240000000005</v>
      </c>
      <c r="O37" s="168">
        <f t="shared" si="52"/>
        <v>72345.39</v>
      </c>
      <c r="P37" s="649">
        <f t="shared" si="52"/>
        <v>84484.42</v>
      </c>
      <c r="Q37" s="650">
        <f t="shared" si="52"/>
        <v>87480.26</v>
      </c>
      <c r="R37" s="651">
        <f t="shared" si="52"/>
        <v>93513.91</v>
      </c>
      <c r="S37" s="651">
        <f t="shared" si="52"/>
        <v>94658.34</v>
      </c>
      <c r="T37" s="651">
        <f t="shared" si="52"/>
        <v>142705.95000000001</v>
      </c>
      <c r="U37" s="168">
        <f t="shared" si="52"/>
        <v>172364.61</v>
      </c>
      <c r="V37" s="168">
        <f t="shared" si="52"/>
        <v>133584.02000000002</v>
      </c>
      <c r="W37" s="168">
        <f t="shared" si="52"/>
        <v>132867.1</v>
      </c>
      <c r="X37" s="168">
        <f t="shared" si="52"/>
        <v>104762.6</v>
      </c>
      <c r="Y37" s="168">
        <f t="shared" si="52"/>
        <v>111955.38</v>
      </c>
      <c r="Z37" s="168">
        <f t="shared" ref="Z37:AA37" si="53">SUM(Z34:Z36)</f>
        <v>91885.96</v>
      </c>
      <c r="AA37" s="168">
        <f t="shared" si="53"/>
        <v>91885.96</v>
      </c>
      <c r="AB37" s="168">
        <f t="shared" ref="AB37:AE37" si="54">SUM(AB34:AB36)</f>
        <v>91885.96</v>
      </c>
      <c r="AC37" s="613">
        <f t="shared" si="54"/>
        <v>91885.96</v>
      </c>
      <c r="AD37" s="168">
        <f t="shared" si="54"/>
        <v>81320</v>
      </c>
      <c r="AE37" s="168">
        <f t="shared" si="54"/>
        <v>61320</v>
      </c>
      <c r="AF37" s="168">
        <f t="shared" si="52"/>
        <v>61320</v>
      </c>
      <c r="AG37" s="168">
        <f t="shared" si="52"/>
        <v>120254.16666666667</v>
      </c>
      <c r="AH37" s="168">
        <f t="shared" si="52"/>
        <v>134004.16666666669</v>
      </c>
      <c r="AI37" s="168">
        <f t="shared" si="52"/>
        <v>180920.83333333334</v>
      </c>
      <c r="AJ37" s="168">
        <f t="shared" si="52"/>
        <v>180920.83333333334</v>
      </c>
      <c r="AK37" s="168">
        <f t="shared" si="52"/>
        <v>207504.16666666666</v>
      </c>
      <c r="AL37" s="168">
        <f t="shared" si="52"/>
        <v>225212.5</v>
      </c>
      <c r="AM37" s="168">
        <f t="shared" si="52"/>
        <v>225212.5</v>
      </c>
      <c r="AN37" s="168">
        <f t="shared" si="52"/>
        <v>231462.5</v>
      </c>
      <c r="AO37" s="613">
        <f t="shared" si="52"/>
        <v>231462.5</v>
      </c>
      <c r="AP37" s="168">
        <f t="shared" si="52"/>
        <v>267269.79166666669</v>
      </c>
      <c r="AQ37" s="168">
        <f t="shared" si="52"/>
        <v>267269.79166666669</v>
      </c>
      <c r="AR37" s="168">
        <f t="shared" si="52"/>
        <v>276019.79166666669</v>
      </c>
      <c r="AS37" s="168">
        <f t="shared" si="52"/>
        <v>276019.79166666669</v>
      </c>
      <c r="AT37" s="168">
        <f t="shared" si="52"/>
        <v>276019.79166666669</v>
      </c>
      <c r="AU37" s="168">
        <f>SUM(AU34:AU36)</f>
        <v>276019.79166666669</v>
      </c>
      <c r="AV37" s="168">
        <f t="shared" si="52"/>
        <v>276019.79166666669</v>
      </c>
      <c r="AW37" s="168">
        <f t="shared" si="52"/>
        <v>276019.79166666669</v>
      </c>
      <c r="AX37" s="168">
        <f t="shared" si="52"/>
        <v>276019.79166666669</v>
      </c>
      <c r="AY37" s="168">
        <f t="shared" si="52"/>
        <v>276019.79166666669</v>
      </c>
      <c r="AZ37" s="168">
        <f t="shared" si="52"/>
        <v>276019.79166666669</v>
      </c>
      <c r="BA37" s="613">
        <f t="shared" si="52"/>
        <v>276019.79166666669</v>
      </c>
      <c r="BB37" s="168">
        <f t="shared" ref="BB37:BF37" si="55">SUM(BB34:BB36)</f>
        <v>285815.41666666669</v>
      </c>
      <c r="BC37" s="168">
        <f t="shared" si="55"/>
        <v>285815.41666666669</v>
      </c>
      <c r="BD37" s="168">
        <f t="shared" si="55"/>
        <v>285815.41666666669</v>
      </c>
      <c r="BE37" s="168">
        <f t="shared" si="55"/>
        <v>285815.41666666669</v>
      </c>
      <c r="BF37" s="168">
        <f t="shared" si="55"/>
        <v>285815.41666666669</v>
      </c>
      <c r="BG37" s="168">
        <f>SUM(BG34:BG36)</f>
        <v>285815.41666666669</v>
      </c>
      <c r="BH37" s="168">
        <f t="shared" ref="BH37:BR37" si="56">SUM(BH34:BH36)</f>
        <v>285815.41666666669</v>
      </c>
      <c r="BI37" s="168">
        <f t="shared" si="56"/>
        <v>285815.41666666669</v>
      </c>
      <c r="BJ37" s="168">
        <f t="shared" si="56"/>
        <v>285815.41666666669</v>
      </c>
      <c r="BK37" s="168">
        <f t="shared" si="56"/>
        <v>285815.41666666669</v>
      </c>
      <c r="BL37" s="168">
        <f t="shared" si="56"/>
        <v>285815.41666666669</v>
      </c>
      <c r="BM37" s="613">
        <f t="shared" si="56"/>
        <v>285815.41666666669</v>
      </c>
      <c r="BN37" s="168">
        <f t="shared" si="56"/>
        <v>288360.35416666669</v>
      </c>
      <c r="BO37" s="168">
        <f t="shared" si="56"/>
        <v>288360.35416666669</v>
      </c>
      <c r="BP37" s="168">
        <f t="shared" si="56"/>
        <v>288360.35416666669</v>
      </c>
      <c r="BQ37" s="168">
        <f t="shared" si="56"/>
        <v>288360.35416666669</v>
      </c>
      <c r="BR37" s="168">
        <f t="shared" si="56"/>
        <v>288360.35416666669</v>
      </c>
      <c r="BS37" s="168">
        <f>SUM(BS34:BS36)</f>
        <v>288360.35416666669</v>
      </c>
      <c r="BT37" s="168">
        <f t="shared" ref="BT37:CD37" si="57">SUM(BT34:BT36)</f>
        <v>288360.35416666669</v>
      </c>
      <c r="BU37" s="168">
        <f t="shared" si="57"/>
        <v>288360.35416666669</v>
      </c>
      <c r="BV37" s="168">
        <f t="shared" si="57"/>
        <v>288360.35416666669</v>
      </c>
      <c r="BW37" s="168">
        <f t="shared" si="57"/>
        <v>288360.35416666669</v>
      </c>
      <c r="BX37" s="168">
        <f t="shared" si="57"/>
        <v>288360.35416666669</v>
      </c>
      <c r="BY37" s="613">
        <f t="shared" si="57"/>
        <v>288360.35416666669</v>
      </c>
      <c r="BZ37" s="168">
        <f t="shared" si="57"/>
        <v>291032.5385416667</v>
      </c>
      <c r="CA37" s="168">
        <f t="shared" si="57"/>
        <v>291032.5385416667</v>
      </c>
      <c r="CB37" s="168">
        <f t="shared" si="57"/>
        <v>291032.5385416667</v>
      </c>
      <c r="CC37" s="168">
        <f t="shared" si="57"/>
        <v>291032.5385416667</v>
      </c>
      <c r="CD37" s="168">
        <f t="shared" si="57"/>
        <v>291032.5385416667</v>
      </c>
      <c r="CE37" s="168">
        <f>SUM(CE34:CE36)</f>
        <v>291032.5385416667</v>
      </c>
      <c r="CF37" s="168">
        <f t="shared" ref="CF37:CK37" si="58">SUM(CF34:CF36)</f>
        <v>291032.5385416667</v>
      </c>
      <c r="CG37" s="168">
        <f t="shared" si="58"/>
        <v>291032.5385416667</v>
      </c>
      <c r="CH37" s="168">
        <f t="shared" si="58"/>
        <v>291032.5385416667</v>
      </c>
      <c r="CI37" s="168">
        <f t="shared" si="58"/>
        <v>291032.5385416667</v>
      </c>
      <c r="CJ37" s="168">
        <f t="shared" si="58"/>
        <v>291032.5385416667</v>
      </c>
      <c r="CK37" s="613">
        <f t="shared" si="58"/>
        <v>291032.5385416667</v>
      </c>
    </row>
    <row r="38" spans="1:89" s="2" customFormat="1" x14ac:dyDescent="0.2">
      <c r="A38" s="570"/>
      <c r="B38" s="562"/>
      <c r="C38" s="105"/>
      <c r="D38" s="138"/>
      <c r="E38" s="138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652"/>
      <c r="Q38" s="653"/>
      <c r="R38" s="654"/>
      <c r="S38" s="654"/>
      <c r="T38" s="654"/>
      <c r="U38" s="106"/>
      <c r="V38" s="106"/>
      <c r="W38" s="106"/>
      <c r="X38" s="106"/>
      <c r="Y38" s="106"/>
      <c r="Z38" s="106"/>
      <c r="AA38" s="106"/>
      <c r="AB38" s="106"/>
      <c r="AC38" s="614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614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614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614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614"/>
      <c r="BZ38" s="106"/>
      <c r="CA38" s="106"/>
      <c r="CB38" s="106"/>
      <c r="CC38" s="106"/>
      <c r="CD38" s="106"/>
      <c r="CE38" s="106"/>
      <c r="CF38" s="106"/>
      <c r="CG38" s="106"/>
      <c r="CH38" s="106"/>
      <c r="CI38" s="106"/>
      <c r="CJ38" s="106"/>
      <c r="CK38" s="614"/>
    </row>
    <row r="39" spans="1:89" s="2" customFormat="1" x14ac:dyDescent="0.2">
      <c r="A39" s="570"/>
      <c r="B39" s="562" t="s">
        <v>18</v>
      </c>
      <c r="C39" s="171">
        <v>0.12</v>
      </c>
      <c r="D39" s="22"/>
      <c r="E39" s="22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647"/>
      <c r="Q39" s="648"/>
      <c r="R39" s="634"/>
      <c r="S39" s="634"/>
      <c r="T39" s="634"/>
      <c r="U39" s="14"/>
      <c r="V39" s="14"/>
      <c r="W39" s="14"/>
      <c r="X39" s="14"/>
      <c r="Y39" s="14"/>
      <c r="Z39" s="14"/>
      <c r="AA39" s="14"/>
      <c r="AB39" s="14"/>
      <c r="AC39" s="577"/>
      <c r="AD39" s="14"/>
      <c r="AE39" s="14"/>
      <c r="AF39" s="14">
        <f t="shared" ref="AF39:BA39" si="59">(SUM(AF34:AF36))*$C39</f>
        <v>7358.4</v>
      </c>
      <c r="AG39" s="14">
        <f t="shared" si="59"/>
        <v>14430.5</v>
      </c>
      <c r="AH39" s="14">
        <f t="shared" si="59"/>
        <v>16080.500000000002</v>
      </c>
      <c r="AI39" s="14">
        <f t="shared" si="59"/>
        <v>21710.5</v>
      </c>
      <c r="AJ39" s="14">
        <f t="shared" si="59"/>
        <v>21710.5</v>
      </c>
      <c r="AK39" s="14">
        <f t="shared" si="59"/>
        <v>24900.499999999996</v>
      </c>
      <c r="AL39" s="14">
        <f t="shared" si="59"/>
        <v>27025.5</v>
      </c>
      <c r="AM39" s="14">
        <f t="shared" si="59"/>
        <v>27025.5</v>
      </c>
      <c r="AN39" s="14">
        <f t="shared" si="59"/>
        <v>27775.5</v>
      </c>
      <c r="AO39" s="577">
        <f t="shared" si="59"/>
        <v>27775.5</v>
      </c>
      <c r="AP39" s="14">
        <f t="shared" si="59"/>
        <v>32072.375</v>
      </c>
      <c r="AQ39" s="14">
        <f t="shared" si="59"/>
        <v>32072.375</v>
      </c>
      <c r="AR39" s="14">
        <f t="shared" si="59"/>
        <v>33122.375</v>
      </c>
      <c r="AS39" s="14">
        <f t="shared" si="59"/>
        <v>33122.375</v>
      </c>
      <c r="AT39" s="14">
        <f t="shared" si="59"/>
        <v>33122.375</v>
      </c>
      <c r="AU39" s="14">
        <f t="shared" si="59"/>
        <v>33122.375</v>
      </c>
      <c r="AV39" s="14">
        <f t="shared" si="59"/>
        <v>33122.375</v>
      </c>
      <c r="AW39" s="14">
        <f t="shared" si="59"/>
        <v>33122.375</v>
      </c>
      <c r="AX39" s="14">
        <f t="shared" si="59"/>
        <v>33122.375</v>
      </c>
      <c r="AY39" s="14">
        <f t="shared" si="59"/>
        <v>33122.375</v>
      </c>
      <c r="AZ39" s="14">
        <f t="shared" si="59"/>
        <v>33122.375</v>
      </c>
      <c r="BA39" s="577">
        <f t="shared" si="59"/>
        <v>33122.375</v>
      </c>
      <c r="BB39" s="14">
        <f t="shared" ref="BB39:BM39" si="60">(SUM(BB34:BB36))*$C39</f>
        <v>34297.85</v>
      </c>
      <c r="BC39" s="14">
        <f t="shared" si="60"/>
        <v>34297.85</v>
      </c>
      <c r="BD39" s="14">
        <f t="shared" si="60"/>
        <v>34297.85</v>
      </c>
      <c r="BE39" s="14">
        <f t="shared" si="60"/>
        <v>34297.85</v>
      </c>
      <c r="BF39" s="14">
        <f t="shared" si="60"/>
        <v>34297.85</v>
      </c>
      <c r="BG39" s="14">
        <f t="shared" si="60"/>
        <v>34297.85</v>
      </c>
      <c r="BH39" s="14">
        <f t="shared" si="60"/>
        <v>34297.85</v>
      </c>
      <c r="BI39" s="14">
        <f t="shared" si="60"/>
        <v>34297.85</v>
      </c>
      <c r="BJ39" s="14">
        <f t="shared" si="60"/>
        <v>34297.85</v>
      </c>
      <c r="BK39" s="14">
        <f t="shared" si="60"/>
        <v>34297.85</v>
      </c>
      <c r="BL39" s="14">
        <f t="shared" si="60"/>
        <v>34297.85</v>
      </c>
      <c r="BM39" s="577">
        <f t="shared" si="60"/>
        <v>34297.85</v>
      </c>
      <c r="BN39" s="14">
        <f t="shared" ref="BN39:BY39" si="61">(SUM(BN34:BN36))*$C39</f>
        <v>34603.2425</v>
      </c>
      <c r="BO39" s="14">
        <f t="shared" si="61"/>
        <v>34603.2425</v>
      </c>
      <c r="BP39" s="14">
        <f t="shared" si="61"/>
        <v>34603.2425</v>
      </c>
      <c r="BQ39" s="14">
        <f t="shared" si="61"/>
        <v>34603.2425</v>
      </c>
      <c r="BR39" s="14">
        <f t="shared" si="61"/>
        <v>34603.2425</v>
      </c>
      <c r="BS39" s="14">
        <f t="shared" si="61"/>
        <v>34603.2425</v>
      </c>
      <c r="BT39" s="14">
        <f t="shared" si="61"/>
        <v>34603.2425</v>
      </c>
      <c r="BU39" s="14">
        <f t="shared" si="61"/>
        <v>34603.2425</v>
      </c>
      <c r="BV39" s="14">
        <f t="shared" si="61"/>
        <v>34603.2425</v>
      </c>
      <c r="BW39" s="14">
        <f t="shared" si="61"/>
        <v>34603.2425</v>
      </c>
      <c r="BX39" s="14">
        <f t="shared" si="61"/>
        <v>34603.2425</v>
      </c>
      <c r="BY39" s="577">
        <f t="shared" si="61"/>
        <v>34603.2425</v>
      </c>
      <c r="BZ39" s="14">
        <f t="shared" ref="BZ39:CK39" si="62">(SUM(BZ34:BZ36))*$C39</f>
        <v>34923.904625000003</v>
      </c>
      <c r="CA39" s="14">
        <f t="shared" si="62"/>
        <v>34923.904625000003</v>
      </c>
      <c r="CB39" s="14">
        <f t="shared" si="62"/>
        <v>34923.904625000003</v>
      </c>
      <c r="CC39" s="14">
        <f t="shared" si="62"/>
        <v>34923.904625000003</v>
      </c>
      <c r="CD39" s="14">
        <f t="shared" si="62"/>
        <v>34923.904625000003</v>
      </c>
      <c r="CE39" s="14">
        <f t="shared" si="62"/>
        <v>34923.904625000003</v>
      </c>
      <c r="CF39" s="14">
        <f t="shared" si="62"/>
        <v>34923.904625000003</v>
      </c>
      <c r="CG39" s="14">
        <f t="shared" si="62"/>
        <v>34923.904625000003</v>
      </c>
      <c r="CH39" s="14">
        <f t="shared" si="62"/>
        <v>34923.904625000003</v>
      </c>
      <c r="CI39" s="14">
        <f t="shared" si="62"/>
        <v>34923.904625000003</v>
      </c>
      <c r="CJ39" s="14">
        <f t="shared" si="62"/>
        <v>34923.904625000003</v>
      </c>
      <c r="CK39" s="577">
        <f t="shared" si="62"/>
        <v>34923.904625000003</v>
      </c>
    </row>
    <row r="40" spans="1:89" s="2" customFormat="1" x14ac:dyDescent="0.2">
      <c r="A40" s="570"/>
      <c r="B40" s="562"/>
      <c r="C40" s="171"/>
      <c r="D40" s="22"/>
      <c r="E40" s="22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647"/>
      <c r="Q40" s="648"/>
      <c r="R40" s="634"/>
      <c r="S40" s="634"/>
      <c r="T40" s="634"/>
      <c r="U40" s="14"/>
      <c r="V40" s="14"/>
      <c r="W40" s="14"/>
      <c r="X40" s="14"/>
      <c r="Y40" s="14"/>
      <c r="Z40" s="14"/>
      <c r="AA40" s="14"/>
      <c r="AB40" s="14"/>
      <c r="AC40" s="577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577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577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577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577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577"/>
    </row>
    <row r="41" spans="1:89" s="2" customFormat="1" x14ac:dyDescent="0.2">
      <c r="A41" s="570"/>
      <c r="B41" s="562" t="s">
        <v>228</v>
      </c>
      <c r="C41" s="171"/>
      <c r="D41" s="22"/>
      <c r="E41" s="22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647"/>
      <c r="Q41" s="648"/>
      <c r="R41" s="646"/>
      <c r="S41" s="646">
        <v>3168</v>
      </c>
      <c r="T41" s="646">
        <v>5280</v>
      </c>
      <c r="U41" s="14"/>
      <c r="V41" s="14">
        <f>'Salaries &amp; Contractuals'!W71</f>
        <v>0</v>
      </c>
      <c r="W41" s="14">
        <f>'Salaries &amp; Contractuals'!X71</f>
        <v>0</v>
      </c>
      <c r="X41" s="14">
        <f>'Salaries &amp; Contractuals'!Y71</f>
        <v>0</v>
      </c>
      <c r="Y41" s="14">
        <f>'Salaries &amp; Contractuals'!Z71</f>
        <v>0</v>
      </c>
      <c r="Z41" s="14">
        <f>'Salaries &amp; Contractuals'!AA71</f>
        <v>0</v>
      </c>
      <c r="AA41" s="14">
        <f>'Salaries &amp; Contractuals'!AB71</f>
        <v>0</v>
      </c>
      <c r="AB41" s="14">
        <f>'Salaries &amp; Contractuals'!AC71</f>
        <v>0</v>
      </c>
      <c r="AC41" s="577">
        <f>'Salaries &amp; Contractuals'!AD71</f>
        <v>0</v>
      </c>
      <c r="AD41" s="14">
        <f>'Salaries &amp; Contractuals'!AE71</f>
        <v>0</v>
      </c>
      <c r="AE41" s="14">
        <f>'Salaries &amp; Contractuals'!AF71</f>
        <v>0</v>
      </c>
      <c r="AF41" s="12">
        <f>'Salaries &amp; Contractuals'!AG71</f>
        <v>0</v>
      </c>
      <c r="AG41" s="12">
        <f>'Salaries &amp; Contractuals'!AH71</f>
        <v>0</v>
      </c>
      <c r="AH41" s="12">
        <f>'Salaries &amp; Contractuals'!AI71</f>
        <v>0</v>
      </c>
      <c r="AI41" s="12">
        <f>'Salaries &amp; Contractuals'!AJ71</f>
        <v>0</v>
      </c>
      <c r="AJ41" s="12">
        <f>'Salaries &amp; Contractuals'!AK71</f>
        <v>0</v>
      </c>
      <c r="AK41" s="12">
        <f>'Salaries &amp; Contractuals'!AL71</f>
        <v>0</v>
      </c>
      <c r="AL41" s="12">
        <f>'Salaries &amp; Contractuals'!AM71</f>
        <v>0</v>
      </c>
      <c r="AM41" s="12">
        <f>'Salaries &amp; Contractuals'!AN71</f>
        <v>0</v>
      </c>
      <c r="AN41" s="12">
        <f>'Salaries &amp; Contractuals'!AO71</f>
        <v>0</v>
      </c>
      <c r="AO41" s="578">
        <f>'Salaries &amp; Contractuals'!AP71</f>
        <v>0</v>
      </c>
      <c r="AP41" s="12">
        <f>'Salaries &amp; Contractuals'!AQ71</f>
        <v>0</v>
      </c>
      <c r="AQ41" s="12">
        <f>'Salaries &amp; Contractuals'!AR71</f>
        <v>0</v>
      </c>
      <c r="AR41" s="12">
        <f>'Salaries &amp; Contractuals'!AS71</f>
        <v>0</v>
      </c>
      <c r="AS41" s="12">
        <f>'Salaries &amp; Contractuals'!AT71</f>
        <v>0</v>
      </c>
      <c r="AT41" s="12">
        <f>'Salaries &amp; Contractuals'!AU71</f>
        <v>0</v>
      </c>
      <c r="AU41" s="12">
        <f>'Salaries &amp; Contractuals'!AV71</f>
        <v>0</v>
      </c>
      <c r="AV41" s="12">
        <f>'Salaries &amp; Contractuals'!AW71</f>
        <v>0</v>
      </c>
      <c r="AW41" s="12">
        <f>'Salaries &amp; Contractuals'!AX71</f>
        <v>0</v>
      </c>
      <c r="AX41" s="12">
        <f>'Salaries &amp; Contractuals'!AY71</f>
        <v>0</v>
      </c>
      <c r="AY41" s="12">
        <f>'Salaries &amp; Contractuals'!AZ71</f>
        <v>0</v>
      </c>
      <c r="AZ41" s="12">
        <f>'Salaries &amp; Contractuals'!BA71</f>
        <v>0</v>
      </c>
      <c r="BA41" s="578">
        <f>'Salaries &amp; Contractuals'!BB71</f>
        <v>0</v>
      </c>
      <c r="BB41" s="12">
        <f>'Salaries &amp; Contractuals'!BC71</f>
        <v>0</v>
      </c>
      <c r="BC41" s="12">
        <f>'Salaries &amp; Contractuals'!BD71</f>
        <v>0</v>
      </c>
      <c r="BD41" s="12">
        <f>'Salaries &amp; Contractuals'!BE71</f>
        <v>0</v>
      </c>
      <c r="BE41" s="12">
        <f>'Salaries &amp; Contractuals'!BF71</f>
        <v>0</v>
      </c>
      <c r="BF41" s="12">
        <f>'Salaries &amp; Contractuals'!BG71</f>
        <v>0</v>
      </c>
      <c r="BG41" s="12">
        <f>'Salaries &amp; Contractuals'!BH71</f>
        <v>0</v>
      </c>
      <c r="BH41" s="12">
        <f>'Salaries &amp; Contractuals'!BI71</f>
        <v>0</v>
      </c>
      <c r="BI41" s="12">
        <f>'Salaries &amp; Contractuals'!BJ71</f>
        <v>0</v>
      </c>
      <c r="BJ41" s="12">
        <f>'Salaries &amp; Contractuals'!BK71</f>
        <v>0</v>
      </c>
      <c r="BK41" s="12">
        <f>'Salaries &amp; Contractuals'!BL71</f>
        <v>0</v>
      </c>
      <c r="BL41" s="12">
        <f>'Salaries &amp; Contractuals'!BM71</f>
        <v>0</v>
      </c>
      <c r="BM41" s="578">
        <f>'Salaries &amp; Contractuals'!BN71</f>
        <v>0</v>
      </c>
      <c r="BN41" s="12">
        <f>'Salaries &amp; Contractuals'!BO71</f>
        <v>0</v>
      </c>
      <c r="BO41" s="12">
        <f>'Salaries &amp; Contractuals'!BP71</f>
        <v>0</v>
      </c>
      <c r="BP41" s="12">
        <f>'Salaries &amp; Contractuals'!BQ71</f>
        <v>0</v>
      </c>
      <c r="BQ41" s="12">
        <f>'Salaries &amp; Contractuals'!BR71</f>
        <v>0</v>
      </c>
      <c r="BR41" s="12">
        <f>'Salaries &amp; Contractuals'!BS71</f>
        <v>0</v>
      </c>
      <c r="BS41" s="12">
        <f>'Salaries &amp; Contractuals'!BT71</f>
        <v>0</v>
      </c>
      <c r="BT41" s="12">
        <f>'Salaries &amp; Contractuals'!BU71</f>
        <v>0</v>
      </c>
      <c r="BU41" s="12">
        <f>'Salaries &amp; Contractuals'!BV71</f>
        <v>0</v>
      </c>
      <c r="BV41" s="12">
        <f>'Salaries &amp; Contractuals'!BW71</f>
        <v>0</v>
      </c>
      <c r="BW41" s="12">
        <f>'Salaries &amp; Contractuals'!BX71</f>
        <v>0</v>
      </c>
      <c r="BX41" s="12">
        <f>'Salaries &amp; Contractuals'!BY71</f>
        <v>0</v>
      </c>
      <c r="BY41" s="578">
        <f>'Salaries &amp; Contractuals'!BZ71</f>
        <v>0</v>
      </c>
      <c r="BZ41" s="12">
        <f>'Salaries &amp; Contractuals'!CA71</f>
        <v>0</v>
      </c>
      <c r="CA41" s="12">
        <f>'Salaries &amp; Contractuals'!CB71</f>
        <v>0</v>
      </c>
      <c r="CB41" s="12">
        <f>'Salaries &amp; Contractuals'!CC71</f>
        <v>0</v>
      </c>
      <c r="CC41" s="12">
        <f>'Salaries &amp; Contractuals'!CD71</f>
        <v>0</v>
      </c>
      <c r="CD41" s="12">
        <f>'Salaries &amp; Contractuals'!CE71</f>
        <v>0</v>
      </c>
      <c r="CE41" s="12">
        <f>'Salaries &amp; Contractuals'!CF71</f>
        <v>0</v>
      </c>
      <c r="CF41" s="12">
        <f>'Salaries &amp; Contractuals'!CG71</f>
        <v>0</v>
      </c>
      <c r="CG41" s="12">
        <f>'Salaries &amp; Contractuals'!CH71</f>
        <v>0</v>
      </c>
      <c r="CH41" s="12">
        <f>'Salaries &amp; Contractuals'!CI71</f>
        <v>0</v>
      </c>
      <c r="CI41" s="12">
        <f>'Salaries &amp; Contractuals'!CJ71</f>
        <v>0</v>
      </c>
      <c r="CJ41" s="12">
        <f>'Salaries &amp; Contractuals'!CK71</f>
        <v>0</v>
      </c>
      <c r="CK41" s="578">
        <f>'Salaries &amp; Contractuals'!CL71</f>
        <v>0</v>
      </c>
    </row>
    <row r="42" spans="1:89" s="2" customFormat="1" x14ac:dyDescent="0.2">
      <c r="A42" s="570"/>
      <c r="B42" s="562" t="s">
        <v>229</v>
      </c>
      <c r="C42" s="171"/>
      <c r="D42" s="22"/>
      <c r="E42" s="22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647">
        <f>0.87+5497.4+15000+9000+31035.9</f>
        <v>60534.17</v>
      </c>
      <c r="Q42" s="648">
        <f>15000+9000+15000+41934.91</f>
        <v>80934.91</v>
      </c>
      <c r="R42" s="646">
        <f>19229.24+24000</f>
        <v>43229.240000000005</v>
      </c>
      <c r="S42" s="646">
        <f>37523.37+29000</f>
        <v>66523.37</v>
      </c>
      <c r="T42" s="646">
        <f>24998.48+24000</f>
        <v>48998.479999999996</v>
      </c>
      <c r="U42" s="14">
        <v>0</v>
      </c>
      <c r="V42" s="14">
        <v>0</v>
      </c>
      <c r="W42" s="14">
        <v>0</v>
      </c>
      <c r="X42" s="14">
        <v>0</v>
      </c>
      <c r="Y42" s="14">
        <f>14475-3750</f>
        <v>10725</v>
      </c>
      <c r="Z42" s="14">
        <f>25357.38-3750</f>
        <v>21607.38</v>
      </c>
      <c r="AA42" s="14">
        <v>10000</v>
      </c>
      <c r="AB42" s="14">
        <v>10000</v>
      </c>
      <c r="AC42" s="577">
        <v>10000</v>
      </c>
      <c r="AD42" s="14">
        <v>5000</v>
      </c>
      <c r="AE42" s="14">
        <v>5000</v>
      </c>
      <c r="AF42" s="14">
        <v>5000</v>
      </c>
      <c r="AG42" s="14">
        <v>5000</v>
      </c>
      <c r="AH42" s="14">
        <v>5000</v>
      </c>
      <c r="AI42" s="14">
        <v>5000</v>
      </c>
      <c r="AJ42" s="14">
        <v>5000</v>
      </c>
      <c r="AK42" s="14">
        <v>5000</v>
      </c>
      <c r="AL42" s="14">
        <v>5000</v>
      </c>
      <c r="AM42" s="14">
        <v>5000</v>
      </c>
      <c r="AN42" s="14">
        <v>5000</v>
      </c>
      <c r="AO42" s="578">
        <f>'Salaries &amp; Contractuals'!AP82</f>
        <v>0</v>
      </c>
      <c r="AP42" s="12">
        <f>'Salaries &amp; Contractuals'!AQ82</f>
        <v>0</v>
      </c>
      <c r="AQ42" s="12">
        <f>'Salaries &amp; Contractuals'!AR82</f>
        <v>0</v>
      </c>
      <c r="AR42" s="12">
        <f>'Salaries &amp; Contractuals'!AS82</f>
        <v>0</v>
      </c>
      <c r="AS42" s="12">
        <f>'Salaries &amp; Contractuals'!AT82</f>
        <v>0</v>
      </c>
      <c r="AT42" s="12">
        <f>'Salaries &amp; Contractuals'!AU82</f>
        <v>0</v>
      </c>
      <c r="AU42" s="12">
        <f>'Salaries &amp; Contractuals'!AV82</f>
        <v>0</v>
      </c>
      <c r="AV42" s="12">
        <f>'Salaries &amp; Contractuals'!AW82</f>
        <v>0</v>
      </c>
      <c r="AW42" s="12">
        <f>'Salaries &amp; Contractuals'!AX82</f>
        <v>0</v>
      </c>
      <c r="AX42" s="12">
        <f>'Salaries &amp; Contractuals'!AY82</f>
        <v>0</v>
      </c>
      <c r="AY42" s="12">
        <f>'Salaries &amp; Contractuals'!AZ82</f>
        <v>0</v>
      </c>
      <c r="AZ42" s="12">
        <f>'Salaries &amp; Contractuals'!BA82</f>
        <v>0</v>
      </c>
      <c r="BA42" s="578">
        <f>'Salaries &amp; Contractuals'!BB82</f>
        <v>0</v>
      </c>
      <c r="BB42" s="12">
        <f>'Salaries &amp; Contractuals'!BC82</f>
        <v>0</v>
      </c>
      <c r="BC42" s="12">
        <f>'Salaries &amp; Contractuals'!BD82</f>
        <v>0</v>
      </c>
      <c r="BD42" s="12">
        <f>'Salaries &amp; Contractuals'!BE82</f>
        <v>0</v>
      </c>
      <c r="BE42" s="12">
        <f>'Salaries &amp; Contractuals'!BF82</f>
        <v>0</v>
      </c>
      <c r="BF42" s="12">
        <f>'Salaries &amp; Contractuals'!BG82</f>
        <v>0</v>
      </c>
      <c r="BG42" s="12">
        <f>'Salaries &amp; Contractuals'!BH82</f>
        <v>0</v>
      </c>
      <c r="BH42" s="12">
        <f>'Salaries &amp; Contractuals'!BI82</f>
        <v>0</v>
      </c>
      <c r="BI42" s="12">
        <f>'Salaries &amp; Contractuals'!BJ82</f>
        <v>0</v>
      </c>
      <c r="BJ42" s="12">
        <f>'Salaries &amp; Contractuals'!BK82</f>
        <v>0</v>
      </c>
      <c r="BK42" s="12">
        <f>'Salaries &amp; Contractuals'!BL82</f>
        <v>0</v>
      </c>
      <c r="BL42" s="12">
        <f>'Salaries &amp; Contractuals'!BM82</f>
        <v>0</v>
      </c>
      <c r="BM42" s="578">
        <f>'Salaries &amp; Contractuals'!BN82</f>
        <v>0</v>
      </c>
      <c r="BN42" s="12">
        <f>'Salaries &amp; Contractuals'!BO82</f>
        <v>0</v>
      </c>
      <c r="BO42" s="12">
        <f>'Salaries &amp; Contractuals'!BP82</f>
        <v>0</v>
      </c>
      <c r="BP42" s="12">
        <f>'Salaries &amp; Contractuals'!BQ82</f>
        <v>0</v>
      </c>
      <c r="BQ42" s="12">
        <f>'Salaries &amp; Contractuals'!BR82</f>
        <v>0</v>
      </c>
      <c r="BR42" s="12">
        <f>'Salaries &amp; Contractuals'!BS82</f>
        <v>0</v>
      </c>
      <c r="BS42" s="12">
        <f>'Salaries &amp; Contractuals'!BT82</f>
        <v>0</v>
      </c>
      <c r="BT42" s="12">
        <f>'Salaries &amp; Contractuals'!BU82</f>
        <v>0</v>
      </c>
      <c r="BU42" s="12">
        <f>'Salaries &amp; Contractuals'!BV82</f>
        <v>0</v>
      </c>
      <c r="BV42" s="12">
        <f>'Salaries &amp; Contractuals'!BW82</f>
        <v>0</v>
      </c>
      <c r="BW42" s="12">
        <f>'Salaries &amp; Contractuals'!BX82</f>
        <v>0</v>
      </c>
      <c r="BX42" s="12">
        <f>'Salaries &amp; Contractuals'!BY82</f>
        <v>0</v>
      </c>
      <c r="BY42" s="578">
        <f>'Salaries &amp; Contractuals'!BZ82</f>
        <v>0</v>
      </c>
      <c r="BZ42" s="12">
        <f>'Salaries &amp; Contractuals'!CA82</f>
        <v>0</v>
      </c>
      <c r="CA42" s="12">
        <f>'Salaries &amp; Contractuals'!CB82</f>
        <v>0</v>
      </c>
      <c r="CB42" s="12">
        <f>'Salaries &amp; Contractuals'!CC82</f>
        <v>0</v>
      </c>
      <c r="CC42" s="12">
        <f>'Salaries &amp; Contractuals'!CD82</f>
        <v>0</v>
      </c>
      <c r="CD42" s="12">
        <f>'Salaries &amp; Contractuals'!CE82</f>
        <v>0</v>
      </c>
      <c r="CE42" s="12">
        <f>'Salaries &amp; Contractuals'!CF82</f>
        <v>0</v>
      </c>
      <c r="CF42" s="12">
        <f>'Salaries &amp; Contractuals'!CG82</f>
        <v>0</v>
      </c>
      <c r="CG42" s="12">
        <f>'Salaries &amp; Contractuals'!CH82</f>
        <v>0</v>
      </c>
      <c r="CH42" s="12">
        <f>'Salaries &amp; Contractuals'!CI82</f>
        <v>0</v>
      </c>
      <c r="CI42" s="12">
        <f>'Salaries &amp; Contractuals'!CJ82</f>
        <v>0</v>
      </c>
      <c r="CJ42" s="12">
        <f>'Salaries &amp; Contractuals'!CK82</f>
        <v>0</v>
      </c>
      <c r="CK42" s="578">
        <f>'Salaries &amp; Contractuals'!CL82</f>
        <v>0</v>
      </c>
    </row>
    <row r="43" spans="1:89" x14ac:dyDescent="0.2">
      <c r="B43" s="560"/>
      <c r="C43" s="12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647"/>
      <c r="Q43" s="648"/>
      <c r="R43" s="407"/>
      <c r="S43" s="407"/>
      <c r="T43" s="407"/>
    </row>
    <row r="44" spans="1:89" x14ac:dyDescent="0.2">
      <c r="B44" s="562" t="s">
        <v>93</v>
      </c>
      <c r="C44" s="12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647"/>
      <c r="Q44" s="648"/>
      <c r="R44" s="646"/>
      <c r="S44" s="646"/>
      <c r="T44" s="646"/>
      <c r="U44" s="14"/>
      <c r="V44" s="14"/>
      <c r="W44" s="14"/>
      <c r="X44" s="14"/>
      <c r="Y44" s="14"/>
      <c r="Z44" s="14"/>
      <c r="AA44" s="14"/>
      <c r="AB44" s="14"/>
      <c r="AC44" s="577"/>
      <c r="AD44" s="14"/>
      <c r="AE44" s="14"/>
      <c r="AF44" s="14"/>
      <c r="AG44" s="12"/>
      <c r="AH44" s="12"/>
      <c r="AI44" s="12"/>
      <c r="AJ44" s="12"/>
      <c r="AK44" s="12"/>
      <c r="AL44" s="12"/>
      <c r="AM44" s="12"/>
      <c r="AN44" s="12"/>
      <c r="AO44" s="578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578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578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578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578"/>
    </row>
    <row r="45" spans="1:89" x14ac:dyDescent="0.2">
      <c r="B45" s="560" t="s">
        <v>94</v>
      </c>
      <c r="C45" s="12"/>
      <c r="F45" s="96">
        <v>1000</v>
      </c>
      <c r="G45" s="96">
        <v>1000</v>
      </c>
      <c r="H45" s="96">
        <v>1000</v>
      </c>
      <c r="I45" s="96">
        <v>1000</v>
      </c>
      <c r="J45" s="96">
        <v>1000</v>
      </c>
      <c r="K45" s="96">
        <v>1000</v>
      </c>
      <c r="L45" s="96">
        <v>1000</v>
      </c>
      <c r="M45" s="96">
        <v>1000</v>
      </c>
      <c r="N45" s="96">
        <v>1000</v>
      </c>
      <c r="O45" s="96">
        <v>1000</v>
      </c>
      <c r="P45" s="647">
        <f>4456+1000+4150</f>
        <v>9606</v>
      </c>
      <c r="Q45" s="648">
        <f>2750+3123</f>
        <v>5873</v>
      </c>
      <c r="R45" s="646">
        <v>4756.5</v>
      </c>
      <c r="S45" s="646">
        <v>1815</v>
      </c>
      <c r="T45" s="646">
        <v>1250</v>
      </c>
      <c r="U45" s="14">
        <v>0</v>
      </c>
      <c r="V45" s="14">
        <v>0</v>
      </c>
      <c r="W45" s="14">
        <v>0</v>
      </c>
      <c r="X45" s="14">
        <v>0</v>
      </c>
      <c r="Y45" s="14">
        <v>3750</v>
      </c>
      <c r="Z45" s="14">
        <v>3750</v>
      </c>
      <c r="AA45" s="14">
        <v>3750</v>
      </c>
      <c r="AB45" s="14">
        <v>3750</v>
      </c>
      <c r="AC45" s="577">
        <v>3750</v>
      </c>
      <c r="AD45" s="14">
        <v>3750</v>
      </c>
      <c r="AE45" s="14">
        <v>3750</v>
      </c>
      <c r="AF45" s="12">
        <v>1250</v>
      </c>
      <c r="AG45" s="12">
        <f>15000+1250</f>
        <v>16250</v>
      </c>
      <c r="AH45" s="12">
        <v>1250</v>
      </c>
      <c r="AI45" s="12">
        <v>1250</v>
      </c>
      <c r="AJ45" s="12">
        <v>1250</v>
      </c>
      <c r="AK45" s="12">
        <v>1250</v>
      </c>
      <c r="AL45" s="12">
        <v>1250</v>
      </c>
      <c r="AM45" s="12">
        <v>1250</v>
      </c>
      <c r="AN45" s="12">
        <v>1250</v>
      </c>
      <c r="AO45" s="578">
        <v>1250</v>
      </c>
      <c r="AP45" s="12">
        <v>1500</v>
      </c>
      <c r="AQ45" s="12">
        <v>1500</v>
      </c>
      <c r="AR45" s="12">
        <v>1500</v>
      </c>
      <c r="AS45" s="12">
        <f>20000+1500</f>
        <v>21500</v>
      </c>
      <c r="AT45" s="12">
        <v>1500</v>
      </c>
      <c r="AU45" s="12">
        <v>1500</v>
      </c>
      <c r="AV45" s="12">
        <v>1750</v>
      </c>
      <c r="AW45" s="12">
        <v>1750</v>
      </c>
      <c r="AX45" s="12">
        <v>1750</v>
      </c>
      <c r="AY45" s="12">
        <v>1750</v>
      </c>
      <c r="AZ45" s="12">
        <v>1750</v>
      </c>
      <c r="BA45" s="578">
        <v>1750</v>
      </c>
      <c r="BB45" s="12">
        <v>1500</v>
      </c>
      <c r="BC45" s="12">
        <v>1500</v>
      </c>
      <c r="BD45" s="12">
        <v>1500</v>
      </c>
      <c r="BE45" s="12">
        <f>20000+1500</f>
        <v>21500</v>
      </c>
      <c r="BF45" s="12">
        <v>1500</v>
      </c>
      <c r="BG45" s="12">
        <v>1500</v>
      </c>
      <c r="BH45" s="12">
        <v>1750</v>
      </c>
      <c r="BI45" s="12">
        <v>1750</v>
      </c>
      <c r="BJ45" s="12">
        <v>1750</v>
      </c>
      <c r="BK45" s="12">
        <v>1750</v>
      </c>
      <c r="BL45" s="12">
        <v>1750</v>
      </c>
      <c r="BM45" s="578">
        <v>1750</v>
      </c>
      <c r="BN45" s="12">
        <v>1500</v>
      </c>
      <c r="BO45" s="12">
        <v>1500</v>
      </c>
      <c r="BP45" s="12">
        <v>1500</v>
      </c>
      <c r="BQ45" s="12">
        <f>20000+1500</f>
        <v>21500</v>
      </c>
      <c r="BR45" s="12">
        <v>1500</v>
      </c>
      <c r="BS45" s="12">
        <v>1500</v>
      </c>
      <c r="BT45" s="12">
        <v>1750</v>
      </c>
      <c r="BU45" s="12">
        <v>1750</v>
      </c>
      <c r="BV45" s="12">
        <v>1750</v>
      </c>
      <c r="BW45" s="12">
        <v>1750</v>
      </c>
      <c r="BX45" s="12">
        <v>1750</v>
      </c>
      <c r="BY45" s="578">
        <v>1750</v>
      </c>
      <c r="BZ45" s="12">
        <v>1500</v>
      </c>
      <c r="CA45" s="12">
        <v>1500</v>
      </c>
      <c r="CB45" s="12">
        <v>1500</v>
      </c>
      <c r="CC45" s="12">
        <f>20000+1500</f>
        <v>21500</v>
      </c>
      <c r="CD45" s="12">
        <v>1500</v>
      </c>
      <c r="CE45" s="12">
        <v>1500</v>
      </c>
      <c r="CF45" s="12">
        <v>1750</v>
      </c>
      <c r="CG45" s="12">
        <v>1750</v>
      </c>
      <c r="CH45" s="12">
        <v>1750</v>
      </c>
      <c r="CI45" s="12">
        <v>1750</v>
      </c>
      <c r="CJ45" s="12">
        <v>1750</v>
      </c>
      <c r="CK45" s="578">
        <v>1750</v>
      </c>
    </row>
    <row r="46" spans="1:89" x14ac:dyDescent="0.2">
      <c r="B46" s="560" t="s">
        <v>95</v>
      </c>
      <c r="C46" s="12"/>
      <c r="F46" s="96">
        <v>4875.76</v>
      </c>
      <c r="G46" s="96">
        <v>29404.68</v>
      </c>
      <c r="H46" s="96">
        <v>1876.64</v>
      </c>
      <c r="I46" s="96">
        <v>0</v>
      </c>
      <c r="J46" s="96">
        <v>0</v>
      </c>
      <c r="K46" s="96">
        <v>1672.4</v>
      </c>
      <c r="L46" s="96">
        <v>29404.12</v>
      </c>
      <c r="M46" s="96">
        <v>4237.1000000000004</v>
      </c>
      <c r="N46" s="96">
        <v>21453.37</v>
      </c>
      <c r="O46" s="96">
        <v>-1498.26</v>
      </c>
      <c r="P46" s="647">
        <v>8814.06</v>
      </c>
      <c r="Q46" s="648">
        <v>503.59</v>
      </c>
      <c r="R46" s="634">
        <v>0</v>
      </c>
      <c r="S46" s="634">
        <v>0</v>
      </c>
      <c r="T46" s="634">
        <v>0</v>
      </c>
      <c r="U46" s="14">
        <v>1647</v>
      </c>
      <c r="V46" s="14">
        <v>2801</v>
      </c>
      <c r="W46" s="14">
        <v>3237</v>
      </c>
      <c r="X46" s="14">
        <v>1383</v>
      </c>
      <c r="Y46" s="14">
        <v>6684</v>
      </c>
      <c r="Z46" s="14">
        <v>3195</v>
      </c>
      <c r="AA46" s="14">
        <v>0</v>
      </c>
      <c r="AB46" s="14">
        <v>0</v>
      </c>
      <c r="AC46" s="577">
        <v>0</v>
      </c>
      <c r="AD46" s="14">
        <v>0</v>
      </c>
      <c r="AE46" s="14">
        <v>0</v>
      </c>
      <c r="AF46" s="14">
        <v>0</v>
      </c>
      <c r="AG46" s="14">
        <v>20000</v>
      </c>
      <c r="AH46" s="14">
        <v>20000</v>
      </c>
      <c r="AI46" s="14">
        <v>4000</v>
      </c>
      <c r="AJ46" s="14">
        <v>4000</v>
      </c>
      <c r="AK46" s="14">
        <v>4000</v>
      </c>
      <c r="AL46" s="14">
        <v>4000</v>
      </c>
      <c r="AM46" s="14">
        <v>4000</v>
      </c>
      <c r="AN46" s="14">
        <v>4000</v>
      </c>
      <c r="AO46" s="577">
        <v>4000</v>
      </c>
      <c r="AP46" s="14">
        <v>5000</v>
      </c>
      <c r="AQ46" s="14">
        <v>5000</v>
      </c>
      <c r="AR46" s="14">
        <v>5000</v>
      </c>
      <c r="AS46" s="14">
        <v>5000</v>
      </c>
      <c r="AT46" s="14">
        <v>5000</v>
      </c>
      <c r="AU46" s="14">
        <v>5000</v>
      </c>
      <c r="AV46" s="14">
        <v>5000</v>
      </c>
      <c r="AW46" s="14">
        <v>5000</v>
      </c>
      <c r="AX46" s="14">
        <v>5000</v>
      </c>
      <c r="AY46" s="14">
        <v>5000</v>
      </c>
      <c r="AZ46" s="14">
        <v>5000</v>
      </c>
      <c r="BA46" s="577">
        <v>5000</v>
      </c>
      <c r="BB46" s="14">
        <v>5000</v>
      </c>
      <c r="BC46" s="14">
        <v>5000</v>
      </c>
      <c r="BD46" s="14">
        <v>5000</v>
      </c>
      <c r="BE46" s="14">
        <v>5000</v>
      </c>
      <c r="BF46" s="14">
        <v>5000</v>
      </c>
      <c r="BG46" s="14">
        <v>5000</v>
      </c>
      <c r="BH46" s="14">
        <v>5000</v>
      </c>
      <c r="BI46" s="14">
        <v>5000</v>
      </c>
      <c r="BJ46" s="14">
        <v>5000</v>
      </c>
      <c r="BK46" s="14">
        <v>5000</v>
      </c>
      <c r="BL46" s="14">
        <v>5000</v>
      </c>
      <c r="BM46" s="577">
        <v>5000</v>
      </c>
      <c r="BN46" s="14">
        <v>5000</v>
      </c>
      <c r="BO46" s="14">
        <v>5000</v>
      </c>
      <c r="BP46" s="14">
        <v>5000</v>
      </c>
      <c r="BQ46" s="14">
        <v>5000</v>
      </c>
      <c r="BR46" s="14">
        <v>5000</v>
      </c>
      <c r="BS46" s="14">
        <v>5000</v>
      </c>
      <c r="BT46" s="14">
        <v>5000</v>
      </c>
      <c r="BU46" s="14">
        <v>5000</v>
      </c>
      <c r="BV46" s="14">
        <v>5000</v>
      </c>
      <c r="BW46" s="14">
        <v>5000</v>
      </c>
      <c r="BX46" s="14">
        <v>5000</v>
      </c>
      <c r="BY46" s="577">
        <v>5000</v>
      </c>
      <c r="BZ46" s="14">
        <v>5000</v>
      </c>
      <c r="CA46" s="14">
        <v>5000</v>
      </c>
      <c r="CB46" s="14">
        <v>5000</v>
      </c>
      <c r="CC46" s="14">
        <v>5000</v>
      </c>
      <c r="CD46" s="14">
        <v>5000</v>
      </c>
      <c r="CE46" s="14">
        <v>5000</v>
      </c>
      <c r="CF46" s="14">
        <v>5000</v>
      </c>
      <c r="CG46" s="14">
        <v>5000</v>
      </c>
      <c r="CH46" s="14">
        <v>5000</v>
      </c>
      <c r="CI46" s="14">
        <v>5000</v>
      </c>
      <c r="CJ46" s="14">
        <v>5000</v>
      </c>
      <c r="CK46" s="577">
        <v>5000</v>
      </c>
    </row>
    <row r="47" spans="1:89" x14ac:dyDescent="0.2">
      <c r="B47" s="563" t="s">
        <v>54</v>
      </c>
      <c r="C47" s="12"/>
      <c r="F47" s="96">
        <v>0</v>
      </c>
      <c r="G47" s="96">
        <v>0</v>
      </c>
      <c r="H47" s="96">
        <v>0</v>
      </c>
      <c r="I47" s="96">
        <v>0</v>
      </c>
      <c r="J47" s="96">
        <v>0</v>
      </c>
      <c r="K47" s="96">
        <v>0</v>
      </c>
      <c r="L47" s="96">
        <v>0</v>
      </c>
      <c r="M47" s="96">
        <v>0</v>
      </c>
      <c r="N47" s="96">
        <v>0</v>
      </c>
      <c r="O47" s="96">
        <v>0</v>
      </c>
      <c r="P47" s="647"/>
      <c r="Q47" s="648"/>
      <c r="R47" s="634">
        <f>4956.76-500</f>
        <v>4456.76</v>
      </c>
      <c r="S47" s="634">
        <f>8408.39-500</f>
        <v>7908.3899999999994</v>
      </c>
      <c r="T47" s="634">
        <f>(16065.53-T41)+(6440.72-500)</f>
        <v>16726.25</v>
      </c>
      <c r="U47" s="14">
        <v>0</v>
      </c>
      <c r="V47" s="14">
        <v>2657</v>
      </c>
      <c r="W47" s="14">
        <v>1017</v>
      </c>
      <c r="X47" s="14">
        <v>2311</v>
      </c>
      <c r="Y47" s="14">
        <v>0</v>
      </c>
      <c r="Z47" s="14">
        <v>0</v>
      </c>
      <c r="AA47" s="14">
        <v>2000</v>
      </c>
      <c r="AB47" s="14">
        <v>2000</v>
      </c>
      <c r="AC47" s="577">
        <v>2000</v>
      </c>
      <c r="AD47" s="14">
        <v>2000</v>
      </c>
      <c r="AE47" s="14">
        <v>2000</v>
      </c>
      <c r="AF47" s="14">
        <v>2000</v>
      </c>
      <c r="AG47" s="14">
        <v>10000</v>
      </c>
      <c r="AH47" s="14">
        <v>10000</v>
      </c>
      <c r="AI47" s="14">
        <v>10000</v>
      </c>
      <c r="AJ47" s="14">
        <v>10000</v>
      </c>
      <c r="AK47" s="14">
        <v>10000</v>
      </c>
      <c r="AL47" s="14">
        <v>10000</v>
      </c>
      <c r="AM47" s="14">
        <v>10000</v>
      </c>
      <c r="AN47" s="14">
        <v>10000</v>
      </c>
      <c r="AO47" s="577">
        <v>10000</v>
      </c>
      <c r="AP47" s="14">
        <v>12500</v>
      </c>
      <c r="AQ47" s="14">
        <v>12500</v>
      </c>
      <c r="AR47" s="14">
        <v>12500</v>
      </c>
      <c r="AS47" s="14">
        <v>12500</v>
      </c>
      <c r="AT47" s="14">
        <v>12500</v>
      </c>
      <c r="AU47" s="14">
        <v>12500</v>
      </c>
      <c r="AV47" s="14">
        <v>12500</v>
      </c>
      <c r="AW47" s="14">
        <v>12500</v>
      </c>
      <c r="AX47" s="14">
        <v>12500</v>
      </c>
      <c r="AY47" s="14">
        <v>12500</v>
      </c>
      <c r="AZ47" s="14">
        <v>12500</v>
      </c>
      <c r="BA47" s="577">
        <v>12500</v>
      </c>
      <c r="BB47" s="14">
        <v>12500</v>
      </c>
      <c r="BC47" s="14">
        <v>12500</v>
      </c>
      <c r="BD47" s="14">
        <v>12500</v>
      </c>
      <c r="BE47" s="14">
        <v>12500</v>
      </c>
      <c r="BF47" s="14">
        <v>12500</v>
      </c>
      <c r="BG47" s="14">
        <v>12500</v>
      </c>
      <c r="BH47" s="14">
        <v>12500</v>
      </c>
      <c r="BI47" s="14">
        <v>12500</v>
      </c>
      <c r="BJ47" s="14">
        <v>12500</v>
      </c>
      <c r="BK47" s="14">
        <v>12500</v>
      </c>
      <c r="BL47" s="14">
        <v>12500</v>
      </c>
      <c r="BM47" s="577">
        <v>12500</v>
      </c>
      <c r="BN47" s="14">
        <v>12500</v>
      </c>
      <c r="BO47" s="14">
        <v>12500</v>
      </c>
      <c r="BP47" s="14">
        <v>12500</v>
      </c>
      <c r="BQ47" s="14">
        <v>12500</v>
      </c>
      <c r="BR47" s="14">
        <v>12500</v>
      </c>
      <c r="BS47" s="14">
        <v>12500</v>
      </c>
      <c r="BT47" s="14">
        <v>12500</v>
      </c>
      <c r="BU47" s="14">
        <v>12500</v>
      </c>
      <c r="BV47" s="14">
        <v>12500</v>
      </c>
      <c r="BW47" s="14">
        <v>12500</v>
      </c>
      <c r="BX47" s="14">
        <v>12500</v>
      </c>
      <c r="BY47" s="577">
        <v>12500</v>
      </c>
      <c r="BZ47" s="14">
        <v>12500</v>
      </c>
      <c r="CA47" s="14">
        <v>12500</v>
      </c>
      <c r="CB47" s="14">
        <v>12500</v>
      </c>
      <c r="CC47" s="14">
        <v>12500</v>
      </c>
      <c r="CD47" s="14">
        <v>12500</v>
      </c>
      <c r="CE47" s="14">
        <v>12500</v>
      </c>
      <c r="CF47" s="14">
        <v>12500</v>
      </c>
      <c r="CG47" s="14">
        <v>12500</v>
      </c>
      <c r="CH47" s="14">
        <v>12500</v>
      </c>
      <c r="CI47" s="14">
        <v>12500</v>
      </c>
      <c r="CJ47" s="14">
        <v>12500</v>
      </c>
      <c r="CK47" s="577">
        <v>12500</v>
      </c>
    </row>
    <row r="48" spans="1:89" x14ac:dyDescent="0.2">
      <c r="B48" s="562"/>
      <c r="C48" s="12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647"/>
      <c r="Q48" s="648"/>
      <c r="R48" s="634"/>
      <c r="S48" s="634"/>
      <c r="T48" s="634"/>
      <c r="U48" s="14"/>
      <c r="V48" s="14"/>
      <c r="W48" s="14"/>
      <c r="X48" s="14"/>
      <c r="Y48" s="14"/>
      <c r="Z48" s="14"/>
      <c r="AA48" s="14"/>
      <c r="AB48" s="14"/>
      <c r="AC48" s="577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577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577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577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577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577"/>
    </row>
    <row r="49" spans="2:89" x14ac:dyDescent="0.2">
      <c r="B49" s="562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499"/>
      <c r="Q49" s="6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578"/>
      <c r="AD49" s="12"/>
      <c r="AE49" s="12"/>
      <c r="AF49" s="14"/>
      <c r="AG49" s="12"/>
      <c r="AH49" s="12"/>
      <c r="AI49" s="12"/>
      <c r="AJ49" s="12"/>
      <c r="AK49" s="12"/>
      <c r="AL49" s="12"/>
      <c r="AM49" s="12"/>
      <c r="AN49" s="12"/>
      <c r="AO49" s="578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578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578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578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578"/>
    </row>
    <row r="50" spans="2:89" x14ac:dyDescent="0.2">
      <c r="B50" s="562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499"/>
      <c r="Q50" s="6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578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578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578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578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578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578"/>
    </row>
    <row r="51" spans="2:89" x14ac:dyDescent="0.2">
      <c r="B51" s="11" t="s">
        <v>12</v>
      </c>
      <c r="C51" s="11"/>
      <c r="D51" s="156"/>
      <c r="E51" s="156"/>
      <c r="F51" s="174">
        <f t="shared" ref="F51:O51" si="63">SUM(F45:F49)+F37</f>
        <v>68067.959999999992</v>
      </c>
      <c r="G51" s="174">
        <f t="shared" si="63"/>
        <v>96472.139999999985</v>
      </c>
      <c r="H51" s="174">
        <f t="shared" si="63"/>
        <v>98271.86</v>
      </c>
      <c r="I51" s="174">
        <f t="shared" si="63"/>
        <v>67150.11</v>
      </c>
      <c r="J51" s="174">
        <f t="shared" si="63"/>
        <v>64485.15</v>
      </c>
      <c r="K51" s="174">
        <f t="shared" si="63"/>
        <v>71689.159999999989</v>
      </c>
      <c r="L51" s="174">
        <f t="shared" si="63"/>
        <v>109500.19999999998</v>
      </c>
      <c r="M51" s="174">
        <f t="shared" si="63"/>
        <v>55313.130000000005</v>
      </c>
      <c r="N51" s="174">
        <f t="shared" si="63"/>
        <v>91996.61</v>
      </c>
      <c r="O51" s="174">
        <f t="shared" si="63"/>
        <v>71847.13</v>
      </c>
      <c r="P51" s="500">
        <f>SUM(P39:P49)+P37</f>
        <v>163438.65</v>
      </c>
      <c r="Q51" s="615">
        <f>SUM(Q37:Q47)</f>
        <v>174791.75999999998</v>
      </c>
      <c r="R51" s="174">
        <f t="shared" ref="R51:BA51" si="64">SUM(R37:R47)</f>
        <v>145956.41000000003</v>
      </c>
      <c r="S51" s="174">
        <f t="shared" si="64"/>
        <v>174073.09999999998</v>
      </c>
      <c r="T51" s="174">
        <f>SUM(T37:T47)</f>
        <v>214960.68</v>
      </c>
      <c r="U51" s="174">
        <f t="shared" si="64"/>
        <v>174011.61</v>
      </c>
      <c r="V51" s="174">
        <f t="shared" si="64"/>
        <v>139042.02000000002</v>
      </c>
      <c r="W51" s="174">
        <f t="shared" si="64"/>
        <v>137121.1</v>
      </c>
      <c r="X51" s="174">
        <f t="shared" si="64"/>
        <v>108456.6</v>
      </c>
      <c r="Y51" s="174">
        <f t="shared" si="64"/>
        <v>133114.38</v>
      </c>
      <c r="Z51" s="174">
        <f t="shared" si="64"/>
        <v>120438.34000000001</v>
      </c>
      <c r="AA51" s="174">
        <f t="shared" si="64"/>
        <v>107635.96</v>
      </c>
      <c r="AB51" s="174">
        <f t="shared" ref="AB51:AE51" si="65">SUM(AB37:AB47)</f>
        <v>107635.96</v>
      </c>
      <c r="AC51" s="615">
        <f t="shared" si="65"/>
        <v>107635.96</v>
      </c>
      <c r="AD51" s="174">
        <f t="shared" si="65"/>
        <v>92070</v>
      </c>
      <c r="AE51" s="174">
        <f t="shared" si="65"/>
        <v>72070</v>
      </c>
      <c r="AF51" s="102">
        <f t="shared" si="64"/>
        <v>76928.399999999994</v>
      </c>
      <c r="AG51" s="102">
        <f t="shared" si="64"/>
        <v>185934.66666666669</v>
      </c>
      <c r="AH51" s="102">
        <f t="shared" si="64"/>
        <v>186334.66666666669</v>
      </c>
      <c r="AI51" s="102">
        <f t="shared" si="64"/>
        <v>222881.33333333334</v>
      </c>
      <c r="AJ51" s="102">
        <f t="shared" si="64"/>
        <v>222881.33333333334</v>
      </c>
      <c r="AK51" s="102">
        <f t="shared" si="64"/>
        <v>252654.66666666666</v>
      </c>
      <c r="AL51" s="102">
        <f t="shared" si="64"/>
        <v>272488</v>
      </c>
      <c r="AM51" s="102">
        <f t="shared" si="64"/>
        <v>272488</v>
      </c>
      <c r="AN51" s="102">
        <f t="shared" si="64"/>
        <v>279488</v>
      </c>
      <c r="AO51" s="615">
        <f>SUM(AO37:AO47)</f>
        <v>274488</v>
      </c>
      <c r="AP51" s="102">
        <f t="shared" si="64"/>
        <v>318342.16666666669</v>
      </c>
      <c r="AQ51" s="102">
        <f t="shared" si="64"/>
        <v>318342.16666666669</v>
      </c>
      <c r="AR51" s="102">
        <f t="shared" si="64"/>
        <v>328142.16666666669</v>
      </c>
      <c r="AS51" s="102">
        <f t="shared" si="64"/>
        <v>348142.16666666669</v>
      </c>
      <c r="AT51" s="102">
        <f t="shared" si="64"/>
        <v>328142.16666666669</v>
      </c>
      <c r="AU51" s="102">
        <f t="shared" si="64"/>
        <v>328142.16666666669</v>
      </c>
      <c r="AV51" s="102">
        <f t="shared" si="64"/>
        <v>328392.16666666669</v>
      </c>
      <c r="AW51" s="102">
        <f t="shared" si="64"/>
        <v>328392.16666666669</v>
      </c>
      <c r="AX51" s="102">
        <f t="shared" si="64"/>
        <v>328392.16666666669</v>
      </c>
      <c r="AY51" s="102">
        <f t="shared" si="64"/>
        <v>328392.16666666669</v>
      </c>
      <c r="AZ51" s="102">
        <f t="shared" si="64"/>
        <v>328392.16666666669</v>
      </c>
      <c r="BA51" s="615">
        <f t="shared" si="64"/>
        <v>328392.16666666669</v>
      </c>
      <c r="BB51" s="102">
        <f t="shared" ref="BB51:BM51" si="66">SUM(BB37:BB47)</f>
        <v>339113.26666666666</v>
      </c>
      <c r="BC51" s="102">
        <f t="shared" si="66"/>
        <v>339113.26666666666</v>
      </c>
      <c r="BD51" s="102">
        <f t="shared" si="66"/>
        <v>339113.26666666666</v>
      </c>
      <c r="BE51" s="102">
        <f t="shared" si="66"/>
        <v>359113.26666666666</v>
      </c>
      <c r="BF51" s="102">
        <f t="shared" si="66"/>
        <v>339113.26666666666</v>
      </c>
      <c r="BG51" s="102">
        <f t="shared" si="66"/>
        <v>339113.26666666666</v>
      </c>
      <c r="BH51" s="102">
        <f t="shared" si="66"/>
        <v>339363.26666666666</v>
      </c>
      <c r="BI51" s="102">
        <f t="shared" si="66"/>
        <v>339363.26666666666</v>
      </c>
      <c r="BJ51" s="102">
        <f t="shared" si="66"/>
        <v>339363.26666666666</v>
      </c>
      <c r="BK51" s="102">
        <f t="shared" si="66"/>
        <v>339363.26666666666</v>
      </c>
      <c r="BL51" s="102">
        <f t="shared" si="66"/>
        <v>339363.26666666666</v>
      </c>
      <c r="BM51" s="615">
        <f t="shared" si="66"/>
        <v>339363.26666666666</v>
      </c>
      <c r="BN51" s="102">
        <f t="shared" ref="BN51:BY51" si="67">SUM(BN37:BN47)</f>
        <v>341963.59666666668</v>
      </c>
      <c r="BO51" s="102">
        <f t="shared" si="67"/>
        <v>341963.59666666668</v>
      </c>
      <c r="BP51" s="102">
        <f t="shared" si="67"/>
        <v>341963.59666666668</v>
      </c>
      <c r="BQ51" s="102">
        <f t="shared" si="67"/>
        <v>361963.59666666668</v>
      </c>
      <c r="BR51" s="102">
        <f t="shared" si="67"/>
        <v>341963.59666666668</v>
      </c>
      <c r="BS51" s="102">
        <f t="shared" si="67"/>
        <v>341963.59666666668</v>
      </c>
      <c r="BT51" s="102">
        <f t="shared" si="67"/>
        <v>342213.59666666668</v>
      </c>
      <c r="BU51" s="102">
        <f t="shared" si="67"/>
        <v>342213.59666666668</v>
      </c>
      <c r="BV51" s="102">
        <f t="shared" si="67"/>
        <v>342213.59666666668</v>
      </c>
      <c r="BW51" s="102">
        <f t="shared" si="67"/>
        <v>342213.59666666668</v>
      </c>
      <c r="BX51" s="102">
        <f t="shared" si="67"/>
        <v>342213.59666666668</v>
      </c>
      <c r="BY51" s="615">
        <f t="shared" si="67"/>
        <v>342213.59666666668</v>
      </c>
      <c r="BZ51" s="102">
        <f t="shared" ref="BZ51:CK51" si="68">SUM(BZ37:BZ47)</f>
        <v>344956.44316666672</v>
      </c>
      <c r="CA51" s="102">
        <f t="shared" si="68"/>
        <v>344956.44316666672</v>
      </c>
      <c r="CB51" s="102">
        <f t="shared" si="68"/>
        <v>344956.44316666672</v>
      </c>
      <c r="CC51" s="102">
        <f t="shared" si="68"/>
        <v>364956.44316666672</v>
      </c>
      <c r="CD51" s="102">
        <f t="shared" si="68"/>
        <v>344956.44316666672</v>
      </c>
      <c r="CE51" s="102">
        <f t="shared" si="68"/>
        <v>344956.44316666672</v>
      </c>
      <c r="CF51" s="102">
        <f t="shared" si="68"/>
        <v>345206.44316666672</v>
      </c>
      <c r="CG51" s="102">
        <f t="shared" si="68"/>
        <v>345206.44316666672</v>
      </c>
      <c r="CH51" s="102">
        <f t="shared" si="68"/>
        <v>345206.44316666672</v>
      </c>
      <c r="CI51" s="102">
        <f t="shared" si="68"/>
        <v>345206.44316666672</v>
      </c>
      <c r="CJ51" s="102">
        <f t="shared" si="68"/>
        <v>345206.44316666672</v>
      </c>
      <c r="CK51" s="615">
        <f t="shared" si="68"/>
        <v>345206.44316666672</v>
      </c>
    </row>
    <row r="52" spans="2:89" x14ac:dyDescent="0.2">
      <c r="B52" s="1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470"/>
      <c r="Q52" s="578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578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578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578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578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578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578"/>
    </row>
    <row r="53" spans="2:89" x14ac:dyDescent="0.2">
      <c r="B53" s="564" t="s">
        <v>5</v>
      </c>
      <c r="C53" s="284" t="s">
        <v>211</v>
      </c>
      <c r="F53" s="14">
        <v>2823.34</v>
      </c>
      <c r="G53" s="14">
        <v>2823.34</v>
      </c>
      <c r="H53" s="14">
        <v>2823.34</v>
      </c>
      <c r="I53" s="14">
        <v>2823.34</v>
      </c>
      <c r="J53" s="14">
        <v>2823.34</v>
      </c>
      <c r="K53" s="14">
        <v>2823.34</v>
      </c>
      <c r="L53" s="14">
        <v>2823.34</v>
      </c>
      <c r="M53" s="14">
        <v>4235</v>
      </c>
      <c r="N53" s="14">
        <v>2999.79</v>
      </c>
      <c r="O53" s="14">
        <v>2999.79</v>
      </c>
      <c r="P53" s="472">
        <v>3000.01</v>
      </c>
      <c r="Q53" s="577">
        <v>3209.56</v>
      </c>
      <c r="R53" s="634">
        <v>4878.67</v>
      </c>
      <c r="S53" s="634">
        <v>4878.67</v>
      </c>
      <c r="T53" s="634">
        <v>4878.67</v>
      </c>
      <c r="U53" s="14">
        <v>4878.67</v>
      </c>
      <c r="V53" s="14">
        <v>4878.67</v>
      </c>
      <c r="W53" s="14">
        <v>4878.67</v>
      </c>
      <c r="X53" s="14">
        <v>4878.67</v>
      </c>
      <c r="Y53" s="14">
        <v>4878.67</v>
      </c>
      <c r="Z53" s="14">
        <v>4878.67</v>
      </c>
      <c r="AA53" s="14">
        <v>4878.67</v>
      </c>
      <c r="AB53" s="14">
        <v>4878.67</v>
      </c>
      <c r="AC53" s="577">
        <v>4878.67</v>
      </c>
      <c r="AD53" s="14">
        <v>4878.67</v>
      </c>
      <c r="AE53" s="14">
        <v>4878.67</v>
      </c>
      <c r="AF53" s="14">
        <v>4878.67</v>
      </c>
      <c r="AG53" s="14">
        <v>4878.67</v>
      </c>
      <c r="AH53" s="14">
        <v>4878.67</v>
      </c>
      <c r="AI53" s="14">
        <v>4878.67</v>
      </c>
      <c r="AJ53" s="14">
        <f>6000-'PSB-P&amp;L '!AJ54</f>
        <v>6000</v>
      </c>
      <c r="AK53" s="14">
        <f>6000-'PSB-P&amp;L '!AK54</f>
        <v>6000</v>
      </c>
      <c r="AL53" s="14">
        <f>6000-'PSB-P&amp;L '!AL54</f>
        <v>6000</v>
      </c>
      <c r="AM53" s="14">
        <f>6000-'PSB-P&amp;L '!AM54</f>
        <v>6000</v>
      </c>
      <c r="AN53" s="14">
        <f>6000-'PSB-P&amp;L '!AN54</f>
        <v>6000</v>
      </c>
      <c r="AO53" s="577">
        <f>6000-'PSB-P&amp;L '!AO54</f>
        <v>6000</v>
      </c>
      <c r="AP53" s="14">
        <f>6000-'PSB-P&amp;L '!AP54</f>
        <v>6000</v>
      </c>
      <c r="AQ53" s="14">
        <f>6000-'PSB-P&amp;L '!AQ54</f>
        <v>6000</v>
      </c>
      <c r="AR53" s="14">
        <f>6000-'PSB-P&amp;L '!AR54</f>
        <v>6000</v>
      </c>
      <c r="AS53" s="14">
        <f>6000-'PSB-P&amp;L '!AS54</f>
        <v>6000</v>
      </c>
      <c r="AT53" s="14">
        <f>6000-'PSB-P&amp;L '!AT54</f>
        <v>6000</v>
      </c>
      <c r="AU53" s="14">
        <f>6000-'PSB-P&amp;L '!AU54</f>
        <v>6000</v>
      </c>
      <c r="AV53" s="14">
        <f>6000-'PSB-P&amp;L '!AV54</f>
        <v>6000</v>
      </c>
      <c r="AW53" s="14">
        <f>6000-'PSB-P&amp;L '!AW54</f>
        <v>6000</v>
      </c>
      <c r="AX53" s="14">
        <f>6000-'PSB-P&amp;L '!AX54</f>
        <v>6000</v>
      </c>
      <c r="AY53" s="14">
        <f>6000-'PSB-P&amp;L '!AY54</f>
        <v>6000</v>
      </c>
      <c r="AZ53" s="14">
        <f>6000-'PSB-P&amp;L '!AZ54</f>
        <v>6000</v>
      </c>
      <c r="BA53" s="577">
        <f>6000-'PSB-P&amp;L '!BA54</f>
        <v>6000</v>
      </c>
      <c r="BB53" s="14">
        <f>6000-'PSB-P&amp;L '!BB54</f>
        <v>6000</v>
      </c>
      <c r="BC53" s="14">
        <f>6000-'PSB-P&amp;L '!BC54</f>
        <v>6000</v>
      </c>
      <c r="BD53" s="14">
        <f>6000-'PSB-P&amp;L '!BD54</f>
        <v>6000</v>
      </c>
      <c r="BE53" s="14">
        <f>6000-'PSB-P&amp;L '!BE54</f>
        <v>6000</v>
      </c>
      <c r="BF53" s="14">
        <f>6000-'PSB-P&amp;L '!BF54</f>
        <v>6000</v>
      </c>
      <c r="BG53" s="14">
        <f>6000-'PSB-P&amp;L '!BG54</f>
        <v>6000</v>
      </c>
      <c r="BH53" s="14">
        <f>6000-'PSB-P&amp;L '!BH54</f>
        <v>6000</v>
      </c>
      <c r="BI53" s="14">
        <f>6000-'PSB-P&amp;L '!BI54</f>
        <v>6000</v>
      </c>
      <c r="BJ53" s="14">
        <f>6000-'PSB-P&amp;L '!BJ54</f>
        <v>6000</v>
      </c>
      <c r="BK53" s="14">
        <f>6000-'PSB-P&amp;L '!BK54</f>
        <v>6000</v>
      </c>
      <c r="BL53" s="14">
        <f>6000-'PSB-P&amp;L '!BL54</f>
        <v>6000</v>
      </c>
      <c r="BM53" s="577">
        <f>6000-'PSB-P&amp;L '!BM54</f>
        <v>6000</v>
      </c>
      <c r="BN53" s="14">
        <f>6000-'PSB-P&amp;L '!BN54</f>
        <v>6000</v>
      </c>
      <c r="BO53" s="14">
        <f>6000-'PSB-P&amp;L '!BO54</f>
        <v>6000</v>
      </c>
      <c r="BP53" s="14">
        <f>6000-'PSB-P&amp;L '!BP54</f>
        <v>6000</v>
      </c>
      <c r="BQ53" s="14">
        <f>6000-'PSB-P&amp;L '!BQ54</f>
        <v>6000</v>
      </c>
      <c r="BR53" s="14">
        <f>6000-'PSB-P&amp;L '!BR54</f>
        <v>6000</v>
      </c>
      <c r="BS53" s="14">
        <f>6000-'PSB-P&amp;L '!BS54</f>
        <v>6000</v>
      </c>
      <c r="BT53" s="14">
        <f>6000-'PSB-P&amp;L '!BT54</f>
        <v>6000</v>
      </c>
      <c r="BU53" s="14">
        <f>6000-'PSB-P&amp;L '!BU54</f>
        <v>6000</v>
      </c>
      <c r="BV53" s="14">
        <f>6000-'PSB-P&amp;L '!BV54</f>
        <v>6000</v>
      </c>
      <c r="BW53" s="14">
        <f>6000-'PSB-P&amp;L '!BW54</f>
        <v>6000</v>
      </c>
      <c r="BX53" s="14">
        <f>6000-'PSB-P&amp;L '!BX54</f>
        <v>6000</v>
      </c>
      <c r="BY53" s="577">
        <f>6000-'PSB-P&amp;L '!BY54</f>
        <v>6000</v>
      </c>
      <c r="BZ53" s="14">
        <f>6000-'PSB-P&amp;L '!BZ54</f>
        <v>6000</v>
      </c>
      <c r="CA53" s="14">
        <f>6000-'PSB-P&amp;L '!CA54</f>
        <v>6000</v>
      </c>
      <c r="CB53" s="14">
        <f>6000-'PSB-P&amp;L '!CB54</f>
        <v>6000</v>
      </c>
      <c r="CC53" s="14">
        <f>6000-'PSB-P&amp;L '!CC54</f>
        <v>6000</v>
      </c>
      <c r="CD53" s="14">
        <f>6000-'PSB-P&amp;L '!CD54</f>
        <v>6000</v>
      </c>
      <c r="CE53" s="14">
        <f>6000-'PSB-P&amp;L '!CE54</f>
        <v>6000</v>
      </c>
      <c r="CF53" s="14">
        <f>6000-'PSB-P&amp;L '!CF54</f>
        <v>6000</v>
      </c>
      <c r="CG53" s="14">
        <f>6000-'PSB-P&amp;L '!CG54</f>
        <v>6000</v>
      </c>
      <c r="CH53" s="14">
        <f>6000-'PSB-P&amp;L '!CH54</f>
        <v>6000</v>
      </c>
      <c r="CI53" s="14">
        <f>6000-'PSB-P&amp;L '!CI54</f>
        <v>6000</v>
      </c>
      <c r="CJ53" s="14">
        <f>6000-'PSB-P&amp;L '!CJ54</f>
        <v>6000</v>
      </c>
      <c r="CK53" s="577">
        <f>6000-'PSB-P&amp;L '!CK54</f>
        <v>6000</v>
      </c>
    </row>
    <row r="54" spans="2:89" x14ac:dyDescent="0.2">
      <c r="B54" s="1" t="s">
        <v>115</v>
      </c>
      <c r="F54" s="14">
        <v>312.99</v>
      </c>
      <c r="G54" s="14">
        <v>0</v>
      </c>
      <c r="H54" s="14">
        <v>341.73</v>
      </c>
      <c r="I54" s="14">
        <v>0</v>
      </c>
      <c r="J54" s="14">
        <v>304.98</v>
      </c>
      <c r="K54" s="14">
        <v>0</v>
      </c>
      <c r="L54" s="14">
        <v>425.14</v>
      </c>
      <c r="M54" s="14">
        <v>0</v>
      </c>
      <c r="N54" s="14">
        <v>729.91</v>
      </c>
      <c r="O54" s="14">
        <v>0</v>
      </c>
      <c r="P54" s="472"/>
      <c r="Q54" s="577"/>
      <c r="R54" s="634"/>
      <c r="S54" s="634"/>
      <c r="T54" s="634">
        <v>646.98</v>
      </c>
      <c r="U54" s="14"/>
      <c r="V54" s="14"/>
      <c r="W54" s="14"/>
      <c r="X54" s="14"/>
      <c r="Y54" s="14">
        <v>1428.77</v>
      </c>
      <c r="Z54" s="14"/>
      <c r="AA54" s="14"/>
      <c r="AB54" s="14"/>
      <c r="AC54" s="577"/>
      <c r="AD54" s="14"/>
      <c r="AE54" s="14">
        <v>600</v>
      </c>
      <c r="AF54" s="14">
        <v>600</v>
      </c>
      <c r="AG54" s="14">
        <v>600</v>
      </c>
      <c r="AH54" s="14">
        <v>600</v>
      </c>
      <c r="AI54" s="14">
        <v>600</v>
      </c>
      <c r="AJ54" s="14">
        <v>600</v>
      </c>
      <c r="AK54" s="14">
        <v>600</v>
      </c>
      <c r="AL54" s="14">
        <v>600</v>
      </c>
      <c r="AM54" s="14">
        <v>600</v>
      </c>
      <c r="AN54" s="14">
        <v>600</v>
      </c>
      <c r="AO54" s="577">
        <v>600</v>
      </c>
      <c r="AP54" s="14">
        <v>700</v>
      </c>
      <c r="AQ54" s="14">
        <v>700</v>
      </c>
      <c r="AR54" s="14">
        <v>700</v>
      </c>
      <c r="AS54" s="14">
        <v>700</v>
      </c>
      <c r="AT54" s="14">
        <v>700</v>
      </c>
      <c r="AU54" s="14">
        <v>700</v>
      </c>
      <c r="AV54" s="14">
        <v>700</v>
      </c>
      <c r="AW54" s="14">
        <v>700</v>
      </c>
      <c r="AX54" s="14">
        <v>700</v>
      </c>
      <c r="AY54" s="14">
        <v>700</v>
      </c>
      <c r="AZ54" s="14">
        <v>700</v>
      </c>
      <c r="BA54" s="577">
        <v>700</v>
      </c>
      <c r="BB54" s="14">
        <v>700</v>
      </c>
      <c r="BC54" s="14">
        <v>700</v>
      </c>
      <c r="BD54" s="14">
        <v>700</v>
      </c>
      <c r="BE54" s="14">
        <v>700</v>
      </c>
      <c r="BF54" s="14">
        <v>700</v>
      </c>
      <c r="BG54" s="14">
        <v>700</v>
      </c>
      <c r="BH54" s="14">
        <v>700</v>
      </c>
      <c r="BI54" s="14">
        <v>700</v>
      </c>
      <c r="BJ54" s="14">
        <v>700</v>
      </c>
      <c r="BK54" s="14">
        <v>700</v>
      </c>
      <c r="BL54" s="14">
        <v>700</v>
      </c>
      <c r="BM54" s="577">
        <v>700</v>
      </c>
      <c r="BN54" s="14">
        <v>700</v>
      </c>
      <c r="BO54" s="14">
        <v>700</v>
      </c>
      <c r="BP54" s="14">
        <v>700</v>
      </c>
      <c r="BQ54" s="14">
        <v>700</v>
      </c>
      <c r="BR54" s="14">
        <v>700</v>
      </c>
      <c r="BS54" s="14">
        <v>700</v>
      </c>
      <c r="BT54" s="14">
        <v>700</v>
      </c>
      <c r="BU54" s="14">
        <v>700</v>
      </c>
      <c r="BV54" s="14">
        <v>700</v>
      </c>
      <c r="BW54" s="14">
        <v>700</v>
      </c>
      <c r="BX54" s="14">
        <v>700</v>
      </c>
      <c r="BY54" s="577">
        <v>700</v>
      </c>
      <c r="BZ54" s="14">
        <v>700</v>
      </c>
      <c r="CA54" s="14">
        <v>700</v>
      </c>
      <c r="CB54" s="14">
        <v>700</v>
      </c>
      <c r="CC54" s="14">
        <v>700</v>
      </c>
      <c r="CD54" s="14">
        <v>700</v>
      </c>
      <c r="CE54" s="14">
        <v>700</v>
      </c>
      <c r="CF54" s="14">
        <v>700</v>
      </c>
      <c r="CG54" s="14">
        <v>700</v>
      </c>
      <c r="CH54" s="14">
        <v>700</v>
      </c>
      <c r="CI54" s="14">
        <v>700</v>
      </c>
      <c r="CJ54" s="14">
        <v>700</v>
      </c>
      <c r="CK54" s="577">
        <v>700</v>
      </c>
    </row>
    <row r="55" spans="2:89" x14ac:dyDescent="0.2">
      <c r="B55" s="1" t="s">
        <v>43</v>
      </c>
      <c r="F55" s="14">
        <v>1136.8599999999999</v>
      </c>
      <c r="G55" s="14">
        <v>1136.8599999999999</v>
      </c>
      <c r="H55" s="14">
        <v>563.51</v>
      </c>
      <c r="I55" s="14">
        <v>1777.77</v>
      </c>
      <c r="J55" s="14">
        <v>-29182.89</v>
      </c>
      <c r="K55" s="14">
        <v>-198482.74</v>
      </c>
      <c r="L55" s="14">
        <v>1517.26</v>
      </c>
      <c r="M55" s="14">
        <v>1517.26</v>
      </c>
      <c r="N55" s="14">
        <v>1919.09</v>
      </c>
      <c r="O55" s="14">
        <v>1115.43</v>
      </c>
      <c r="P55" s="472">
        <v>1517.26</v>
      </c>
      <c r="Q55" s="577">
        <v>1517.26</v>
      </c>
      <c r="R55" s="634">
        <v>1517.26</v>
      </c>
      <c r="S55" s="634">
        <v>1517.26</v>
      </c>
      <c r="T55" s="634">
        <v>3590.08</v>
      </c>
      <c r="U55" s="14">
        <v>1814.48</v>
      </c>
      <c r="V55" s="14">
        <v>401.86</v>
      </c>
      <c r="W55" s="14">
        <v>401.86</v>
      </c>
      <c r="X55" s="14">
        <v>401.86</v>
      </c>
      <c r="Y55" s="14">
        <v>401.86</v>
      </c>
      <c r="Z55" s="14">
        <v>401.86</v>
      </c>
      <c r="AA55" s="14">
        <v>401.86</v>
      </c>
      <c r="AB55" s="14">
        <v>401.86</v>
      </c>
      <c r="AC55" s="577">
        <v>401.86</v>
      </c>
      <c r="AD55" s="14">
        <v>401.86</v>
      </c>
      <c r="AE55" s="14">
        <v>401.86</v>
      </c>
      <c r="AF55" s="14">
        <v>1200</v>
      </c>
      <c r="AG55" s="14">
        <v>1200</v>
      </c>
      <c r="AH55" s="14">
        <v>1200</v>
      </c>
      <c r="AI55" s="14">
        <v>1200</v>
      </c>
      <c r="AJ55" s="14">
        <v>2000</v>
      </c>
      <c r="AK55" s="14">
        <v>2000</v>
      </c>
      <c r="AL55" s="14">
        <v>2000</v>
      </c>
      <c r="AM55" s="14">
        <v>2000</v>
      </c>
      <c r="AN55" s="14">
        <v>2000</v>
      </c>
      <c r="AO55" s="577">
        <v>2000</v>
      </c>
      <c r="AP55" s="14">
        <v>2200</v>
      </c>
      <c r="AQ55" s="14">
        <v>2200</v>
      </c>
      <c r="AR55" s="14">
        <v>2200</v>
      </c>
      <c r="AS55" s="14">
        <v>2200</v>
      </c>
      <c r="AT55" s="14">
        <v>2200</v>
      </c>
      <c r="AU55" s="14">
        <v>2200</v>
      </c>
      <c r="AV55" s="14">
        <v>2200</v>
      </c>
      <c r="AW55" s="14">
        <v>2200</v>
      </c>
      <c r="AX55" s="14">
        <v>2200</v>
      </c>
      <c r="AY55" s="14">
        <v>2200</v>
      </c>
      <c r="AZ55" s="14">
        <v>2200</v>
      </c>
      <c r="BA55" s="577">
        <v>2200</v>
      </c>
      <c r="BB55" s="14">
        <v>2200</v>
      </c>
      <c r="BC55" s="14">
        <v>2200</v>
      </c>
      <c r="BD55" s="14">
        <v>2200</v>
      </c>
      <c r="BE55" s="14">
        <v>2200</v>
      </c>
      <c r="BF55" s="14">
        <v>2200</v>
      </c>
      <c r="BG55" s="14">
        <v>2200</v>
      </c>
      <c r="BH55" s="14">
        <v>2200</v>
      </c>
      <c r="BI55" s="14">
        <v>2200</v>
      </c>
      <c r="BJ55" s="14">
        <v>2200</v>
      </c>
      <c r="BK55" s="14">
        <v>2200</v>
      </c>
      <c r="BL55" s="14">
        <v>2200</v>
      </c>
      <c r="BM55" s="577">
        <v>2200</v>
      </c>
      <c r="BN55" s="14">
        <v>2200</v>
      </c>
      <c r="BO55" s="14">
        <v>2200</v>
      </c>
      <c r="BP55" s="14">
        <v>2200</v>
      </c>
      <c r="BQ55" s="14">
        <v>2200</v>
      </c>
      <c r="BR55" s="14">
        <v>2200</v>
      </c>
      <c r="BS55" s="14">
        <v>2200</v>
      </c>
      <c r="BT55" s="14">
        <v>2200</v>
      </c>
      <c r="BU55" s="14">
        <v>2200</v>
      </c>
      <c r="BV55" s="14">
        <v>2200</v>
      </c>
      <c r="BW55" s="14">
        <v>2200</v>
      </c>
      <c r="BX55" s="14">
        <v>2200</v>
      </c>
      <c r="BY55" s="577">
        <v>2200</v>
      </c>
      <c r="BZ55" s="14">
        <v>2200</v>
      </c>
      <c r="CA55" s="14">
        <v>2200</v>
      </c>
      <c r="CB55" s="14">
        <v>2200</v>
      </c>
      <c r="CC55" s="14">
        <v>2200</v>
      </c>
      <c r="CD55" s="14">
        <v>2200</v>
      </c>
      <c r="CE55" s="14">
        <v>2200</v>
      </c>
      <c r="CF55" s="14">
        <v>2200</v>
      </c>
      <c r="CG55" s="14">
        <v>2200</v>
      </c>
      <c r="CH55" s="14">
        <v>2200</v>
      </c>
      <c r="CI55" s="14">
        <v>2200</v>
      </c>
      <c r="CJ55" s="14">
        <v>2200</v>
      </c>
      <c r="CK55" s="577">
        <v>2200</v>
      </c>
    </row>
    <row r="56" spans="2:89" x14ac:dyDescent="0.2">
      <c r="B56" s="1" t="s">
        <v>44</v>
      </c>
      <c r="F56" s="14">
        <v>0</v>
      </c>
      <c r="G56" s="14">
        <v>0</v>
      </c>
      <c r="H56" s="14">
        <v>225</v>
      </c>
      <c r="I56" s="14">
        <v>3460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472"/>
      <c r="Q56" s="577"/>
      <c r="R56" s="646"/>
      <c r="S56" s="646"/>
      <c r="T56" s="646"/>
      <c r="U56" s="14"/>
      <c r="V56" s="14"/>
      <c r="W56" s="14"/>
      <c r="X56" s="14"/>
      <c r="Y56" s="14">
        <v>0</v>
      </c>
      <c r="Z56" s="14">
        <v>146.88</v>
      </c>
      <c r="AA56" s="14">
        <v>146.88</v>
      </c>
      <c r="AB56" s="14">
        <v>146.88</v>
      </c>
      <c r="AC56" s="577">
        <v>146.88</v>
      </c>
      <c r="AD56" s="14">
        <v>146.88</v>
      </c>
      <c r="AE56" s="14">
        <v>146.88</v>
      </c>
      <c r="AF56" s="12">
        <v>750</v>
      </c>
      <c r="AG56" s="12">
        <v>750</v>
      </c>
      <c r="AH56" s="12">
        <v>750</v>
      </c>
      <c r="AI56" s="12">
        <v>5000</v>
      </c>
      <c r="AJ56" s="12">
        <v>750</v>
      </c>
      <c r="AK56" s="12">
        <v>750</v>
      </c>
      <c r="AL56" s="12">
        <v>750</v>
      </c>
      <c r="AM56" s="12">
        <v>750</v>
      </c>
      <c r="AN56" s="12">
        <v>750</v>
      </c>
      <c r="AO56" s="578">
        <v>10000</v>
      </c>
      <c r="AP56" s="12">
        <v>1000</v>
      </c>
      <c r="AQ56" s="12">
        <v>1000</v>
      </c>
      <c r="AR56" s="12">
        <v>1000</v>
      </c>
      <c r="AS56" s="12">
        <v>1000</v>
      </c>
      <c r="AT56" s="12">
        <v>1000</v>
      </c>
      <c r="AU56" s="12">
        <v>7000</v>
      </c>
      <c r="AV56" s="12">
        <v>1000</v>
      </c>
      <c r="AW56" s="12">
        <v>1000</v>
      </c>
      <c r="AX56" s="12">
        <v>1000</v>
      </c>
      <c r="AY56" s="12">
        <v>1000</v>
      </c>
      <c r="AZ56" s="12">
        <v>1000</v>
      </c>
      <c r="BA56" s="578">
        <v>12500</v>
      </c>
      <c r="BB56" s="12">
        <v>1000</v>
      </c>
      <c r="BC56" s="12">
        <v>1000</v>
      </c>
      <c r="BD56" s="12">
        <v>1000</v>
      </c>
      <c r="BE56" s="12">
        <v>1000</v>
      </c>
      <c r="BF56" s="12">
        <v>1000</v>
      </c>
      <c r="BG56" s="12">
        <v>7000</v>
      </c>
      <c r="BH56" s="12">
        <v>1000</v>
      </c>
      <c r="BI56" s="12">
        <v>1000</v>
      </c>
      <c r="BJ56" s="12">
        <v>1000</v>
      </c>
      <c r="BK56" s="12">
        <v>1000</v>
      </c>
      <c r="BL56" s="12">
        <v>1000</v>
      </c>
      <c r="BM56" s="578">
        <v>12500</v>
      </c>
      <c r="BN56" s="12">
        <v>1000</v>
      </c>
      <c r="BO56" s="12">
        <v>1000</v>
      </c>
      <c r="BP56" s="12">
        <v>1000</v>
      </c>
      <c r="BQ56" s="12">
        <v>1000</v>
      </c>
      <c r="BR56" s="12">
        <v>1000</v>
      </c>
      <c r="BS56" s="12">
        <v>7000</v>
      </c>
      <c r="BT56" s="12">
        <v>1000</v>
      </c>
      <c r="BU56" s="12">
        <v>1000</v>
      </c>
      <c r="BV56" s="12">
        <v>1000</v>
      </c>
      <c r="BW56" s="12">
        <v>1000</v>
      </c>
      <c r="BX56" s="12">
        <v>1000</v>
      </c>
      <c r="BY56" s="578">
        <v>12500</v>
      </c>
      <c r="BZ56" s="12">
        <v>1000</v>
      </c>
      <c r="CA56" s="12">
        <v>1000</v>
      </c>
      <c r="CB56" s="12">
        <v>1000</v>
      </c>
      <c r="CC56" s="12">
        <v>1000</v>
      </c>
      <c r="CD56" s="12">
        <v>1000</v>
      </c>
      <c r="CE56" s="12">
        <v>7000</v>
      </c>
      <c r="CF56" s="12">
        <v>1000</v>
      </c>
      <c r="CG56" s="12">
        <v>1000</v>
      </c>
      <c r="CH56" s="12">
        <v>1000</v>
      </c>
      <c r="CI56" s="12">
        <v>1000</v>
      </c>
      <c r="CJ56" s="12">
        <v>1000</v>
      </c>
      <c r="CK56" s="578">
        <v>12500</v>
      </c>
    </row>
    <row r="57" spans="2:89" x14ac:dyDescent="0.2">
      <c r="B57" s="1" t="s">
        <v>45</v>
      </c>
      <c r="F57" s="14">
        <v>0</v>
      </c>
      <c r="G57" s="14">
        <v>0</v>
      </c>
      <c r="H57" s="14">
        <v>0</v>
      </c>
      <c r="I57" s="14">
        <v>0</v>
      </c>
      <c r="J57" s="14">
        <v>282.77999999999997</v>
      </c>
      <c r="K57" s="14">
        <v>360.01</v>
      </c>
      <c r="L57" s="14">
        <v>0</v>
      </c>
      <c r="M57" s="14">
        <v>9822.31</v>
      </c>
      <c r="N57" s="14">
        <v>769.24</v>
      </c>
      <c r="O57" s="14">
        <v>769.24</v>
      </c>
      <c r="P57" s="472">
        <v>769.24</v>
      </c>
      <c r="Q57" s="577">
        <v>1153.8599999999999</v>
      </c>
      <c r="R57" s="646">
        <v>384.62</v>
      </c>
      <c r="S57" s="646">
        <v>0</v>
      </c>
      <c r="T57" s="646">
        <v>0</v>
      </c>
      <c r="U57" s="14">
        <v>0</v>
      </c>
      <c r="V57" s="14"/>
      <c r="W57" s="14"/>
      <c r="X57" s="14"/>
      <c r="Y57" s="14">
        <v>0</v>
      </c>
      <c r="Z57" s="14">
        <v>0.43</v>
      </c>
      <c r="AA57" s="14">
        <v>0.43</v>
      </c>
      <c r="AB57" s="14">
        <v>0.43</v>
      </c>
      <c r="AC57" s="577">
        <v>0.43</v>
      </c>
      <c r="AD57" s="14">
        <v>0.43</v>
      </c>
      <c r="AE57" s="14">
        <v>0.43</v>
      </c>
      <c r="AF57" s="177">
        <v>3000</v>
      </c>
      <c r="AG57" s="177">
        <v>3000</v>
      </c>
      <c r="AH57" s="177">
        <v>3000</v>
      </c>
      <c r="AI57" s="177">
        <v>3000</v>
      </c>
      <c r="AJ57" s="177">
        <v>3000</v>
      </c>
      <c r="AK57" s="177">
        <v>3000</v>
      </c>
      <c r="AL57" s="177">
        <v>3000</v>
      </c>
      <c r="AM57" s="177">
        <v>3000</v>
      </c>
      <c r="AN57" s="177">
        <v>3000</v>
      </c>
      <c r="AO57" s="629">
        <v>3000</v>
      </c>
      <c r="AP57" s="12">
        <v>4000</v>
      </c>
      <c r="AQ57" s="12">
        <v>4000</v>
      </c>
      <c r="AR57" s="12">
        <v>4000</v>
      </c>
      <c r="AS57" s="12">
        <v>4000</v>
      </c>
      <c r="AT57" s="12">
        <v>4000</v>
      </c>
      <c r="AU57" s="12">
        <v>4000</v>
      </c>
      <c r="AV57" s="12">
        <v>4000</v>
      </c>
      <c r="AW57" s="12">
        <v>4000</v>
      </c>
      <c r="AX57" s="12">
        <v>4000</v>
      </c>
      <c r="AY57" s="12">
        <v>4000</v>
      </c>
      <c r="AZ57" s="12">
        <v>4000</v>
      </c>
      <c r="BA57" s="578">
        <v>4000</v>
      </c>
      <c r="BB57" s="12">
        <v>4000</v>
      </c>
      <c r="BC57" s="12">
        <v>4000</v>
      </c>
      <c r="BD57" s="12">
        <v>4000</v>
      </c>
      <c r="BE57" s="12">
        <v>4000</v>
      </c>
      <c r="BF57" s="12">
        <v>4000</v>
      </c>
      <c r="BG57" s="12">
        <v>4000</v>
      </c>
      <c r="BH57" s="12">
        <v>4000</v>
      </c>
      <c r="BI57" s="12">
        <v>4000</v>
      </c>
      <c r="BJ57" s="12">
        <v>4000</v>
      </c>
      <c r="BK57" s="12">
        <v>4000</v>
      </c>
      <c r="BL57" s="12">
        <v>4000</v>
      </c>
      <c r="BM57" s="578">
        <v>4000</v>
      </c>
      <c r="BN57" s="12">
        <v>4000</v>
      </c>
      <c r="BO57" s="12">
        <v>4000</v>
      </c>
      <c r="BP57" s="12">
        <v>4000</v>
      </c>
      <c r="BQ57" s="12">
        <v>4000</v>
      </c>
      <c r="BR57" s="12">
        <v>4000</v>
      </c>
      <c r="BS57" s="12">
        <v>4000</v>
      </c>
      <c r="BT57" s="12">
        <v>4000</v>
      </c>
      <c r="BU57" s="12">
        <v>4000</v>
      </c>
      <c r="BV57" s="12">
        <v>4000</v>
      </c>
      <c r="BW57" s="12">
        <v>4000</v>
      </c>
      <c r="BX57" s="12">
        <v>4000</v>
      </c>
      <c r="BY57" s="578">
        <v>4000</v>
      </c>
      <c r="BZ57" s="12">
        <v>4000</v>
      </c>
      <c r="CA57" s="12">
        <v>4000</v>
      </c>
      <c r="CB57" s="12">
        <v>4000</v>
      </c>
      <c r="CC57" s="12">
        <v>4000</v>
      </c>
      <c r="CD57" s="12">
        <v>4000</v>
      </c>
      <c r="CE57" s="12">
        <v>4000</v>
      </c>
      <c r="CF57" s="12">
        <v>4000</v>
      </c>
      <c r="CG57" s="12">
        <v>4000</v>
      </c>
      <c r="CH57" s="12">
        <v>4000</v>
      </c>
      <c r="CI57" s="12">
        <v>4000</v>
      </c>
      <c r="CJ57" s="12">
        <v>4000</v>
      </c>
      <c r="CK57" s="578">
        <v>4000</v>
      </c>
    </row>
    <row r="58" spans="2:89" x14ac:dyDescent="0.2">
      <c r="B58" s="1" t="s">
        <v>331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26739.13</v>
      </c>
      <c r="P58" s="472"/>
      <c r="Q58" s="577"/>
      <c r="R58" s="634"/>
      <c r="S58" s="634"/>
      <c r="T58" s="634"/>
      <c r="U58" s="14">
        <f>U89/36</f>
        <v>0</v>
      </c>
      <c r="V58" s="14">
        <f>U58</f>
        <v>0</v>
      </c>
      <c r="W58" s="14">
        <f t="shared" ref="W58:BA58" si="69">V58</f>
        <v>0</v>
      </c>
      <c r="X58" s="14">
        <f t="shared" si="69"/>
        <v>0</v>
      </c>
      <c r="Y58" s="14">
        <v>430.16</v>
      </c>
      <c r="Z58" s="14">
        <f t="shared" si="69"/>
        <v>430.16</v>
      </c>
      <c r="AA58" s="14">
        <f t="shared" si="69"/>
        <v>430.16</v>
      </c>
      <c r="AB58" s="14">
        <f t="shared" si="69"/>
        <v>430.16</v>
      </c>
      <c r="AC58" s="577">
        <f t="shared" si="69"/>
        <v>430.16</v>
      </c>
      <c r="AD58" s="14">
        <f t="shared" si="69"/>
        <v>430.16</v>
      </c>
      <c r="AE58" s="14">
        <f t="shared" si="69"/>
        <v>430.16</v>
      </c>
      <c r="AF58" s="14">
        <f t="shared" si="69"/>
        <v>430.16</v>
      </c>
      <c r="AG58" s="14">
        <f t="shared" si="69"/>
        <v>430.16</v>
      </c>
      <c r="AH58" s="14">
        <f t="shared" si="69"/>
        <v>430.16</v>
      </c>
      <c r="AI58" s="14">
        <f t="shared" si="69"/>
        <v>430.16</v>
      </c>
      <c r="AJ58" s="14">
        <f t="shared" si="69"/>
        <v>430.16</v>
      </c>
      <c r="AK58" s="14">
        <f t="shared" si="69"/>
        <v>430.16</v>
      </c>
      <c r="AL58" s="14">
        <f t="shared" si="69"/>
        <v>430.16</v>
      </c>
      <c r="AM58" s="14">
        <f t="shared" si="69"/>
        <v>430.16</v>
      </c>
      <c r="AN58" s="14">
        <f t="shared" si="69"/>
        <v>430.16</v>
      </c>
      <c r="AO58" s="577">
        <f t="shared" si="69"/>
        <v>430.16</v>
      </c>
      <c r="AP58" s="14">
        <f t="shared" si="69"/>
        <v>430.16</v>
      </c>
      <c r="AQ58" s="14">
        <f t="shared" si="69"/>
        <v>430.16</v>
      </c>
      <c r="AR58" s="14">
        <f t="shared" si="69"/>
        <v>430.16</v>
      </c>
      <c r="AS58" s="14">
        <f t="shared" si="69"/>
        <v>430.16</v>
      </c>
      <c r="AT58" s="14">
        <f t="shared" si="69"/>
        <v>430.16</v>
      </c>
      <c r="AU58" s="14">
        <f t="shared" si="69"/>
        <v>430.16</v>
      </c>
      <c r="AV58" s="14">
        <f t="shared" si="69"/>
        <v>430.16</v>
      </c>
      <c r="AW58" s="14">
        <f t="shared" si="69"/>
        <v>430.16</v>
      </c>
      <c r="AX58" s="14">
        <f t="shared" si="69"/>
        <v>430.16</v>
      </c>
      <c r="AY58" s="14">
        <f t="shared" si="69"/>
        <v>430.16</v>
      </c>
      <c r="AZ58" s="14">
        <f t="shared" si="69"/>
        <v>430.16</v>
      </c>
      <c r="BA58" s="577">
        <f t="shared" si="69"/>
        <v>430.16</v>
      </c>
      <c r="BB58" s="14">
        <f t="shared" ref="BB58" si="70">BA58</f>
        <v>430.16</v>
      </c>
      <c r="BC58" s="14">
        <f t="shared" ref="BC58" si="71">BB58</f>
        <v>430.16</v>
      </c>
      <c r="BD58" s="14">
        <f t="shared" ref="BD58" si="72">BC58</f>
        <v>430.16</v>
      </c>
      <c r="BE58" s="14">
        <f t="shared" ref="BE58" si="73">BD58</f>
        <v>430.16</v>
      </c>
      <c r="BF58" s="14">
        <f t="shared" ref="BF58" si="74">BE58</f>
        <v>430.16</v>
      </c>
      <c r="BG58" s="14">
        <f t="shared" ref="BG58" si="75">BF58</f>
        <v>430.16</v>
      </c>
      <c r="BH58" s="14">
        <f t="shared" ref="BH58" si="76">BG58</f>
        <v>430.16</v>
      </c>
      <c r="BI58" s="14">
        <f t="shared" ref="BI58" si="77">BH58</f>
        <v>430.16</v>
      </c>
      <c r="BJ58" s="14">
        <f t="shared" ref="BJ58" si="78">BI58</f>
        <v>430.16</v>
      </c>
      <c r="BK58" s="14">
        <f t="shared" ref="BK58" si="79">BJ58</f>
        <v>430.16</v>
      </c>
      <c r="BL58" s="14">
        <f t="shared" ref="BL58" si="80">BK58</f>
        <v>430.16</v>
      </c>
      <c r="BM58" s="577">
        <f t="shared" ref="BM58" si="81">BL58</f>
        <v>430.16</v>
      </c>
      <c r="BN58" s="14">
        <f t="shared" ref="BN58" si="82">BM58</f>
        <v>430.16</v>
      </c>
      <c r="BO58" s="14">
        <f t="shared" ref="BO58" si="83">BN58</f>
        <v>430.16</v>
      </c>
      <c r="BP58" s="14">
        <f t="shared" ref="BP58" si="84">BO58</f>
        <v>430.16</v>
      </c>
      <c r="BQ58" s="14">
        <f t="shared" ref="BQ58" si="85">BP58</f>
        <v>430.16</v>
      </c>
      <c r="BR58" s="14">
        <f t="shared" ref="BR58" si="86">BQ58</f>
        <v>430.16</v>
      </c>
      <c r="BS58" s="14">
        <f t="shared" ref="BS58" si="87">BR58</f>
        <v>430.16</v>
      </c>
      <c r="BT58" s="14">
        <f t="shared" ref="BT58" si="88">BS58</f>
        <v>430.16</v>
      </c>
      <c r="BU58" s="14">
        <f t="shared" ref="BU58" si="89">BT58</f>
        <v>430.16</v>
      </c>
      <c r="BV58" s="14">
        <f t="shared" ref="BV58" si="90">BU58</f>
        <v>430.16</v>
      </c>
      <c r="BW58" s="14">
        <f t="shared" ref="BW58" si="91">BV58</f>
        <v>430.16</v>
      </c>
      <c r="BX58" s="14">
        <f t="shared" ref="BX58" si="92">BW58</f>
        <v>430.16</v>
      </c>
      <c r="BY58" s="577">
        <f t="shared" ref="BY58" si="93">BX58</f>
        <v>430.16</v>
      </c>
      <c r="BZ58" s="14">
        <f t="shared" ref="BZ58" si="94">BY58</f>
        <v>430.16</v>
      </c>
      <c r="CA58" s="14">
        <f t="shared" ref="CA58" si="95">BZ58</f>
        <v>430.16</v>
      </c>
      <c r="CB58" s="14">
        <f t="shared" ref="CB58" si="96">CA58</f>
        <v>430.16</v>
      </c>
      <c r="CC58" s="14">
        <f t="shared" ref="CC58" si="97">CB58</f>
        <v>430.16</v>
      </c>
      <c r="CD58" s="14">
        <f t="shared" ref="CD58" si="98">CC58</f>
        <v>430.16</v>
      </c>
      <c r="CE58" s="14">
        <f t="shared" ref="CE58" si="99">CD58</f>
        <v>430.16</v>
      </c>
      <c r="CF58" s="14">
        <f t="shared" ref="CF58" si="100">CE58</f>
        <v>430.16</v>
      </c>
      <c r="CG58" s="14">
        <f t="shared" ref="CG58" si="101">CF58</f>
        <v>430.16</v>
      </c>
      <c r="CH58" s="14">
        <f t="shared" ref="CH58" si="102">CG58</f>
        <v>430.16</v>
      </c>
      <c r="CI58" s="14">
        <f t="shared" ref="CI58" si="103">CH58</f>
        <v>430.16</v>
      </c>
      <c r="CJ58" s="14">
        <f t="shared" ref="CJ58" si="104">CI58</f>
        <v>430.16</v>
      </c>
      <c r="CK58" s="577">
        <f t="shared" ref="CK58" si="105">CJ58</f>
        <v>430.16</v>
      </c>
    </row>
    <row r="59" spans="2:89" x14ac:dyDescent="0.2">
      <c r="B59" s="1" t="s">
        <v>46</v>
      </c>
      <c r="F59" s="14">
        <v>89.95</v>
      </c>
      <c r="G59" s="14">
        <v>89.95</v>
      </c>
      <c r="H59" s="14">
        <v>89.95</v>
      </c>
      <c r="I59" s="14">
        <v>89.95</v>
      </c>
      <c r="J59" s="14">
        <v>89.95</v>
      </c>
      <c r="K59" s="14">
        <v>89.95</v>
      </c>
      <c r="L59" s="14">
        <v>89.95</v>
      </c>
      <c r="M59" s="14">
        <v>89.95</v>
      </c>
      <c r="N59" s="14">
        <v>122.62</v>
      </c>
      <c r="O59" s="14">
        <v>73.95</v>
      </c>
      <c r="P59" s="472">
        <v>341.58</v>
      </c>
      <c r="Q59" s="577">
        <v>139.91</v>
      </c>
      <c r="R59" s="646">
        <v>79.959999999999994</v>
      </c>
      <c r="S59" s="646">
        <v>184.7</v>
      </c>
      <c r="T59" s="646">
        <v>79.959999999999994</v>
      </c>
      <c r="U59" s="14">
        <v>171.91</v>
      </c>
      <c r="V59" s="14">
        <v>92</v>
      </c>
      <c r="W59" s="14">
        <v>252</v>
      </c>
      <c r="X59" s="14">
        <v>92</v>
      </c>
      <c r="Y59" s="14">
        <v>171.91</v>
      </c>
      <c r="Z59" s="14">
        <v>159.91999999999999</v>
      </c>
      <c r="AA59" s="14">
        <v>159.91999999999999</v>
      </c>
      <c r="AB59" s="14">
        <v>159.91999999999999</v>
      </c>
      <c r="AC59" s="577">
        <v>159.91999999999999</v>
      </c>
      <c r="AD59" s="14">
        <v>159.91999999999999</v>
      </c>
      <c r="AE59" s="14">
        <v>159.91999999999999</v>
      </c>
      <c r="AF59" s="12">
        <v>350</v>
      </c>
      <c r="AG59" s="12">
        <v>350</v>
      </c>
      <c r="AH59" s="12">
        <v>350</v>
      </c>
      <c r="AI59" s="12">
        <v>350</v>
      </c>
      <c r="AJ59" s="12">
        <v>350</v>
      </c>
      <c r="AK59" s="12">
        <v>350</v>
      </c>
      <c r="AL59" s="12">
        <v>350</v>
      </c>
      <c r="AM59" s="12">
        <v>350</v>
      </c>
      <c r="AN59" s="12">
        <v>350</v>
      </c>
      <c r="AO59" s="578">
        <v>350</v>
      </c>
      <c r="AP59" s="12">
        <v>400</v>
      </c>
      <c r="AQ59" s="12">
        <v>400</v>
      </c>
      <c r="AR59" s="12">
        <v>400</v>
      </c>
      <c r="AS59" s="12">
        <v>400</v>
      </c>
      <c r="AT59" s="12">
        <v>400</v>
      </c>
      <c r="AU59" s="12">
        <v>400</v>
      </c>
      <c r="AV59" s="12">
        <v>400</v>
      </c>
      <c r="AW59" s="12">
        <v>400</v>
      </c>
      <c r="AX59" s="12">
        <v>400</v>
      </c>
      <c r="AY59" s="12">
        <v>400</v>
      </c>
      <c r="AZ59" s="12">
        <v>400</v>
      </c>
      <c r="BA59" s="578">
        <v>400</v>
      </c>
      <c r="BB59" s="12">
        <v>400</v>
      </c>
      <c r="BC59" s="12">
        <v>400</v>
      </c>
      <c r="BD59" s="12">
        <v>400</v>
      </c>
      <c r="BE59" s="12">
        <v>400</v>
      </c>
      <c r="BF59" s="12">
        <v>400</v>
      </c>
      <c r="BG59" s="12">
        <v>400</v>
      </c>
      <c r="BH59" s="12">
        <v>400</v>
      </c>
      <c r="BI59" s="12">
        <v>400</v>
      </c>
      <c r="BJ59" s="12">
        <v>400</v>
      </c>
      <c r="BK59" s="12">
        <v>400</v>
      </c>
      <c r="BL59" s="12">
        <v>400</v>
      </c>
      <c r="BM59" s="578">
        <v>400</v>
      </c>
      <c r="BN59" s="12">
        <v>400</v>
      </c>
      <c r="BO59" s="12">
        <v>400</v>
      </c>
      <c r="BP59" s="12">
        <v>400</v>
      </c>
      <c r="BQ59" s="12">
        <v>400</v>
      </c>
      <c r="BR59" s="12">
        <v>400</v>
      </c>
      <c r="BS59" s="12">
        <v>400</v>
      </c>
      <c r="BT59" s="12">
        <v>400</v>
      </c>
      <c r="BU59" s="12">
        <v>400</v>
      </c>
      <c r="BV59" s="12">
        <v>400</v>
      </c>
      <c r="BW59" s="12">
        <v>400</v>
      </c>
      <c r="BX59" s="12">
        <v>400</v>
      </c>
      <c r="BY59" s="578">
        <v>400</v>
      </c>
      <c r="BZ59" s="12">
        <v>400</v>
      </c>
      <c r="CA59" s="12">
        <v>400</v>
      </c>
      <c r="CB59" s="12">
        <v>400</v>
      </c>
      <c r="CC59" s="12">
        <v>400</v>
      </c>
      <c r="CD59" s="12">
        <v>400</v>
      </c>
      <c r="CE59" s="12">
        <v>400</v>
      </c>
      <c r="CF59" s="12">
        <v>400</v>
      </c>
      <c r="CG59" s="12">
        <v>400</v>
      </c>
      <c r="CH59" s="12">
        <v>400</v>
      </c>
      <c r="CI59" s="12">
        <v>400</v>
      </c>
      <c r="CJ59" s="12">
        <v>400</v>
      </c>
      <c r="CK59" s="578">
        <v>400</v>
      </c>
    </row>
    <row r="60" spans="2:89" x14ac:dyDescent="0.2">
      <c r="B60" s="1" t="s">
        <v>47</v>
      </c>
      <c r="F60" s="14">
        <v>5929.3700000000008</v>
      </c>
      <c r="G60" s="14">
        <v>7248.04</v>
      </c>
      <c r="H60" s="14">
        <v>6920.16</v>
      </c>
      <c r="I60" s="14">
        <v>5969.1399999999994</v>
      </c>
      <c r="J60" s="14">
        <v>4363.0700000000006</v>
      </c>
      <c r="K60" s="14">
        <v>4342.28</v>
      </c>
      <c r="L60" s="14">
        <v>5749.74</v>
      </c>
      <c r="M60" s="14">
        <v>5043.74</v>
      </c>
      <c r="N60" s="14">
        <v>4577.25</v>
      </c>
      <c r="O60" s="14">
        <v>7442.1799999999985</v>
      </c>
      <c r="P60" s="472">
        <f>5477.58+3602.22</f>
        <v>9079.7999999999993</v>
      </c>
      <c r="Q60" s="577">
        <f>5412.68+900.59</f>
        <v>6313.27</v>
      </c>
      <c r="R60" s="634">
        <v>8762.52</v>
      </c>
      <c r="S60" s="634">
        <v>5158.04</v>
      </c>
      <c r="T60" s="634">
        <v>7727.19</v>
      </c>
      <c r="U60" s="14">
        <v>4816.22</v>
      </c>
      <c r="V60" s="14">
        <v>5409</v>
      </c>
      <c r="W60" s="14">
        <v>5098</v>
      </c>
      <c r="X60" s="14">
        <v>4606</v>
      </c>
      <c r="Y60" s="14">
        <v>7125.02</v>
      </c>
      <c r="Z60" s="14">
        <v>4327.8999999999996</v>
      </c>
      <c r="AA60" s="14">
        <v>4327.8999999999996</v>
      </c>
      <c r="AB60" s="14">
        <v>4327.8999999999996</v>
      </c>
      <c r="AC60" s="577">
        <v>4327.8999999999996</v>
      </c>
      <c r="AD60" s="14">
        <v>4327.8999999999996</v>
      </c>
      <c r="AE60" s="14">
        <v>4327.8999999999996</v>
      </c>
      <c r="AF60" s="14">
        <v>7500</v>
      </c>
      <c r="AG60" s="14">
        <v>7500</v>
      </c>
      <c r="AH60" s="14">
        <v>10000</v>
      </c>
      <c r="AI60" s="14">
        <v>10000</v>
      </c>
      <c r="AJ60" s="14">
        <v>10000</v>
      </c>
      <c r="AK60" s="14">
        <v>10000</v>
      </c>
      <c r="AL60" s="14">
        <v>10000</v>
      </c>
      <c r="AM60" s="14">
        <v>10000</v>
      </c>
      <c r="AN60" s="14">
        <v>10000</v>
      </c>
      <c r="AO60" s="577">
        <v>10000</v>
      </c>
      <c r="AP60" s="14">
        <v>12500</v>
      </c>
      <c r="AQ60" s="14">
        <v>12500</v>
      </c>
      <c r="AR60" s="14">
        <v>12500</v>
      </c>
      <c r="AS60" s="14">
        <v>12500</v>
      </c>
      <c r="AT60" s="14">
        <v>12500</v>
      </c>
      <c r="AU60" s="14">
        <v>12500</v>
      </c>
      <c r="AV60" s="14">
        <v>12500</v>
      </c>
      <c r="AW60" s="14">
        <v>12500</v>
      </c>
      <c r="AX60" s="14">
        <v>12500</v>
      </c>
      <c r="AY60" s="14">
        <v>12500</v>
      </c>
      <c r="AZ60" s="14">
        <v>12500</v>
      </c>
      <c r="BA60" s="577">
        <v>12500</v>
      </c>
      <c r="BB60" s="14">
        <v>12500</v>
      </c>
      <c r="BC60" s="14">
        <v>12500</v>
      </c>
      <c r="BD60" s="14">
        <v>12500</v>
      </c>
      <c r="BE60" s="14">
        <v>12500</v>
      </c>
      <c r="BF60" s="14">
        <v>12500</v>
      </c>
      <c r="BG60" s="14">
        <v>12500</v>
      </c>
      <c r="BH60" s="14">
        <v>12500</v>
      </c>
      <c r="BI60" s="14">
        <v>12500</v>
      </c>
      <c r="BJ60" s="14">
        <v>12500</v>
      </c>
      <c r="BK60" s="14">
        <v>12500</v>
      </c>
      <c r="BL60" s="14">
        <v>12500</v>
      </c>
      <c r="BM60" s="577">
        <v>12500</v>
      </c>
      <c r="BN60" s="14">
        <v>12500</v>
      </c>
      <c r="BO60" s="14">
        <v>12500</v>
      </c>
      <c r="BP60" s="14">
        <v>12500</v>
      </c>
      <c r="BQ60" s="14">
        <v>12500</v>
      </c>
      <c r="BR60" s="14">
        <v>12500</v>
      </c>
      <c r="BS60" s="14">
        <v>12500</v>
      </c>
      <c r="BT60" s="14">
        <v>12500</v>
      </c>
      <c r="BU60" s="14">
        <v>12500</v>
      </c>
      <c r="BV60" s="14">
        <v>12500</v>
      </c>
      <c r="BW60" s="14">
        <v>12500</v>
      </c>
      <c r="BX60" s="14">
        <v>12500</v>
      </c>
      <c r="BY60" s="577">
        <v>12500</v>
      </c>
      <c r="BZ60" s="14">
        <v>12500</v>
      </c>
      <c r="CA60" s="14">
        <v>12500</v>
      </c>
      <c r="CB60" s="14">
        <v>12500</v>
      </c>
      <c r="CC60" s="14">
        <v>12500</v>
      </c>
      <c r="CD60" s="14">
        <v>12500</v>
      </c>
      <c r="CE60" s="14">
        <v>12500</v>
      </c>
      <c r="CF60" s="14">
        <v>12500</v>
      </c>
      <c r="CG60" s="14">
        <v>12500</v>
      </c>
      <c r="CH60" s="14">
        <v>12500</v>
      </c>
      <c r="CI60" s="14">
        <v>12500</v>
      </c>
      <c r="CJ60" s="14">
        <v>12500</v>
      </c>
      <c r="CK60" s="577">
        <v>12500</v>
      </c>
    </row>
    <row r="61" spans="2:89" x14ac:dyDescent="0.2">
      <c r="B61" s="1" t="s">
        <v>98</v>
      </c>
      <c r="F61" s="14">
        <v>0</v>
      </c>
      <c r="G61" s="14">
        <v>1125</v>
      </c>
      <c r="H61" s="14">
        <v>900</v>
      </c>
      <c r="I61" s="14">
        <v>900</v>
      </c>
      <c r="J61" s="14">
        <v>900</v>
      </c>
      <c r="K61" s="14">
        <v>1125</v>
      </c>
      <c r="L61" s="14">
        <v>900</v>
      </c>
      <c r="M61" s="14">
        <v>1035</v>
      </c>
      <c r="N61" s="14">
        <v>2070</v>
      </c>
      <c r="O61" s="14">
        <v>0</v>
      </c>
      <c r="P61" s="472">
        <v>315</v>
      </c>
      <c r="Q61" s="577">
        <v>1190.01</v>
      </c>
      <c r="R61" s="634">
        <v>455</v>
      </c>
      <c r="S61" s="634">
        <v>340</v>
      </c>
      <c r="T61" s="634">
        <v>340</v>
      </c>
      <c r="U61" s="14">
        <v>340</v>
      </c>
      <c r="V61" s="14"/>
      <c r="W61" s="14"/>
      <c r="X61" s="14"/>
      <c r="Y61" s="14">
        <v>0</v>
      </c>
      <c r="Z61" s="14">
        <v>0</v>
      </c>
      <c r="AA61" s="14">
        <v>0</v>
      </c>
      <c r="AB61" s="14">
        <v>0</v>
      </c>
      <c r="AC61" s="577">
        <v>0</v>
      </c>
      <c r="AD61" s="14">
        <v>0</v>
      </c>
      <c r="AE61" s="14">
        <v>0</v>
      </c>
      <c r="AF61" s="12">
        <v>1500</v>
      </c>
      <c r="AG61" s="12">
        <v>1500</v>
      </c>
      <c r="AH61" s="12">
        <v>1500</v>
      </c>
      <c r="AI61" s="12">
        <v>1500</v>
      </c>
      <c r="AJ61" s="12">
        <v>1500</v>
      </c>
      <c r="AK61" s="12">
        <v>1500</v>
      </c>
      <c r="AL61" s="12">
        <v>1500</v>
      </c>
      <c r="AM61" s="12">
        <v>1500</v>
      </c>
      <c r="AN61" s="12">
        <v>1500</v>
      </c>
      <c r="AO61" s="578">
        <v>1500</v>
      </c>
      <c r="AP61" s="12">
        <v>2000</v>
      </c>
      <c r="AQ61" s="12">
        <v>2000</v>
      </c>
      <c r="AR61" s="12">
        <v>2000</v>
      </c>
      <c r="AS61" s="12">
        <v>2000</v>
      </c>
      <c r="AT61" s="12">
        <v>2000</v>
      </c>
      <c r="AU61" s="12">
        <v>2000</v>
      </c>
      <c r="AV61" s="12">
        <v>2000</v>
      </c>
      <c r="AW61" s="12">
        <v>2000</v>
      </c>
      <c r="AX61" s="12">
        <v>2000</v>
      </c>
      <c r="AY61" s="12">
        <v>2000</v>
      </c>
      <c r="AZ61" s="12">
        <v>2000</v>
      </c>
      <c r="BA61" s="578">
        <v>2000</v>
      </c>
      <c r="BB61" s="12">
        <v>2000</v>
      </c>
      <c r="BC61" s="12">
        <v>2000</v>
      </c>
      <c r="BD61" s="12">
        <v>2000</v>
      </c>
      <c r="BE61" s="12">
        <v>2000</v>
      </c>
      <c r="BF61" s="12">
        <v>2000</v>
      </c>
      <c r="BG61" s="12">
        <v>2000</v>
      </c>
      <c r="BH61" s="12">
        <v>2000</v>
      </c>
      <c r="BI61" s="12">
        <v>2000</v>
      </c>
      <c r="BJ61" s="12">
        <v>2000</v>
      </c>
      <c r="BK61" s="12">
        <v>2000</v>
      </c>
      <c r="BL61" s="12">
        <v>2000</v>
      </c>
      <c r="BM61" s="578">
        <v>2000</v>
      </c>
      <c r="BN61" s="12">
        <v>2000</v>
      </c>
      <c r="BO61" s="12">
        <v>2000</v>
      </c>
      <c r="BP61" s="12">
        <v>2000</v>
      </c>
      <c r="BQ61" s="12">
        <v>2000</v>
      </c>
      <c r="BR61" s="12">
        <v>2000</v>
      </c>
      <c r="BS61" s="12">
        <v>2000</v>
      </c>
      <c r="BT61" s="12">
        <v>2000</v>
      </c>
      <c r="BU61" s="12">
        <v>2000</v>
      </c>
      <c r="BV61" s="12">
        <v>2000</v>
      </c>
      <c r="BW61" s="12">
        <v>2000</v>
      </c>
      <c r="BX61" s="12">
        <v>2000</v>
      </c>
      <c r="BY61" s="578">
        <v>2000</v>
      </c>
      <c r="BZ61" s="12">
        <v>2000</v>
      </c>
      <c r="CA61" s="12">
        <v>2000</v>
      </c>
      <c r="CB61" s="12">
        <v>2000</v>
      </c>
      <c r="CC61" s="12">
        <v>2000</v>
      </c>
      <c r="CD61" s="12">
        <v>2000</v>
      </c>
      <c r="CE61" s="12">
        <v>2000</v>
      </c>
      <c r="CF61" s="12">
        <v>2000</v>
      </c>
      <c r="CG61" s="12">
        <v>2000</v>
      </c>
      <c r="CH61" s="12">
        <v>2000</v>
      </c>
      <c r="CI61" s="12">
        <v>2000</v>
      </c>
      <c r="CJ61" s="12">
        <v>2000</v>
      </c>
      <c r="CK61" s="578">
        <v>2000</v>
      </c>
    </row>
    <row r="62" spans="2:89" x14ac:dyDescent="0.2">
      <c r="B62" s="1" t="s">
        <v>97</v>
      </c>
      <c r="F62" s="14">
        <v>0</v>
      </c>
      <c r="G62" s="14">
        <v>0</v>
      </c>
      <c r="H62" s="14">
        <v>0</v>
      </c>
      <c r="I62" s="14">
        <v>103.79</v>
      </c>
      <c r="J62" s="14">
        <v>838.68</v>
      </c>
      <c r="K62" s="14">
        <v>226.71</v>
      </c>
      <c r="L62" s="14">
        <v>311.62</v>
      </c>
      <c r="M62" s="14">
        <v>984.05</v>
      </c>
      <c r="N62" s="14">
        <v>967.74</v>
      </c>
      <c r="O62" s="14">
        <v>294.14</v>
      </c>
      <c r="P62" s="472"/>
      <c r="Q62" s="577"/>
      <c r="R62" s="646">
        <v>506.83</v>
      </c>
      <c r="S62" s="646">
        <v>206.94</v>
      </c>
      <c r="T62" s="646">
        <v>206.94</v>
      </c>
      <c r="U62" s="14">
        <v>0</v>
      </c>
      <c r="V62" s="14"/>
      <c r="W62" s="14"/>
      <c r="X62" s="14"/>
      <c r="Y62" s="14">
        <v>268.74</v>
      </c>
      <c r="Z62" s="14">
        <v>222.64</v>
      </c>
      <c r="AA62" s="14">
        <v>222.64</v>
      </c>
      <c r="AB62" s="14">
        <v>222.64</v>
      </c>
      <c r="AC62" s="577">
        <v>222.64</v>
      </c>
      <c r="AD62" s="14">
        <v>222.64</v>
      </c>
      <c r="AE62" s="14">
        <v>222.64</v>
      </c>
      <c r="AF62" s="12">
        <v>2500</v>
      </c>
      <c r="AG62" s="12">
        <v>2500</v>
      </c>
      <c r="AH62" s="12">
        <v>2500</v>
      </c>
      <c r="AI62" s="12">
        <v>2500</v>
      </c>
      <c r="AJ62" s="12">
        <v>2500</v>
      </c>
      <c r="AK62" s="12">
        <v>2500</v>
      </c>
      <c r="AL62" s="12">
        <v>2500</v>
      </c>
      <c r="AM62" s="12">
        <v>2500</v>
      </c>
      <c r="AN62" s="12">
        <v>2500</v>
      </c>
      <c r="AO62" s="578">
        <v>2500</v>
      </c>
      <c r="AP62" s="12">
        <v>2500</v>
      </c>
      <c r="AQ62" s="12">
        <v>2500</v>
      </c>
      <c r="AR62" s="12">
        <v>2500</v>
      </c>
      <c r="AS62" s="12">
        <v>2500</v>
      </c>
      <c r="AT62" s="12">
        <v>2500</v>
      </c>
      <c r="AU62" s="12">
        <v>2500</v>
      </c>
      <c r="AV62" s="12">
        <v>2500</v>
      </c>
      <c r="AW62" s="12">
        <v>2500</v>
      </c>
      <c r="AX62" s="12">
        <v>2500</v>
      </c>
      <c r="AY62" s="12">
        <v>2500</v>
      </c>
      <c r="AZ62" s="12">
        <v>2500</v>
      </c>
      <c r="BA62" s="578">
        <v>2500</v>
      </c>
      <c r="BB62" s="12">
        <v>2500</v>
      </c>
      <c r="BC62" s="12">
        <v>2500</v>
      </c>
      <c r="BD62" s="12">
        <v>2500</v>
      </c>
      <c r="BE62" s="12">
        <v>2500</v>
      </c>
      <c r="BF62" s="12">
        <v>2500</v>
      </c>
      <c r="BG62" s="12">
        <v>2500</v>
      </c>
      <c r="BH62" s="12">
        <v>2500</v>
      </c>
      <c r="BI62" s="12">
        <v>2500</v>
      </c>
      <c r="BJ62" s="12">
        <v>2500</v>
      </c>
      <c r="BK62" s="12">
        <v>2500</v>
      </c>
      <c r="BL62" s="12">
        <v>2500</v>
      </c>
      <c r="BM62" s="578">
        <v>2500</v>
      </c>
      <c r="BN62" s="12">
        <v>2500</v>
      </c>
      <c r="BO62" s="12">
        <v>2500</v>
      </c>
      <c r="BP62" s="12">
        <v>2500</v>
      </c>
      <c r="BQ62" s="12">
        <v>2500</v>
      </c>
      <c r="BR62" s="12">
        <v>2500</v>
      </c>
      <c r="BS62" s="12">
        <v>2500</v>
      </c>
      <c r="BT62" s="12">
        <v>2500</v>
      </c>
      <c r="BU62" s="12">
        <v>2500</v>
      </c>
      <c r="BV62" s="12">
        <v>2500</v>
      </c>
      <c r="BW62" s="12">
        <v>2500</v>
      </c>
      <c r="BX62" s="12">
        <v>2500</v>
      </c>
      <c r="BY62" s="578">
        <v>2500</v>
      </c>
      <c r="BZ62" s="12">
        <v>2500</v>
      </c>
      <c r="CA62" s="12">
        <v>2500</v>
      </c>
      <c r="CB62" s="12">
        <v>2500</v>
      </c>
      <c r="CC62" s="12">
        <v>2500</v>
      </c>
      <c r="CD62" s="12">
        <v>2500</v>
      </c>
      <c r="CE62" s="12">
        <v>2500</v>
      </c>
      <c r="CF62" s="12">
        <v>2500</v>
      </c>
      <c r="CG62" s="12">
        <v>2500</v>
      </c>
      <c r="CH62" s="12">
        <v>2500</v>
      </c>
      <c r="CI62" s="12">
        <v>2500</v>
      </c>
      <c r="CJ62" s="12">
        <v>2500</v>
      </c>
      <c r="CK62" s="578">
        <v>2500</v>
      </c>
    </row>
    <row r="63" spans="2:89" x14ac:dyDescent="0.2">
      <c r="B63" s="1" t="s">
        <v>48</v>
      </c>
      <c r="F63" s="14">
        <v>3779.2</v>
      </c>
      <c r="G63" s="14">
        <v>1006.48</v>
      </c>
      <c r="H63" s="14">
        <v>720.84</v>
      </c>
      <c r="I63" s="14">
        <v>4210.3100000000004</v>
      </c>
      <c r="J63" s="14">
        <v>1693.41</v>
      </c>
      <c r="K63" s="14">
        <v>1449.16</v>
      </c>
      <c r="L63" s="14">
        <v>1811.64</v>
      </c>
      <c r="M63" s="14">
        <v>1047.8900000000001</v>
      </c>
      <c r="N63" s="14">
        <v>6486.74</v>
      </c>
      <c r="O63" s="14">
        <v>3543.39</v>
      </c>
      <c r="P63" s="472">
        <v>3372.02</v>
      </c>
      <c r="Q63" s="577">
        <v>2900.8</v>
      </c>
      <c r="R63" s="634">
        <v>1817.78</v>
      </c>
      <c r="S63" s="634">
        <v>1375.97</v>
      </c>
      <c r="T63" s="634">
        <v>1135.8699999999999</v>
      </c>
      <c r="U63" s="14">
        <v>3542.94</v>
      </c>
      <c r="V63" s="14">
        <v>949</v>
      </c>
      <c r="W63" s="14">
        <v>1252</v>
      </c>
      <c r="X63" s="14">
        <v>2374</v>
      </c>
      <c r="Y63" s="14">
        <v>1465.07</v>
      </c>
      <c r="Z63" s="14">
        <v>2050.75</v>
      </c>
      <c r="AA63" s="14">
        <v>2050.75</v>
      </c>
      <c r="AB63" s="14">
        <v>2050.75</v>
      </c>
      <c r="AC63" s="577">
        <v>2050.75</v>
      </c>
      <c r="AD63" s="14">
        <v>2050.75</v>
      </c>
      <c r="AE63" s="14">
        <v>2050.75</v>
      </c>
      <c r="AF63" s="14">
        <v>3500</v>
      </c>
      <c r="AG63" s="14">
        <v>3500</v>
      </c>
      <c r="AH63" s="14">
        <v>3500</v>
      </c>
      <c r="AI63" s="14">
        <v>3500</v>
      </c>
      <c r="AJ63" s="14">
        <v>3500</v>
      </c>
      <c r="AK63" s="14">
        <v>3500</v>
      </c>
      <c r="AL63" s="14">
        <v>3500</v>
      </c>
      <c r="AM63" s="14">
        <v>3500</v>
      </c>
      <c r="AN63" s="14">
        <v>3500</v>
      </c>
      <c r="AO63" s="577">
        <v>3500</v>
      </c>
      <c r="AP63" s="14">
        <v>5000</v>
      </c>
      <c r="AQ63" s="14">
        <v>5000</v>
      </c>
      <c r="AR63" s="14">
        <v>5000</v>
      </c>
      <c r="AS63" s="14">
        <v>5000</v>
      </c>
      <c r="AT63" s="14">
        <v>5000</v>
      </c>
      <c r="AU63" s="14">
        <v>5000</v>
      </c>
      <c r="AV63" s="14">
        <v>5000</v>
      </c>
      <c r="AW63" s="14">
        <v>5000</v>
      </c>
      <c r="AX63" s="14">
        <v>5000</v>
      </c>
      <c r="AY63" s="14">
        <v>5000</v>
      </c>
      <c r="AZ63" s="14">
        <v>5000</v>
      </c>
      <c r="BA63" s="577">
        <v>5000</v>
      </c>
      <c r="BB63" s="14">
        <v>5000</v>
      </c>
      <c r="BC63" s="14">
        <v>5000</v>
      </c>
      <c r="BD63" s="14">
        <v>5000</v>
      </c>
      <c r="BE63" s="14">
        <v>5000</v>
      </c>
      <c r="BF63" s="14">
        <v>5000</v>
      </c>
      <c r="BG63" s="14">
        <v>5000</v>
      </c>
      <c r="BH63" s="14">
        <v>5000</v>
      </c>
      <c r="BI63" s="14">
        <v>5000</v>
      </c>
      <c r="BJ63" s="14">
        <v>5000</v>
      </c>
      <c r="BK63" s="14">
        <v>5000</v>
      </c>
      <c r="BL63" s="14">
        <v>5000</v>
      </c>
      <c r="BM63" s="577">
        <v>5000</v>
      </c>
      <c r="BN63" s="14">
        <v>5000</v>
      </c>
      <c r="BO63" s="14">
        <v>5000</v>
      </c>
      <c r="BP63" s="14">
        <v>5000</v>
      </c>
      <c r="BQ63" s="14">
        <v>5000</v>
      </c>
      <c r="BR63" s="14">
        <v>5000</v>
      </c>
      <c r="BS63" s="14">
        <v>5000</v>
      </c>
      <c r="BT63" s="14">
        <v>5000</v>
      </c>
      <c r="BU63" s="14">
        <v>5000</v>
      </c>
      <c r="BV63" s="14">
        <v>5000</v>
      </c>
      <c r="BW63" s="14">
        <v>5000</v>
      </c>
      <c r="BX63" s="14">
        <v>5000</v>
      </c>
      <c r="BY63" s="577">
        <v>5000</v>
      </c>
      <c r="BZ63" s="14">
        <v>5000</v>
      </c>
      <c r="CA63" s="14">
        <v>5000</v>
      </c>
      <c r="CB63" s="14">
        <v>5000</v>
      </c>
      <c r="CC63" s="14">
        <v>5000</v>
      </c>
      <c r="CD63" s="14">
        <v>5000</v>
      </c>
      <c r="CE63" s="14">
        <v>5000</v>
      </c>
      <c r="CF63" s="14">
        <v>5000</v>
      </c>
      <c r="CG63" s="14">
        <v>5000</v>
      </c>
      <c r="CH63" s="14">
        <v>5000</v>
      </c>
      <c r="CI63" s="14">
        <v>5000</v>
      </c>
      <c r="CJ63" s="14">
        <v>5000</v>
      </c>
      <c r="CK63" s="577">
        <v>5000</v>
      </c>
    </row>
    <row r="64" spans="2:89" x14ac:dyDescent="0.2">
      <c r="B64" s="1" t="s">
        <v>100</v>
      </c>
      <c r="F64" s="14">
        <v>393.9</v>
      </c>
      <c r="G64" s="14">
        <v>0</v>
      </c>
      <c r="H64" s="14">
        <v>0</v>
      </c>
      <c r="I64" s="14">
        <v>0</v>
      </c>
      <c r="J64" s="14">
        <v>0</v>
      </c>
      <c r="K64" s="14">
        <v>393.9</v>
      </c>
      <c r="L64" s="14">
        <v>0</v>
      </c>
      <c r="M64" s="14">
        <v>0</v>
      </c>
      <c r="N64" s="14">
        <v>0</v>
      </c>
      <c r="O64" s="14">
        <v>0</v>
      </c>
      <c r="P64" s="472"/>
      <c r="Q64" s="577"/>
      <c r="R64" s="634">
        <v>393.9</v>
      </c>
      <c r="S64" s="634">
        <v>0</v>
      </c>
      <c r="T64" s="634">
        <v>0</v>
      </c>
      <c r="U64" s="14">
        <v>834.11</v>
      </c>
      <c r="V64" s="14">
        <v>0</v>
      </c>
      <c r="W64" s="14">
        <v>1052</v>
      </c>
      <c r="X64" s="14">
        <v>0</v>
      </c>
      <c r="Y64" s="14">
        <v>65</v>
      </c>
      <c r="Z64" s="14">
        <v>0</v>
      </c>
      <c r="AA64" s="14">
        <v>0</v>
      </c>
      <c r="AB64" s="14">
        <v>0</v>
      </c>
      <c r="AC64" s="577">
        <v>0</v>
      </c>
      <c r="AD64" s="14">
        <v>0</v>
      </c>
      <c r="AE64" s="14">
        <v>0</v>
      </c>
      <c r="AF64" s="12">
        <v>500</v>
      </c>
      <c r="AG64" s="12">
        <v>500</v>
      </c>
      <c r="AH64" s="12">
        <v>500</v>
      </c>
      <c r="AI64" s="12">
        <v>500</v>
      </c>
      <c r="AJ64" s="12">
        <v>500</v>
      </c>
      <c r="AK64" s="12">
        <v>500</v>
      </c>
      <c r="AL64" s="12">
        <v>500</v>
      </c>
      <c r="AM64" s="12">
        <v>500</v>
      </c>
      <c r="AN64" s="12">
        <v>500</v>
      </c>
      <c r="AO64" s="578">
        <v>500</v>
      </c>
      <c r="AP64" s="12">
        <v>750</v>
      </c>
      <c r="AQ64" s="12">
        <v>750</v>
      </c>
      <c r="AR64" s="12">
        <v>750</v>
      </c>
      <c r="AS64" s="12">
        <v>750</v>
      </c>
      <c r="AT64" s="12">
        <v>750</v>
      </c>
      <c r="AU64" s="12">
        <v>750</v>
      </c>
      <c r="AV64" s="12">
        <v>750</v>
      </c>
      <c r="AW64" s="12">
        <v>750</v>
      </c>
      <c r="AX64" s="12">
        <v>750</v>
      </c>
      <c r="AY64" s="12">
        <v>750</v>
      </c>
      <c r="AZ64" s="12">
        <v>750</v>
      </c>
      <c r="BA64" s="578">
        <v>750</v>
      </c>
      <c r="BB64" s="12">
        <v>750</v>
      </c>
      <c r="BC64" s="12">
        <v>750</v>
      </c>
      <c r="BD64" s="12">
        <v>750</v>
      </c>
      <c r="BE64" s="12">
        <v>750</v>
      </c>
      <c r="BF64" s="12">
        <v>750</v>
      </c>
      <c r="BG64" s="12">
        <v>750</v>
      </c>
      <c r="BH64" s="12">
        <v>750</v>
      </c>
      <c r="BI64" s="12">
        <v>750</v>
      </c>
      <c r="BJ64" s="12">
        <v>750</v>
      </c>
      <c r="BK64" s="12">
        <v>750</v>
      </c>
      <c r="BL64" s="12">
        <v>750</v>
      </c>
      <c r="BM64" s="578">
        <v>750</v>
      </c>
      <c r="BN64" s="12">
        <v>750</v>
      </c>
      <c r="BO64" s="12">
        <v>750</v>
      </c>
      <c r="BP64" s="12">
        <v>750</v>
      </c>
      <c r="BQ64" s="12">
        <v>750</v>
      </c>
      <c r="BR64" s="12">
        <v>750</v>
      </c>
      <c r="BS64" s="12">
        <v>750</v>
      </c>
      <c r="BT64" s="12">
        <v>750</v>
      </c>
      <c r="BU64" s="12">
        <v>750</v>
      </c>
      <c r="BV64" s="12">
        <v>750</v>
      </c>
      <c r="BW64" s="12">
        <v>750</v>
      </c>
      <c r="BX64" s="12">
        <v>750</v>
      </c>
      <c r="BY64" s="578">
        <v>750</v>
      </c>
      <c r="BZ64" s="12">
        <v>750</v>
      </c>
      <c r="CA64" s="12">
        <v>750</v>
      </c>
      <c r="CB64" s="12">
        <v>750</v>
      </c>
      <c r="CC64" s="12">
        <v>750</v>
      </c>
      <c r="CD64" s="12">
        <v>750</v>
      </c>
      <c r="CE64" s="12">
        <v>750</v>
      </c>
      <c r="CF64" s="12">
        <v>750</v>
      </c>
      <c r="CG64" s="12">
        <v>750</v>
      </c>
      <c r="CH64" s="12">
        <v>750</v>
      </c>
      <c r="CI64" s="12">
        <v>750</v>
      </c>
      <c r="CJ64" s="12">
        <v>750</v>
      </c>
      <c r="CK64" s="578">
        <v>750</v>
      </c>
    </row>
    <row r="65" spans="1:89" x14ac:dyDescent="0.2">
      <c r="B65" s="1" t="s">
        <v>49</v>
      </c>
      <c r="F65" s="14">
        <v>372.82</v>
      </c>
      <c r="G65" s="14">
        <v>219.36</v>
      </c>
      <c r="H65" s="14">
        <v>341.01</v>
      </c>
      <c r="I65" s="14">
        <v>1117.72</v>
      </c>
      <c r="J65" s="14">
        <v>1006.03</v>
      </c>
      <c r="K65" s="14">
        <v>486.22</v>
      </c>
      <c r="L65" s="14">
        <v>778.79</v>
      </c>
      <c r="M65" s="14">
        <v>2139.61</v>
      </c>
      <c r="N65" s="14">
        <v>1329.3</v>
      </c>
      <c r="O65" s="14">
        <v>1480.3899999999999</v>
      </c>
      <c r="P65" s="472">
        <v>991.17</v>
      </c>
      <c r="Q65" s="577">
        <v>1878.27</v>
      </c>
      <c r="R65" s="634">
        <v>2049.5500000000002</v>
      </c>
      <c r="S65" s="634">
        <v>540.48</v>
      </c>
      <c r="T65" s="634">
        <v>1857.55</v>
      </c>
      <c r="U65" s="14">
        <v>2223.86</v>
      </c>
      <c r="V65" s="14">
        <v>2741</v>
      </c>
      <c r="W65" s="14">
        <v>2091</v>
      </c>
      <c r="X65" s="14">
        <v>2139</v>
      </c>
      <c r="Y65" s="14">
        <v>2264.5300000000002</v>
      </c>
      <c r="Z65" s="14">
        <v>2228.7399999999998</v>
      </c>
      <c r="AA65" s="14">
        <v>2228.7399999999998</v>
      </c>
      <c r="AB65" s="14">
        <v>2228.7399999999998</v>
      </c>
      <c r="AC65" s="577">
        <v>2228.7399999999998</v>
      </c>
      <c r="AD65" s="14">
        <v>2228.7399999999998</v>
      </c>
      <c r="AE65" s="14">
        <v>2228.7399999999998</v>
      </c>
      <c r="AF65" s="12">
        <v>1000</v>
      </c>
      <c r="AG65" s="12">
        <v>1000</v>
      </c>
      <c r="AH65" s="12">
        <v>1000</v>
      </c>
      <c r="AI65" s="12">
        <v>1000</v>
      </c>
      <c r="AJ65" s="12">
        <v>1000</v>
      </c>
      <c r="AK65" s="12">
        <v>1000</v>
      </c>
      <c r="AL65" s="12">
        <v>1000</v>
      </c>
      <c r="AM65" s="12">
        <v>1000</v>
      </c>
      <c r="AN65" s="12">
        <v>1000</v>
      </c>
      <c r="AO65" s="578">
        <v>1000</v>
      </c>
      <c r="AP65" s="12">
        <v>1200</v>
      </c>
      <c r="AQ65" s="12">
        <v>1200</v>
      </c>
      <c r="AR65" s="12">
        <v>1200</v>
      </c>
      <c r="AS65" s="12">
        <v>1200</v>
      </c>
      <c r="AT65" s="12">
        <v>1200</v>
      </c>
      <c r="AU65" s="12">
        <v>1200</v>
      </c>
      <c r="AV65" s="12">
        <v>1200</v>
      </c>
      <c r="AW65" s="12">
        <v>1200</v>
      </c>
      <c r="AX65" s="12">
        <v>1200</v>
      </c>
      <c r="AY65" s="12">
        <v>1200</v>
      </c>
      <c r="AZ65" s="12">
        <v>1200</v>
      </c>
      <c r="BA65" s="578">
        <v>1200</v>
      </c>
      <c r="BB65" s="12">
        <v>1200</v>
      </c>
      <c r="BC65" s="12">
        <v>1200</v>
      </c>
      <c r="BD65" s="12">
        <v>1200</v>
      </c>
      <c r="BE65" s="12">
        <v>1200</v>
      </c>
      <c r="BF65" s="12">
        <v>1200</v>
      </c>
      <c r="BG65" s="12">
        <v>1200</v>
      </c>
      <c r="BH65" s="12">
        <v>1200</v>
      </c>
      <c r="BI65" s="12">
        <v>1200</v>
      </c>
      <c r="BJ65" s="12">
        <v>1200</v>
      </c>
      <c r="BK65" s="12">
        <v>1200</v>
      </c>
      <c r="BL65" s="12">
        <v>1200</v>
      </c>
      <c r="BM65" s="578">
        <v>1200</v>
      </c>
      <c r="BN65" s="12">
        <v>1200</v>
      </c>
      <c r="BO65" s="12">
        <v>1200</v>
      </c>
      <c r="BP65" s="12">
        <v>1200</v>
      </c>
      <c r="BQ65" s="12">
        <v>1200</v>
      </c>
      <c r="BR65" s="12">
        <v>1200</v>
      </c>
      <c r="BS65" s="12">
        <v>1200</v>
      </c>
      <c r="BT65" s="12">
        <v>1200</v>
      </c>
      <c r="BU65" s="12">
        <v>1200</v>
      </c>
      <c r="BV65" s="12">
        <v>1200</v>
      </c>
      <c r="BW65" s="12">
        <v>1200</v>
      </c>
      <c r="BX65" s="12">
        <v>1200</v>
      </c>
      <c r="BY65" s="578">
        <v>1200</v>
      </c>
      <c r="BZ65" s="12">
        <v>1200</v>
      </c>
      <c r="CA65" s="12">
        <v>1200</v>
      </c>
      <c r="CB65" s="12">
        <v>1200</v>
      </c>
      <c r="CC65" s="12">
        <v>1200</v>
      </c>
      <c r="CD65" s="12">
        <v>1200</v>
      </c>
      <c r="CE65" s="12">
        <v>1200</v>
      </c>
      <c r="CF65" s="12">
        <v>1200</v>
      </c>
      <c r="CG65" s="12">
        <v>1200</v>
      </c>
      <c r="CH65" s="12">
        <v>1200</v>
      </c>
      <c r="CI65" s="12">
        <v>1200</v>
      </c>
      <c r="CJ65" s="12">
        <v>1200</v>
      </c>
      <c r="CK65" s="578">
        <v>1200</v>
      </c>
    </row>
    <row r="66" spans="1:89" x14ac:dyDescent="0.2">
      <c r="B66" s="1" t="s">
        <v>140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472"/>
      <c r="Q66" s="577"/>
      <c r="R66" s="655">
        <v>500</v>
      </c>
      <c r="S66" s="655">
        <v>500</v>
      </c>
      <c r="T66" s="655">
        <v>500</v>
      </c>
      <c r="U66" s="14">
        <v>0</v>
      </c>
      <c r="V66" s="14">
        <v>281</v>
      </c>
      <c r="W66" s="14">
        <v>631</v>
      </c>
      <c r="X66" s="14">
        <v>-17</v>
      </c>
      <c r="Y66" s="14">
        <v>0</v>
      </c>
      <c r="Z66" s="14">
        <v>350.49</v>
      </c>
      <c r="AA66" s="14">
        <v>350.49</v>
      </c>
      <c r="AB66" s="14">
        <v>350.49</v>
      </c>
      <c r="AC66" s="577">
        <v>350.49</v>
      </c>
      <c r="AD66" s="14">
        <v>350.49</v>
      </c>
      <c r="AE66" s="14">
        <v>350.49</v>
      </c>
      <c r="AF66" s="14">
        <v>500</v>
      </c>
      <c r="AG66" s="14">
        <v>500</v>
      </c>
      <c r="AH66" s="14">
        <v>500</v>
      </c>
      <c r="AI66" s="14">
        <v>500</v>
      </c>
      <c r="AJ66" s="14">
        <v>500</v>
      </c>
      <c r="AK66" s="14">
        <v>500</v>
      </c>
      <c r="AL66" s="14">
        <v>500</v>
      </c>
      <c r="AM66" s="14">
        <v>500</v>
      </c>
      <c r="AN66" s="14">
        <v>500</v>
      </c>
      <c r="AO66" s="577">
        <v>500</v>
      </c>
      <c r="AP66" s="14">
        <v>500</v>
      </c>
      <c r="AQ66" s="14">
        <v>500</v>
      </c>
      <c r="AR66" s="14">
        <v>500</v>
      </c>
      <c r="AS66" s="14">
        <v>500</v>
      </c>
      <c r="AT66" s="14">
        <v>500</v>
      </c>
      <c r="AU66" s="14">
        <v>500</v>
      </c>
      <c r="AV66" s="14">
        <v>500</v>
      </c>
      <c r="AW66" s="14">
        <v>500</v>
      </c>
      <c r="AX66" s="14">
        <v>500</v>
      </c>
      <c r="AY66" s="14">
        <v>500</v>
      </c>
      <c r="AZ66" s="14">
        <v>500</v>
      </c>
      <c r="BA66" s="577">
        <v>500</v>
      </c>
      <c r="BB66" s="14">
        <v>500</v>
      </c>
      <c r="BC66" s="14">
        <v>500</v>
      </c>
      <c r="BD66" s="14">
        <v>500</v>
      </c>
      <c r="BE66" s="14">
        <v>500</v>
      </c>
      <c r="BF66" s="14">
        <v>500</v>
      </c>
      <c r="BG66" s="14">
        <v>500</v>
      </c>
      <c r="BH66" s="14">
        <v>500</v>
      </c>
      <c r="BI66" s="14">
        <v>500</v>
      </c>
      <c r="BJ66" s="14">
        <v>500</v>
      </c>
      <c r="BK66" s="14">
        <v>500</v>
      </c>
      <c r="BL66" s="14">
        <v>500</v>
      </c>
      <c r="BM66" s="577">
        <v>500</v>
      </c>
      <c r="BN66" s="14">
        <v>500</v>
      </c>
      <c r="BO66" s="14">
        <v>500</v>
      </c>
      <c r="BP66" s="14">
        <v>500</v>
      </c>
      <c r="BQ66" s="14">
        <v>500</v>
      </c>
      <c r="BR66" s="14">
        <v>500</v>
      </c>
      <c r="BS66" s="14">
        <v>500</v>
      </c>
      <c r="BT66" s="14">
        <v>500</v>
      </c>
      <c r="BU66" s="14">
        <v>500</v>
      </c>
      <c r="BV66" s="14">
        <v>500</v>
      </c>
      <c r="BW66" s="14">
        <v>500</v>
      </c>
      <c r="BX66" s="14">
        <v>500</v>
      </c>
      <c r="BY66" s="577">
        <v>500</v>
      </c>
      <c r="BZ66" s="14">
        <v>500</v>
      </c>
      <c r="CA66" s="14">
        <v>500</v>
      </c>
      <c r="CB66" s="14">
        <v>500</v>
      </c>
      <c r="CC66" s="14">
        <v>500</v>
      </c>
      <c r="CD66" s="14">
        <v>500</v>
      </c>
      <c r="CE66" s="14">
        <v>500</v>
      </c>
      <c r="CF66" s="14">
        <v>500</v>
      </c>
      <c r="CG66" s="14">
        <v>500</v>
      </c>
      <c r="CH66" s="14">
        <v>500</v>
      </c>
      <c r="CI66" s="14">
        <v>500</v>
      </c>
      <c r="CJ66" s="14">
        <v>500</v>
      </c>
      <c r="CK66" s="577">
        <v>500</v>
      </c>
    </row>
    <row r="67" spans="1:89" x14ac:dyDescent="0.2">
      <c r="B67" s="1" t="s">
        <v>116</v>
      </c>
      <c r="C67" s="97"/>
      <c r="F67" s="14">
        <v>0.94</v>
      </c>
      <c r="G67" s="14">
        <v>-0.41</v>
      </c>
      <c r="H67" s="14">
        <v>5.26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472"/>
      <c r="Q67" s="577"/>
      <c r="R67" s="634"/>
      <c r="S67" s="634"/>
      <c r="T67" s="634"/>
      <c r="U67" s="14">
        <v>14.01</v>
      </c>
      <c r="V67" s="14"/>
      <c r="W67" s="14"/>
      <c r="X67" s="14"/>
      <c r="Y67" s="14">
        <v>1.43</v>
      </c>
      <c r="Z67" s="14">
        <v>123.24</v>
      </c>
      <c r="AA67" s="14">
        <v>123.24</v>
      </c>
      <c r="AB67" s="14">
        <v>123.24</v>
      </c>
      <c r="AC67" s="577">
        <v>123.24</v>
      </c>
      <c r="AD67" s="14">
        <v>123.24</v>
      </c>
      <c r="AE67" s="14">
        <v>123.24</v>
      </c>
      <c r="AF67" s="14"/>
      <c r="AG67" s="14"/>
      <c r="AH67" s="14"/>
      <c r="AI67" s="14"/>
      <c r="AJ67" s="14"/>
      <c r="AK67" s="14"/>
      <c r="AL67" s="14"/>
      <c r="AM67" s="14"/>
      <c r="AN67" s="14"/>
      <c r="AO67" s="577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577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577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577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577"/>
    </row>
    <row r="68" spans="1:89" x14ac:dyDescent="0.2">
      <c r="B68" s="564" t="s">
        <v>293</v>
      </c>
      <c r="C68" s="97"/>
      <c r="F68" s="14">
        <v>2664.21</v>
      </c>
      <c r="G68" s="14">
        <v>2617.11</v>
      </c>
      <c r="H68" s="14">
        <v>2399.77</v>
      </c>
      <c r="I68" s="14">
        <v>2507.17</v>
      </c>
      <c r="J68" s="14">
        <v>2489.94</v>
      </c>
      <c r="K68" s="14">
        <v>2893.64</v>
      </c>
      <c r="L68" s="14">
        <v>1759.84</v>
      </c>
      <c r="M68" s="14">
        <v>4027.01</v>
      </c>
      <c r="N68" s="14">
        <v>2741.86</v>
      </c>
      <c r="O68" s="14">
        <v>2814.59</v>
      </c>
      <c r="P68" s="470">
        <f>2750.34</f>
        <v>2750.34</v>
      </c>
      <c r="Q68" s="578">
        <v>2654.32</v>
      </c>
      <c r="R68" s="588">
        <v>2716.08</v>
      </c>
      <c r="S68" s="588">
        <v>2684.78</v>
      </c>
      <c r="T68" s="588">
        <v>2553.1</v>
      </c>
      <c r="U68" s="13">
        <v>2678.82</v>
      </c>
      <c r="V68" s="13">
        <v>2801.82</v>
      </c>
      <c r="W68" s="13">
        <v>3237.25</v>
      </c>
      <c r="X68" s="13">
        <v>1386.5</v>
      </c>
      <c r="Y68" s="13">
        <v>2508.66</v>
      </c>
      <c r="Z68" s="13">
        <v>2573.23</v>
      </c>
      <c r="AA68" s="13">
        <v>2573.23</v>
      </c>
      <c r="AB68" s="13">
        <v>2573.23</v>
      </c>
      <c r="AC68" s="577">
        <v>2573.23</v>
      </c>
      <c r="AD68" s="13">
        <v>2573.23</v>
      </c>
      <c r="AE68" s="13">
        <v>2573.23</v>
      </c>
      <c r="AF68" s="8">
        <f>-'Loans &amp; Grants'!AG29</f>
        <v>2644.55</v>
      </c>
      <c r="AG68" s="8">
        <f>-'Loans &amp; Grants'!AH29</f>
        <v>2567.85</v>
      </c>
      <c r="AH68" s="8">
        <f>-'Loans &amp; Grants'!AI29</f>
        <v>2491.1499999999996</v>
      </c>
      <c r="AI68" s="8">
        <f>-'Loans &amp; Grants'!AJ29</f>
        <v>2414.4499999999998</v>
      </c>
      <c r="AJ68" s="8">
        <f>-'Loans &amp; Grants'!AK29</f>
        <v>2337.75</v>
      </c>
      <c r="AK68" s="8">
        <f>-'Loans &amp; Grants'!AL29</f>
        <v>2261.0500000000002</v>
      </c>
      <c r="AL68" s="8">
        <f>-'Loans &amp; Grants'!AM29</f>
        <v>2184.35</v>
      </c>
      <c r="AM68" s="8">
        <f>-'Loans &amp; Grants'!AN29</f>
        <v>2107.6499999999996</v>
      </c>
      <c r="AN68" s="8">
        <f>-'Loans &amp; Grants'!AO29</f>
        <v>2030.9499999999998</v>
      </c>
      <c r="AO68" s="578">
        <f>-'Loans &amp; Grants'!AP29</f>
        <v>1954.25</v>
      </c>
      <c r="AP68" s="8">
        <f>-'Loans &amp; Grants'!AQ29</f>
        <v>1877.5499999999997</v>
      </c>
      <c r="AQ68" s="8">
        <f>-'Loans &amp; Grants'!AR29</f>
        <v>1800.85</v>
      </c>
      <c r="AR68" s="8">
        <f>-'Loans &amp; Grants'!AS29</f>
        <v>1724.15</v>
      </c>
      <c r="AS68" s="8">
        <f>-'Loans &amp; Grants'!AT29</f>
        <v>1647.4499999999998</v>
      </c>
      <c r="AT68" s="8">
        <f>-'Loans &amp; Grants'!AU29</f>
        <v>1570.75</v>
      </c>
      <c r="AU68" s="8">
        <f>-'Loans &amp; Grants'!AV29</f>
        <v>1494.0499999999997</v>
      </c>
      <c r="AV68" s="8">
        <f>-'Loans &amp; Grants'!AW29</f>
        <v>1417.35</v>
      </c>
      <c r="AW68" s="8">
        <f>-'Loans &amp; Grants'!AX29</f>
        <v>1340.65</v>
      </c>
      <c r="AX68" s="8">
        <f>-'Loans &amp; Grants'!AY29</f>
        <v>1263.9499999999998</v>
      </c>
      <c r="AY68" s="8">
        <f>-'Loans &amp; Grants'!AZ29</f>
        <v>1187.25</v>
      </c>
      <c r="AZ68" s="8">
        <f>-'Loans &amp; Grants'!BA29</f>
        <v>1110.55</v>
      </c>
      <c r="BA68" s="578">
        <f>-'Loans &amp; Grants'!BB29</f>
        <v>1033.8499999999999</v>
      </c>
      <c r="BB68" s="8">
        <f>-'Loans &amp; Grants'!BC29</f>
        <v>957.14999999999986</v>
      </c>
      <c r="BC68" s="8">
        <f>-'Loans &amp; Grants'!BD29</f>
        <v>880.45</v>
      </c>
      <c r="BD68" s="8">
        <f>-'Loans &amp; Grants'!BE29</f>
        <v>803.75</v>
      </c>
      <c r="BE68" s="8">
        <f>-'Loans &amp; Grants'!BF29</f>
        <v>727.05</v>
      </c>
      <c r="BF68" s="8">
        <f>-'Loans &amp; Grants'!BG29</f>
        <v>650.34999999999991</v>
      </c>
      <c r="BG68" s="8">
        <f>-'Loans &amp; Grants'!BH29</f>
        <v>573.65</v>
      </c>
      <c r="BH68" s="8">
        <f>-'Loans &amp; Grants'!BI29</f>
        <v>496.94999999999993</v>
      </c>
      <c r="BI68" s="8">
        <f>-'Loans &amp; Grants'!BJ29</f>
        <v>420.25</v>
      </c>
      <c r="BJ68" s="8">
        <f>-'Loans &amp; Grants'!BK29</f>
        <v>343.54999999999995</v>
      </c>
      <c r="BK68" s="8">
        <f>-'Loans &amp; Grants'!BL29</f>
        <v>266.85000000000002</v>
      </c>
      <c r="BL68" s="8">
        <f>-'Loans &amp; Grants'!BM29</f>
        <v>190.14999999999998</v>
      </c>
      <c r="BM68" s="578">
        <f>-'Loans &amp; Grants'!BN29</f>
        <v>113.44999999999999</v>
      </c>
      <c r="BN68" s="8">
        <f>-'Loans &amp; Grants'!BO29</f>
        <v>36.75</v>
      </c>
      <c r="BO68" s="8">
        <f>-'Loans &amp; Grants'!BP29</f>
        <v>0</v>
      </c>
      <c r="BP68" s="8">
        <f>-'Loans &amp; Grants'!BQ29</f>
        <v>0</v>
      </c>
      <c r="BQ68" s="8">
        <f>-'Loans &amp; Grants'!BR29</f>
        <v>0</v>
      </c>
      <c r="BR68" s="8">
        <f>-'Loans &amp; Grants'!BS29</f>
        <v>0</v>
      </c>
      <c r="BS68" s="8">
        <f>-'Loans &amp; Grants'!BT29</f>
        <v>0</v>
      </c>
      <c r="BT68" s="8">
        <f>-'Loans &amp; Grants'!BU29</f>
        <v>0</v>
      </c>
      <c r="BU68" s="8">
        <f>-'Loans &amp; Grants'!BV29</f>
        <v>0</v>
      </c>
      <c r="BV68" s="8">
        <f>-'Loans &amp; Grants'!BW29</f>
        <v>0</v>
      </c>
      <c r="BW68" s="8">
        <f>-'Loans &amp; Grants'!BX29</f>
        <v>0</v>
      </c>
      <c r="BX68" s="8">
        <f>-'Loans &amp; Grants'!BY29</f>
        <v>0</v>
      </c>
      <c r="BY68" s="578">
        <f>-'Loans &amp; Grants'!BZ29</f>
        <v>0</v>
      </c>
      <c r="BZ68" s="8">
        <f>-'Loans &amp; Grants'!CA29</f>
        <v>0</v>
      </c>
      <c r="CA68" s="8">
        <f>-'Loans &amp; Grants'!CB29</f>
        <v>0</v>
      </c>
      <c r="CB68" s="8">
        <f>-'Loans &amp; Grants'!CC29</f>
        <v>0</v>
      </c>
      <c r="CC68" s="8">
        <f>-'Loans &amp; Grants'!CD29</f>
        <v>0</v>
      </c>
      <c r="CD68" s="8">
        <f>-'Loans &amp; Grants'!CE29</f>
        <v>0</v>
      </c>
      <c r="CE68" s="8">
        <f>-'Loans &amp; Grants'!CF29</f>
        <v>0</v>
      </c>
      <c r="CF68" s="8">
        <f>-'Loans &amp; Grants'!CG29</f>
        <v>0</v>
      </c>
      <c r="CG68" s="8">
        <f>-'Loans &amp; Grants'!CH29</f>
        <v>0</v>
      </c>
      <c r="CH68" s="8">
        <f>-'Loans &amp; Grants'!CI29</f>
        <v>0</v>
      </c>
      <c r="CI68" s="8">
        <f>-'Loans &amp; Grants'!CJ29</f>
        <v>0</v>
      </c>
      <c r="CJ68" s="8">
        <f>-'Loans &amp; Grants'!CK29</f>
        <v>0</v>
      </c>
      <c r="CK68" s="578">
        <f>-'Loans &amp; Grants'!CL29</f>
        <v>0</v>
      </c>
    </row>
    <row r="69" spans="1:89" x14ac:dyDescent="0.2">
      <c r="B69" s="56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472"/>
      <c r="Q69" s="577"/>
      <c r="R69" s="646"/>
      <c r="S69" s="646"/>
      <c r="T69" s="646"/>
      <c r="U69" s="14"/>
      <c r="V69" s="14"/>
      <c r="W69" s="14"/>
      <c r="X69" s="14"/>
      <c r="Y69" s="14"/>
      <c r="Z69" s="14"/>
      <c r="AA69" s="14"/>
      <c r="AB69" s="14"/>
      <c r="AC69" s="577"/>
      <c r="AD69" s="14"/>
      <c r="AE69" s="14"/>
      <c r="AF69" s="14"/>
      <c r="AG69" s="12"/>
      <c r="AH69" s="12"/>
      <c r="AI69" s="12"/>
      <c r="AJ69" s="12"/>
      <c r="AK69" s="12"/>
      <c r="AL69" s="12"/>
      <c r="AM69" s="12"/>
      <c r="AN69" s="12"/>
      <c r="AO69" s="578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578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578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578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578"/>
    </row>
    <row r="70" spans="1:89" x14ac:dyDescent="0.2">
      <c r="B70" s="564" t="s">
        <v>355</v>
      </c>
      <c r="F70" s="14">
        <v>26348.95</v>
      </c>
      <c r="G70" s="14">
        <v>9027.58</v>
      </c>
      <c r="H70" s="14">
        <v>11044.43</v>
      </c>
      <c r="I70" s="14">
        <v>8226.14</v>
      </c>
      <c r="J70" s="14">
        <v>7905.56</v>
      </c>
      <c r="K70" s="14">
        <v>8613.1299999999992</v>
      </c>
      <c r="L70" s="14">
        <v>9210.07</v>
      </c>
      <c r="M70" s="14">
        <v>8864.2999999999993</v>
      </c>
      <c r="N70" s="14">
        <v>6201.45</v>
      </c>
      <c r="O70" s="14">
        <v>7632.06</v>
      </c>
      <c r="P70" s="472">
        <f>2727+5270.86</f>
        <v>7997.86</v>
      </c>
      <c r="Q70" s="577">
        <f>1074+4602.84</f>
        <v>5676.84</v>
      </c>
      <c r="R70" s="634">
        <f>1218+4752.33</f>
        <v>5970.33</v>
      </c>
      <c r="S70" s="634">
        <f>1868.57+1299</f>
        <v>3167.5699999999997</v>
      </c>
      <c r="T70" s="634">
        <f>815.81+1371</f>
        <v>2186.81</v>
      </c>
      <c r="U70" s="14">
        <v>404.69</v>
      </c>
      <c r="V70" s="14">
        <v>1527</v>
      </c>
      <c r="W70" s="14">
        <v>1722</v>
      </c>
      <c r="X70" s="14">
        <v>1824</v>
      </c>
      <c r="Y70" s="14">
        <f>1810.81+1950</f>
        <v>3760.81</v>
      </c>
      <c r="Z70" s="14">
        <f t="shared" ref="Z70:AE70" si="106">1126.12+7650</f>
        <v>8776.119999999999</v>
      </c>
      <c r="AA70" s="14">
        <f t="shared" si="106"/>
        <v>8776.119999999999</v>
      </c>
      <c r="AB70" s="14">
        <f t="shared" si="106"/>
        <v>8776.119999999999</v>
      </c>
      <c r="AC70" s="577">
        <f t="shared" si="106"/>
        <v>8776.119999999999</v>
      </c>
      <c r="AD70" s="14">
        <f t="shared" si="106"/>
        <v>8776.119999999999</v>
      </c>
      <c r="AE70" s="14">
        <f t="shared" si="106"/>
        <v>8776.119999999999</v>
      </c>
      <c r="AF70" s="14">
        <f>'Marketing and Sales'!AF9</f>
        <v>10663.612110553229</v>
      </c>
      <c r="AG70" s="14">
        <f>'Marketing and Sales'!AG9</f>
        <v>47480.233430828186</v>
      </c>
      <c r="AH70" s="14">
        <f>'Marketing and Sales'!AH9</f>
        <v>49008.945731537358</v>
      </c>
      <c r="AI70" s="14">
        <f>'Marketing and Sales'!AI9</f>
        <v>50847.173007179117</v>
      </c>
      <c r="AJ70" s="14">
        <f>'Marketing and Sales'!AJ9</f>
        <v>52981.333911920687</v>
      </c>
      <c r="AK70" s="14">
        <f>'Marketing and Sales'!AK9</f>
        <v>55525.891323464115</v>
      </c>
      <c r="AL70" s="14">
        <f>'Marketing and Sales'!AL9</f>
        <v>59435.569940609072</v>
      </c>
      <c r="AM70" s="14">
        <f>'Marketing and Sales'!AM9</f>
        <v>63743.695515656626</v>
      </c>
      <c r="AN70" s="14">
        <f>'Marketing and Sales'!AN9</f>
        <v>68426.739778814474</v>
      </c>
      <c r="AO70" s="577">
        <f>'Marketing and Sales'!AO9</f>
        <v>58478.094075983288</v>
      </c>
      <c r="AP70" s="14">
        <f>'Marketing and Sales'!AP9</f>
        <v>71191.567230314453</v>
      </c>
      <c r="AQ70" s="14">
        <f>'Marketing and Sales'!AQ9</f>
        <v>77267.089325805515</v>
      </c>
      <c r="AR70" s="14">
        <f>'Marketing and Sales'!AR9</f>
        <v>83803.704220067768</v>
      </c>
      <c r="AS70" s="14">
        <f>'Marketing and Sales'!AS9</f>
        <v>90735.267243697046</v>
      </c>
      <c r="AT70" s="14">
        <f>'Marketing and Sales'!AT9</f>
        <v>98050.493034651765</v>
      </c>
      <c r="AU70" s="14">
        <f>'Marketing and Sales'!AU9</f>
        <v>105741.21841681414</v>
      </c>
      <c r="AV70" s="14">
        <f>'Marketing and Sales'!AV9</f>
        <v>113799.66282029057</v>
      </c>
      <c r="AW70" s="14">
        <f>'Marketing and Sales'!AW9</f>
        <v>122218.27549259756</v>
      </c>
      <c r="AX70" s="14">
        <f>'Marketing and Sales'!AX9</f>
        <v>130989.71962492394</v>
      </c>
      <c r="AY70" s="14">
        <f>'Marketing and Sales'!AY9</f>
        <v>140106.86405517676</v>
      </c>
      <c r="AZ70" s="14">
        <f>'Marketing and Sales'!AZ9</f>
        <v>149562.77570328405</v>
      </c>
      <c r="BA70" s="577">
        <f>'Marketing and Sales'!BA9</f>
        <v>159350.712361118</v>
      </c>
      <c r="BB70" s="14">
        <f>'Marketing and Sales'!BB9</f>
        <v>174429.79080160445</v>
      </c>
      <c r="BC70" s="14">
        <f>'Marketing and Sales'!BC9</f>
        <v>185673.47269044403</v>
      </c>
      <c r="BD70" s="14">
        <f>'Marketing and Sales'!BD9</f>
        <v>197250.55453561779</v>
      </c>
      <c r="BE70" s="14">
        <f>'Marketing and Sales'!BE9</f>
        <v>209153.90828565788</v>
      </c>
      <c r="BF70" s="14">
        <f>'Marketing and Sales'!BF9</f>
        <v>221376.62237588313</v>
      </c>
      <c r="BG70" s="14">
        <f>'Marketing and Sales'!BG9</f>
        <v>233911.99319122697</v>
      </c>
      <c r="BH70" s="14">
        <f>'Marketing and Sales'!BH9</f>
        <v>246753.51692430768</v>
      </c>
      <c r="BI70" s="14">
        <f>'Marketing and Sales'!BI9</f>
        <v>259894.88180893569</v>
      </c>
      <c r="BJ70" s="14">
        <f>'Marketing and Sales'!BJ9</f>
        <v>273329.96071030124</v>
      </c>
      <c r="BK70" s="14">
        <f>'Marketing and Sales'!BK9</f>
        <v>287052.80405405612</v>
      </c>
      <c r="BL70" s="14">
        <f>'Marketing and Sales'!BL9</f>
        <v>301057.63307742245</v>
      </c>
      <c r="BM70" s="577">
        <f>'Marketing and Sales'!BM9</f>
        <v>315338.83338632958</v>
      </c>
      <c r="BN70" s="14">
        <f>'Marketing and Sales'!BN9</f>
        <v>329890.94880340685</v>
      </c>
      <c r="BO70" s="14">
        <f>'Marketing and Sales'!BO9</f>
        <v>344708.67549244111</v>
      </c>
      <c r="BP70" s="14">
        <f>'Marketing and Sales'!BP9</f>
        <v>359786.85634564754</v>
      </c>
      <c r="BQ70" s="14">
        <f>'Marketing and Sales'!BQ9</f>
        <v>375120.47562080697</v>
      </c>
      <c r="BR70" s="14">
        <f>'Marketing and Sales'!BR9</f>
        <v>390704.65381598385</v>
      </c>
      <c r="BS70" s="14">
        <f>'Marketing and Sales'!BS9</f>
        <v>406534.64277017367</v>
      </c>
      <c r="BT70" s="14">
        <f>'Marketing and Sales'!BT9</f>
        <v>422605.8209788255</v>
      </c>
      <c r="BU70" s="14">
        <f>'Marketing and Sales'!BU9</f>
        <v>438913.68911374902</v>
      </c>
      <c r="BV70" s="14">
        <f>'Marketing and Sales'!BV9</f>
        <v>455453.86573745433</v>
      </c>
      <c r="BW70" s="14">
        <f>'Marketing and Sales'!BW9</f>
        <v>472222.08320248395</v>
      </c>
      <c r="BX70" s="14">
        <f>'Marketing and Sales'!BX9</f>
        <v>489214.18372677302</v>
      </c>
      <c r="BY70" s="577">
        <f>'Marketing and Sales'!BY9</f>
        <v>506426.11563653621</v>
      </c>
      <c r="BZ70" s="14">
        <f>'Marketing and Sales'!BZ9</f>
        <v>523853.92976861086</v>
      </c>
      <c r="CA70" s="14">
        <f>'Marketing and Sales'!CA9</f>
        <v>541493.77602459595</v>
      </c>
      <c r="CB70" s="14">
        <f>'Marketing and Sales'!CB9</f>
        <v>559341.90006951825</v>
      </c>
      <c r="CC70" s="14">
        <f>'Marketing and Sales'!CC9</f>
        <v>577394.64016812365</v>
      </c>
      <c r="CD70" s="14">
        <f>'Marketing and Sales'!CD9</f>
        <v>595648.42415224412</v>
      </c>
      <c r="CE70" s="14">
        <f>'Marketing and Sales'!CE9</f>
        <v>614099.76651301899</v>
      </c>
      <c r="CF70" s="14">
        <f>'Marketing and Sales'!CF9</f>
        <v>632745.26561206882</v>
      </c>
      <c r="CG70" s="14">
        <f>'Marketing and Sales'!CG9</f>
        <v>651581.60100601136</v>
      </c>
      <c r="CH70" s="14">
        <f>'Marketing and Sales'!CH9</f>
        <v>670605.5308790016</v>
      </c>
      <c r="CI70" s="14">
        <f>'Marketing and Sales'!CI9</f>
        <v>689813.88957823382</v>
      </c>
      <c r="CJ70" s="14">
        <f>'Marketing and Sales'!CJ9</f>
        <v>709203.58524760907</v>
      </c>
      <c r="CK70" s="577">
        <f>'Marketing and Sales'!CK9</f>
        <v>728771.59755500511</v>
      </c>
    </row>
    <row r="71" spans="1:89" x14ac:dyDescent="0.2">
      <c r="B71" s="564" t="s">
        <v>217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472"/>
      <c r="Q71" s="577"/>
      <c r="R71" s="646">
        <v>4900</v>
      </c>
      <c r="S71" s="646">
        <f>'Marketing and Sales'!S29</f>
        <v>0</v>
      </c>
      <c r="T71" s="646">
        <f>'Marketing and Sales'!T29</f>
        <v>0</v>
      </c>
      <c r="U71" s="14">
        <v>1419</v>
      </c>
      <c r="V71" s="12">
        <f>'Marketing and Sales'!V29</f>
        <v>0</v>
      </c>
      <c r="W71" s="12">
        <f>'Marketing and Sales'!W29</f>
        <v>0</v>
      </c>
      <c r="X71" s="12">
        <f>'Marketing and Sales'!X29</f>
        <v>0</v>
      </c>
      <c r="Y71" s="12">
        <f>'Marketing and Sales'!Y29</f>
        <v>0</v>
      </c>
      <c r="Z71" s="12">
        <v>333.7</v>
      </c>
      <c r="AA71" s="12">
        <v>333.7</v>
      </c>
      <c r="AB71" s="12">
        <v>333.7</v>
      </c>
      <c r="AC71" s="578">
        <v>333.7</v>
      </c>
      <c r="AD71" s="12">
        <v>333.7</v>
      </c>
      <c r="AE71" s="12">
        <v>333.7</v>
      </c>
      <c r="AF71" s="12">
        <f>'Marketing and Sales'!AF29</f>
        <v>0</v>
      </c>
      <c r="AG71" s="12">
        <f>'Marketing and Sales'!AG29</f>
        <v>0</v>
      </c>
      <c r="AH71" s="12">
        <f>'Marketing and Sales'!AH29</f>
        <v>5000</v>
      </c>
      <c r="AI71" s="12">
        <f>'Marketing and Sales'!AI29</f>
        <v>5000</v>
      </c>
      <c r="AJ71" s="12">
        <f>'Marketing and Sales'!AJ29</f>
        <v>5000</v>
      </c>
      <c r="AK71" s="12">
        <f>'Marketing and Sales'!AK29</f>
        <v>5000</v>
      </c>
      <c r="AL71" s="12">
        <f>'Marketing and Sales'!AL29</f>
        <v>5000</v>
      </c>
      <c r="AM71" s="12">
        <f>'Marketing and Sales'!AM29</f>
        <v>5000</v>
      </c>
      <c r="AN71" s="12">
        <f>'Marketing and Sales'!AN29</f>
        <v>5000</v>
      </c>
      <c r="AO71" s="578">
        <f>'Marketing and Sales'!AO29</f>
        <v>5000</v>
      </c>
      <c r="AP71" s="12">
        <f>'Marketing and Sales'!AP29</f>
        <v>7500</v>
      </c>
      <c r="AQ71" s="12">
        <f>'Marketing and Sales'!AQ29</f>
        <v>7500</v>
      </c>
      <c r="AR71" s="12">
        <f>'Marketing and Sales'!AR29</f>
        <v>7500</v>
      </c>
      <c r="AS71" s="12">
        <f>'Marketing and Sales'!AS29</f>
        <v>7500</v>
      </c>
      <c r="AT71" s="12">
        <f>'Marketing and Sales'!AT29</f>
        <v>7500</v>
      </c>
      <c r="AU71" s="12">
        <f>'Marketing and Sales'!AU29</f>
        <v>7500</v>
      </c>
      <c r="AV71" s="12">
        <f>'Marketing and Sales'!AV29</f>
        <v>7500</v>
      </c>
      <c r="AW71" s="12">
        <f>'Marketing and Sales'!AW29</f>
        <v>7500</v>
      </c>
      <c r="AX71" s="12">
        <f>'Marketing and Sales'!AX29</f>
        <v>7500</v>
      </c>
      <c r="AY71" s="12">
        <f>'Marketing and Sales'!AY29</f>
        <v>7500</v>
      </c>
      <c r="AZ71" s="12">
        <f>'Marketing and Sales'!AZ29</f>
        <v>7500</v>
      </c>
      <c r="BA71" s="578">
        <f>'Marketing and Sales'!BA29</f>
        <v>7500</v>
      </c>
      <c r="BB71" s="12">
        <f>'Marketing and Sales'!BB29</f>
        <v>7500</v>
      </c>
      <c r="BC71" s="12">
        <f>'Marketing and Sales'!BC29</f>
        <v>7500</v>
      </c>
      <c r="BD71" s="12">
        <f>'Marketing and Sales'!BD29</f>
        <v>7500</v>
      </c>
      <c r="BE71" s="12">
        <f>'Marketing and Sales'!BE29</f>
        <v>7500</v>
      </c>
      <c r="BF71" s="12">
        <f>'Marketing and Sales'!BF29</f>
        <v>7500</v>
      </c>
      <c r="BG71" s="12">
        <f>'Marketing and Sales'!BG29</f>
        <v>7500</v>
      </c>
      <c r="BH71" s="12">
        <f>'Marketing and Sales'!BH29</f>
        <v>7500</v>
      </c>
      <c r="BI71" s="12">
        <f>'Marketing and Sales'!BI29</f>
        <v>7500</v>
      </c>
      <c r="BJ71" s="12">
        <f>'Marketing and Sales'!BJ29</f>
        <v>7500</v>
      </c>
      <c r="BK71" s="12">
        <f>'Marketing and Sales'!BK29</f>
        <v>7500</v>
      </c>
      <c r="BL71" s="12">
        <f>'Marketing and Sales'!BL29</f>
        <v>7500</v>
      </c>
      <c r="BM71" s="578">
        <f>'Marketing and Sales'!BM29</f>
        <v>7500</v>
      </c>
      <c r="BN71" s="12">
        <f>'Marketing and Sales'!BN29</f>
        <v>7500</v>
      </c>
      <c r="BO71" s="12">
        <f>'Marketing and Sales'!BO29</f>
        <v>7500</v>
      </c>
      <c r="BP71" s="12">
        <f>'Marketing and Sales'!BP29</f>
        <v>7500</v>
      </c>
      <c r="BQ71" s="12">
        <f>'Marketing and Sales'!BQ29</f>
        <v>7500</v>
      </c>
      <c r="BR71" s="12">
        <f>'Marketing and Sales'!BR29</f>
        <v>7500</v>
      </c>
      <c r="BS71" s="12">
        <f>'Marketing and Sales'!BS29</f>
        <v>7500</v>
      </c>
      <c r="BT71" s="12">
        <f>'Marketing and Sales'!BT29</f>
        <v>7500</v>
      </c>
      <c r="BU71" s="12">
        <f>'Marketing and Sales'!BU29</f>
        <v>7500</v>
      </c>
      <c r="BV71" s="12">
        <f>'Marketing and Sales'!BV29</f>
        <v>7500</v>
      </c>
      <c r="BW71" s="12">
        <f>'Marketing and Sales'!BW29</f>
        <v>7500</v>
      </c>
      <c r="BX71" s="12">
        <f>'Marketing and Sales'!BX29</f>
        <v>7500</v>
      </c>
      <c r="BY71" s="578">
        <f>'Marketing and Sales'!BY29</f>
        <v>7500</v>
      </c>
      <c r="BZ71" s="12">
        <f>'Marketing and Sales'!BZ29</f>
        <v>7500</v>
      </c>
      <c r="CA71" s="12">
        <f>'Marketing and Sales'!CA29</f>
        <v>7500</v>
      </c>
      <c r="CB71" s="12">
        <f>'Marketing and Sales'!CB29</f>
        <v>7500</v>
      </c>
      <c r="CC71" s="12">
        <f>'Marketing and Sales'!CC29</f>
        <v>7500</v>
      </c>
      <c r="CD71" s="12">
        <f>'Marketing and Sales'!CD29</f>
        <v>7500</v>
      </c>
      <c r="CE71" s="12">
        <f>'Marketing and Sales'!CE29</f>
        <v>7500</v>
      </c>
      <c r="CF71" s="12">
        <f>'Marketing and Sales'!CF29</f>
        <v>7500</v>
      </c>
      <c r="CG71" s="12">
        <f>'Marketing and Sales'!CG29</f>
        <v>7500</v>
      </c>
      <c r="CH71" s="12">
        <f>'Marketing and Sales'!CH29</f>
        <v>7500</v>
      </c>
      <c r="CI71" s="12">
        <f>'Marketing and Sales'!CI29</f>
        <v>7500</v>
      </c>
      <c r="CJ71" s="12">
        <f>'Marketing and Sales'!CJ29</f>
        <v>7500</v>
      </c>
      <c r="CK71" s="578">
        <f>'Marketing and Sales'!CK29</f>
        <v>7500</v>
      </c>
    </row>
    <row r="72" spans="1:89" x14ac:dyDescent="0.2">
      <c r="R72" s="407"/>
      <c r="S72" s="407"/>
      <c r="T72" s="407"/>
    </row>
    <row r="73" spans="1:89" x14ac:dyDescent="0.2">
      <c r="B73" s="7" t="s">
        <v>204</v>
      </c>
      <c r="C73" s="7"/>
      <c r="D73" s="149"/>
      <c r="E73" s="149"/>
      <c r="F73" s="172">
        <f t="shared" ref="F73:O73" si="107">F51+SUM(F53:F71)+F31</f>
        <v>111920.48999999999</v>
      </c>
      <c r="G73" s="172">
        <f t="shared" si="107"/>
        <v>121765.44999999998</v>
      </c>
      <c r="H73" s="172">
        <f t="shared" si="107"/>
        <v>124646.86</v>
      </c>
      <c r="I73" s="172">
        <f t="shared" si="107"/>
        <v>98335.44</v>
      </c>
      <c r="J73" s="172">
        <f t="shared" si="107"/>
        <v>58000</v>
      </c>
      <c r="K73" s="172">
        <f t="shared" si="107"/>
        <v>-103990.23999999998</v>
      </c>
      <c r="L73" s="172">
        <f t="shared" si="107"/>
        <v>134877.58999999997</v>
      </c>
      <c r="M73" s="172">
        <f t="shared" si="107"/>
        <v>94119.25</v>
      </c>
      <c r="N73" s="172">
        <f t="shared" si="107"/>
        <v>122911.6</v>
      </c>
      <c r="O73" s="172">
        <f t="shared" si="107"/>
        <v>126751.42</v>
      </c>
      <c r="P73" s="496">
        <f>P51+SUM(P53:P71)+P31</f>
        <v>193572.93</v>
      </c>
      <c r="Q73" s="616">
        <f>Q51+SUM(Q53:Q71)+Q31</f>
        <v>201425.86</v>
      </c>
      <c r="R73" s="172">
        <f>R51+SUM(R53:R71)</f>
        <v>180888.91000000003</v>
      </c>
      <c r="S73" s="172">
        <f t="shared" ref="S73:BA73" si="108">S51+SUM(S53:S71)</f>
        <v>194627.50999999998</v>
      </c>
      <c r="T73" s="172">
        <f t="shared" si="108"/>
        <v>240663.83</v>
      </c>
      <c r="U73" s="686">
        <v>193988.57</v>
      </c>
      <c r="V73" s="686">
        <v>159244.96</v>
      </c>
      <c r="W73" s="686">
        <v>158858.35999999999</v>
      </c>
      <c r="X73" s="686">
        <v>127263.09</v>
      </c>
      <c r="Y73" s="686">
        <v>157896.54</v>
      </c>
      <c r="Z73" s="686">
        <v>147095.41</v>
      </c>
      <c r="AA73" s="172">
        <f t="shared" si="108"/>
        <v>134640.69</v>
      </c>
      <c r="AB73" s="172">
        <f t="shared" si="108"/>
        <v>134640.69</v>
      </c>
      <c r="AC73" s="616">
        <f t="shared" si="108"/>
        <v>134640.69</v>
      </c>
      <c r="AD73" s="172">
        <f t="shared" si="108"/>
        <v>119074.73</v>
      </c>
      <c r="AE73" s="172">
        <f t="shared" si="108"/>
        <v>99674.73</v>
      </c>
      <c r="AF73" s="172">
        <f t="shared" si="108"/>
        <v>118445.39211055322</v>
      </c>
      <c r="AG73" s="172">
        <f t="shared" si="108"/>
        <v>264191.58009749488</v>
      </c>
      <c r="AH73" s="172">
        <f t="shared" si="108"/>
        <v>273543.59239820403</v>
      </c>
      <c r="AI73" s="172">
        <f t="shared" si="108"/>
        <v>316101.78634051245</v>
      </c>
      <c r="AJ73" s="172">
        <f t="shared" si="108"/>
        <v>315830.57724525407</v>
      </c>
      <c r="AK73" s="172">
        <f t="shared" si="108"/>
        <v>348071.76799013076</v>
      </c>
      <c r="AL73" s="172">
        <f t="shared" si="108"/>
        <v>371738.07994060905</v>
      </c>
      <c r="AM73" s="172">
        <f t="shared" si="108"/>
        <v>375969.50551565661</v>
      </c>
      <c r="AN73" s="172">
        <f t="shared" si="108"/>
        <v>387575.84977881447</v>
      </c>
      <c r="AO73" s="616">
        <f t="shared" si="108"/>
        <v>381800.50407598331</v>
      </c>
      <c r="AP73" s="172">
        <f t="shared" si="108"/>
        <v>438091.44389698113</v>
      </c>
      <c r="AQ73" s="172">
        <f t="shared" si="108"/>
        <v>444090.26599247218</v>
      </c>
      <c r="AR73" s="172">
        <f t="shared" si="108"/>
        <v>460350.18088673445</v>
      </c>
      <c r="AS73" s="172">
        <f t="shared" si="108"/>
        <v>487205.04391036375</v>
      </c>
      <c r="AT73" s="172">
        <f t="shared" si="108"/>
        <v>474443.56970131845</v>
      </c>
      <c r="AU73" s="172">
        <f t="shared" si="108"/>
        <v>488057.59508348082</v>
      </c>
      <c r="AV73" s="172">
        <f t="shared" si="108"/>
        <v>490289.33948695729</v>
      </c>
      <c r="AW73" s="172">
        <f t="shared" si="108"/>
        <v>498631.25215926429</v>
      </c>
      <c r="AX73" s="172">
        <f t="shared" si="108"/>
        <v>507325.99629159062</v>
      </c>
      <c r="AY73" s="172">
        <f t="shared" si="108"/>
        <v>516366.44072184345</v>
      </c>
      <c r="AZ73" s="172">
        <f t="shared" si="108"/>
        <v>525745.65236995067</v>
      </c>
      <c r="BA73" s="616">
        <f t="shared" si="108"/>
        <v>546956.88902778469</v>
      </c>
      <c r="BB73" s="172">
        <f t="shared" ref="BB73:BM73" si="109">BB51+SUM(BB53:BB71)</f>
        <v>561180.36746827117</v>
      </c>
      <c r="BC73" s="172">
        <f t="shared" si="109"/>
        <v>572347.34935711068</v>
      </c>
      <c r="BD73" s="172">
        <f t="shared" si="109"/>
        <v>583847.73120228446</v>
      </c>
      <c r="BE73" s="172">
        <f t="shared" si="109"/>
        <v>615674.38495232456</v>
      </c>
      <c r="BF73" s="172">
        <f t="shared" si="109"/>
        <v>607820.39904254978</v>
      </c>
      <c r="BG73" s="172">
        <f t="shared" si="109"/>
        <v>626279.06985789363</v>
      </c>
      <c r="BH73" s="172">
        <f t="shared" si="109"/>
        <v>633293.89359097439</v>
      </c>
      <c r="BI73" s="172">
        <f t="shared" si="109"/>
        <v>646358.55847560242</v>
      </c>
      <c r="BJ73" s="172">
        <f t="shared" si="109"/>
        <v>659716.93737696786</v>
      </c>
      <c r="BK73" s="172">
        <f t="shared" si="109"/>
        <v>673363.08072072279</v>
      </c>
      <c r="BL73" s="172">
        <f t="shared" si="109"/>
        <v>687291.20974408905</v>
      </c>
      <c r="BM73" s="616">
        <f t="shared" si="109"/>
        <v>712995.71005299618</v>
      </c>
      <c r="BN73" s="172">
        <f t="shared" ref="BN73:BY73" si="110">BN51+SUM(BN53:BN71)</f>
        <v>718571.4554700735</v>
      </c>
      <c r="BO73" s="172">
        <f t="shared" si="110"/>
        <v>733352.43215910776</v>
      </c>
      <c r="BP73" s="172">
        <f t="shared" si="110"/>
        <v>748430.61301231419</v>
      </c>
      <c r="BQ73" s="172">
        <f t="shared" si="110"/>
        <v>783764.23228747363</v>
      </c>
      <c r="BR73" s="172">
        <f t="shared" si="110"/>
        <v>779348.41048265051</v>
      </c>
      <c r="BS73" s="172">
        <f t="shared" si="110"/>
        <v>801178.39943684032</v>
      </c>
      <c r="BT73" s="172">
        <f t="shared" si="110"/>
        <v>811499.57764549216</v>
      </c>
      <c r="BU73" s="172">
        <f t="shared" si="110"/>
        <v>827807.44578041567</v>
      </c>
      <c r="BV73" s="172">
        <f t="shared" si="110"/>
        <v>844347.62240412098</v>
      </c>
      <c r="BW73" s="172">
        <f t="shared" si="110"/>
        <v>861115.83986915066</v>
      </c>
      <c r="BX73" s="172">
        <f t="shared" si="110"/>
        <v>878107.94039343973</v>
      </c>
      <c r="BY73" s="616">
        <f t="shared" si="110"/>
        <v>906819.87230320286</v>
      </c>
      <c r="BZ73" s="172">
        <f t="shared" ref="BZ73:CK73" si="111">BZ51+SUM(BZ53:BZ71)</f>
        <v>915490.53293527756</v>
      </c>
      <c r="CA73" s="172">
        <f t="shared" si="111"/>
        <v>933130.37919126265</v>
      </c>
      <c r="CB73" s="172">
        <f t="shared" si="111"/>
        <v>950978.50323618506</v>
      </c>
      <c r="CC73" s="172">
        <f t="shared" si="111"/>
        <v>989031.24333479046</v>
      </c>
      <c r="CD73" s="172">
        <f t="shared" si="111"/>
        <v>987285.02731891093</v>
      </c>
      <c r="CE73" s="172">
        <f t="shared" si="111"/>
        <v>1011736.3696796857</v>
      </c>
      <c r="CF73" s="172">
        <f t="shared" si="111"/>
        <v>1024631.8687787356</v>
      </c>
      <c r="CG73" s="172">
        <f t="shared" si="111"/>
        <v>1043468.2041726781</v>
      </c>
      <c r="CH73" s="172">
        <f t="shared" si="111"/>
        <v>1062492.1340456684</v>
      </c>
      <c r="CI73" s="172">
        <f t="shared" si="111"/>
        <v>1081700.4927449005</v>
      </c>
      <c r="CJ73" s="172">
        <f t="shared" si="111"/>
        <v>1101090.1884142759</v>
      </c>
      <c r="CK73" s="616">
        <f t="shared" si="111"/>
        <v>1132158.2007216718</v>
      </c>
    </row>
    <row r="74" spans="1:89" x14ac:dyDescent="0.2">
      <c r="V74" s="16"/>
      <c r="W74" s="16"/>
      <c r="X74" s="16"/>
    </row>
    <row r="75" spans="1:89" x14ac:dyDescent="0.2">
      <c r="B75" s="565" t="s">
        <v>13</v>
      </c>
      <c r="C75" s="33"/>
      <c r="D75" s="159"/>
      <c r="E75" s="159"/>
      <c r="F75" s="175">
        <f t="shared" ref="F75:BA75" si="112">F24-F73</f>
        <v>-111920.48999999999</v>
      </c>
      <c r="G75" s="175">
        <f t="shared" si="112"/>
        <v>-121765.44999999998</v>
      </c>
      <c r="H75" s="175">
        <f t="shared" si="112"/>
        <v>-124646.86</v>
      </c>
      <c r="I75" s="175">
        <f t="shared" si="112"/>
        <v>-98335.44</v>
      </c>
      <c r="J75" s="175">
        <f t="shared" si="112"/>
        <v>-58000</v>
      </c>
      <c r="K75" s="175">
        <f t="shared" si="112"/>
        <v>103990.23999999998</v>
      </c>
      <c r="L75" s="175">
        <f t="shared" si="112"/>
        <v>-134877.58999999997</v>
      </c>
      <c r="M75" s="175">
        <f t="shared" si="112"/>
        <v>-94119.25</v>
      </c>
      <c r="N75" s="175">
        <f t="shared" si="112"/>
        <v>-122911.6</v>
      </c>
      <c r="O75" s="175">
        <f t="shared" si="112"/>
        <v>-126751.42</v>
      </c>
      <c r="P75" s="501">
        <f t="shared" si="112"/>
        <v>-126318.78483617527</v>
      </c>
      <c r="Q75" s="617">
        <f t="shared" si="112"/>
        <v>-132167.70586091719</v>
      </c>
      <c r="R75" s="175">
        <f t="shared" si="112"/>
        <v>-110560.59000000003</v>
      </c>
      <c r="S75" s="175">
        <f t="shared" si="112"/>
        <v>-125806.50999999998</v>
      </c>
      <c r="T75" s="175">
        <f t="shared" si="112"/>
        <v>-172829.83</v>
      </c>
      <c r="U75" s="175">
        <f t="shared" si="112"/>
        <v>-120751.57</v>
      </c>
      <c r="V75" s="175">
        <f t="shared" si="112"/>
        <v>-87981.119999999995</v>
      </c>
      <c r="W75" s="175">
        <f t="shared" si="112"/>
        <v>-89254.329999999987</v>
      </c>
      <c r="X75" s="175">
        <f t="shared" si="112"/>
        <v>-49580.679999999993</v>
      </c>
      <c r="Y75" s="175">
        <f t="shared" si="112"/>
        <v>-88024.58</v>
      </c>
      <c r="Z75" s="175">
        <f t="shared" si="112"/>
        <v>-77548.41</v>
      </c>
      <c r="AA75" s="175">
        <f t="shared" si="112"/>
        <v>-65523.180383392828</v>
      </c>
      <c r="AB75" s="175">
        <f t="shared" si="112"/>
        <v>-65054.333690024418</v>
      </c>
      <c r="AC75" s="617">
        <f t="shared" si="112"/>
        <v>-64590.903307567045</v>
      </c>
      <c r="AD75" s="175">
        <f t="shared" si="112"/>
        <v>-48546.865817178201</v>
      </c>
      <c r="AE75" s="175">
        <f t="shared" si="112"/>
        <v>-28327.472703767024</v>
      </c>
      <c r="AF75" s="175">
        <f t="shared" si="112"/>
        <v>-45529.703646874521</v>
      </c>
      <c r="AG75" s="175">
        <f t="shared" si="112"/>
        <v>-182540.46502543316</v>
      </c>
      <c r="AH75" s="175">
        <f t="shared" si="112"/>
        <v>-181608.37214336148</v>
      </c>
      <c r="AI75" s="175">
        <f t="shared" si="112"/>
        <v>-212630.84451903633</v>
      </c>
      <c r="AJ75" s="175">
        <f t="shared" si="112"/>
        <v>-200017.22292621201</v>
      </c>
      <c r="AK75" s="175">
        <f t="shared" si="112"/>
        <v>-218948.4815233773</v>
      </c>
      <c r="AL75" s="175">
        <f t="shared" si="112"/>
        <v>-224150.97831619557</v>
      </c>
      <c r="AM75" s="175">
        <f t="shared" si="112"/>
        <v>-208978.96456815145</v>
      </c>
      <c r="AN75" s="175">
        <f t="shared" si="112"/>
        <v>-199872.90152083023</v>
      </c>
      <c r="AO75" s="617">
        <f t="shared" si="112"/>
        <v>-175644.36884309241</v>
      </c>
      <c r="AP75" s="175">
        <f t="shared" si="112"/>
        <v>-211170.62734709578</v>
      </c>
      <c r="AQ75" s="175">
        <f t="shared" si="112"/>
        <v>-195573.10201547694</v>
      </c>
      <c r="AR75" s="175">
        <f t="shared" si="112"/>
        <v>-189005.98353280348</v>
      </c>
      <c r="AS75" s="175">
        <f t="shared" si="112"/>
        <v>-192234.61057153478</v>
      </c>
      <c r="AT75" s="175">
        <f t="shared" si="112"/>
        <v>-155059.85679016396</v>
      </c>
      <c r="AU75" s="175">
        <f t="shared" si="112"/>
        <v>-143485.49699716794</v>
      </c>
      <c r="AV75" s="175">
        <f t="shared" si="112"/>
        <v>-119298.80516719754</v>
      </c>
      <c r="AW75" s="175">
        <f t="shared" si="112"/>
        <v>-100478.57249775535</v>
      </c>
      <c r="AX75" s="175">
        <f t="shared" si="112"/>
        <v>-81278.619382210192</v>
      </c>
      <c r="AY75" s="175">
        <f t="shared" si="112"/>
        <v>-61702.769880186825</v>
      </c>
      <c r="AZ75" s="175">
        <f t="shared" si="112"/>
        <v>-41754.848046543018</v>
      </c>
      <c r="BA75" s="617">
        <f t="shared" si="112"/>
        <v>-32938.674538435997</v>
      </c>
      <c r="BB75" s="175">
        <f t="shared" ref="BB75:BM75" si="113">BB24-BB73</f>
        <v>58430.365913058864</v>
      </c>
      <c r="BC75" s="175">
        <f t="shared" si="113"/>
        <v>146465.41032848973</v>
      </c>
      <c r="BD75" s="175">
        <f t="shared" si="113"/>
        <v>187388.49417622248</v>
      </c>
      <c r="BE75" s="175">
        <f t="shared" si="113"/>
        <v>209138.84300070244</v>
      </c>
      <c r="BF75" s="175">
        <f t="shared" si="113"/>
        <v>271687.93389582809</v>
      </c>
      <c r="BG75" s="175">
        <f t="shared" si="113"/>
        <v>309008.56545355939</v>
      </c>
      <c r="BH75" s="175">
        <f t="shared" si="113"/>
        <v>359291.45772504003</v>
      </c>
      <c r="BI75" s="175">
        <f t="shared" si="113"/>
        <v>404537.02231232589</v>
      </c>
      <c r="BJ75" s="175">
        <f t="shared" si="113"/>
        <v>450471.7786589528</v>
      </c>
      <c r="BK75" s="175">
        <f t="shared" si="113"/>
        <v>497073.31844947336</v>
      </c>
      <c r="BL75" s="175">
        <f t="shared" si="113"/>
        <v>544320.2517507195</v>
      </c>
      <c r="BM75" s="617">
        <f t="shared" si="113"/>
        <v>580692.15594471036</v>
      </c>
      <c r="BN75" s="175">
        <f t="shared" ref="BN75:BY75" si="114">BN24-BN73</f>
        <v>637190.76593429269</v>
      </c>
      <c r="BO75" s="175">
        <f t="shared" si="114"/>
        <v>685351.96489463409</v>
      </c>
      <c r="BP75" s="175">
        <f t="shared" si="114"/>
        <v>734472.31720391603</v>
      </c>
      <c r="BQ75" s="175">
        <f t="shared" si="114"/>
        <v>764152.32480329985</v>
      </c>
      <c r="BR75" s="175">
        <f t="shared" si="114"/>
        <v>834375.58994373714</v>
      </c>
      <c r="BS75" s="175">
        <f t="shared" si="114"/>
        <v>879126.42907221848</v>
      </c>
      <c r="BT75" s="175">
        <f t="shared" si="114"/>
        <v>936606.50423816883</v>
      </c>
      <c r="BU75" s="175">
        <f t="shared" si="114"/>
        <v>988826.62298244855</v>
      </c>
      <c r="BV75" s="175">
        <f t="shared" si="114"/>
        <v>1041523.1828639911</v>
      </c>
      <c r="BW75" s="175">
        <f t="shared" si="114"/>
        <v>1094683.1626163807</v>
      </c>
      <c r="BX75" s="175">
        <f t="shared" si="114"/>
        <v>1148294.093644975</v>
      </c>
      <c r="BY75" s="617">
        <f t="shared" si="114"/>
        <v>1190844.0329882372</v>
      </c>
      <c r="BZ75" s="175">
        <f t="shared" ref="BZ75:CK75" si="115">BZ24-BZ73</f>
        <v>1253200.2597942152</v>
      </c>
      <c r="CA75" s="175">
        <f t="shared" si="115"/>
        <v>1307231.3036514642</v>
      </c>
      <c r="CB75" s="175">
        <f t="shared" si="115"/>
        <v>1362095.2989704281</v>
      </c>
      <c r="CC75" s="175">
        <f t="shared" si="115"/>
        <v>1397362.926724755</v>
      </c>
      <c r="CD75" s="175">
        <f t="shared" si="115"/>
        <v>1473024.3790663329</v>
      </c>
      <c r="CE75" s="175">
        <f t="shared" si="115"/>
        <v>1523070.2406199533</v>
      </c>
      <c r="CF75" s="175">
        <f t="shared" si="115"/>
        <v>1585708.136388757</v>
      </c>
      <c r="CG75" s="175">
        <f t="shared" si="115"/>
        <v>1642954.5472807621</v>
      </c>
      <c r="CH75" s="175">
        <f t="shared" si="115"/>
        <v>1700551.2694567656</v>
      </c>
      <c r="CI75" s="175">
        <f t="shared" si="115"/>
        <v>1758490.4195348525</v>
      </c>
      <c r="CJ75" s="175">
        <f t="shared" si="115"/>
        <v>1816764.4194027588</v>
      </c>
      <c r="CK75" s="617">
        <f t="shared" si="115"/>
        <v>1863865.9818002358</v>
      </c>
    </row>
    <row r="76" spans="1:89" s="2" customFormat="1" x14ac:dyDescent="0.2">
      <c r="A76" s="570"/>
      <c r="B76" s="566" t="s">
        <v>14</v>
      </c>
      <c r="C76" s="34"/>
      <c r="D76" s="161"/>
      <c r="E76" s="161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502">
        <f>P75</f>
        <v>-126318.78483617527</v>
      </c>
      <c r="Q76" s="618">
        <f t="shared" ref="Q76:BA76" si="116">P76+Q75</f>
        <v>-258486.49069709246</v>
      </c>
      <c r="R76" s="176">
        <f t="shared" si="116"/>
        <v>-369047.08069709246</v>
      </c>
      <c r="S76" s="176">
        <f t="shared" si="116"/>
        <v>-494853.59069709247</v>
      </c>
      <c r="T76" s="176">
        <f t="shared" si="116"/>
        <v>-667683.42069709243</v>
      </c>
      <c r="U76" s="176">
        <f t="shared" si="116"/>
        <v>-788434.99069709238</v>
      </c>
      <c r="V76" s="176">
        <f t="shared" si="116"/>
        <v>-876416.11069709237</v>
      </c>
      <c r="W76" s="176">
        <f t="shared" si="116"/>
        <v>-965670.44069709233</v>
      </c>
      <c r="X76" s="176">
        <f t="shared" si="116"/>
        <v>-1015251.1206970923</v>
      </c>
      <c r="Y76" s="176">
        <f t="shared" si="116"/>
        <v>-1103275.7006970923</v>
      </c>
      <c r="Z76" s="176">
        <f t="shared" si="116"/>
        <v>-1180824.1106970923</v>
      </c>
      <c r="AA76" s="176">
        <f t="shared" si="116"/>
        <v>-1246347.2910804851</v>
      </c>
      <c r="AB76" s="176">
        <f t="shared" si="116"/>
        <v>-1311401.6247705095</v>
      </c>
      <c r="AC76" s="618">
        <f t="shared" si="116"/>
        <v>-1375992.5280780767</v>
      </c>
      <c r="AD76" s="176">
        <f t="shared" si="116"/>
        <v>-1424539.3938952549</v>
      </c>
      <c r="AE76" s="176">
        <f t="shared" si="116"/>
        <v>-1452866.8665990219</v>
      </c>
      <c r="AF76" s="176">
        <f t="shared" si="116"/>
        <v>-1498396.5702458965</v>
      </c>
      <c r="AG76" s="176">
        <f t="shared" si="116"/>
        <v>-1680937.0352713296</v>
      </c>
      <c r="AH76" s="176">
        <f t="shared" si="116"/>
        <v>-1862545.4074146911</v>
      </c>
      <c r="AI76" s="176">
        <f t="shared" si="116"/>
        <v>-2075176.2519337274</v>
      </c>
      <c r="AJ76" s="176">
        <f t="shared" si="116"/>
        <v>-2275193.4748599394</v>
      </c>
      <c r="AK76" s="176">
        <f t="shared" si="116"/>
        <v>-2494141.9563833168</v>
      </c>
      <c r="AL76" s="176">
        <f t="shared" si="116"/>
        <v>-2718292.9346995126</v>
      </c>
      <c r="AM76" s="176">
        <f t="shared" si="116"/>
        <v>-2927271.8992676642</v>
      </c>
      <c r="AN76" s="176">
        <f t="shared" si="116"/>
        <v>-3127144.8007884943</v>
      </c>
      <c r="AO76" s="618">
        <f t="shared" si="116"/>
        <v>-3302789.1696315869</v>
      </c>
      <c r="AP76" s="178">
        <f t="shared" si="116"/>
        <v>-3513959.7969786827</v>
      </c>
      <c r="AQ76" s="178">
        <f t="shared" si="116"/>
        <v>-3709532.8989941599</v>
      </c>
      <c r="AR76" s="178">
        <f t="shared" si="116"/>
        <v>-3898538.8825269635</v>
      </c>
      <c r="AS76" s="176">
        <f t="shared" si="116"/>
        <v>-4090773.4930984983</v>
      </c>
      <c r="AT76" s="176">
        <f t="shared" si="116"/>
        <v>-4245833.3498886619</v>
      </c>
      <c r="AU76" s="176">
        <f t="shared" si="116"/>
        <v>-4389318.8468858302</v>
      </c>
      <c r="AV76" s="176">
        <f t="shared" si="116"/>
        <v>-4508617.6520530274</v>
      </c>
      <c r="AW76" s="176">
        <f t="shared" si="116"/>
        <v>-4609096.2245507827</v>
      </c>
      <c r="AX76" s="176">
        <f t="shared" si="116"/>
        <v>-4690374.8439329928</v>
      </c>
      <c r="AY76" s="176">
        <f t="shared" si="116"/>
        <v>-4752077.6138131795</v>
      </c>
      <c r="AZ76" s="176">
        <f t="shared" si="116"/>
        <v>-4793832.4618597226</v>
      </c>
      <c r="BA76" s="618">
        <f t="shared" si="116"/>
        <v>-4826771.136398159</v>
      </c>
      <c r="BB76" s="178">
        <f t="shared" ref="BB76" si="117">BA76+BB75</f>
        <v>-4768340.7704851003</v>
      </c>
      <c r="BC76" s="178">
        <f t="shared" ref="BC76" si="118">BB76+BC75</f>
        <v>-4621875.3601566106</v>
      </c>
      <c r="BD76" s="178">
        <f t="shared" ref="BD76" si="119">BC76+BD75</f>
        <v>-4434486.8659803886</v>
      </c>
      <c r="BE76" s="176">
        <f t="shared" ref="BE76" si="120">BD76+BE75</f>
        <v>-4225348.022979686</v>
      </c>
      <c r="BF76" s="176">
        <f t="shared" ref="BF76" si="121">BE76+BF75</f>
        <v>-3953660.0890838578</v>
      </c>
      <c r="BG76" s="176">
        <f t="shared" ref="BG76" si="122">BF76+BG75</f>
        <v>-3644651.5236302987</v>
      </c>
      <c r="BH76" s="176">
        <f t="shared" ref="BH76" si="123">BG76+BH75</f>
        <v>-3285360.0659052585</v>
      </c>
      <c r="BI76" s="176">
        <f t="shared" ref="BI76" si="124">BH76+BI75</f>
        <v>-2880823.0435929326</v>
      </c>
      <c r="BJ76" s="176">
        <f t="shared" ref="BJ76" si="125">BI76+BJ75</f>
        <v>-2430351.2649339801</v>
      </c>
      <c r="BK76" s="176">
        <f t="shared" ref="BK76" si="126">BJ76+BK75</f>
        <v>-1933277.9464845066</v>
      </c>
      <c r="BL76" s="176">
        <f t="shared" ref="BL76" si="127">BK76+BL75</f>
        <v>-1388957.6947337871</v>
      </c>
      <c r="BM76" s="618">
        <f t="shared" ref="BM76" si="128">BL76+BM75</f>
        <v>-808265.53878907673</v>
      </c>
      <c r="BN76" s="178">
        <f t="shared" ref="BN76" si="129">BM76+BN75</f>
        <v>-171074.77285478404</v>
      </c>
      <c r="BO76" s="178">
        <f t="shared" ref="BO76" si="130">BN76+BO75</f>
        <v>514277.19203985005</v>
      </c>
      <c r="BP76" s="178">
        <f t="shared" ref="BP76" si="131">BO76+BP75</f>
        <v>1248749.5092437661</v>
      </c>
      <c r="BQ76" s="176">
        <f t="shared" ref="BQ76" si="132">BP76+BQ75</f>
        <v>2012901.834047066</v>
      </c>
      <c r="BR76" s="176">
        <f t="shared" ref="BR76" si="133">BQ76+BR75</f>
        <v>2847277.4239908033</v>
      </c>
      <c r="BS76" s="176">
        <f t="shared" ref="BS76" si="134">BR76+BS75</f>
        <v>3726403.8530630218</v>
      </c>
      <c r="BT76" s="176">
        <f t="shared" ref="BT76" si="135">BS76+BT75</f>
        <v>4663010.3573011905</v>
      </c>
      <c r="BU76" s="176">
        <f t="shared" ref="BU76" si="136">BT76+BU75</f>
        <v>5651836.9802836394</v>
      </c>
      <c r="BV76" s="176">
        <f t="shared" ref="BV76" si="137">BU76+BV75</f>
        <v>6693360.1631476302</v>
      </c>
      <c r="BW76" s="176">
        <f t="shared" ref="BW76" si="138">BV76+BW75</f>
        <v>7788043.3257640107</v>
      </c>
      <c r="BX76" s="176">
        <f t="shared" ref="BX76" si="139">BW76+BX75</f>
        <v>8936337.4194089863</v>
      </c>
      <c r="BY76" s="618">
        <f t="shared" ref="BY76" si="140">BX76+BY75</f>
        <v>10127181.452397224</v>
      </c>
      <c r="BZ76" s="178">
        <f t="shared" ref="BZ76" si="141">BY76+BZ75</f>
        <v>11380381.712191438</v>
      </c>
      <c r="CA76" s="178">
        <f t="shared" ref="CA76" si="142">BZ76+CA75</f>
        <v>12687613.015842903</v>
      </c>
      <c r="CB76" s="178">
        <f t="shared" ref="CB76" si="143">CA76+CB75</f>
        <v>14049708.314813331</v>
      </c>
      <c r="CC76" s="176">
        <f t="shared" ref="CC76" si="144">CB76+CC75</f>
        <v>15447071.241538085</v>
      </c>
      <c r="CD76" s="176">
        <f t="shared" ref="CD76" si="145">CC76+CD75</f>
        <v>16920095.620604418</v>
      </c>
      <c r="CE76" s="176">
        <f t="shared" ref="CE76" si="146">CD76+CE75</f>
        <v>18443165.861224372</v>
      </c>
      <c r="CF76" s="176">
        <f t="shared" ref="CF76" si="147">CE76+CF75</f>
        <v>20028873.997613128</v>
      </c>
      <c r="CG76" s="176">
        <f t="shared" ref="CG76" si="148">CF76+CG75</f>
        <v>21671828.544893891</v>
      </c>
      <c r="CH76" s="176">
        <f t="shared" ref="CH76" si="149">CG76+CH75</f>
        <v>23372379.814350657</v>
      </c>
      <c r="CI76" s="176">
        <f t="shared" ref="CI76" si="150">CH76+CI75</f>
        <v>25130870.233885508</v>
      </c>
      <c r="CJ76" s="176">
        <f t="shared" ref="CJ76" si="151">CI76+CJ75</f>
        <v>26947634.653288268</v>
      </c>
      <c r="CK76" s="618">
        <f t="shared" ref="CK76" si="152">CJ76+CK75</f>
        <v>28811500.635088503</v>
      </c>
    </row>
    <row r="77" spans="1:89" s="284" customFormat="1" ht="14" x14ac:dyDescent="0.2">
      <c r="A77" s="580"/>
      <c r="B77" s="581" t="s">
        <v>337</v>
      </c>
      <c r="D77" s="582"/>
      <c r="E77" s="582"/>
      <c r="P77" s="583">
        <f>P75+('Loans &amp; Grants'!Q50-'Loans &amp; Grants'!Q41-'Loans &amp; Grants'!Q42)</f>
        <v>-21318.784836175269</v>
      </c>
      <c r="Q77" s="619">
        <f>Q75+('Loans &amp; Grants'!R50-'Loans &amp; Grants'!R41-'Loans &amp; Grants'!R42)</f>
        <v>-132167.70586091719</v>
      </c>
      <c r="R77" s="584">
        <f>R75+('Loans &amp; Grants'!S50-'Loans &amp; Grants'!S41-'Loans &amp; Grants'!S42)</f>
        <v>-110560.59000000003</v>
      </c>
      <c r="S77" s="584">
        <f>S75+('Loans &amp; Grants'!T50-'Loans &amp; Grants'!T41-'Loans &amp; Grants'!T42)</f>
        <v>-125806.50999999998</v>
      </c>
      <c r="T77" s="584">
        <f>T75+('Loans &amp; Grants'!U50-'Loans &amp; Grants'!U41-'Loans &amp; Grants'!U42)</f>
        <v>-172829.83</v>
      </c>
      <c r="U77" s="584">
        <f>U75+('Loans &amp; Grants'!V50-'Loans &amp; Grants'!V41-'Loans &amp; Grants'!V42)</f>
        <v>-120751.57</v>
      </c>
      <c r="V77" s="584">
        <f>V75+('Loans &amp; Grants'!W50-'Loans &amp; Grants'!W41-'Loans &amp; Grants'!W42)</f>
        <v>-87981.119999999995</v>
      </c>
      <c r="W77" s="584">
        <f>W75+('Loans &amp; Grants'!X50-'Loans &amp; Grants'!X41-'Loans &amp; Grants'!X42)</f>
        <v>-89254.329999999987</v>
      </c>
      <c r="X77" s="584">
        <f>X75+('Loans &amp; Grants'!Y50-'Loans &amp; Grants'!Y41-'Loans &amp; Grants'!Y42)</f>
        <v>-49580.679999999993</v>
      </c>
      <c r="Y77" s="584">
        <f>Y75+('Loans &amp; Grants'!Z50-'Loans &amp; Grants'!Z41-'Loans &amp; Grants'!Z42)</f>
        <v>-88024.58</v>
      </c>
      <c r="Z77" s="584">
        <f>Z75+('Loans &amp; Grants'!AA50-'Loans &amp; Grants'!AA41-'Loans &amp; Grants'!AA42)</f>
        <v>-77548.41</v>
      </c>
      <c r="AA77" s="584">
        <f>AA75+('Loans &amp; Grants'!AB50-'Loans &amp; Grants'!AB41-'Loans &amp; Grants'!AB42)</f>
        <v>-65523.180383392828</v>
      </c>
      <c r="AB77" s="584">
        <f>AB75+('Loans &amp; Grants'!AC50-'Loans &amp; Grants'!AC41-'Loans &amp; Grants'!AC42)</f>
        <v>-65054.333690024418</v>
      </c>
      <c r="AC77" s="619">
        <f>AC75+('Loans &amp; Grants'!AD50-'Loans &amp; Grants'!AD41-'Loans &amp; Grants'!AD42)</f>
        <v>-64590.903307567045</v>
      </c>
      <c r="AD77" s="584">
        <f>AD75+('Loans &amp; Grants'!AE50-'Loans &amp; Grants'!AE41-'Loans &amp; Grants'!AE42)</f>
        <v>-48546.865817178201</v>
      </c>
      <c r="AE77" s="584">
        <f>AE75+('Loans &amp; Grants'!AF50-'Loans &amp; Grants'!AF41-'Loans &amp; Grants'!AF42)</f>
        <v>-28327.472703767024</v>
      </c>
      <c r="AF77" s="584">
        <f>AF75+('Loans &amp; Grants'!AG50-'Loans &amp; Grants'!AG41-'Loans &amp; Grants'!AG42)</f>
        <v>-529.70364687452093</v>
      </c>
      <c r="AG77" s="584">
        <f>AG75+('Loans &amp; Grants'!AH50-'Loans &amp; Grants'!AH41-'Loans &amp; Grants'!AH42)</f>
        <v>-182540.46502543316</v>
      </c>
      <c r="AH77" s="584">
        <f>AH75+('Loans &amp; Grants'!AI50-'Loans &amp; Grants'!AI41-'Loans &amp; Grants'!AI42)</f>
        <v>-181608.37214336148</v>
      </c>
      <c r="AI77" s="584">
        <f>AI75+('Loans &amp; Grants'!AJ50-'Loans &amp; Grants'!AJ41-'Loans &amp; Grants'!AJ42)</f>
        <v>-87630.844519036327</v>
      </c>
      <c r="AJ77" s="584">
        <f>AJ75+('Loans &amp; Grants'!AK50-'Loans &amp; Grants'!AK41-'Loans &amp; Grants'!AK42)</f>
        <v>-175017.22292621201</v>
      </c>
      <c r="AK77" s="584">
        <f>AK75+('Loans &amp; Grants'!AL50-'Loans &amp; Grants'!AL41-'Loans &amp; Grants'!AL42)</f>
        <v>-43948.481523377297</v>
      </c>
      <c r="AL77" s="584">
        <f>AL75+('Loans &amp; Grants'!AM50-'Loans &amp; Grants'!AM41-'Loans &amp; Grants'!AM42)</f>
        <v>-199150.97831619557</v>
      </c>
      <c r="AM77" s="584">
        <f>AM75+('Loans &amp; Grants'!AN50-'Loans &amp; Grants'!AN41-'Loans &amp; Grants'!AN42)</f>
        <v>-183978.96456815145</v>
      </c>
      <c r="AN77" s="584">
        <f>AN75+('Loans &amp; Grants'!AO50-'Loans &amp; Grants'!AO41-'Loans &amp; Grants'!AO42)</f>
        <v>75127.09847916977</v>
      </c>
      <c r="AO77" s="619">
        <f>AO75+('Loans &amp; Grants'!AP50-'Loans &amp; Grants'!AP41-'Loans &amp; Grants'!AP42)</f>
        <v>-150644.36884309241</v>
      </c>
      <c r="AP77" s="584">
        <f>AP75+('Loans &amp; Grants'!AQ50-'Loans &amp; Grants'!AQ41-'Loans &amp; Grants'!AQ42)</f>
        <v>-186170.62734709578</v>
      </c>
      <c r="AQ77" s="584">
        <f>AQ75+('Loans &amp; Grants'!AR50-'Loans &amp; Grants'!AR41-'Loans &amp; Grants'!AR42)</f>
        <v>-20573.102015476936</v>
      </c>
      <c r="AR77" s="584">
        <f>AR75+('Loans &amp; Grants'!AS50-'Loans &amp; Grants'!AS41-'Loans &amp; Grants'!AS42)</f>
        <v>-164005.98353280348</v>
      </c>
      <c r="AS77" s="584">
        <f>AS75+('Loans &amp; Grants'!AT50-'Loans &amp; Grants'!AT41-'Loans &amp; Grants'!AT42)</f>
        <v>-167234.61057153478</v>
      </c>
      <c r="AT77" s="584">
        <f>AT75+('Loans &amp; Grants'!AU50-'Loans &amp; Grants'!AU41-'Loans &amp; Grants'!AU42)</f>
        <v>269940.14320983604</v>
      </c>
      <c r="AU77" s="584">
        <f>AU75+('Loans &amp; Grants'!AV50-'Loans &amp; Grants'!AV41-'Loans &amp; Grants'!AV42)</f>
        <v>-143485.49699716794</v>
      </c>
      <c r="AV77" s="584">
        <f>AV75+('Loans &amp; Grants'!AW50-'Loans &amp; Grants'!AW41-'Loans &amp; Grants'!AW42)</f>
        <v>-119298.80516719754</v>
      </c>
      <c r="AW77" s="584">
        <f>AW75+('Loans &amp; Grants'!AX50-'Loans &amp; Grants'!AX41-'Loans &amp; Grants'!AX42)</f>
        <v>-100478.57249775535</v>
      </c>
      <c r="AX77" s="584">
        <f>AX75+('Loans &amp; Grants'!AY50-'Loans &amp; Grants'!AY41-'Loans &amp; Grants'!AY42)</f>
        <v>-81278.619382210192</v>
      </c>
      <c r="AY77" s="584">
        <f>AY75+('Loans &amp; Grants'!AZ50-'Loans &amp; Grants'!AZ41-'Loans &amp; Grants'!AZ42)</f>
        <v>-61702.769880186825</v>
      </c>
      <c r="AZ77" s="584">
        <f>AZ75+('Loans &amp; Grants'!BA50-'Loans &amp; Grants'!BA41-'Loans &amp; Grants'!BA42)</f>
        <v>133245.15195345698</v>
      </c>
      <c r="BA77" s="619">
        <f>BA75+('Loans &amp; Grants'!BB50-'Loans &amp; Grants'!BB41-'Loans &amp; Grants'!BB42)</f>
        <v>-32938.674538435997</v>
      </c>
      <c r="BB77" s="584">
        <f>BB75+('Loans &amp; Grants'!BC50-'Loans &amp; Grants'!BC41-'Loans &amp; Grants'!BC42)</f>
        <v>58430.365913058864</v>
      </c>
      <c r="BC77" s="584">
        <f>BC75+('Loans &amp; Grants'!BD50-'Loans &amp; Grants'!BD41-'Loans &amp; Grants'!BD42)</f>
        <v>146465.41032848973</v>
      </c>
      <c r="BD77" s="584">
        <f>BD75+('Loans &amp; Grants'!BE50-'Loans &amp; Grants'!BE41-'Loans &amp; Grants'!BE42)</f>
        <v>187388.49417622248</v>
      </c>
      <c r="BE77" s="584">
        <f>BE75+('Loans &amp; Grants'!BF50-'Loans &amp; Grants'!BF41-'Loans &amp; Grants'!BF42)</f>
        <v>209138.84300070244</v>
      </c>
      <c r="BF77" s="584">
        <f>BF75+('Loans &amp; Grants'!BG50-'Loans &amp; Grants'!BG41-'Loans &amp; Grants'!BG42)</f>
        <v>271687.93389582809</v>
      </c>
      <c r="BG77" s="584">
        <f>BG75+('Loans &amp; Grants'!BH50-'Loans &amp; Grants'!BH41-'Loans &amp; Grants'!BH42)</f>
        <v>309008.56545355939</v>
      </c>
      <c r="BH77" s="584">
        <f>BH75+('Loans &amp; Grants'!BI50-'Loans &amp; Grants'!BI41-'Loans &amp; Grants'!BI42)</f>
        <v>359291.45772504003</v>
      </c>
      <c r="BI77" s="584">
        <f>BI75+('Loans &amp; Grants'!BJ50-'Loans &amp; Grants'!BJ41-'Loans &amp; Grants'!BJ42)</f>
        <v>404537.02231232589</v>
      </c>
      <c r="BJ77" s="584">
        <f>BJ75+('Loans &amp; Grants'!BK50-'Loans &amp; Grants'!BK41-'Loans &amp; Grants'!BK42)</f>
        <v>450471.7786589528</v>
      </c>
      <c r="BK77" s="584">
        <f>BK75+('Loans &amp; Grants'!BL50-'Loans &amp; Grants'!BL41-'Loans &amp; Grants'!BL42)</f>
        <v>497073.31844947336</v>
      </c>
      <c r="BL77" s="584">
        <f>BL75+('Loans &amp; Grants'!BM50-'Loans &amp; Grants'!BM41-'Loans &amp; Grants'!BM42)</f>
        <v>544320.2517507195</v>
      </c>
      <c r="BM77" s="619">
        <f>BM75+('Loans &amp; Grants'!BN50-'Loans &amp; Grants'!BN41-'Loans &amp; Grants'!BN42)</f>
        <v>580692.15594471036</v>
      </c>
      <c r="BN77" s="584">
        <f>BN75+('Loans &amp; Grants'!BO50-'Loans &amp; Grants'!BO41-'Loans &amp; Grants'!BO42)</f>
        <v>637190.76593429269</v>
      </c>
      <c r="BO77" s="584">
        <f>BO75+('Loans &amp; Grants'!BP50-'Loans &amp; Grants'!BP41-'Loans &amp; Grants'!BP42)</f>
        <v>685351.96489463409</v>
      </c>
      <c r="BP77" s="584">
        <f>BP75+('Loans &amp; Grants'!BQ50-'Loans &amp; Grants'!BQ41-'Loans &amp; Grants'!BQ42)</f>
        <v>734472.31720391603</v>
      </c>
      <c r="BQ77" s="584">
        <f>BQ75+('Loans &amp; Grants'!BR50-'Loans &amp; Grants'!BR41-'Loans &amp; Grants'!BR42)</f>
        <v>764152.32480329985</v>
      </c>
      <c r="BR77" s="584">
        <f>BR75+('Loans &amp; Grants'!BS50-'Loans &amp; Grants'!BS41-'Loans &amp; Grants'!BS42)</f>
        <v>834375.58994373714</v>
      </c>
      <c r="BS77" s="584">
        <f>BS75+('Loans &amp; Grants'!BT50-'Loans &amp; Grants'!BT41-'Loans &amp; Grants'!BT42)</f>
        <v>879126.42907221848</v>
      </c>
      <c r="BT77" s="584">
        <f>BT75+('Loans &amp; Grants'!BU50-'Loans &amp; Grants'!BU41-'Loans &amp; Grants'!BU42)</f>
        <v>936606.50423816883</v>
      </c>
      <c r="BU77" s="584">
        <f>BU75+('Loans &amp; Grants'!BV50-'Loans &amp; Grants'!BV41-'Loans &amp; Grants'!BV42)</f>
        <v>988826.62298244855</v>
      </c>
      <c r="BV77" s="584">
        <f>BV75+('Loans &amp; Grants'!BW50-'Loans &amp; Grants'!BW41-'Loans &amp; Grants'!BW42)</f>
        <v>1041523.1828639911</v>
      </c>
      <c r="BW77" s="584">
        <f>BW75+('Loans &amp; Grants'!BX50-'Loans &amp; Grants'!BX41-'Loans &amp; Grants'!BX42)</f>
        <v>1094683.1626163807</v>
      </c>
      <c r="BX77" s="584">
        <f>BX75+('Loans &amp; Grants'!BY50-'Loans &amp; Grants'!BY41-'Loans &amp; Grants'!BY42)</f>
        <v>1148294.093644975</v>
      </c>
      <c r="BY77" s="619">
        <f>BY75+('Loans &amp; Grants'!BZ50-'Loans &amp; Grants'!BZ41-'Loans &amp; Grants'!BZ42)</f>
        <v>1190844.0329882372</v>
      </c>
      <c r="BZ77" s="584">
        <f>BZ75+('Loans &amp; Grants'!CA50-'Loans &amp; Grants'!CA41-'Loans &amp; Grants'!CA42)</f>
        <v>1253200.2597942152</v>
      </c>
      <c r="CA77" s="584">
        <f>CA75+('Loans &amp; Grants'!CB50-'Loans &amp; Grants'!CB41-'Loans &amp; Grants'!CB42)</f>
        <v>1307231.3036514642</v>
      </c>
      <c r="CB77" s="584">
        <f>CB75+('Loans &amp; Grants'!CC50-'Loans &amp; Grants'!CC41-'Loans &amp; Grants'!CC42)</f>
        <v>1362095.2989704281</v>
      </c>
      <c r="CC77" s="584">
        <f>CC75+('Loans &amp; Grants'!CD50-'Loans &amp; Grants'!CD41-'Loans &amp; Grants'!CD42)</f>
        <v>1397362.926724755</v>
      </c>
      <c r="CD77" s="584">
        <f>CD75+('Loans &amp; Grants'!CE50-'Loans &amp; Grants'!CE41-'Loans &amp; Grants'!CE42)</f>
        <v>1473024.3790663329</v>
      </c>
      <c r="CE77" s="584">
        <f>CE75+('Loans &amp; Grants'!CF50-'Loans &amp; Grants'!CF41-'Loans &amp; Grants'!CF42)</f>
        <v>1523070.2406199533</v>
      </c>
      <c r="CF77" s="584">
        <f>CF75+('Loans &amp; Grants'!CG50-'Loans &amp; Grants'!CG41-'Loans &amp; Grants'!CG42)</f>
        <v>1585708.136388757</v>
      </c>
      <c r="CG77" s="584">
        <f>CG75+('Loans &amp; Grants'!CH50-'Loans &amp; Grants'!CH41-'Loans &amp; Grants'!CH42)</f>
        <v>1642954.5472807621</v>
      </c>
      <c r="CH77" s="584">
        <f>CH75+('Loans &amp; Grants'!CI50-'Loans &amp; Grants'!CI41-'Loans &amp; Grants'!CI42)</f>
        <v>1700551.2694567656</v>
      </c>
      <c r="CI77" s="584">
        <f>CI75+('Loans &amp; Grants'!CJ50-'Loans &amp; Grants'!CJ41-'Loans &amp; Grants'!CJ42)</f>
        <v>1758490.4195348525</v>
      </c>
      <c r="CJ77" s="584">
        <f>CJ75+('Loans &amp; Grants'!CK50-'Loans &amp; Grants'!CK41-'Loans &amp; Grants'!CK42)</f>
        <v>1816764.4194027588</v>
      </c>
      <c r="CK77" s="619">
        <f>CK75+('Loans &amp; Grants'!CL50-'Loans &amp; Grants'!CL41-'Loans &amp; Grants'!CL42)</f>
        <v>1863865.9818002358</v>
      </c>
    </row>
    <row r="78" spans="1:89" x14ac:dyDescent="0.2">
      <c r="B78" s="1"/>
      <c r="V78" s="16"/>
      <c r="W78" s="16"/>
      <c r="X78" s="16"/>
    </row>
    <row r="79" spans="1:89" x14ac:dyDescent="0.2">
      <c r="B79" s="567" t="s">
        <v>50</v>
      </c>
      <c r="C79" s="265"/>
      <c r="D79" s="266"/>
      <c r="E79" s="266"/>
      <c r="F79" s="725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7"/>
      <c r="R79" s="725">
        <v>2023</v>
      </c>
      <c r="S79" s="726"/>
      <c r="T79" s="726"/>
      <c r="U79" s="726"/>
      <c r="V79" s="726"/>
      <c r="W79" s="726"/>
      <c r="X79" s="726"/>
      <c r="Y79" s="726"/>
      <c r="Z79" s="726"/>
      <c r="AA79" s="726"/>
      <c r="AB79" s="726"/>
      <c r="AC79" s="727"/>
      <c r="AD79" s="725">
        <v>2024</v>
      </c>
      <c r="AE79" s="726"/>
      <c r="AF79" s="726"/>
      <c r="AG79" s="726"/>
      <c r="AH79" s="726"/>
      <c r="AI79" s="726"/>
      <c r="AJ79" s="726"/>
      <c r="AK79" s="726"/>
      <c r="AL79" s="726"/>
      <c r="AM79" s="726"/>
      <c r="AN79" s="726"/>
      <c r="AO79" s="727"/>
      <c r="AP79" s="707">
        <v>2025</v>
      </c>
      <c r="AQ79" s="708"/>
      <c r="AR79" s="708"/>
      <c r="AS79" s="708"/>
      <c r="AT79" s="708"/>
      <c r="AU79" s="708"/>
      <c r="AV79" s="708"/>
      <c r="AW79" s="708"/>
      <c r="AX79" s="708"/>
      <c r="AY79" s="708"/>
      <c r="AZ79" s="708"/>
      <c r="BA79" s="709"/>
      <c r="BB79" s="707">
        <v>2026</v>
      </c>
      <c r="BC79" s="708"/>
      <c r="BD79" s="708"/>
      <c r="BE79" s="708"/>
      <c r="BF79" s="708"/>
      <c r="BG79" s="708"/>
      <c r="BH79" s="708"/>
      <c r="BI79" s="708"/>
      <c r="BJ79" s="708"/>
      <c r="BK79" s="708"/>
      <c r="BL79" s="708"/>
      <c r="BM79" s="709"/>
      <c r="BN79" s="707">
        <v>2027</v>
      </c>
      <c r="BO79" s="708"/>
      <c r="BP79" s="708"/>
      <c r="BQ79" s="708"/>
      <c r="BR79" s="708"/>
      <c r="BS79" s="708"/>
      <c r="BT79" s="708"/>
      <c r="BU79" s="708"/>
      <c r="BV79" s="708"/>
      <c r="BW79" s="708"/>
      <c r="BX79" s="708"/>
      <c r="BY79" s="709"/>
      <c r="BZ79" s="707">
        <v>2028</v>
      </c>
      <c r="CA79" s="708"/>
      <c r="CB79" s="708"/>
      <c r="CC79" s="708"/>
      <c r="CD79" s="708"/>
      <c r="CE79" s="708"/>
      <c r="CF79" s="708"/>
      <c r="CG79" s="708"/>
      <c r="CH79" s="708"/>
      <c r="CI79" s="708"/>
      <c r="CJ79" s="708"/>
      <c r="CK79" s="709"/>
    </row>
    <row r="80" spans="1:89" x14ac:dyDescent="0.2">
      <c r="B80" s="265"/>
      <c r="C80" s="268"/>
      <c r="D80" s="269"/>
      <c r="E80" s="269"/>
      <c r="F80" s="533"/>
      <c r="G80" s="270"/>
      <c r="H80" s="270"/>
      <c r="I80" s="271"/>
      <c r="J80" s="271"/>
      <c r="K80" s="271"/>
      <c r="L80" s="270"/>
      <c r="M80" s="271"/>
      <c r="N80" s="271"/>
      <c r="O80" s="492"/>
      <c r="P80" s="489">
        <v>44866</v>
      </c>
      <c r="Q80" s="489">
        <v>44896</v>
      </c>
      <c r="R80" s="489">
        <v>44927</v>
      </c>
      <c r="S80" s="287">
        <v>44958</v>
      </c>
      <c r="T80" s="287">
        <v>44986</v>
      </c>
      <c r="U80" s="287">
        <v>45017</v>
      </c>
      <c r="V80" s="287">
        <v>45047</v>
      </c>
      <c r="W80" s="287">
        <v>45078</v>
      </c>
      <c r="X80" s="287">
        <v>45108</v>
      </c>
      <c r="Y80" s="287">
        <v>45139</v>
      </c>
      <c r="Z80" s="287">
        <v>45170</v>
      </c>
      <c r="AA80" s="287">
        <v>45200</v>
      </c>
      <c r="AB80" s="287">
        <v>45231</v>
      </c>
      <c r="AC80" s="628">
        <v>45261</v>
      </c>
      <c r="AD80" s="489">
        <v>45292</v>
      </c>
      <c r="AE80" s="287">
        <v>45323</v>
      </c>
      <c r="AF80" s="287">
        <v>45352</v>
      </c>
      <c r="AG80" s="287">
        <v>45383</v>
      </c>
      <c r="AH80" s="287">
        <v>45413</v>
      </c>
      <c r="AI80" s="287">
        <v>45444</v>
      </c>
      <c r="AJ80" s="287">
        <v>45474</v>
      </c>
      <c r="AK80" s="287">
        <v>45505</v>
      </c>
      <c r="AL80" s="287">
        <v>45536</v>
      </c>
      <c r="AM80" s="287">
        <v>45566</v>
      </c>
      <c r="AN80" s="287">
        <v>45597</v>
      </c>
      <c r="AO80" s="628">
        <v>45627</v>
      </c>
      <c r="AP80" s="489">
        <v>45658</v>
      </c>
      <c r="AQ80" s="287">
        <v>45689</v>
      </c>
      <c r="AR80" s="287">
        <v>45717</v>
      </c>
      <c r="AS80" s="287">
        <v>45748</v>
      </c>
      <c r="AT80" s="287">
        <v>45778</v>
      </c>
      <c r="AU80" s="287">
        <v>45809</v>
      </c>
      <c r="AV80" s="287">
        <v>45839</v>
      </c>
      <c r="AW80" s="287">
        <v>45870</v>
      </c>
      <c r="AX80" s="287">
        <v>45901</v>
      </c>
      <c r="AY80" s="287">
        <v>45931</v>
      </c>
      <c r="AZ80" s="287">
        <v>45962</v>
      </c>
      <c r="BA80" s="628">
        <v>45992</v>
      </c>
      <c r="BB80" s="489">
        <v>45658</v>
      </c>
      <c r="BC80" s="287">
        <v>45689</v>
      </c>
      <c r="BD80" s="287">
        <v>45717</v>
      </c>
      <c r="BE80" s="287">
        <v>45748</v>
      </c>
      <c r="BF80" s="287">
        <v>45778</v>
      </c>
      <c r="BG80" s="287">
        <v>45809</v>
      </c>
      <c r="BH80" s="287">
        <v>45839</v>
      </c>
      <c r="BI80" s="287">
        <v>45870</v>
      </c>
      <c r="BJ80" s="287">
        <v>45901</v>
      </c>
      <c r="BK80" s="287">
        <v>45931</v>
      </c>
      <c r="BL80" s="287">
        <v>45962</v>
      </c>
      <c r="BM80" s="628">
        <v>45992</v>
      </c>
      <c r="BN80" s="489">
        <v>45658</v>
      </c>
      <c r="BO80" s="287">
        <v>45689</v>
      </c>
      <c r="BP80" s="287">
        <v>45717</v>
      </c>
      <c r="BQ80" s="287">
        <v>45748</v>
      </c>
      <c r="BR80" s="287">
        <v>45778</v>
      </c>
      <c r="BS80" s="287">
        <v>45809</v>
      </c>
      <c r="BT80" s="287">
        <v>45839</v>
      </c>
      <c r="BU80" s="287">
        <v>45870</v>
      </c>
      <c r="BV80" s="287">
        <v>45901</v>
      </c>
      <c r="BW80" s="287">
        <v>45931</v>
      </c>
      <c r="BX80" s="287">
        <v>45962</v>
      </c>
      <c r="BY80" s="628">
        <v>45992</v>
      </c>
      <c r="BZ80" s="489">
        <v>45658</v>
      </c>
      <c r="CA80" s="287">
        <v>45689</v>
      </c>
      <c r="CB80" s="287">
        <v>45717</v>
      </c>
      <c r="CC80" s="287">
        <v>45748</v>
      </c>
      <c r="CD80" s="287">
        <v>45778</v>
      </c>
      <c r="CE80" s="287">
        <v>45809</v>
      </c>
      <c r="CF80" s="287">
        <v>45839</v>
      </c>
      <c r="CG80" s="287">
        <v>45870</v>
      </c>
      <c r="CH80" s="287">
        <v>45901</v>
      </c>
      <c r="CI80" s="287">
        <v>45931</v>
      </c>
      <c r="CJ80" s="287">
        <v>45962</v>
      </c>
      <c r="CK80" s="628">
        <v>45992</v>
      </c>
    </row>
    <row r="82" spans="2:89" x14ac:dyDescent="0.2">
      <c r="B82" s="2" t="s">
        <v>181</v>
      </c>
      <c r="M82" s="16"/>
      <c r="N82" s="16"/>
      <c r="O82" s="16"/>
      <c r="P82" s="471">
        <v>0</v>
      </c>
      <c r="Q82" s="576">
        <f t="shared" ref="Q82" si="153">P108</f>
        <v>21427.070000000007</v>
      </c>
      <c r="R82" s="781">
        <v>0</v>
      </c>
      <c r="S82" s="16">
        <f>R108</f>
        <v>38111.089999999967</v>
      </c>
      <c r="T82" s="16">
        <f t="shared" ref="T82:BA82" si="154">S108</f>
        <v>48035.765843114641</v>
      </c>
      <c r="U82" s="16">
        <f t="shared" si="154"/>
        <v>103294.01800949112</v>
      </c>
      <c r="V82" s="16">
        <f t="shared" si="154"/>
        <v>71081.926818408421</v>
      </c>
      <c r="W82" s="16">
        <f t="shared" si="154"/>
        <v>56581.608604614681</v>
      </c>
      <c r="X82" s="16">
        <f t="shared" si="154"/>
        <v>131101.96424137941</v>
      </c>
      <c r="Y82" s="16">
        <f t="shared" si="154"/>
        <v>70056.483489190607</v>
      </c>
      <c r="Z82" s="16">
        <f t="shared" si="154"/>
        <v>55320.647931940373</v>
      </c>
      <c r="AA82" s="16">
        <f t="shared" si="154"/>
        <v>190816.63738571308</v>
      </c>
      <c r="AB82" s="16">
        <f t="shared" si="154"/>
        <v>73098.69738571308</v>
      </c>
      <c r="AC82" s="576">
        <f t="shared" si="154"/>
        <v>15419.757385713077</v>
      </c>
      <c r="AD82" s="16">
        <f t="shared" si="154"/>
        <v>22779.817385713075</v>
      </c>
      <c r="AE82" s="16">
        <f t="shared" si="154"/>
        <v>-4255.1626142869209</v>
      </c>
      <c r="AF82" s="16">
        <f t="shared" si="154"/>
        <v>-11851.142614286917</v>
      </c>
      <c r="AG82" s="16">
        <f t="shared" si="154"/>
        <v>226658.91527515987</v>
      </c>
      <c r="AH82" s="16">
        <f t="shared" si="154"/>
        <v>2184532.672677665</v>
      </c>
      <c r="AI82" s="16">
        <f t="shared" si="154"/>
        <v>1598097.930279461</v>
      </c>
      <c r="AJ82" s="16">
        <f t="shared" si="154"/>
        <v>1394181.6939389484</v>
      </c>
      <c r="AK82" s="16">
        <f t="shared" si="154"/>
        <v>1321312.7666936943</v>
      </c>
      <c r="AL82" s="16">
        <f t="shared" si="154"/>
        <v>1135579.9487035633</v>
      </c>
      <c r="AM82" s="16">
        <f t="shared" si="154"/>
        <v>938308.644075869</v>
      </c>
      <c r="AN82" s="16">
        <f t="shared" si="154"/>
        <v>522412.6973761284</v>
      </c>
      <c r="AO82" s="576">
        <f t="shared" si="154"/>
        <v>633133.25322679058</v>
      </c>
      <c r="AP82" s="16">
        <f t="shared" si="154"/>
        <v>534628.2528681003</v>
      </c>
      <c r="AQ82" s="16">
        <f t="shared" si="154"/>
        <v>429825.03799211828</v>
      </c>
      <c r="AR82" s="16">
        <f t="shared" si="154"/>
        <v>514404.2183632321</v>
      </c>
      <c r="AS82" s="16">
        <f t="shared" si="154"/>
        <v>481489.7897801022</v>
      </c>
      <c r="AT82" s="16">
        <f t="shared" si="154"/>
        <v>376915.80554528534</v>
      </c>
      <c r="AU82" s="16">
        <f t="shared" si="154"/>
        <v>801234.41602654662</v>
      </c>
      <c r="AV82" s="16">
        <f t="shared" si="154"/>
        <v>834590.75332851172</v>
      </c>
      <c r="AW82" s="16">
        <f t="shared" si="154"/>
        <v>1141547.7842749166</v>
      </c>
      <c r="AX82" s="16">
        <f t="shared" si="154"/>
        <v>1256983.8019308059</v>
      </c>
      <c r="AY82" s="16">
        <f t="shared" si="154"/>
        <v>1416483.8272664978</v>
      </c>
      <c r="AZ82" s="16">
        <f t="shared" si="154"/>
        <v>1621090.5484284814</v>
      </c>
      <c r="BA82" s="576">
        <f t="shared" si="154"/>
        <v>1853825.1503819383</v>
      </c>
      <c r="BB82" s="16">
        <f t="shared" ref="BB82" si="155">BA108</f>
        <v>1809452.6258435021</v>
      </c>
      <c r="BC82" s="16">
        <f t="shared" ref="BC82" si="156">BB108</f>
        <v>1856525.8417565611</v>
      </c>
      <c r="BD82" s="16">
        <f t="shared" ref="BD82" si="157">BC108</f>
        <v>1991710.8020850508</v>
      </c>
      <c r="BE82" s="16">
        <f t="shared" ref="BE82" si="158">BD108</f>
        <v>1667895.5462612733</v>
      </c>
      <c r="BF82" s="16">
        <f t="shared" ref="BF82" si="159">BE108</f>
        <v>2050940.5267619758</v>
      </c>
      <c r="BG82" s="16">
        <f t="shared" ref="BG82" si="160">BF108</f>
        <v>2311578.1106578037</v>
      </c>
      <c r="BH82" s="16">
        <f t="shared" ref="BH82" si="161">BG108</f>
        <v>2609613.026111363</v>
      </c>
      <c r="BI82" s="16">
        <f t="shared" ref="BI82" si="162">BH108</f>
        <v>3188706.9338364028</v>
      </c>
      <c r="BJ82" s="16">
        <f t="shared" ref="BJ82" si="163">BI108</f>
        <v>3582423.7061487287</v>
      </c>
      <c r="BK82" s="16">
        <f t="shared" ref="BK82" si="164">BJ108</f>
        <v>4022151.9348076815</v>
      </c>
      <c r="BL82" s="16">
        <f t="shared" ref="BL82" si="165">BK108</f>
        <v>4508558.4032571549</v>
      </c>
      <c r="BM82" s="576">
        <f t="shared" ref="BM82" si="166">BL108</f>
        <v>5042288.5050078742</v>
      </c>
      <c r="BN82" s="16">
        <f t="shared" ref="BN82" si="167">BM108</f>
        <v>5612467.2109525846</v>
      </c>
      <c r="BO82" s="16">
        <f t="shared" ref="BO82" si="168">BN108</f>
        <v>6239221.2268868778</v>
      </c>
      <c r="BP82" s="16">
        <f t="shared" ref="BP82" si="169">BO108</f>
        <v>6929573.1917815115</v>
      </c>
      <c r="BQ82" s="16">
        <f t="shared" ref="BQ82" si="170">BP108</f>
        <v>7164045.5089854272</v>
      </c>
      <c r="BR82" s="16">
        <f t="shared" ref="BR82" si="171">BQ108</f>
        <v>8113231.0212887274</v>
      </c>
      <c r="BS82" s="16">
        <f t="shared" ref="BS82" si="172">BR108</f>
        <v>8947606.6112324651</v>
      </c>
      <c r="BT82" s="16">
        <f t="shared" ref="BT82" si="173">BS108</f>
        <v>9826733.0403046831</v>
      </c>
      <c r="BU82" s="16">
        <f t="shared" ref="BU82" si="174">BT108</f>
        <v>10763339.544542853</v>
      </c>
      <c r="BV82" s="16">
        <f t="shared" ref="BV82" si="175">BU108</f>
        <v>11752166.167525301</v>
      </c>
      <c r="BW82" s="16">
        <f t="shared" ref="BW82" si="176">BV108</f>
        <v>12793689.350389292</v>
      </c>
      <c r="BX82" s="16">
        <f t="shared" ref="BX82" si="177">BW108</f>
        <v>13888372.513005674</v>
      </c>
      <c r="BY82" s="576">
        <f t="shared" ref="BY82" si="178">BX108</f>
        <v>15036666.606650649</v>
      </c>
      <c r="BZ82" s="16">
        <f t="shared" ref="BZ82" si="179">BY108</f>
        <v>16227510.639638886</v>
      </c>
      <c r="CA82" s="16">
        <f t="shared" ref="CA82" si="180">BZ108</f>
        <v>17480710.899433102</v>
      </c>
      <c r="CB82" s="16">
        <f t="shared" ref="CB82" si="181">CA108</f>
        <v>18787942.203084566</v>
      </c>
      <c r="CC82" s="16">
        <f t="shared" ref="CC82" si="182">CB108</f>
        <v>20150037.502054993</v>
      </c>
      <c r="CD82" s="16">
        <f t="shared" ref="CD82" si="183">CC108</f>
        <v>21732433.616279747</v>
      </c>
      <c r="CE82" s="16">
        <f t="shared" ref="CE82" si="184">CD108</f>
        <v>23205457.995346081</v>
      </c>
      <c r="CF82" s="16">
        <f t="shared" ref="CF82" si="185">CE108</f>
        <v>24728528.235966034</v>
      </c>
      <c r="CG82" s="16">
        <f t="shared" ref="CG82" si="186">CF108</f>
        <v>26314236.372354791</v>
      </c>
      <c r="CH82" s="16">
        <f t="shared" ref="CH82" si="187">CG108</f>
        <v>27957190.919635553</v>
      </c>
      <c r="CI82" s="16">
        <f t="shared" ref="CI82" si="188">CH108</f>
        <v>29657742.189092319</v>
      </c>
      <c r="CJ82" s="16">
        <f t="shared" ref="CJ82" si="189">CI108</f>
        <v>31416232.60862717</v>
      </c>
      <c r="CK82" s="576">
        <f t="shared" ref="CK82" si="190">CJ108</f>
        <v>33232997.02802993</v>
      </c>
    </row>
    <row r="83" spans="2:89" x14ac:dyDescent="0.2">
      <c r="L83" s="12"/>
      <c r="N83" s="16"/>
      <c r="O83" s="16"/>
      <c r="P83" s="471"/>
      <c r="V83" s="16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578"/>
      <c r="AP83" s="12"/>
      <c r="AQ83" s="12"/>
      <c r="AR83" s="12"/>
      <c r="AS83" s="12"/>
      <c r="AT83" s="12"/>
      <c r="AU83" s="12"/>
      <c r="AV83" s="12"/>
      <c r="AW83" s="12"/>
      <c r="BB83" s="12"/>
      <c r="BC83" s="12"/>
      <c r="BD83" s="12"/>
      <c r="BE83" s="12"/>
      <c r="BF83" s="12"/>
      <c r="BG83" s="12"/>
      <c r="BH83" s="12"/>
      <c r="BI83" s="12"/>
      <c r="BN83" s="12"/>
      <c r="BO83" s="12"/>
      <c r="BP83" s="12"/>
      <c r="BQ83" s="12"/>
      <c r="BR83" s="12"/>
      <c r="BS83" s="12"/>
      <c r="BT83" s="12"/>
      <c r="BU83" s="12"/>
      <c r="BZ83" s="12"/>
      <c r="CA83" s="12"/>
      <c r="CB83" s="12"/>
      <c r="CC83" s="12"/>
      <c r="CD83" s="12"/>
      <c r="CE83" s="12"/>
      <c r="CF83" s="12"/>
      <c r="CG83" s="12"/>
    </row>
    <row r="84" spans="2:89" x14ac:dyDescent="0.2">
      <c r="B84" s="253" t="s">
        <v>176</v>
      </c>
      <c r="F84" s="12">
        <f t="shared" ref="F84:BA84" si="191">F75</f>
        <v>-111920.48999999999</v>
      </c>
      <c r="G84" s="12">
        <f t="shared" si="191"/>
        <v>-121765.44999999998</v>
      </c>
      <c r="H84" s="12">
        <f t="shared" si="191"/>
        <v>-124646.86</v>
      </c>
      <c r="I84" s="12">
        <f t="shared" si="191"/>
        <v>-98335.44</v>
      </c>
      <c r="J84" s="12">
        <f t="shared" si="191"/>
        <v>-58000</v>
      </c>
      <c r="K84" s="12">
        <f t="shared" si="191"/>
        <v>103990.23999999998</v>
      </c>
      <c r="L84" s="12">
        <f t="shared" si="191"/>
        <v>-134877.58999999997</v>
      </c>
      <c r="M84" s="12">
        <f t="shared" si="191"/>
        <v>-94119.25</v>
      </c>
      <c r="N84" s="12">
        <f t="shared" si="191"/>
        <v>-122911.6</v>
      </c>
      <c r="O84" s="12">
        <f t="shared" si="191"/>
        <v>-126751.42</v>
      </c>
      <c r="P84" s="470">
        <f t="shared" si="191"/>
        <v>-126318.78483617527</v>
      </c>
      <c r="Q84" s="578">
        <f t="shared" si="191"/>
        <v>-132167.70586091719</v>
      </c>
      <c r="R84" s="12">
        <f t="shared" si="191"/>
        <v>-110560.59000000003</v>
      </c>
      <c r="S84" s="12">
        <f t="shared" si="191"/>
        <v>-125806.50999999998</v>
      </c>
      <c r="T84" s="12">
        <f t="shared" si="191"/>
        <v>-172829.83</v>
      </c>
      <c r="U84" s="12">
        <f t="shared" si="191"/>
        <v>-120751.57</v>
      </c>
      <c r="V84" s="12">
        <f t="shared" si="191"/>
        <v>-87981.119999999995</v>
      </c>
      <c r="W84" s="12">
        <f t="shared" si="191"/>
        <v>-89254.329999999987</v>
      </c>
      <c r="X84" s="12">
        <f t="shared" si="191"/>
        <v>-49580.679999999993</v>
      </c>
      <c r="Y84" s="12">
        <f t="shared" si="191"/>
        <v>-88024.58</v>
      </c>
      <c r="Z84" s="12">
        <f t="shared" si="191"/>
        <v>-77548.41</v>
      </c>
      <c r="AA84" s="12">
        <f t="shared" si="191"/>
        <v>-65523.180383392828</v>
      </c>
      <c r="AB84" s="12">
        <f t="shared" si="191"/>
        <v>-65054.333690024418</v>
      </c>
      <c r="AC84" s="578">
        <f t="shared" si="191"/>
        <v>-64590.903307567045</v>
      </c>
      <c r="AD84" s="12">
        <f t="shared" si="191"/>
        <v>-48546.865817178201</v>
      </c>
      <c r="AE84" s="12">
        <f t="shared" si="191"/>
        <v>-28327.472703767024</v>
      </c>
      <c r="AF84" s="12">
        <f t="shared" si="191"/>
        <v>-45529.703646874521</v>
      </c>
      <c r="AG84" s="12">
        <f t="shared" si="191"/>
        <v>-182540.46502543316</v>
      </c>
      <c r="AH84" s="12">
        <f t="shared" si="191"/>
        <v>-181608.37214336148</v>
      </c>
      <c r="AI84" s="12">
        <f t="shared" si="191"/>
        <v>-212630.84451903633</v>
      </c>
      <c r="AJ84" s="12">
        <f t="shared" si="191"/>
        <v>-200017.22292621201</v>
      </c>
      <c r="AK84" s="12">
        <f t="shared" si="191"/>
        <v>-218948.4815233773</v>
      </c>
      <c r="AL84" s="12">
        <f t="shared" si="191"/>
        <v>-224150.97831619557</v>
      </c>
      <c r="AM84" s="12">
        <f t="shared" si="191"/>
        <v>-208978.96456815145</v>
      </c>
      <c r="AN84" s="12">
        <f t="shared" si="191"/>
        <v>-199872.90152083023</v>
      </c>
      <c r="AO84" s="578">
        <f t="shared" si="191"/>
        <v>-175644.36884309241</v>
      </c>
      <c r="AP84" s="12">
        <f t="shared" si="191"/>
        <v>-211170.62734709578</v>
      </c>
      <c r="AQ84" s="12">
        <f t="shared" si="191"/>
        <v>-195573.10201547694</v>
      </c>
      <c r="AR84" s="12">
        <f t="shared" si="191"/>
        <v>-189005.98353280348</v>
      </c>
      <c r="AS84" s="12">
        <f t="shared" si="191"/>
        <v>-192234.61057153478</v>
      </c>
      <c r="AT84" s="12">
        <f t="shared" si="191"/>
        <v>-155059.85679016396</v>
      </c>
      <c r="AU84" s="12">
        <f t="shared" si="191"/>
        <v>-143485.49699716794</v>
      </c>
      <c r="AV84" s="12">
        <f t="shared" si="191"/>
        <v>-119298.80516719754</v>
      </c>
      <c r="AW84" s="12">
        <f t="shared" si="191"/>
        <v>-100478.57249775535</v>
      </c>
      <c r="AX84" s="12">
        <f t="shared" si="191"/>
        <v>-81278.619382210192</v>
      </c>
      <c r="AY84" s="12">
        <f t="shared" si="191"/>
        <v>-61702.769880186825</v>
      </c>
      <c r="AZ84" s="12">
        <f t="shared" si="191"/>
        <v>-41754.848046543018</v>
      </c>
      <c r="BA84" s="578">
        <f t="shared" si="191"/>
        <v>-32938.674538435997</v>
      </c>
      <c r="BB84" s="12">
        <f t="shared" ref="BB84:BM84" si="192">BB75</f>
        <v>58430.365913058864</v>
      </c>
      <c r="BC84" s="12">
        <f t="shared" si="192"/>
        <v>146465.41032848973</v>
      </c>
      <c r="BD84" s="12">
        <f t="shared" si="192"/>
        <v>187388.49417622248</v>
      </c>
      <c r="BE84" s="12">
        <f t="shared" si="192"/>
        <v>209138.84300070244</v>
      </c>
      <c r="BF84" s="12">
        <f t="shared" si="192"/>
        <v>271687.93389582809</v>
      </c>
      <c r="BG84" s="12">
        <f t="shared" si="192"/>
        <v>309008.56545355939</v>
      </c>
      <c r="BH84" s="12">
        <f t="shared" si="192"/>
        <v>359291.45772504003</v>
      </c>
      <c r="BI84" s="12">
        <f t="shared" si="192"/>
        <v>404537.02231232589</v>
      </c>
      <c r="BJ84" s="12">
        <f t="shared" si="192"/>
        <v>450471.7786589528</v>
      </c>
      <c r="BK84" s="12">
        <f t="shared" si="192"/>
        <v>497073.31844947336</v>
      </c>
      <c r="BL84" s="12">
        <f t="shared" si="192"/>
        <v>544320.2517507195</v>
      </c>
      <c r="BM84" s="578">
        <f t="shared" si="192"/>
        <v>580692.15594471036</v>
      </c>
      <c r="BN84" s="12">
        <f t="shared" ref="BN84:BY84" si="193">BN75</f>
        <v>637190.76593429269</v>
      </c>
      <c r="BO84" s="12">
        <f t="shared" si="193"/>
        <v>685351.96489463409</v>
      </c>
      <c r="BP84" s="12">
        <f t="shared" si="193"/>
        <v>734472.31720391603</v>
      </c>
      <c r="BQ84" s="12">
        <f t="shared" si="193"/>
        <v>764152.32480329985</v>
      </c>
      <c r="BR84" s="12">
        <f t="shared" si="193"/>
        <v>834375.58994373714</v>
      </c>
      <c r="BS84" s="12">
        <f t="shared" si="193"/>
        <v>879126.42907221848</v>
      </c>
      <c r="BT84" s="12">
        <f t="shared" si="193"/>
        <v>936606.50423816883</v>
      </c>
      <c r="BU84" s="12">
        <f t="shared" si="193"/>
        <v>988826.62298244855</v>
      </c>
      <c r="BV84" s="12">
        <f t="shared" si="193"/>
        <v>1041523.1828639911</v>
      </c>
      <c r="BW84" s="12">
        <f t="shared" si="193"/>
        <v>1094683.1626163807</v>
      </c>
      <c r="BX84" s="12">
        <f t="shared" si="193"/>
        <v>1148294.093644975</v>
      </c>
      <c r="BY84" s="578">
        <f t="shared" si="193"/>
        <v>1190844.0329882372</v>
      </c>
      <c r="BZ84" s="12">
        <f t="shared" ref="BZ84:CK84" si="194">BZ75</f>
        <v>1253200.2597942152</v>
      </c>
      <c r="CA84" s="12">
        <f t="shared" si="194"/>
        <v>1307231.3036514642</v>
      </c>
      <c r="CB84" s="12">
        <f t="shared" si="194"/>
        <v>1362095.2989704281</v>
      </c>
      <c r="CC84" s="12">
        <f t="shared" si="194"/>
        <v>1397362.926724755</v>
      </c>
      <c r="CD84" s="12">
        <f t="shared" si="194"/>
        <v>1473024.3790663329</v>
      </c>
      <c r="CE84" s="12">
        <f t="shared" si="194"/>
        <v>1523070.2406199533</v>
      </c>
      <c r="CF84" s="12">
        <f t="shared" si="194"/>
        <v>1585708.136388757</v>
      </c>
      <c r="CG84" s="12">
        <f t="shared" si="194"/>
        <v>1642954.5472807621</v>
      </c>
      <c r="CH84" s="12">
        <f t="shared" si="194"/>
        <v>1700551.2694567656</v>
      </c>
      <c r="CI84" s="12">
        <f t="shared" si="194"/>
        <v>1758490.4195348525</v>
      </c>
      <c r="CJ84" s="12">
        <f t="shared" si="194"/>
        <v>1816764.4194027588</v>
      </c>
      <c r="CK84" s="578">
        <f t="shared" si="194"/>
        <v>1863865.9818002358</v>
      </c>
    </row>
    <row r="85" spans="2:89" x14ac:dyDescent="0.2">
      <c r="B85" s="253" t="s">
        <v>295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470">
        <f>IF('PSB-P&amp;L '!P78&lt;0,-'PSB-P&amp;L '!P74,0)</f>
        <v>-67254.145163824724</v>
      </c>
      <c r="Q85" s="578">
        <f>IF('PSB-P&amp;L '!Q78&lt;0,-'PSB-P&amp;L '!Q74,0)</f>
        <v>-69258.154139082792</v>
      </c>
      <c r="R85" s="12">
        <f>IF('PSB-P&amp;L '!R78&lt;0,-'PSB-P&amp;L '!R74,0)</f>
        <v>-70328.320000000007</v>
      </c>
      <c r="S85" s="12">
        <f>IF('PSB-P&amp;L '!S78&lt;0,-'PSB-P&amp;L '!S74,0)</f>
        <v>-69268.814156885332</v>
      </c>
      <c r="T85" s="12">
        <f>IF('PSB-P&amp;L '!T78&lt;0,-'PSB-P&amp;L '!T74,0)</f>
        <v>-68791.917833623535</v>
      </c>
      <c r="U85" s="12">
        <f>IF('PSB-P&amp;L '!U78&lt;0,-'PSB-P&amp;L '!U74,0)</f>
        <v>-68340.521191082691</v>
      </c>
      <c r="V85" s="12">
        <f>IF('PSB-P&amp;L '!V78&lt;0,-'PSB-P&amp;L '!V74,0)</f>
        <v>-68246.948213793745</v>
      </c>
      <c r="W85" s="12">
        <f>IF('PSB-P&amp;L '!W78&lt;0,-'PSB-P&amp;L '!W74,0)</f>
        <v>-68161.064363235273</v>
      </c>
      <c r="X85" s="12">
        <f>IF('PSB-P&amp;L '!X78&lt;0,-'PSB-P&amp;L '!X74,0)</f>
        <v>-68270.550752188807</v>
      </c>
      <c r="Y85" s="12">
        <f>IF('PSB-P&amp;L '!Y78&lt;0,-'PSB-P&amp;L '!Y74,0)</f>
        <v>-68556.005557250232</v>
      </c>
      <c r="Z85" s="12">
        <f>IF('PSB-P&amp;L '!Z78&lt;0,-'PSB-P&amp;L '!Z74,0)</f>
        <v>-68839.350546227288</v>
      </c>
      <c r="AA85" s="12">
        <f>IF('PSB-P&amp;L '!AA78&lt;0,-'PSB-P&amp;L '!AA74,0)</f>
        <v>-69117.509616607174</v>
      </c>
      <c r="AB85" s="12">
        <f>IF('PSB-P&amp;L '!AB78&lt;0,-'PSB-P&amp;L '!AB74,0)</f>
        <v>-69586.356309975585</v>
      </c>
      <c r="AC85" s="578">
        <f>IF('PSB-P&amp;L '!AC78&lt;0,-'PSB-P&amp;L '!AC74,0)</f>
        <v>-70049.786692432957</v>
      </c>
      <c r="AD85" s="12">
        <f>IF('PSB-P&amp;L '!AD78&lt;0,-'PSB-P&amp;L '!AD74,0)</f>
        <v>-70527.864182821795</v>
      </c>
      <c r="AE85" s="12">
        <f>IF('PSB-P&amp;L '!AE78&lt;0,-'PSB-P&amp;L '!AE74,0)</f>
        <v>-71347.257296232972</v>
      </c>
      <c r="AF85" s="12">
        <f>IF('PSB-P&amp;L '!AF78&lt;0,-'PSB-P&amp;L '!AF74,0)</f>
        <v>-72915.6884636787</v>
      </c>
      <c r="AG85" s="12">
        <f>IF('PSB-P&amp;L '!AG78&lt;0,-'PSB-P&amp;L '!AG74,0)</f>
        <v>-81651.115072061715</v>
      </c>
      <c r="AH85" s="12">
        <f>IF('PSB-P&amp;L '!AH78&lt;0,-'PSB-P&amp;L '!AH74,0)</f>
        <v>-91935.220254842556</v>
      </c>
      <c r="AI85" s="12">
        <f>IF('PSB-P&amp;L '!AI78&lt;0,-'PSB-P&amp;L '!AI74,0)</f>
        <v>-103470.94182147612</v>
      </c>
      <c r="AJ85" s="12">
        <f>IF('PSB-P&amp;L '!AJ78&lt;0,-'PSB-P&amp;L '!AJ74,0)</f>
        <v>-115813.35431904208</v>
      </c>
      <c r="AK85" s="12">
        <f>IF('PSB-P&amp;L '!AK78&lt;0,-'PSB-P&amp;L '!AK74,0)</f>
        <v>-129123.28646675344</v>
      </c>
      <c r="AL85" s="12">
        <f>IF('PSB-P&amp;L '!AL78&lt;0,-'PSB-P&amp;L '!AL74,0)</f>
        <v>0</v>
      </c>
      <c r="AM85" s="12">
        <f>IF('PSB-P&amp;L '!AM78&lt;0,-'PSB-P&amp;L '!AM74,0)</f>
        <v>0</v>
      </c>
      <c r="AN85" s="12">
        <f>IF('PSB-P&amp;L '!AN78&lt;0,-'PSB-P&amp;L '!AN74,0)</f>
        <v>0</v>
      </c>
      <c r="AO85" s="578">
        <f>IF('PSB-P&amp;L '!AO78&lt;0,-'PSB-P&amp;L '!AO74,0)</f>
        <v>0</v>
      </c>
      <c r="AP85" s="12">
        <f>IF('PSB-P&amp;L '!AP78&lt;0,-'PSB-P&amp;L '!AP74,0)</f>
        <v>0</v>
      </c>
      <c r="AQ85" s="12">
        <f>IF('PSB-P&amp;L '!AQ78&lt;0,-'PSB-P&amp;L '!AQ74,0)</f>
        <v>0</v>
      </c>
      <c r="AR85" s="12">
        <f>IF('PSB-P&amp;L '!AR78&lt;0,-'PSB-P&amp;L '!AR74,0)</f>
        <v>0</v>
      </c>
      <c r="AS85" s="12">
        <f>IF('PSB-P&amp;L '!AS78&lt;0,-'PSB-P&amp;L '!AS74,0)</f>
        <v>0</v>
      </c>
      <c r="AT85" s="12">
        <f>IF('PSB-P&amp;L '!AT78&lt;0,-'PSB-P&amp;L '!AT74,0)</f>
        <v>0</v>
      </c>
      <c r="AU85" s="12">
        <f>IF('PSB-P&amp;L '!AU78&lt;0,-'PSB-P&amp;L '!AU74,0)</f>
        <v>0</v>
      </c>
      <c r="AV85" s="12">
        <f>IF('PSB-P&amp;L '!AV78&lt;0,-'PSB-P&amp;L '!AV74,0)</f>
        <v>0</v>
      </c>
      <c r="AW85" s="12">
        <f>IF('PSB-P&amp;L '!AW78&lt;0,-'PSB-P&amp;L '!AW74,0)</f>
        <v>0</v>
      </c>
      <c r="AX85" s="12">
        <f>IF('PSB-P&amp;L '!AX78&lt;0,-'PSB-P&amp;L '!AX74,0)</f>
        <v>0</v>
      </c>
      <c r="AY85" s="12">
        <f>IF('PSB-P&amp;L '!AY78&lt;0,-'PSB-P&amp;L '!AY74,0)</f>
        <v>0</v>
      </c>
      <c r="AZ85" s="12">
        <f>IF('PSB-P&amp;L '!AZ78&lt;0,-'PSB-P&amp;L '!AZ74,0)</f>
        <v>0</v>
      </c>
      <c r="BA85" s="578">
        <f>IF('PSB-P&amp;L '!BA78&lt;0,-'PSB-P&amp;L '!BA74,0)</f>
        <v>0</v>
      </c>
      <c r="BB85" s="12">
        <f>IF('PSB-P&amp;L '!BB78&lt;0,-'PSB-P&amp;L '!BB74,0)</f>
        <v>0</v>
      </c>
      <c r="BC85" s="12">
        <f>IF('PSB-P&amp;L '!BC78&lt;0,-'PSB-P&amp;L '!BC74,0)</f>
        <v>0</v>
      </c>
      <c r="BD85" s="12">
        <f>IF('PSB-P&amp;L '!BD78&lt;0,-'PSB-P&amp;L '!BD74,0)</f>
        <v>0</v>
      </c>
      <c r="BE85" s="12">
        <f>IF('PSB-P&amp;L '!BE78&lt;0,-'PSB-P&amp;L '!BE74,0)</f>
        <v>0</v>
      </c>
      <c r="BF85" s="12">
        <f>IF('PSB-P&amp;L '!BF78&lt;0,-'PSB-P&amp;L '!BF74,0)</f>
        <v>0</v>
      </c>
      <c r="BG85" s="12">
        <f>IF('PSB-P&amp;L '!BG78&lt;0,-'PSB-P&amp;L '!BG74,0)</f>
        <v>0</v>
      </c>
      <c r="BH85" s="12">
        <f>IF('PSB-P&amp;L '!BH78&lt;0,-'PSB-P&amp;L '!BH74,0)</f>
        <v>0</v>
      </c>
      <c r="BI85" s="12">
        <f>IF('PSB-P&amp;L '!BI78&lt;0,-'PSB-P&amp;L '!BI74,0)</f>
        <v>0</v>
      </c>
      <c r="BJ85" s="12">
        <f>IF('PSB-P&amp;L '!BJ78&lt;0,-'PSB-P&amp;L '!BJ74,0)</f>
        <v>0</v>
      </c>
      <c r="BK85" s="12">
        <f>IF('PSB-P&amp;L '!BK78&lt;0,-'PSB-P&amp;L '!BK74,0)</f>
        <v>0</v>
      </c>
      <c r="BL85" s="12">
        <f>IF('PSB-P&amp;L '!BL78&lt;0,-'PSB-P&amp;L '!BL74,0)</f>
        <v>0</v>
      </c>
      <c r="BM85" s="578">
        <f>IF('PSB-P&amp;L '!BM78&lt;0,-'PSB-P&amp;L '!BM74,0)</f>
        <v>0</v>
      </c>
      <c r="BN85" s="12">
        <f>IF('PSB-P&amp;L '!BN78&lt;0,-'PSB-P&amp;L '!BN74,0)</f>
        <v>0</v>
      </c>
      <c r="BO85" s="12">
        <f>IF('PSB-P&amp;L '!BO78&lt;0,-'PSB-P&amp;L '!BO74,0)</f>
        <v>0</v>
      </c>
      <c r="BP85" s="12">
        <f>IF('PSB-P&amp;L '!BP78&lt;0,-'PSB-P&amp;L '!BP74,0)</f>
        <v>0</v>
      </c>
      <c r="BQ85" s="12">
        <f>IF('PSB-P&amp;L '!BQ78&lt;0,-'PSB-P&amp;L '!BQ74,0)</f>
        <v>0</v>
      </c>
      <c r="BR85" s="12">
        <f>IF('PSB-P&amp;L '!BR78&lt;0,-'PSB-P&amp;L '!BR74,0)</f>
        <v>0</v>
      </c>
      <c r="BS85" s="12">
        <f>IF('PSB-P&amp;L '!BS78&lt;0,-'PSB-P&amp;L '!BS74,0)</f>
        <v>0</v>
      </c>
      <c r="BT85" s="12">
        <f>IF('PSB-P&amp;L '!BT78&lt;0,-'PSB-P&amp;L '!BT74,0)</f>
        <v>0</v>
      </c>
      <c r="BU85" s="12">
        <f>IF('PSB-P&amp;L '!BU78&lt;0,-'PSB-P&amp;L '!BU74,0)</f>
        <v>0</v>
      </c>
      <c r="BV85" s="12">
        <f>IF('PSB-P&amp;L '!BV78&lt;0,-'PSB-P&amp;L '!BV74,0)</f>
        <v>0</v>
      </c>
      <c r="BW85" s="12">
        <f>IF('PSB-P&amp;L '!BW78&lt;0,-'PSB-P&amp;L '!BW74,0)</f>
        <v>0</v>
      </c>
      <c r="BX85" s="12">
        <f>IF('PSB-P&amp;L '!BX78&lt;0,-'PSB-P&amp;L '!BX74,0)</f>
        <v>0</v>
      </c>
      <c r="BY85" s="578">
        <f>IF('PSB-P&amp;L '!BY78&lt;0,-'PSB-P&amp;L '!BY74,0)</f>
        <v>0</v>
      </c>
      <c r="BZ85" s="12">
        <f>IF('PSB-P&amp;L '!BZ78&lt;0,-'PSB-P&amp;L '!BZ74,0)</f>
        <v>0</v>
      </c>
      <c r="CA85" s="12">
        <f>IF('PSB-P&amp;L '!CA78&lt;0,-'PSB-P&amp;L '!CA74,0)</f>
        <v>0</v>
      </c>
      <c r="CB85" s="12">
        <f>IF('PSB-P&amp;L '!CB78&lt;0,-'PSB-P&amp;L '!CB74,0)</f>
        <v>0</v>
      </c>
      <c r="CC85" s="12">
        <f>IF('PSB-P&amp;L '!CC78&lt;0,-'PSB-P&amp;L '!CC74,0)</f>
        <v>0</v>
      </c>
      <c r="CD85" s="12">
        <f>IF('PSB-P&amp;L '!CD78&lt;0,-'PSB-P&amp;L '!CD74,0)</f>
        <v>0</v>
      </c>
      <c r="CE85" s="12">
        <f>IF('PSB-P&amp;L '!CE78&lt;0,-'PSB-P&amp;L '!CE74,0)</f>
        <v>0</v>
      </c>
      <c r="CF85" s="12">
        <f>IF('PSB-P&amp;L '!CF78&lt;0,-'PSB-P&amp;L '!CF74,0)</f>
        <v>0</v>
      </c>
      <c r="CG85" s="12">
        <f>IF('PSB-P&amp;L '!CG78&lt;0,-'PSB-P&amp;L '!CG74,0)</f>
        <v>0</v>
      </c>
      <c r="CH85" s="12">
        <f>IF('PSB-P&amp;L '!CH78&lt;0,-'PSB-P&amp;L '!CH74,0)</f>
        <v>0</v>
      </c>
      <c r="CI85" s="12">
        <f>IF('PSB-P&amp;L '!CI78&lt;0,-'PSB-P&amp;L '!CI74,0)</f>
        <v>0</v>
      </c>
      <c r="CJ85" s="12">
        <f>IF('PSB-P&amp;L '!CJ78&lt;0,-'PSB-P&amp;L '!CJ74,0)</f>
        <v>0</v>
      </c>
      <c r="CK85" s="578">
        <f>IF('PSB-P&amp;L '!CK78&lt;0,-'PSB-P&amp;L '!CK74,0)</f>
        <v>0</v>
      </c>
    </row>
    <row r="86" spans="2:89" x14ac:dyDescent="0.2">
      <c r="B86" s="253" t="s">
        <v>307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470"/>
      <c r="Q86" s="578"/>
      <c r="R86" s="14">
        <f>-'PSB-P&amp;L '!R91</f>
        <v>0</v>
      </c>
      <c r="S86" s="14">
        <f>-'PSB-P&amp;L '!S91</f>
        <v>0</v>
      </c>
      <c r="T86" s="14">
        <f>-'PSB-P&amp;L '!T91</f>
        <v>0</v>
      </c>
      <c r="U86" s="14">
        <v>10000</v>
      </c>
      <c r="V86" s="14">
        <v>50000</v>
      </c>
      <c r="W86" s="14">
        <v>0</v>
      </c>
      <c r="X86" s="690">
        <v>-75000</v>
      </c>
      <c r="Y86" s="14">
        <v>0</v>
      </c>
      <c r="Z86" s="14">
        <v>25000</v>
      </c>
      <c r="AA86" s="14">
        <v>25000</v>
      </c>
      <c r="AB86" s="14">
        <v>35000</v>
      </c>
      <c r="AC86" s="577">
        <f>-'PSB-P&amp;L '!AC91</f>
        <v>50000</v>
      </c>
      <c r="AD86" s="12">
        <f>-'PSB-P&amp;L '!AD91</f>
        <v>0</v>
      </c>
      <c r="AE86" s="12">
        <f>-'PSB-P&amp;L '!AE91</f>
        <v>0</v>
      </c>
      <c r="AF86" s="12">
        <f>-'PSB-P&amp;L '!AF91</f>
        <v>0</v>
      </c>
      <c r="AG86" s="12">
        <f>-'PSB-P&amp;L '!AG91</f>
        <v>0</v>
      </c>
      <c r="AH86" s="12">
        <f>-'PSB-P&amp;L '!AH91</f>
        <v>0</v>
      </c>
      <c r="AI86" s="12">
        <f>-'PSB-P&amp;L '!AI91</f>
        <v>0</v>
      </c>
      <c r="AJ86" s="12">
        <f>-'PSB-P&amp;L '!AJ91</f>
        <v>0</v>
      </c>
      <c r="AK86" s="12">
        <f>-'PSB-P&amp;L '!AK91</f>
        <v>0</v>
      </c>
      <c r="AL86" s="12">
        <f>-'PSB-P&amp;L '!AL91</f>
        <v>0</v>
      </c>
      <c r="AM86" s="12">
        <f>-'PSB-P&amp;L '!AM91</f>
        <v>0</v>
      </c>
      <c r="AN86" s="12">
        <f>-'PSB-P&amp;L '!AN91</f>
        <v>0</v>
      </c>
      <c r="AO86" s="578">
        <f>-'PSB-P&amp;L '!AO91</f>
        <v>0</v>
      </c>
      <c r="AP86" s="12">
        <f>-'PSB-P&amp;L '!AP91</f>
        <v>0</v>
      </c>
      <c r="AQ86" s="12">
        <f>-'PSB-P&amp;L '!AQ91</f>
        <v>0</v>
      </c>
      <c r="AR86" s="12">
        <f>-'PSB-P&amp;L '!AR91</f>
        <v>0</v>
      </c>
      <c r="AS86" s="12">
        <f>-'PSB-P&amp;L '!AS91</f>
        <v>0</v>
      </c>
      <c r="AT86" s="12">
        <f>-'PSB-P&amp;L '!AT91</f>
        <v>0</v>
      </c>
      <c r="AU86" s="12">
        <f>-'PSB-P&amp;L '!AU91</f>
        <v>0</v>
      </c>
      <c r="AV86" s="12">
        <f>-'PSB-P&amp;L '!AV91</f>
        <v>0</v>
      </c>
      <c r="AW86" s="12">
        <f>-'PSB-P&amp;L '!AW91</f>
        <v>0</v>
      </c>
      <c r="AX86" s="12">
        <f>-'PSB-P&amp;L '!AX91</f>
        <v>0</v>
      </c>
      <c r="AY86" s="12">
        <f>-'PSB-P&amp;L '!AY91</f>
        <v>0</v>
      </c>
      <c r="AZ86" s="12">
        <f>-'PSB-P&amp;L '!AZ91</f>
        <v>0</v>
      </c>
      <c r="BA86" s="578">
        <f>-'PSB-P&amp;L '!BA91</f>
        <v>0</v>
      </c>
      <c r="BB86" s="12">
        <f>-'PSB-P&amp;L '!BB91</f>
        <v>0</v>
      </c>
      <c r="BC86" s="12">
        <f>-'PSB-P&amp;L '!BC91</f>
        <v>0</v>
      </c>
      <c r="BD86" s="12">
        <f>-'PSB-P&amp;L '!BD91</f>
        <v>0</v>
      </c>
      <c r="BE86" s="12">
        <f>-'PSB-P&amp;L '!BE91</f>
        <v>0</v>
      </c>
      <c r="BF86" s="12">
        <f>-'PSB-P&amp;L '!BF91</f>
        <v>0</v>
      </c>
      <c r="BG86" s="12">
        <f>-'PSB-P&amp;L '!BG91</f>
        <v>0</v>
      </c>
      <c r="BH86" s="12">
        <f>-'PSB-P&amp;L '!BH91</f>
        <v>0</v>
      </c>
      <c r="BI86" s="12">
        <f>-'PSB-P&amp;L '!BI91</f>
        <v>0</v>
      </c>
      <c r="BJ86" s="12">
        <f>-'PSB-P&amp;L '!BJ91</f>
        <v>0</v>
      </c>
      <c r="BK86" s="12">
        <f>-'PSB-P&amp;L '!BK91</f>
        <v>0</v>
      </c>
      <c r="BL86" s="12">
        <f>-'PSB-P&amp;L '!BL91</f>
        <v>0</v>
      </c>
      <c r="BM86" s="578">
        <f>-'PSB-P&amp;L '!BM91</f>
        <v>0</v>
      </c>
      <c r="BN86" s="12">
        <f>-'PSB-P&amp;L '!BN91</f>
        <v>0</v>
      </c>
      <c r="BO86" s="12">
        <f>-'PSB-P&amp;L '!BO91</f>
        <v>0</v>
      </c>
      <c r="BP86" s="12">
        <f>-'PSB-P&amp;L '!BP91</f>
        <v>0</v>
      </c>
      <c r="BQ86" s="12">
        <f>-'PSB-P&amp;L '!BQ91</f>
        <v>0</v>
      </c>
      <c r="BR86" s="12">
        <f>-'PSB-P&amp;L '!BR91</f>
        <v>0</v>
      </c>
      <c r="BS86" s="12">
        <f>-'PSB-P&amp;L '!BS91</f>
        <v>0</v>
      </c>
      <c r="BT86" s="12">
        <f>-'PSB-P&amp;L '!BT91</f>
        <v>0</v>
      </c>
      <c r="BU86" s="12">
        <f>-'PSB-P&amp;L '!BU91</f>
        <v>0</v>
      </c>
      <c r="BV86" s="12">
        <f>-'PSB-P&amp;L '!BV91</f>
        <v>0</v>
      </c>
      <c r="BW86" s="12">
        <f>-'PSB-P&amp;L '!BW91</f>
        <v>0</v>
      </c>
      <c r="BX86" s="12">
        <f>-'PSB-P&amp;L '!BX91</f>
        <v>0</v>
      </c>
      <c r="BY86" s="578">
        <f>-'PSB-P&amp;L '!BY91</f>
        <v>0</v>
      </c>
      <c r="BZ86" s="12">
        <f>-'PSB-P&amp;L '!BZ91</f>
        <v>0</v>
      </c>
      <c r="CA86" s="12">
        <f>-'PSB-P&amp;L '!CA91</f>
        <v>0</v>
      </c>
      <c r="CB86" s="12">
        <f>-'PSB-P&amp;L '!CB91</f>
        <v>0</v>
      </c>
      <c r="CC86" s="12">
        <f>-'PSB-P&amp;L '!CC91</f>
        <v>0</v>
      </c>
      <c r="CD86" s="12">
        <f>-'PSB-P&amp;L '!CD91</f>
        <v>0</v>
      </c>
      <c r="CE86" s="12">
        <f>-'PSB-P&amp;L '!CE91</f>
        <v>0</v>
      </c>
      <c r="CF86" s="12">
        <f>-'PSB-P&amp;L '!CF91</f>
        <v>0</v>
      </c>
      <c r="CG86" s="12">
        <f>-'PSB-P&amp;L '!CG91</f>
        <v>0</v>
      </c>
      <c r="CH86" s="12">
        <f>-'PSB-P&amp;L '!CH91</f>
        <v>0</v>
      </c>
      <c r="CI86" s="12">
        <f>-'PSB-P&amp;L '!CI91</f>
        <v>0</v>
      </c>
      <c r="CJ86" s="12">
        <f>-'PSB-P&amp;L '!CJ91</f>
        <v>0</v>
      </c>
      <c r="CK86" s="578">
        <f>-'PSB-P&amp;L '!CK91</f>
        <v>0</v>
      </c>
    </row>
    <row r="87" spans="2:89" x14ac:dyDescent="0.2">
      <c r="B87" s="253" t="s">
        <v>303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470">
        <f>IF('PSB-P&amp;L '!P78&gt;0,'PSB-P&amp;L '!P78,0)</f>
        <v>0</v>
      </c>
      <c r="Q87" s="578">
        <f>IF('PSB-P&amp;L '!Q78&gt;0,'PSB-P&amp;L '!Q78,0)</f>
        <v>0</v>
      </c>
      <c r="R87" s="12">
        <f>IF('PSB-P&amp;L '!R78&gt;0,'PSB-P&amp;L '!R78,0)</f>
        <v>0</v>
      </c>
      <c r="S87" s="12">
        <f>IF('PSB-P&amp;L '!S78&gt;0,'PSB-P&amp;L '!S78,0)</f>
        <v>0</v>
      </c>
      <c r="T87" s="12">
        <f>IF('PSB-P&amp;L '!T78&gt;0,'PSB-P&amp;L '!T78,0)</f>
        <v>0</v>
      </c>
      <c r="U87" s="12">
        <f>IF('PSB-P&amp;L '!U78&gt;0,'PSB-P&amp;L '!U78,0)</f>
        <v>0</v>
      </c>
      <c r="V87" s="12">
        <f>IF('PSB-P&amp;L '!V78&gt;0,'PSB-P&amp;L '!V78,0)</f>
        <v>0</v>
      </c>
      <c r="W87" s="12">
        <f>IF('PSB-P&amp;L '!W78&gt;0,'PSB-P&amp;L '!W78,0)</f>
        <v>0</v>
      </c>
      <c r="X87" s="12">
        <f>IF('PSB-P&amp;L '!X78&gt;0,'PSB-P&amp;L '!X78,0)</f>
        <v>0</v>
      </c>
      <c r="Y87" s="12">
        <f>IF('PSB-P&amp;L '!Y78&gt;0,'PSB-P&amp;L '!Y78,0)</f>
        <v>0</v>
      </c>
      <c r="Z87" s="12">
        <f>IF('PSB-P&amp;L '!Z78&gt;0,'PSB-P&amp;L '!Z78,0)</f>
        <v>0</v>
      </c>
      <c r="AA87" s="12">
        <f>IF('PSB-P&amp;L '!AA78&gt;0,'PSB-P&amp;L '!AA78,0)</f>
        <v>0</v>
      </c>
      <c r="AB87" s="12">
        <f>IF('PSB-P&amp;L '!AB78&gt;0,'PSB-P&amp;L '!AB78,0)</f>
        <v>0</v>
      </c>
      <c r="AC87" s="578">
        <f>IF('PSB-P&amp;L '!AC78&gt;0,'PSB-P&amp;L '!AC78,0)</f>
        <v>0</v>
      </c>
      <c r="AD87" s="12">
        <f>IF('PSB-P&amp;L '!AD78&gt;0,'PSB-P&amp;L '!AD78,0)</f>
        <v>0</v>
      </c>
      <c r="AE87" s="12">
        <f>IF('PSB-P&amp;L '!AE78&gt;0,'PSB-P&amp;L '!AE78,0)</f>
        <v>0</v>
      </c>
      <c r="AF87" s="12">
        <f>IF('PSB-P&amp;L '!AF78&gt;0,'PSB-P&amp;L '!AF78,0)</f>
        <v>0</v>
      </c>
      <c r="AG87" s="12">
        <f>IF('PSB-P&amp;L '!AG78&gt;0,'PSB-P&amp;L '!AG78,0)</f>
        <v>0</v>
      </c>
      <c r="AH87" s="12">
        <f>IF('PSB-P&amp;L '!AH78&gt;0,'PSB-P&amp;L '!AH78,0)</f>
        <v>0</v>
      </c>
      <c r="AI87" s="12">
        <f>IF('PSB-P&amp;L '!AI78&gt;0,'PSB-P&amp;L '!AI78,0)</f>
        <v>0</v>
      </c>
      <c r="AJ87" s="12">
        <f>IF('PSB-P&amp;L '!AJ78&gt;0,'PSB-P&amp;L '!AJ78,0)</f>
        <v>0</v>
      </c>
      <c r="AK87" s="12">
        <f>IF('PSB-P&amp;L '!AK78&gt;0,'PSB-P&amp;L '!AK78,0)</f>
        <v>0</v>
      </c>
      <c r="AL87" s="12">
        <f>IF('PSB-P&amp;L '!AL78&gt;0,'PSB-P&amp;L '!AL78,0)</f>
        <v>14464.023688501213</v>
      </c>
      <c r="AM87" s="12">
        <f>IF('PSB-P&amp;L '!AM78&gt;0,'PSB-P&amp;L '!AM78,0)</f>
        <v>30590.667868410877</v>
      </c>
      <c r="AN87" s="12">
        <f>IF('PSB-P&amp;L '!AN78&gt;0,'PSB-P&amp;L '!AN78,0)</f>
        <v>48024.407371492416</v>
      </c>
      <c r="AO87" s="578">
        <f>IF('PSB-P&amp;L '!AO78&gt;0,'PSB-P&amp;L '!AO78,0)</f>
        <v>64493.618484402075</v>
      </c>
      <c r="AP87" s="12">
        <f>IF('PSB-P&amp;L '!AP78&gt;0,'PSB-P&amp;L '!AP78,0)</f>
        <v>93644.962471113715</v>
      </c>
      <c r="AQ87" s="12">
        <f>IF('PSB-P&amp;L '!AQ78&gt;0,'PSB-P&amp;L '!AQ78,0)</f>
        <v>117353.1323865907</v>
      </c>
      <c r="AR87" s="12">
        <f>IF('PSB-P&amp;L '!AR78&gt;0,'PSB-P&amp;L '!AR78,0)</f>
        <v>143215.70494967361</v>
      </c>
      <c r="AS87" s="12">
        <f>IF('PSB-P&amp;L '!AS78&gt;0,'PSB-P&amp;L '!AS78,0)</f>
        <v>139674.88883671799</v>
      </c>
      <c r="AT87" s="12">
        <f>IF('PSB-P&amp;L '!AT78&gt;0,'PSB-P&amp;L '!AT78,0)</f>
        <v>166349.21727142518</v>
      </c>
      <c r="AU87" s="12">
        <f>IF('PSB-P&amp;L '!AU78&gt;0,'PSB-P&amp;L '!AU78,0)</f>
        <v>188735.88429913309</v>
      </c>
      <c r="AV87" s="12">
        <f>IF('PSB-P&amp;L '!AV78&gt;0,'PSB-P&amp;L '!AV78,0)</f>
        <v>207373.78611360246</v>
      </c>
      <c r="AW87" s="12">
        <f>IF('PSB-P&amp;L '!AW78&gt;0,'PSB-P&amp;L '!AW78,0)</f>
        <v>227655.24015364447</v>
      </c>
      <c r="AX87" s="12">
        <f>IF('PSB-P&amp;L '!AX78&gt;0,'PSB-P&amp;L '!AX78,0)</f>
        <v>252442.59471790201</v>
      </c>
      <c r="AY87" s="12">
        <f>IF('PSB-P&amp;L '!AY78&gt;0,'PSB-P&amp;L '!AY78,0)</f>
        <v>277896.74104217032</v>
      </c>
      <c r="AZ87" s="12">
        <v>111000</v>
      </c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</row>
    <row r="88" spans="2:89" x14ac:dyDescent="0.2">
      <c r="B88" s="253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470"/>
      <c r="Q88" s="578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578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578"/>
      <c r="AP88" s="12"/>
      <c r="AQ88" s="12"/>
      <c r="AR88" s="12"/>
      <c r="AS88" s="12"/>
      <c r="AT88" s="12"/>
      <c r="AU88" s="12"/>
      <c r="AV88" s="14"/>
      <c r="AW88" s="14"/>
      <c r="AX88" s="14"/>
      <c r="AY88" s="14"/>
      <c r="AZ88" s="14"/>
      <c r="BA88" s="578"/>
      <c r="BB88" s="12"/>
      <c r="BC88" s="12"/>
      <c r="BD88" s="12"/>
      <c r="BE88" s="12"/>
      <c r="BF88" s="12"/>
      <c r="BG88" s="12"/>
      <c r="BH88" s="14"/>
      <c r="BI88" s="14"/>
      <c r="BJ88" s="14"/>
      <c r="BK88" s="14"/>
      <c r="BL88" s="14"/>
      <c r="BM88" s="578"/>
      <c r="BN88" s="12"/>
      <c r="BO88" s="12"/>
      <c r="BP88" s="12"/>
      <c r="BQ88" s="12"/>
      <c r="BR88" s="12"/>
      <c r="BS88" s="12"/>
      <c r="BT88" s="14"/>
      <c r="BU88" s="14"/>
      <c r="BV88" s="14"/>
      <c r="BW88" s="14"/>
      <c r="BX88" s="14"/>
      <c r="BY88" s="578"/>
      <c r="BZ88" s="12"/>
      <c r="CA88" s="12"/>
      <c r="CB88" s="12"/>
      <c r="CC88" s="12"/>
      <c r="CD88" s="12"/>
      <c r="CE88" s="12"/>
      <c r="CF88" s="14"/>
      <c r="CG88" s="14"/>
      <c r="CH88" s="14"/>
      <c r="CI88" s="14"/>
      <c r="CJ88" s="14"/>
      <c r="CK88" s="578"/>
    </row>
    <row r="89" spans="2:89" x14ac:dyDescent="0.2">
      <c r="B89" s="568" t="s">
        <v>332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470"/>
      <c r="Q89" s="578"/>
      <c r="R89" s="12"/>
      <c r="S89" s="12"/>
      <c r="T89" s="12"/>
      <c r="U89" s="12"/>
      <c r="V89" s="14"/>
      <c r="X89" s="14"/>
      <c r="Y89" s="12"/>
      <c r="Z89" s="12"/>
      <c r="AA89" s="12"/>
      <c r="AB89" s="12"/>
      <c r="AD89" s="106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578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578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578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578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578"/>
    </row>
    <row r="90" spans="2:89" x14ac:dyDescent="0.2">
      <c r="B90" s="568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470"/>
      <c r="Q90" s="578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578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578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578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578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578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578"/>
    </row>
    <row r="91" spans="2:89" x14ac:dyDescent="0.2">
      <c r="B91" s="568" t="s">
        <v>299</v>
      </c>
      <c r="C91" s="154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471"/>
      <c r="Q91" s="576"/>
      <c r="R91" s="16"/>
      <c r="T91" s="16"/>
      <c r="U91" s="631"/>
      <c r="V91" s="16"/>
      <c r="W91" s="16"/>
      <c r="X91" s="631"/>
      <c r="Y91" s="16"/>
      <c r="Z91" s="631"/>
      <c r="AA91" s="16"/>
      <c r="AB91" s="16"/>
      <c r="AC91" s="689"/>
      <c r="AE91" s="16"/>
      <c r="AG91" s="685">
        <v>1750000</v>
      </c>
      <c r="AH91" s="16"/>
      <c r="AI91" s="16"/>
      <c r="AJ91" s="16"/>
      <c r="AK91" s="16"/>
      <c r="AL91" s="16"/>
      <c r="AM91" s="16"/>
      <c r="AN91" s="16"/>
      <c r="AO91" s="57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57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57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57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576"/>
    </row>
    <row r="92" spans="2:89" x14ac:dyDescent="0.2">
      <c r="B92" s="568" t="s">
        <v>349</v>
      </c>
      <c r="C92" s="154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471"/>
      <c r="Q92" s="576"/>
      <c r="R92" s="16"/>
      <c r="T92" s="16"/>
      <c r="U92" s="631"/>
      <c r="V92" s="16"/>
      <c r="W92" s="16"/>
      <c r="X92" s="631"/>
      <c r="Y92" s="16"/>
      <c r="Z92" s="631"/>
      <c r="AA92" s="16"/>
      <c r="AB92" s="16"/>
      <c r="AC92" s="689"/>
      <c r="AE92" s="16"/>
      <c r="AG92" s="685">
        <v>750000</v>
      </c>
      <c r="AH92" s="16"/>
      <c r="AI92" s="16"/>
      <c r="AJ92" s="16"/>
      <c r="AK92" s="16"/>
      <c r="AL92" s="16"/>
      <c r="AM92" s="16"/>
      <c r="AN92" s="16"/>
      <c r="AO92" s="57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57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57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57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576"/>
    </row>
    <row r="93" spans="2:89" x14ac:dyDescent="0.2">
      <c r="B93" s="568" t="s">
        <v>380</v>
      </c>
      <c r="C93" s="154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471"/>
      <c r="Q93" s="576"/>
      <c r="R93" s="16"/>
      <c r="T93" s="16"/>
      <c r="U93" s="631"/>
      <c r="V93" s="631"/>
      <c r="W93" s="631"/>
      <c r="X93" s="631"/>
      <c r="Y93" s="16"/>
      <c r="Z93" s="631">
        <v>300000</v>
      </c>
      <c r="AA93" s="16"/>
      <c r="AB93" s="16"/>
      <c r="AC93" s="57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57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57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57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57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576"/>
    </row>
    <row r="94" spans="2:89" x14ac:dyDescent="0.2">
      <c r="B94" s="568" t="s">
        <v>361</v>
      </c>
      <c r="C94" s="154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471"/>
      <c r="Q94" s="576"/>
      <c r="R94" s="16"/>
      <c r="T94" s="16"/>
      <c r="U94" s="16"/>
      <c r="V94" s="16"/>
      <c r="W94" s="16"/>
      <c r="X94" s="16"/>
      <c r="Y94" s="16"/>
      <c r="Z94" s="631"/>
      <c r="AA94" s="16"/>
      <c r="AB94" s="631"/>
      <c r="AC94" s="576"/>
      <c r="AD94" s="16"/>
      <c r="AF94" s="685">
        <v>300000</v>
      </c>
      <c r="AG94" s="16"/>
      <c r="AH94" s="631"/>
      <c r="AI94" s="16"/>
      <c r="AJ94" s="16"/>
      <c r="AK94" s="16"/>
      <c r="AL94" s="16"/>
      <c r="AM94" s="16"/>
      <c r="AN94" s="16"/>
      <c r="AO94" s="57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57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57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57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576"/>
    </row>
    <row r="95" spans="2:89" x14ac:dyDescent="0.2">
      <c r="B95" s="253" t="s">
        <v>102</v>
      </c>
      <c r="C95" s="154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471"/>
      <c r="Q95" s="57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57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57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57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57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576"/>
    </row>
    <row r="96" spans="2:89" x14ac:dyDescent="0.2">
      <c r="B96" s="253" t="s">
        <v>297</v>
      </c>
      <c r="C96" s="154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471"/>
      <c r="Q96" s="57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57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57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57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57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57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576"/>
    </row>
    <row r="97" spans="1:89" x14ac:dyDescent="0.2">
      <c r="B97" s="253" t="s">
        <v>294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472">
        <f>'Loans &amp; Grants'!Q28</f>
        <v>0</v>
      </c>
      <c r="Q97" s="577">
        <f>'Loans &amp; Grants'!R28</f>
        <v>0</v>
      </c>
      <c r="R97" s="14">
        <f>'Loans &amp; Grants'!S28</f>
        <v>0</v>
      </c>
      <c r="S97" s="14">
        <f>'Loans &amp; Grants'!T28</f>
        <v>0</v>
      </c>
      <c r="T97" s="14">
        <f>'Loans &amp; Grants'!U28+'Loans &amp; Grants'!U29</f>
        <v>-3120</v>
      </c>
      <c r="U97" s="14">
        <f>'Loans &amp; Grants'!V28+'Loans &amp; Grants'!V29</f>
        <v>-3120</v>
      </c>
      <c r="V97" s="14">
        <f>'Loans &amp; Grants'!W28+'Loans &amp; Grants'!W29</f>
        <v>-8272.25</v>
      </c>
      <c r="W97" s="14">
        <f>'Loans &amp; Grants'!X28+'Loans &amp; Grants'!X29</f>
        <v>-8233.25</v>
      </c>
      <c r="X97" s="14">
        <f>'Loans &amp; Grants'!Y28+'Loans &amp; Grants'!Y29</f>
        <v>-8194.25</v>
      </c>
      <c r="Y97" s="14">
        <f>'Loans &amp; Grants'!Z28+'Loans &amp; Grants'!Z29</f>
        <v>-8155.25</v>
      </c>
      <c r="Z97" s="14">
        <f>'Loans &amp; Grants'!AA28+'Loans &amp; Grants'!AA29</f>
        <v>-8116.25</v>
      </c>
      <c r="AA97" s="14">
        <f>'Loans &amp; Grants'!AB28+'Loans &amp; Grants'!AB29</f>
        <v>-8077.25</v>
      </c>
      <c r="AB97" s="14">
        <f>'Loans &amp; Grants'!AC28+'Loans &amp; Grants'!AC29</f>
        <v>-8038.25</v>
      </c>
      <c r="AC97" s="14">
        <f>'Loans &amp; Grants'!AD28+'Loans &amp; Grants'!AD29</f>
        <v>-7999.25</v>
      </c>
      <c r="AD97" s="14">
        <f>'Loans &amp; Grants'!AE28+'Loans &amp; Grants'!AE29</f>
        <v>-7960.25</v>
      </c>
      <c r="AE97" s="14">
        <f>'Loans &amp; Grants'!AF28+'Loans &amp; Grants'!AF29</f>
        <v>-7921.25</v>
      </c>
      <c r="AF97" s="14">
        <f>'Loans &amp; Grants'!AG28+'Loans &amp; Grants'!AG29</f>
        <v>-13044.55</v>
      </c>
      <c r="AG97" s="14">
        <f>'Loans &amp; Grants'!AH28+'Loans &amp; Grants'!AH29</f>
        <v>-12967.85</v>
      </c>
      <c r="AH97" s="14">
        <f>'Loans &amp; Grants'!AI28+'Loans &amp; Grants'!AI29</f>
        <v>-12891.15</v>
      </c>
      <c r="AI97" s="14">
        <f>'Loans &amp; Grants'!AJ28+'Loans &amp; Grants'!AJ29</f>
        <v>-12814.45</v>
      </c>
      <c r="AJ97" s="14">
        <f>'Loans &amp; Grants'!AK28+'Loans &amp; Grants'!AK29</f>
        <v>-12737.75</v>
      </c>
      <c r="AK97" s="14">
        <f>'Loans &amp; Grants'!AL28+'Loans &amp; Grants'!AL29</f>
        <v>-12661.05</v>
      </c>
      <c r="AL97" s="14">
        <f>'Loans &amp; Grants'!AM28+'Loans &amp; Grants'!AM29</f>
        <v>-12584.35</v>
      </c>
      <c r="AM97" s="14">
        <f>'Loans &amp; Grants'!AN28+'Loans &amp; Grants'!AN29</f>
        <v>-12507.65</v>
      </c>
      <c r="AN97" s="14">
        <f>'Loans &amp; Grants'!AO28+'Loans &amp; Grants'!AO29</f>
        <v>-12430.95</v>
      </c>
      <c r="AO97" s="14">
        <f>'Loans &amp; Grants'!AP28+'Loans &amp; Grants'!AP29</f>
        <v>-12354.25</v>
      </c>
      <c r="AP97" s="14">
        <f>'Loans &amp; Grants'!AQ28+'Loans &amp; Grants'!AQ29</f>
        <v>-12277.55</v>
      </c>
      <c r="AQ97" s="14">
        <f>'Loans &amp; Grants'!AR28+'Loans &amp; Grants'!AR29</f>
        <v>-12200.85</v>
      </c>
      <c r="AR97" s="14">
        <f>'Loans &amp; Grants'!AS28+'Loans &amp; Grants'!AS29</f>
        <v>-12124.15</v>
      </c>
      <c r="AS97" s="14">
        <f>'Loans &amp; Grants'!AT28+'Loans &amp; Grants'!AT29</f>
        <v>-12047.45</v>
      </c>
      <c r="AT97" s="14">
        <f>'Loans &amp; Grants'!AU28+'Loans &amp; Grants'!AU29</f>
        <v>-11970.75</v>
      </c>
      <c r="AU97" s="14">
        <f>'Loans &amp; Grants'!AV28+'Loans &amp; Grants'!AV29</f>
        <v>-11894.05</v>
      </c>
      <c r="AV97" s="14">
        <f>'Loans &amp; Grants'!AW28+'Loans &amp; Grants'!AW29</f>
        <v>-11817.35</v>
      </c>
      <c r="AW97" s="14">
        <f>'Loans &amp; Grants'!AX28+'Loans &amp; Grants'!AX29</f>
        <v>-11740.65</v>
      </c>
      <c r="AX97" s="14">
        <f>'Loans &amp; Grants'!AY28+'Loans &amp; Grants'!AY29</f>
        <v>-11663.95</v>
      </c>
      <c r="AY97" s="14">
        <f>'Loans &amp; Grants'!AZ28+'Loans &amp; Grants'!AZ29</f>
        <v>-11587.25</v>
      </c>
      <c r="AZ97" s="14">
        <f>'Loans &amp; Grants'!BA28+'Loans &amp; Grants'!BA29</f>
        <v>-11510.55</v>
      </c>
      <c r="BA97" s="14">
        <f>'Loans &amp; Grants'!BB28+'Loans &amp; Grants'!BB29</f>
        <v>-11433.85</v>
      </c>
      <c r="BB97" s="14">
        <f>'Loans &amp; Grants'!BC28+'Loans &amp; Grants'!BC29</f>
        <v>-11357.15</v>
      </c>
      <c r="BC97" s="14">
        <f>'Loans &amp; Grants'!BD28+'Loans &amp; Grants'!BD29</f>
        <v>-11280.45</v>
      </c>
      <c r="BD97" s="14">
        <f>'Loans &amp; Grants'!BE28+'Loans &amp; Grants'!BE29</f>
        <v>-11203.75</v>
      </c>
      <c r="BE97" s="14">
        <f>'Loans &amp; Grants'!BF28+'Loans &amp; Grants'!BF29</f>
        <v>-11127.05</v>
      </c>
      <c r="BF97" s="14">
        <f>'Loans &amp; Grants'!BG28+'Loans &amp; Grants'!BG29</f>
        <v>-11050.35</v>
      </c>
      <c r="BG97" s="14">
        <f>'Loans &amp; Grants'!BH28+'Loans &amp; Grants'!BH29</f>
        <v>-10973.65</v>
      </c>
      <c r="BH97" s="14">
        <f>'Loans &amp; Grants'!BI28+'Loans &amp; Grants'!BI29</f>
        <v>-10896.95</v>
      </c>
      <c r="BI97" s="14">
        <f>'Loans &amp; Grants'!BJ28+'Loans &amp; Grants'!BJ29</f>
        <v>-10820.25</v>
      </c>
      <c r="BJ97" s="14">
        <f>'Loans &amp; Grants'!BK28+'Loans &amp; Grants'!BK29</f>
        <v>-10743.55</v>
      </c>
      <c r="BK97" s="14">
        <f>'Loans &amp; Grants'!BL28+'Loans &amp; Grants'!BL29</f>
        <v>-10666.85</v>
      </c>
      <c r="BL97" s="14">
        <f>'Loans &amp; Grants'!BM28+'Loans &amp; Grants'!BM29</f>
        <v>-10590.15</v>
      </c>
      <c r="BM97" s="14">
        <f>'Loans &amp; Grants'!BN28+'Loans &amp; Grants'!BN29</f>
        <v>-10513.45</v>
      </c>
      <c r="BN97" s="14">
        <f>'Loans &amp; Grants'!BO28+'Loans &amp; Grants'!BO29</f>
        <v>-10436.75</v>
      </c>
      <c r="BO97" s="14">
        <f>'Loans &amp; Grants'!BP28+'Loans &amp; Grants'!BP29</f>
        <v>5000</v>
      </c>
      <c r="BP97" s="14">
        <f>'Loans &amp; Grants'!BQ28+'Loans &amp; Grants'!BQ29</f>
        <v>0</v>
      </c>
      <c r="BQ97" s="14">
        <f>'Loans &amp; Grants'!BR28+'Loans &amp; Grants'!BR29</f>
        <v>0</v>
      </c>
      <c r="BR97" s="14">
        <f>'Loans &amp; Grants'!BS28+'Loans &amp; Grants'!BS29</f>
        <v>0</v>
      </c>
      <c r="BS97" s="14">
        <f>'Loans &amp; Grants'!BT28+'Loans &amp; Grants'!BT29</f>
        <v>0</v>
      </c>
      <c r="BT97" s="14">
        <f>'Loans &amp; Grants'!BU28+'Loans &amp; Grants'!BU29</f>
        <v>0</v>
      </c>
      <c r="BU97" s="14">
        <f>'Loans &amp; Grants'!BV28+'Loans &amp; Grants'!BV29</f>
        <v>0</v>
      </c>
      <c r="BV97" s="14">
        <f>'Loans &amp; Grants'!BW28+'Loans &amp; Grants'!BW29</f>
        <v>0</v>
      </c>
      <c r="BW97" s="14">
        <f>'Loans &amp; Grants'!BX28+'Loans &amp; Grants'!BX29</f>
        <v>0</v>
      </c>
      <c r="BX97" s="14">
        <f>'Loans &amp; Grants'!BY28+'Loans &amp; Grants'!BY29</f>
        <v>0</v>
      </c>
      <c r="BY97" s="14">
        <f>'Loans &amp; Grants'!BZ28+'Loans &amp; Grants'!BZ29</f>
        <v>0</v>
      </c>
      <c r="BZ97" s="14">
        <f>'Loans &amp; Grants'!CA28+'Loans &amp; Grants'!CA29</f>
        <v>0</v>
      </c>
      <c r="CA97" s="14">
        <f>'Loans &amp; Grants'!CB28+'Loans &amp; Grants'!CB29</f>
        <v>0</v>
      </c>
      <c r="CB97" s="14">
        <f>'Loans &amp; Grants'!CC28+'Loans &amp; Grants'!CC29</f>
        <v>0</v>
      </c>
      <c r="CC97" s="14">
        <f>'Loans &amp; Grants'!CD28+'Loans &amp; Grants'!CD29</f>
        <v>0</v>
      </c>
      <c r="CD97" s="14">
        <f>'Loans &amp; Grants'!CE28+'Loans &amp; Grants'!CE29</f>
        <v>0</v>
      </c>
      <c r="CE97" s="14">
        <f>'Loans &amp; Grants'!CF28+'Loans &amp; Grants'!CF29</f>
        <v>0</v>
      </c>
      <c r="CF97" s="14">
        <f>'Loans &amp; Grants'!CG28+'Loans &amp; Grants'!CG29</f>
        <v>0</v>
      </c>
      <c r="CG97" s="14">
        <f>'Loans &amp; Grants'!CH28+'Loans &amp; Grants'!CH29</f>
        <v>0</v>
      </c>
      <c r="CH97" s="14">
        <f>'Loans &amp; Grants'!CI28+'Loans &amp; Grants'!CI29</f>
        <v>0</v>
      </c>
      <c r="CI97" s="14">
        <f>'Loans &amp; Grants'!CJ28+'Loans &amp; Grants'!CJ29</f>
        <v>0</v>
      </c>
      <c r="CJ97" s="14">
        <f>'Loans &amp; Grants'!CK28+'Loans &amp; Grants'!CK29</f>
        <v>0</v>
      </c>
      <c r="CK97" s="14">
        <f>'Loans &amp; Grants'!CL28+'Loans &amp; Grants'!CL29</f>
        <v>0</v>
      </c>
    </row>
    <row r="98" spans="1:89" x14ac:dyDescent="0.2">
      <c r="B98" s="253" t="s">
        <v>313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470">
        <f>'Loans &amp; Grants'!Q50</f>
        <v>105000</v>
      </c>
      <c r="Q98" s="578">
        <f>'Loans &amp; Grants'!R50</f>
        <v>0</v>
      </c>
      <c r="R98" s="12">
        <f>'Loans &amp; Grants'!S50</f>
        <v>37000</v>
      </c>
      <c r="S98" s="12"/>
      <c r="T98" s="12">
        <f>'Loans &amp; Grants'!U50</f>
        <v>0</v>
      </c>
      <c r="U98" s="12">
        <f>'Loans &amp; Grants'!V50</f>
        <v>0</v>
      </c>
      <c r="V98" s="12">
        <f>'Loans &amp; Grants'!W50</f>
        <v>0</v>
      </c>
      <c r="W98" s="12">
        <f>'Loans &amp; Grants'!X50</f>
        <v>70169</v>
      </c>
      <c r="X98" s="12">
        <f>'Loans &amp; Grants'!Y50</f>
        <v>0</v>
      </c>
      <c r="Y98" s="12">
        <f>'Loans &amp; Grants'!Z50</f>
        <v>0</v>
      </c>
      <c r="Z98" s="12">
        <v>15000</v>
      </c>
      <c r="AA98" s="12">
        <f>'Loans &amp; Grants'!AB50</f>
        <v>0</v>
      </c>
      <c r="AB98" s="12">
        <f>'Loans &amp; Grants'!AC50</f>
        <v>0</v>
      </c>
      <c r="AC98" s="578">
        <f>'Loans &amp; Grants'!AD50</f>
        <v>0</v>
      </c>
      <c r="AD98" s="12">
        <f>'Loans &amp; Grants'!AE50</f>
        <v>0</v>
      </c>
      <c r="AE98" s="12">
        <f>'Loans &amp; Grants'!AF50</f>
        <v>0</v>
      </c>
      <c r="AF98" s="12">
        <f>'Loans &amp; Grants'!AG50</f>
        <v>45000</v>
      </c>
      <c r="AG98" s="14">
        <f>'Loans &amp; Grants'!AH50</f>
        <v>185033.1875</v>
      </c>
      <c r="AH98" s="12">
        <f>'Loans &amp; Grants'!AI50</f>
        <v>0</v>
      </c>
      <c r="AI98" s="12">
        <f>'Loans &amp; Grants'!AJ50</f>
        <v>125000</v>
      </c>
      <c r="AJ98" s="12">
        <f>'Loans &amp; Grants'!AK50</f>
        <v>255699.4</v>
      </c>
      <c r="AK98" s="12">
        <f>'Loans &amp; Grants'!AL50</f>
        <v>175000</v>
      </c>
      <c r="AL98" s="12">
        <f>'Loans &amp; Grants'!AM50</f>
        <v>25000</v>
      </c>
      <c r="AM98" s="12">
        <f>'Loans &amp; Grants'!AN50</f>
        <v>25000</v>
      </c>
      <c r="AN98" s="12">
        <f>'Loans &amp; Grants'!AO50</f>
        <v>275000</v>
      </c>
      <c r="AO98" s="578">
        <f>'Loans &amp; Grants'!AP50</f>
        <v>25000</v>
      </c>
      <c r="AP98" s="12">
        <f>'Loans &amp; Grants'!AQ50</f>
        <v>25000</v>
      </c>
      <c r="AQ98" s="12">
        <f>'Loans &amp; Grants'!AR50</f>
        <v>175000</v>
      </c>
      <c r="AR98" s="12">
        <f>'Loans &amp; Grants'!AS50</f>
        <v>25000</v>
      </c>
      <c r="AS98" s="14">
        <f>'Loans &amp; Grants'!AT50</f>
        <v>210033.1875</v>
      </c>
      <c r="AT98" s="12">
        <f>'Loans &amp; Grants'!AU50</f>
        <v>425000</v>
      </c>
      <c r="AU98" s="12">
        <f>'Loans &amp; Grants'!AV50</f>
        <v>0</v>
      </c>
      <c r="AV98" s="12">
        <f>'Loans &amp; Grants'!AW50</f>
        <v>230699.4</v>
      </c>
      <c r="AW98" s="12">
        <f>'Loans &amp; Grants'!AX50</f>
        <v>0</v>
      </c>
      <c r="AX98" s="12">
        <f>'Loans &amp; Grants'!AY50</f>
        <v>0</v>
      </c>
      <c r="AY98" s="12">
        <f>'Loans &amp; Grants'!AZ50</f>
        <v>0</v>
      </c>
      <c r="AZ98" s="12">
        <f>'Loans &amp; Grants'!BA50</f>
        <v>175000</v>
      </c>
      <c r="BA98" s="578">
        <f>'Loans &amp; Grants'!BB50</f>
        <v>0</v>
      </c>
      <c r="BB98" s="12">
        <f>'Loans &amp; Grants'!BC50</f>
        <v>0</v>
      </c>
      <c r="BC98" s="12">
        <f>'Loans &amp; Grants'!BD50</f>
        <v>0</v>
      </c>
      <c r="BD98" s="12">
        <f>'Loans &amp; Grants'!BE50</f>
        <v>0</v>
      </c>
      <c r="BE98" s="14">
        <f>'Loans &amp; Grants'!BF50</f>
        <v>185033.1875</v>
      </c>
      <c r="BF98" s="12">
        <f>'Loans &amp; Grants'!BG50</f>
        <v>0</v>
      </c>
      <c r="BG98" s="12">
        <f>'Loans &amp; Grants'!BH50</f>
        <v>0</v>
      </c>
      <c r="BH98" s="12">
        <f>'Loans &amp; Grants'!BI50</f>
        <v>230699.4</v>
      </c>
      <c r="BI98" s="12">
        <f>'Loans &amp; Grants'!BJ50</f>
        <v>0</v>
      </c>
      <c r="BJ98" s="12">
        <f>'Loans &amp; Grants'!BK50</f>
        <v>0</v>
      </c>
      <c r="BK98" s="12">
        <f>'Loans &amp; Grants'!BL50</f>
        <v>0</v>
      </c>
      <c r="BL98" s="12">
        <f>'Loans &amp; Grants'!BM50</f>
        <v>0</v>
      </c>
      <c r="BM98" s="578">
        <f>'Loans &amp; Grants'!BN50</f>
        <v>0</v>
      </c>
      <c r="BN98" s="12">
        <f>'Loans &amp; Grants'!BO50</f>
        <v>0</v>
      </c>
      <c r="BO98" s="12">
        <f>'Loans &amp; Grants'!BP50</f>
        <v>0</v>
      </c>
      <c r="BP98" s="12">
        <f>'Loans &amp; Grants'!BQ50</f>
        <v>0</v>
      </c>
      <c r="BQ98" s="14">
        <f>'Loans &amp; Grants'!BR50</f>
        <v>185033.1875</v>
      </c>
      <c r="BR98" s="12">
        <f>'Loans &amp; Grants'!BS50</f>
        <v>0</v>
      </c>
      <c r="BS98" s="12">
        <f>'Loans &amp; Grants'!BT50</f>
        <v>0</v>
      </c>
      <c r="BT98" s="12">
        <f>'Loans &amp; Grants'!BU50</f>
        <v>0</v>
      </c>
      <c r="BU98" s="12">
        <f>'Loans &amp; Grants'!BV50</f>
        <v>0</v>
      </c>
      <c r="BV98" s="12">
        <f>'Loans &amp; Grants'!BW50</f>
        <v>0</v>
      </c>
      <c r="BW98" s="12">
        <f>'Loans &amp; Grants'!BX50</f>
        <v>0</v>
      </c>
      <c r="BX98" s="12">
        <f>'Loans &amp; Grants'!BY50</f>
        <v>0</v>
      </c>
      <c r="BY98" s="578">
        <f>'Loans &amp; Grants'!BZ50</f>
        <v>0</v>
      </c>
      <c r="BZ98" s="12">
        <f>'Loans &amp; Grants'!CA50</f>
        <v>0</v>
      </c>
      <c r="CA98" s="12">
        <f>'Loans &amp; Grants'!CB50</f>
        <v>0</v>
      </c>
      <c r="CB98" s="12">
        <f>'Loans &amp; Grants'!CC50</f>
        <v>0</v>
      </c>
      <c r="CC98" s="665">
        <f>'Loans &amp; Grants'!CD50</f>
        <v>185033.1875</v>
      </c>
      <c r="CD98" s="12">
        <f>'Loans &amp; Grants'!CE50</f>
        <v>0</v>
      </c>
      <c r="CE98" s="12">
        <f>'Loans &amp; Grants'!CF50</f>
        <v>0</v>
      </c>
      <c r="CF98" s="12">
        <f>'Loans &amp; Grants'!CG50</f>
        <v>0</v>
      </c>
      <c r="CG98" s="12">
        <f>'Loans &amp; Grants'!CH50</f>
        <v>0</v>
      </c>
      <c r="CH98" s="12">
        <f>'Loans &amp; Grants'!CI50</f>
        <v>0</v>
      </c>
      <c r="CI98" s="12">
        <f>'Loans &amp; Grants'!CJ50</f>
        <v>0</v>
      </c>
      <c r="CJ98" s="12">
        <f>'Loans &amp; Grants'!CK50</f>
        <v>0</v>
      </c>
      <c r="CK98" s="578">
        <f>'Loans &amp; Grants'!CL50</f>
        <v>0</v>
      </c>
    </row>
    <row r="99" spans="1:89" x14ac:dyDescent="0.2">
      <c r="B99" s="253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470"/>
      <c r="Q99" s="578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578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578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578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578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578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578"/>
    </row>
    <row r="100" spans="1:89" x14ac:dyDescent="0.2">
      <c r="B100" s="253" t="s">
        <v>338</v>
      </c>
      <c r="D100" s="478">
        <f>SUM(P100:AC100)</f>
        <v>375000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477">
        <v>50000</v>
      </c>
      <c r="Q100" s="620">
        <v>0</v>
      </c>
      <c r="R100" s="691">
        <v>100000</v>
      </c>
      <c r="S100" s="691">
        <v>125000</v>
      </c>
      <c r="T100" s="691">
        <f>150000-150000</f>
        <v>0</v>
      </c>
      <c r="U100" s="691">
        <v>50000</v>
      </c>
      <c r="V100" s="14">
        <v>0</v>
      </c>
      <c r="W100" s="14"/>
      <c r="X100" s="691">
        <v>50000</v>
      </c>
      <c r="Y100" s="14">
        <v>0</v>
      </c>
      <c r="Z100" s="14"/>
      <c r="AA100" s="691">
        <v>0</v>
      </c>
      <c r="AB100" s="691">
        <v>0</v>
      </c>
      <c r="AC100" s="578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578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578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578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578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578"/>
    </row>
    <row r="101" spans="1:89" x14ac:dyDescent="0.2">
      <c r="B101" s="469" t="s">
        <v>177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470"/>
      <c r="Q101" s="578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578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578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578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578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578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578"/>
    </row>
    <row r="102" spans="1:89" x14ac:dyDescent="0.2">
      <c r="B102" s="468" t="s">
        <v>348</v>
      </c>
      <c r="D102" s="478">
        <f>SUM(P102:AD102)</f>
        <v>-25000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470"/>
      <c r="Q102" s="578"/>
      <c r="R102" s="14"/>
      <c r="S102" s="14"/>
      <c r="T102" s="14"/>
      <c r="U102" s="14"/>
      <c r="V102" s="106"/>
      <c r="X102" s="14"/>
      <c r="Y102" s="14"/>
      <c r="Z102" s="680">
        <v>-25000</v>
      </c>
      <c r="AA102" s="12"/>
      <c r="AD102" s="106"/>
      <c r="AF102" s="674">
        <v>-25000</v>
      </c>
      <c r="AG102" s="12"/>
      <c r="AH102" s="674">
        <v>-125000</v>
      </c>
      <c r="AI102" s="12"/>
      <c r="AJ102" s="12"/>
      <c r="AK102" s="12"/>
      <c r="AL102" s="12"/>
      <c r="AM102" s="12"/>
      <c r="AN102" s="12"/>
      <c r="AO102" s="578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578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578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578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578"/>
    </row>
    <row r="103" spans="1:89" x14ac:dyDescent="0.2">
      <c r="B103" s="468" t="s">
        <v>178</v>
      </c>
      <c r="D103" s="478">
        <f>SUM(P103:AD103)</f>
        <v>-75000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470"/>
      <c r="Q103" s="578"/>
      <c r="R103" s="14"/>
      <c r="S103" s="14"/>
      <c r="T103" s="14"/>
      <c r="U103" s="14"/>
      <c r="V103" s="106"/>
      <c r="X103" s="106"/>
      <c r="Y103" s="14"/>
      <c r="Z103" s="106">
        <v>-75000</v>
      </c>
      <c r="AA103" s="12"/>
      <c r="AB103" s="12"/>
      <c r="AD103" s="106"/>
      <c r="AF103" s="12"/>
      <c r="AG103" s="12"/>
      <c r="AH103" s="674">
        <v>-175000</v>
      </c>
      <c r="AI103" s="12"/>
      <c r="AJ103" s="12"/>
      <c r="AK103" s="12"/>
      <c r="AL103" s="12"/>
      <c r="AM103" s="12"/>
      <c r="AN103" s="12"/>
      <c r="AO103" s="578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578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578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578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578"/>
    </row>
    <row r="104" spans="1:89" x14ac:dyDescent="0.2">
      <c r="B104" s="468" t="s">
        <v>312</v>
      </c>
      <c r="D104" s="673">
        <f>SUM(P104:AH104)</f>
        <v>1672000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472">
        <v>60000</v>
      </c>
      <c r="Q104" s="577">
        <f>90000</f>
        <v>90000</v>
      </c>
      <c r="R104" s="14">
        <f>50000+32000</f>
        <v>82000</v>
      </c>
      <c r="S104" s="14">
        <v>80000</v>
      </c>
      <c r="T104" s="14">
        <v>300000</v>
      </c>
      <c r="U104" s="14">
        <v>100000</v>
      </c>
      <c r="V104" s="96">
        <v>100000</v>
      </c>
      <c r="W104" s="14">
        <v>170000</v>
      </c>
      <c r="X104" s="14">
        <v>90000</v>
      </c>
      <c r="Y104" s="14">
        <v>150000</v>
      </c>
      <c r="Z104" s="634">
        <v>50000</v>
      </c>
      <c r="AA104" s="14"/>
      <c r="AB104" s="634">
        <v>50000</v>
      </c>
      <c r="AC104" s="648">
        <v>100000</v>
      </c>
      <c r="AD104" s="634">
        <v>100000</v>
      </c>
      <c r="AE104" s="634">
        <v>100000</v>
      </c>
      <c r="AF104" s="12">
        <v>50000</v>
      </c>
      <c r="AG104" s="12"/>
      <c r="AH104" s="12"/>
      <c r="AI104" s="12"/>
      <c r="AJ104" s="12"/>
      <c r="AK104" s="12"/>
      <c r="AL104" s="12"/>
      <c r="AM104" s="12"/>
      <c r="AN104" s="12"/>
      <c r="AO104" s="578"/>
      <c r="AP104" s="12"/>
      <c r="AQ104" s="12"/>
      <c r="AR104" s="12"/>
      <c r="AU104" s="12"/>
      <c r="AV104" s="12"/>
      <c r="AW104" s="12"/>
      <c r="AX104" s="12"/>
      <c r="AY104" s="12"/>
      <c r="AZ104" s="12"/>
      <c r="BA104" s="578"/>
      <c r="BB104" s="12"/>
      <c r="BC104" s="12"/>
      <c r="BD104" s="12"/>
      <c r="BG104" s="12"/>
      <c r="BH104" s="12"/>
      <c r="BI104" s="12"/>
      <c r="BJ104" s="12"/>
      <c r="BK104" s="12"/>
      <c r="BL104" s="12"/>
      <c r="BM104" s="578"/>
      <c r="BN104" s="12"/>
      <c r="BO104" s="12"/>
      <c r="BP104" s="12"/>
      <c r="BS104" s="12"/>
      <c r="BT104" s="12"/>
      <c r="BU104" s="12"/>
      <c r="BV104" s="12"/>
      <c r="BW104" s="12"/>
      <c r="BX104" s="12"/>
      <c r="BY104" s="578"/>
      <c r="BZ104" s="12"/>
      <c r="CA104" s="12"/>
      <c r="CB104" s="12"/>
      <c r="CE104" s="12"/>
      <c r="CF104" s="12"/>
      <c r="CG104" s="12"/>
      <c r="CH104" s="12"/>
      <c r="CI104" s="12"/>
      <c r="CJ104" s="12"/>
      <c r="CK104" s="578"/>
    </row>
    <row r="105" spans="1:89" x14ac:dyDescent="0.2">
      <c r="B105" s="468" t="s">
        <v>179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470"/>
      <c r="Q105" s="578"/>
      <c r="R105" s="14"/>
      <c r="S105" s="14"/>
      <c r="T105" s="14"/>
      <c r="U105" s="106"/>
      <c r="V105" s="14"/>
      <c r="W105" s="14"/>
      <c r="X105" s="106"/>
      <c r="Y105" s="14"/>
      <c r="Z105" s="106"/>
      <c r="AA105" s="12"/>
      <c r="AB105" s="12"/>
      <c r="AD105" s="106"/>
      <c r="AE105" s="12"/>
      <c r="AF105" s="12"/>
      <c r="AG105" s="106">
        <v>-250000</v>
      </c>
      <c r="AH105" s="12"/>
      <c r="AI105" s="12"/>
      <c r="AJ105" s="12"/>
      <c r="AK105" s="12"/>
      <c r="AL105" s="106"/>
      <c r="AM105" s="106">
        <v>-250000</v>
      </c>
      <c r="AN105" s="12"/>
      <c r="AO105" s="578"/>
      <c r="AP105" s="12"/>
      <c r="AQ105" s="12"/>
      <c r="AR105" s="12"/>
      <c r="AS105" s="106">
        <v>-250000</v>
      </c>
      <c r="AT105" s="12"/>
      <c r="AU105" s="12"/>
      <c r="AV105" s="12"/>
      <c r="AW105" s="12"/>
      <c r="AX105" s="12"/>
      <c r="AZ105" s="12"/>
      <c r="BA105" s="578"/>
      <c r="BB105" s="12"/>
      <c r="BC105" s="12"/>
      <c r="BD105" s="106">
        <v>-500000</v>
      </c>
      <c r="BE105" s="106"/>
      <c r="BF105" s="12"/>
      <c r="BG105" s="12"/>
      <c r="BH105" s="12"/>
      <c r="BI105" s="12"/>
      <c r="BJ105" s="12"/>
      <c r="BK105" s="12"/>
      <c r="BL105" s="12"/>
      <c r="BM105" s="578"/>
      <c r="BN105" s="12"/>
      <c r="BO105" s="12"/>
      <c r="BP105" s="106">
        <v>-500000</v>
      </c>
      <c r="BQ105" s="106"/>
      <c r="BR105" s="12"/>
      <c r="BS105" s="12"/>
      <c r="BT105" s="12"/>
      <c r="BU105" s="12"/>
      <c r="BV105" s="12"/>
      <c r="BW105" s="12"/>
      <c r="BX105" s="12"/>
      <c r="BY105" s="578"/>
      <c r="BZ105" s="12"/>
      <c r="CA105" s="12"/>
      <c r="CB105" s="12"/>
      <c r="CC105" s="106"/>
      <c r="CD105" s="12"/>
      <c r="CE105" s="12"/>
      <c r="CF105" s="12"/>
      <c r="CG105" s="12"/>
      <c r="CH105" s="12"/>
      <c r="CI105" s="12"/>
      <c r="CJ105" s="12"/>
      <c r="CK105" s="578"/>
    </row>
    <row r="106" spans="1:89" x14ac:dyDescent="0.2">
      <c r="B106" s="468" t="s">
        <v>298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470"/>
      <c r="Q106" s="578"/>
      <c r="V106" s="106"/>
      <c r="X106" s="14"/>
      <c r="Z106" s="106"/>
      <c r="AD106" s="106"/>
      <c r="AG106" s="106">
        <v>-200000</v>
      </c>
    </row>
    <row r="107" spans="1:89" x14ac:dyDescent="0.2"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471"/>
      <c r="Q107" s="57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57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57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57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57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57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576"/>
    </row>
    <row r="108" spans="1:89" s="365" customFormat="1" x14ac:dyDescent="0.2">
      <c r="A108" s="571"/>
      <c r="B108" s="365" t="s">
        <v>180</v>
      </c>
      <c r="D108" s="366"/>
      <c r="E108" s="366"/>
      <c r="P108" s="473">
        <f>SUM(P82:P107)</f>
        <v>21427.070000000007</v>
      </c>
      <c r="Q108" s="571">
        <f>SUM(Q82:Q107)</f>
        <v>-89998.789999999979</v>
      </c>
      <c r="R108" s="365">
        <f>SUM(R82:R107)</f>
        <v>38111.089999999967</v>
      </c>
      <c r="S108" s="365">
        <f>SUM(S82:S107)</f>
        <v>48035.765843114641</v>
      </c>
      <c r="T108" s="365">
        <f>SUM(T82:T107)</f>
        <v>103294.01800949112</v>
      </c>
      <c r="U108" s="365">
        <f>SUM(U82:U107)</f>
        <v>71081.926818408421</v>
      </c>
      <c r="V108" s="365">
        <f>SUM(V82:V107)</f>
        <v>56581.608604614681</v>
      </c>
      <c r="W108" s="365">
        <f>SUM(W82:W107)</f>
        <v>131101.96424137941</v>
      </c>
      <c r="X108" s="365">
        <f>SUM(X82:X107)</f>
        <v>70056.483489190607</v>
      </c>
      <c r="Y108" s="365">
        <f>SUM(Y82:Y107)</f>
        <v>55320.647931940373</v>
      </c>
      <c r="Z108" s="365">
        <f>SUM(Z82:Z107)</f>
        <v>190816.63738571308</v>
      </c>
      <c r="AA108" s="365">
        <f>SUM(AA82:AA107)</f>
        <v>73098.69738571308</v>
      </c>
      <c r="AB108" s="365">
        <f>SUM(AB82:AB107)</f>
        <v>15419.757385713077</v>
      </c>
      <c r="AC108" s="571">
        <f>SUM(AC82:AC107)</f>
        <v>22779.817385713075</v>
      </c>
      <c r="AD108" s="365">
        <f>SUM(AD82:AD107)</f>
        <v>-4255.1626142869209</v>
      </c>
      <c r="AE108" s="365">
        <f>SUM(AE82:AE107)</f>
        <v>-11851.142614286917</v>
      </c>
      <c r="AF108" s="365">
        <f>SUM(AF82:AF107)</f>
        <v>226658.91527515987</v>
      </c>
      <c r="AG108" s="365">
        <f>SUM(AG82:AG107)</f>
        <v>2184532.672677665</v>
      </c>
      <c r="AH108" s="365">
        <f>SUM(AH82:AH107)</f>
        <v>1598097.930279461</v>
      </c>
      <c r="AI108" s="365">
        <f>SUM(AI82:AI107)</f>
        <v>1394181.6939389484</v>
      </c>
      <c r="AJ108" s="365">
        <f>SUM(AJ82:AJ107)</f>
        <v>1321312.7666936943</v>
      </c>
      <c r="AK108" s="365">
        <f>SUM(AK82:AK107)</f>
        <v>1135579.9487035633</v>
      </c>
      <c r="AL108" s="365">
        <f>SUM(AL82:AL107)</f>
        <v>938308.644075869</v>
      </c>
      <c r="AM108" s="365">
        <f>SUM(AM82:AM107)</f>
        <v>522412.6973761284</v>
      </c>
      <c r="AN108" s="365">
        <f>SUM(AN82:AN107)</f>
        <v>633133.25322679058</v>
      </c>
      <c r="AO108" s="571">
        <f>SUM(AO82:AO107)</f>
        <v>534628.2528681003</v>
      </c>
      <c r="AP108" s="365">
        <f>SUM(AP82:AP107)</f>
        <v>429825.03799211828</v>
      </c>
      <c r="AQ108" s="365">
        <f>SUM(AQ82:AQ107)</f>
        <v>514404.2183632321</v>
      </c>
      <c r="AR108" s="365">
        <f>SUM(AR82:AR107)</f>
        <v>481489.7897801022</v>
      </c>
      <c r="AS108" s="365">
        <f>SUM(AS82:AS107)</f>
        <v>376915.80554528534</v>
      </c>
      <c r="AT108" s="365">
        <f>SUM(AT82:AT107)</f>
        <v>801234.41602654662</v>
      </c>
      <c r="AU108" s="365">
        <f>SUM(AU82:AU107)</f>
        <v>834590.75332851172</v>
      </c>
      <c r="AV108" s="365">
        <f>SUM(AV82:AV107)</f>
        <v>1141547.7842749166</v>
      </c>
      <c r="AW108" s="365">
        <f>SUM(AW82:AW107)</f>
        <v>1256983.8019308059</v>
      </c>
      <c r="AX108" s="365">
        <f>SUM(AX82:AX107)</f>
        <v>1416483.8272664978</v>
      </c>
      <c r="AY108" s="365">
        <f>SUM(AY82:AY107)</f>
        <v>1621090.5484284814</v>
      </c>
      <c r="AZ108" s="365">
        <f>SUM(AZ82:AZ107)</f>
        <v>1853825.1503819383</v>
      </c>
      <c r="BA108" s="571">
        <f>SUM(BA82:BA107)</f>
        <v>1809452.6258435021</v>
      </c>
      <c r="BB108" s="365">
        <f>SUM(BB82:BB107)</f>
        <v>1856525.8417565611</v>
      </c>
      <c r="BC108" s="365">
        <f>SUM(BC82:BC107)</f>
        <v>1991710.8020850508</v>
      </c>
      <c r="BD108" s="365">
        <f>SUM(BD82:BD107)</f>
        <v>1667895.5462612733</v>
      </c>
      <c r="BE108" s="365">
        <f>SUM(BE82:BE107)</f>
        <v>2050940.5267619758</v>
      </c>
      <c r="BF108" s="365">
        <f>SUM(BF82:BF107)</f>
        <v>2311578.1106578037</v>
      </c>
      <c r="BG108" s="365">
        <f>SUM(BG82:BG107)</f>
        <v>2609613.026111363</v>
      </c>
      <c r="BH108" s="365">
        <f>SUM(BH82:BH107)</f>
        <v>3188706.9338364028</v>
      </c>
      <c r="BI108" s="365">
        <f>SUM(BI82:BI107)</f>
        <v>3582423.7061487287</v>
      </c>
      <c r="BJ108" s="365">
        <f>SUM(BJ82:BJ107)</f>
        <v>4022151.9348076815</v>
      </c>
      <c r="BK108" s="365">
        <f>SUM(BK82:BK107)</f>
        <v>4508558.4032571549</v>
      </c>
      <c r="BL108" s="365">
        <f>SUM(BL82:BL107)</f>
        <v>5042288.5050078742</v>
      </c>
      <c r="BM108" s="571">
        <f>SUM(BM82:BM107)</f>
        <v>5612467.2109525846</v>
      </c>
      <c r="BN108" s="365">
        <f>SUM(BN82:BN107)</f>
        <v>6239221.2268868778</v>
      </c>
      <c r="BO108" s="365">
        <f>SUM(BO82:BO107)</f>
        <v>6929573.1917815115</v>
      </c>
      <c r="BP108" s="365">
        <f>SUM(BP82:BP107)</f>
        <v>7164045.5089854272</v>
      </c>
      <c r="BQ108" s="365">
        <f>SUM(BQ82:BQ107)</f>
        <v>8113231.0212887274</v>
      </c>
      <c r="BR108" s="365">
        <f>SUM(BR82:BR107)</f>
        <v>8947606.6112324651</v>
      </c>
      <c r="BS108" s="365">
        <f>SUM(BS82:BS107)</f>
        <v>9826733.0403046831</v>
      </c>
      <c r="BT108" s="365">
        <f>SUM(BT82:BT107)</f>
        <v>10763339.544542853</v>
      </c>
      <c r="BU108" s="365">
        <f>SUM(BU82:BU107)</f>
        <v>11752166.167525301</v>
      </c>
      <c r="BV108" s="365">
        <f>SUM(BV82:BV107)</f>
        <v>12793689.350389292</v>
      </c>
      <c r="BW108" s="365">
        <f>SUM(BW82:BW107)</f>
        <v>13888372.513005674</v>
      </c>
      <c r="BX108" s="365">
        <f>SUM(BX82:BX107)</f>
        <v>15036666.606650649</v>
      </c>
      <c r="BY108" s="571">
        <f>SUM(BY82:BY107)</f>
        <v>16227510.639638886</v>
      </c>
      <c r="BZ108" s="365">
        <f>SUM(BZ82:BZ107)</f>
        <v>17480710.899433102</v>
      </c>
      <c r="CA108" s="365">
        <f>SUM(CA82:CA107)</f>
        <v>18787942.203084566</v>
      </c>
      <c r="CB108" s="365">
        <f>SUM(CB82:CB107)</f>
        <v>20150037.502054993</v>
      </c>
      <c r="CC108" s="365">
        <f>SUM(CC82:CC107)</f>
        <v>21732433.616279747</v>
      </c>
      <c r="CD108" s="365">
        <f>SUM(CD82:CD107)</f>
        <v>23205457.995346081</v>
      </c>
      <c r="CE108" s="365">
        <f>SUM(CE82:CE107)</f>
        <v>24728528.235966034</v>
      </c>
      <c r="CF108" s="365">
        <f>SUM(CF82:CF107)</f>
        <v>26314236.372354791</v>
      </c>
      <c r="CG108" s="365">
        <f>SUM(CG82:CG107)</f>
        <v>27957190.919635553</v>
      </c>
      <c r="CH108" s="365">
        <f>SUM(CH82:CH107)</f>
        <v>29657742.189092319</v>
      </c>
      <c r="CI108" s="365">
        <f>SUM(CI82:CI107)</f>
        <v>31416232.60862717</v>
      </c>
      <c r="CJ108" s="365">
        <f>SUM(CJ82:CJ107)</f>
        <v>33232997.02802993</v>
      </c>
      <c r="CK108" s="571">
        <f>SUM(CK82:CK107)</f>
        <v>35096863.009830162</v>
      </c>
    </row>
    <row r="109" spans="1:89" x14ac:dyDescent="0.2">
      <c r="Q109" s="621"/>
      <c r="R109" s="131"/>
      <c r="S109" s="131"/>
      <c r="T109" s="131"/>
      <c r="U109" s="131"/>
    </row>
    <row r="110" spans="1:89" x14ac:dyDescent="0.2">
      <c r="Q110" s="621"/>
      <c r="R110" s="131"/>
      <c r="S110" s="131"/>
      <c r="T110" s="131"/>
      <c r="U110" s="131"/>
    </row>
    <row r="111" spans="1:89" x14ac:dyDescent="0.2">
      <c r="B111" s="17" t="s">
        <v>296</v>
      </c>
      <c r="Q111" s="578">
        <v>1752759</v>
      </c>
      <c r="R111" s="16">
        <f>+Q111-R85-R87-R86</f>
        <v>1823087.32</v>
      </c>
      <c r="S111" s="16">
        <f>+R111-S85-S87-S86</f>
        <v>1892356.1341568853</v>
      </c>
      <c r="T111" s="16">
        <f>+S111-T85-T87-T86</f>
        <v>1961148.0519905088</v>
      </c>
      <c r="U111" s="16">
        <f>+T111-U85-U87-U86</f>
        <v>2019488.5731815915</v>
      </c>
      <c r="V111" s="16">
        <f>+U111-V85-V87-V86</f>
        <v>2037735.5213953853</v>
      </c>
      <c r="W111" s="16">
        <f>+V111-W85-W87-W86</f>
        <v>2105896.5857586204</v>
      </c>
      <c r="X111" s="16">
        <f>+W111-X85-X87-X86</f>
        <v>2249167.1365108094</v>
      </c>
      <c r="Y111" s="16">
        <f>+X111-Y85-Y87-Y86</f>
        <v>2317723.1420680596</v>
      </c>
      <c r="Z111" s="16">
        <f>+Y111-Z85-Z87-Z86</f>
        <v>2361562.492614287</v>
      </c>
      <c r="AA111" s="16">
        <f>+Z111-AA85-AA87-AA86</f>
        <v>2405680.0022308943</v>
      </c>
      <c r="AB111" s="16">
        <f>+AA111-AB85-AB87-AB86</f>
        <v>2440266.3585408698</v>
      </c>
      <c r="AC111" s="576">
        <f>+AB111-AC85-AC87-AC86</f>
        <v>2460316.1452333028</v>
      </c>
      <c r="AD111" s="16">
        <f>+AC111-AD85-AD87-AD86</f>
        <v>2530844.0094161248</v>
      </c>
      <c r="AE111" s="16">
        <f>+AD111-AE85-AE87-AE86</f>
        <v>2602191.2667123578</v>
      </c>
      <c r="AF111" s="16">
        <f>+AE111-AF85-AF87-AF86</f>
        <v>2675106.9551760363</v>
      </c>
      <c r="AG111" s="16">
        <f>+AF111-AG85-AG87-AG86</f>
        <v>2756758.0702480981</v>
      </c>
      <c r="AH111" s="16">
        <f>+AG111-AH85-AH87-AH86</f>
        <v>2848693.2905029408</v>
      </c>
      <c r="AI111" s="16">
        <f>+AH111-AI85-AI87-AI86</f>
        <v>2952164.2323244167</v>
      </c>
      <c r="AJ111" s="16">
        <f>+AI111-AJ85-AJ87-AJ86</f>
        <v>3067977.5866434588</v>
      </c>
      <c r="AK111" s="16">
        <f>+AJ111-AK85-AK87-AK86</f>
        <v>3197100.8731102124</v>
      </c>
      <c r="AL111" s="16">
        <f>+AK111-AL85-AL87-AL86</f>
        <v>3182636.8494217112</v>
      </c>
      <c r="AM111" s="16">
        <f>+AL111-AM85-AM87-AM86</f>
        <v>3152046.1815533005</v>
      </c>
      <c r="AN111" s="16">
        <f>+AM111-AN85-AN87-AN86</f>
        <v>3104021.7741818079</v>
      </c>
      <c r="AO111" s="576">
        <f>+AN111-AO85-AO87-AO86</f>
        <v>3039528.1556974058</v>
      </c>
      <c r="AP111" s="16">
        <f>+AO111-AP85-AP87-AP86</f>
        <v>2945883.1932262923</v>
      </c>
      <c r="AQ111" s="16">
        <f>+AP111-AQ85-AQ87-AQ86</f>
        <v>2828530.0608397014</v>
      </c>
      <c r="AR111" s="16">
        <f>+AQ111-AR85-AR87-AR86</f>
        <v>2685314.3558900277</v>
      </c>
      <c r="AS111" s="16">
        <f>+AR111-AS85-AS87-AS86</f>
        <v>2545639.4670533095</v>
      </c>
      <c r="AT111" s="16">
        <f>+AS111-AT85-AT87-AT86</f>
        <v>2379290.2497818843</v>
      </c>
      <c r="AU111" s="16">
        <f>+AT111-AU85-AU87-AU86</f>
        <v>2190554.3654827513</v>
      </c>
      <c r="AV111" s="16">
        <f>+AU111-AV85-AV87-AV86</f>
        <v>1983180.5793691487</v>
      </c>
      <c r="AW111" s="16">
        <f>+AV111-AW85-AW87-AW86</f>
        <v>1755525.3392155042</v>
      </c>
      <c r="AX111" s="16">
        <f>+AW111-AX85-AX87-AX86</f>
        <v>1503082.7444976023</v>
      </c>
      <c r="AY111" s="16">
        <f>+AX111-AY85-AY87-AY86</f>
        <v>1225186.0034554321</v>
      </c>
      <c r="AZ111" s="16">
        <f>+AY111-AZ85-AZ87-AZ86</f>
        <v>1114186.0034554321</v>
      </c>
      <c r="BA111" s="16">
        <f>+AZ111-BA85-BA87-BA86</f>
        <v>1114186.0034554321</v>
      </c>
      <c r="BB111" s="16">
        <f>+BA111-BB85-BB87-BB86</f>
        <v>1114186.0034554321</v>
      </c>
      <c r="BC111" s="16">
        <f>+BB111-BC85-BC87-BC86</f>
        <v>1114186.0034554321</v>
      </c>
      <c r="BD111" s="16">
        <f>+BC111-BD85-BD87-BD86</f>
        <v>1114186.0034554321</v>
      </c>
      <c r="BE111" s="16">
        <f>+BD111-BE85-BE87-BE86</f>
        <v>1114186.0034554321</v>
      </c>
      <c r="BF111" s="16">
        <f>+BE111-BF85-BF87-BF86</f>
        <v>1114186.0034554321</v>
      </c>
      <c r="BG111" s="16">
        <f>+BF111-BG85-BG87-BG86</f>
        <v>1114186.0034554321</v>
      </c>
      <c r="BH111" s="16">
        <f>+BG111-BH85-BH87-BH86</f>
        <v>1114186.0034554321</v>
      </c>
      <c r="BI111" s="16">
        <f>+BH111-BI85-BI87-BI86</f>
        <v>1114186.0034554321</v>
      </c>
      <c r="BJ111" s="16">
        <f>+BI111-BJ85-BJ87-BJ86</f>
        <v>1114186.0034554321</v>
      </c>
      <c r="BK111" s="16">
        <f>+BJ111-BK85-BK87-BK86</f>
        <v>1114186.0034554321</v>
      </c>
      <c r="BL111" s="16">
        <f>+BK111-BL85-BL87-BL86</f>
        <v>1114186.0034554321</v>
      </c>
      <c r="BM111" s="16">
        <f>+BL111-BM85-BM87-BM86</f>
        <v>1114186.0034554321</v>
      </c>
      <c r="BN111" s="16">
        <f>+BM111-BN85-BN87-BN86</f>
        <v>1114186.0034554321</v>
      </c>
      <c r="BO111" s="16">
        <f>+BN111-BO85-BO87-BO86</f>
        <v>1114186.0034554321</v>
      </c>
      <c r="BP111" s="16">
        <f>+BO111-BP85-BP87-BP86</f>
        <v>1114186.0034554321</v>
      </c>
      <c r="BQ111" s="16">
        <f>+BP111-BQ85-BQ87-BQ86</f>
        <v>1114186.0034554321</v>
      </c>
      <c r="BR111" s="16">
        <f>+BQ111-BR85-BR87-BR86</f>
        <v>1114186.0034554321</v>
      </c>
      <c r="BS111" s="16">
        <f>+BR111-BS85-BS87-BS86</f>
        <v>1114186.0034554321</v>
      </c>
      <c r="BT111" s="16">
        <f>+BS111-BT85-BT87-BT86</f>
        <v>1114186.0034554321</v>
      </c>
      <c r="BU111" s="16">
        <f>+BT111-BU85-BU87-BU86</f>
        <v>1114186.0034554321</v>
      </c>
      <c r="BV111" s="16">
        <f>+BU111-BV85-BV87-BV86</f>
        <v>1114186.0034554321</v>
      </c>
      <c r="BW111" s="16">
        <f>+BV111-BW85-BW87-BW86</f>
        <v>1114186.0034554321</v>
      </c>
      <c r="BX111" s="16">
        <f>+BW111-BX85-BX87-BX86</f>
        <v>1114186.0034554321</v>
      </c>
      <c r="BY111" s="16">
        <f>+BX111-BY85-BY87-BY86</f>
        <v>1114186.0034554321</v>
      </c>
      <c r="BZ111" s="16">
        <f>+BY111-BZ85-BZ87-BZ86</f>
        <v>1114186.0034554321</v>
      </c>
      <c r="CA111" s="16">
        <f>+BZ111-CA85-CA87-CA86</f>
        <v>1114186.0034554321</v>
      </c>
      <c r="CB111" s="16">
        <f>+CA111-CB85-CB87-CB86</f>
        <v>1114186.0034554321</v>
      </c>
      <c r="CC111" s="16">
        <f>+CB111-CC85-CC87-CC86</f>
        <v>1114186.0034554321</v>
      </c>
      <c r="CD111" s="16">
        <f>+CC111-CD85-CD87-CD86</f>
        <v>1114186.0034554321</v>
      </c>
      <c r="CE111" s="16">
        <f>+CD111-CE85-CE87-CE86</f>
        <v>1114186.0034554321</v>
      </c>
      <c r="CF111" s="16">
        <f>+CE111-CF85-CF87-CF86</f>
        <v>1114186.0034554321</v>
      </c>
      <c r="CG111" s="16">
        <f>+CF111-CG85-CG87-CG86</f>
        <v>1114186.0034554321</v>
      </c>
      <c r="CH111" s="16">
        <f>+CG111-CH85-CH87-CH86</f>
        <v>1114186.0034554321</v>
      </c>
      <c r="CI111" s="16">
        <f>+CH111-CI85-CI87-CI86</f>
        <v>1114186.0034554321</v>
      </c>
      <c r="CJ111" s="16">
        <f>+CI111-CJ85-CJ87-CJ86</f>
        <v>1114186.0034554321</v>
      </c>
      <c r="CK111" s="16">
        <f>+CJ111-CK85-CK87-CK86</f>
        <v>1114186.0034554321</v>
      </c>
    </row>
    <row r="115" spans="2:89" x14ac:dyDescent="0.2">
      <c r="B115" s="569" t="s">
        <v>202</v>
      </c>
      <c r="C115" s="274"/>
      <c r="D115" s="275"/>
      <c r="E115" s="275"/>
      <c r="F115" s="718"/>
      <c r="G115" s="719"/>
      <c r="H115" s="719"/>
      <c r="I115" s="719"/>
      <c r="J115" s="719"/>
      <c r="K115" s="719"/>
      <c r="L115" s="719"/>
      <c r="M115" s="719"/>
      <c r="N115" s="719"/>
      <c r="O115" s="719"/>
      <c r="P115" s="719"/>
      <c r="Q115" s="720"/>
      <c r="R115" s="718">
        <v>2023</v>
      </c>
      <c r="S115" s="719"/>
      <c r="T115" s="719"/>
      <c r="U115" s="719"/>
      <c r="V115" s="719"/>
      <c r="W115" s="719"/>
      <c r="X115" s="719"/>
      <c r="Y115" s="719"/>
      <c r="Z115" s="719"/>
      <c r="AA115" s="719"/>
      <c r="AB115" s="719"/>
      <c r="AC115" s="720"/>
      <c r="AD115" s="718">
        <v>2024</v>
      </c>
      <c r="AE115" s="719"/>
      <c r="AF115" s="719"/>
      <c r="AG115" s="719"/>
      <c r="AH115" s="719"/>
      <c r="AI115" s="719"/>
      <c r="AJ115" s="719"/>
      <c r="AK115" s="719"/>
      <c r="AL115" s="719"/>
      <c r="AM115" s="719"/>
      <c r="AN115" s="719"/>
      <c r="AO115" s="720"/>
      <c r="AP115" s="710">
        <v>2025</v>
      </c>
      <c r="AQ115" s="711"/>
      <c r="AR115" s="711"/>
      <c r="AS115" s="711"/>
      <c r="AT115" s="711"/>
      <c r="AU115" s="711"/>
      <c r="AV115" s="711"/>
      <c r="AW115" s="711"/>
      <c r="AX115" s="711"/>
      <c r="AY115" s="711"/>
      <c r="AZ115" s="711"/>
      <c r="BA115" s="712"/>
      <c r="BB115" s="710">
        <v>2026</v>
      </c>
      <c r="BC115" s="711"/>
      <c r="BD115" s="711"/>
      <c r="BE115" s="711"/>
      <c r="BF115" s="711"/>
      <c r="BG115" s="711"/>
      <c r="BH115" s="711"/>
      <c r="BI115" s="711"/>
      <c r="BJ115" s="711"/>
      <c r="BK115" s="711"/>
      <c r="BL115" s="711"/>
      <c r="BM115" s="712"/>
      <c r="BN115" s="710">
        <v>2027</v>
      </c>
      <c r="BO115" s="711"/>
      <c r="BP115" s="711"/>
      <c r="BQ115" s="711"/>
      <c r="BR115" s="711"/>
      <c r="BS115" s="711"/>
      <c r="BT115" s="711"/>
      <c r="BU115" s="711"/>
      <c r="BV115" s="711"/>
      <c r="BW115" s="711"/>
      <c r="BX115" s="711"/>
      <c r="BY115" s="712"/>
      <c r="BZ115" s="710">
        <v>2028</v>
      </c>
      <c r="CA115" s="711"/>
      <c r="CB115" s="711"/>
      <c r="CC115" s="711"/>
      <c r="CD115" s="711"/>
      <c r="CE115" s="711"/>
      <c r="CF115" s="711"/>
      <c r="CG115" s="711"/>
      <c r="CH115" s="711"/>
      <c r="CI115" s="711"/>
      <c r="CJ115" s="711"/>
      <c r="CK115" s="712"/>
    </row>
    <row r="116" spans="2:89" x14ac:dyDescent="0.2">
      <c r="B116" s="274"/>
      <c r="C116" s="277"/>
      <c r="D116" s="278"/>
      <c r="E116" s="278"/>
      <c r="F116" s="534"/>
      <c r="G116" s="279"/>
      <c r="H116" s="279"/>
      <c r="I116" s="280"/>
      <c r="J116" s="280"/>
      <c r="K116" s="280"/>
      <c r="L116" s="279"/>
      <c r="M116" s="280"/>
      <c r="N116" s="280"/>
      <c r="O116" s="493"/>
      <c r="P116" s="288">
        <v>44866</v>
      </c>
      <c r="Q116" s="622">
        <v>44896</v>
      </c>
      <c r="R116" s="490">
        <v>44927</v>
      </c>
      <c r="S116" s="288">
        <v>44958</v>
      </c>
      <c r="T116" s="288">
        <v>44986</v>
      </c>
      <c r="U116" s="288">
        <v>45017</v>
      </c>
      <c r="V116" s="288">
        <v>45047</v>
      </c>
      <c r="W116" s="288">
        <v>45078</v>
      </c>
      <c r="X116" s="288">
        <v>45108</v>
      </c>
      <c r="Y116" s="288">
        <v>45139</v>
      </c>
      <c r="Z116" s="288">
        <v>45170</v>
      </c>
      <c r="AA116" s="288">
        <v>45200</v>
      </c>
      <c r="AB116" s="288">
        <v>45231</v>
      </c>
      <c r="AC116" s="622">
        <v>45261</v>
      </c>
      <c r="AD116" s="490">
        <v>45292</v>
      </c>
      <c r="AE116" s="288">
        <v>45323</v>
      </c>
      <c r="AF116" s="288">
        <v>45352</v>
      </c>
      <c r="AG116" s="288">
        <v>45383</v>
      </c>
      <c r="AH116" s="288">
        <v>45413</v>
      </c>
      <c r="AI116" s="288">
        <v>45444</v>
      </c>
      <c r="AJ116" s="288">
        <v>45474</v>
      </c>
      <c r="AK116" s="288">
        <v>45505</v>
      </c>
      <c r="AL116" s="288">
        <v>45536</v>
      </c>
      <c r="AM116" s="288">
        <v>45566</v>
      </c>
      <c r="AN116" s="288">
        <v>45597</v>
      </c>
      <c r="AO116" s="622">
        <v>45627</v>
      </c>
      <c r="AP116" s="490">
        <v>45658</v>
      </c>
      <c r="AQ116" s="288">
        <v>45689</v>
      </c>
      <c r="AR116" s="288">
        <v>45717</v>
      </c>
      <c r="AS116" s="288">
        <v>45748</v>
      </c>
      <c r="AT116" s="288">
        <v>45778</v>
      </c>
      <c r="AU116" s="288">
        <v>45809</v>
      </c>
      <c r="AV116" s="288">
        <v>45839</v>
      </c>
      <c r="AW116" s="288">
        <v>45870</v>
      </c>
      <c r="AX116" s="288">
        <v>45901</v>
      </c>
      <c r="AY116" s="288">
        <v>45931</v>
      </c>
      <c r="AZ116" s="288">
        <v>45962</v>
      </c>
      <c r="BA116" s="622">
        <v>45992</v>
      </c>
      <c r="BB116" s="490">
        <v>45658</v>
      </c>
      <c r="BC116" s="288">
        <v>45689</v>
      </c>
      <c r="BD116" s="288">
        <v>45717</v>
      </c>
      <c r="BE116" s="288">
        <v>45748</v>
      </c>
      <c r="BF116" s="288">
        <v>45778</v>
      </c>
      <c r="BG116" s="288">
        <v>45809</v>
      </c>
      <c r="BH116" s="288">
        <v>45839</v>
      </c>
      <c r="BI116" s="288">
        <v>45870</v>
      </c>
      <c r="BJ116" s="288">
        <v>45901</v>
      </c>
      <c r="BK116" s="288">
        <v>45931</v>
      </c>
      <c r="BL116" s="288">
        <v>45962</v>
      </c>
      <c r="BM116" s="622">
        <v>45992</v>
      </c>
      <c r="BN116" s="490">
        <v>45658</v>
      </c>
      <c r="BO116" s="288">
        <v>45689</v>
      </c>
      <c r="BP116" s="288">
        <v>45717</v>
      </c>
      <c r="BQ116" s="288">
        <v>45748</v>
      </c>
      <c r="BR116" s="288">
        <v>45778</v>
      </c>
      <c r="BS116" s="288">
        <v>45809</v>
      </c>
      <c r="BT116" s="288">
        <v>45839</v>
      </c>
      <c r="BU116" s="288">
        <v>45870</v>
      </c>
      <c r="BV116" s="288">
        <v>45901</v>
      </c>
      <c r="BW116" s="288">
        <v>45931</v>
      </c>
      <c r="BX116" s="288">
        <v>45962</v>
      </c>
      <c r="BY116" s="622">
        <v>45992</v>
      </c>
      <c r="BZ116" s="490">
        <v>45658</v>
      </c>
      <c r="CA116" s="288">
        <v>45689</v>
      </c>
      <c r="CB116" s="288">
        <v>45717</v>
      </c>
      <c r="CC116" s="288">
        <v>45748</v>
      </c>
      <c r="CD116" s="288">
        <v>45778</v>
      </c>
      <c r="CE116" s="288">
        <v>45809</v>
      </c>
      <c r="CF116" s="288">
        <v>45839</v>
      </c>
      <c r="CG116" s="288">
        <v>45870</v>
      </c>
      <c r="CH116" s="288">
        <v>45901</v>
      </c>
      <c r="CI116" s="288">
        <v>45931</v>
      </c>
      <c r="CJ116" s="288">
        <v>45962</v>
      </c>
      <c r="CK116" s="622">
        <v>45992</v>
      </c>
    </row>
    <row r="118" spans="2:89" x14ac:dyDescent="0.2">
      <c r="B118" s="2" t="s">
        <v>203</v>
      </c>
    </row>
    <row r="119" spans="2:89" x14ac:dyDescent="0.2">
      <c r="B119" s="253" t="s">
        <v>4</v>
      </c>
      <c r="P119" s="503">
        <f t="shared" ref="P119:Q119" si="195">P34/P$24</f>
        <v>1.1436086179171356</v>
      </c>
      <c r="Q119" s="623">
        <f t="shared" si="195"/>
        <v>1.1631158959020276</v>
      </c>
      <c r="R119" s="252">
        <f>R34/R$24</f>
        <v>1.1277663109256697</v>
      </c>
      <c r="S119" s="252">
        <f t="shared" ref="S119:BA119" si="196">S34/S24</f>
        <v>1.3361959285683149</v>
      </c>
      <c r="T119" s="252">
        <f t="shared" si="196"/>
        <v>2.0204609782704841</v>
      </c>
      <c r="U119" s="252">
        <f t="shared" si="196"/>
        <v>1.4221710337670848</v>
      </c>
      <c r="V119" s="252">
        <f t="shared" si="196"/>
        <v>1.3124962112622616</v>
      </c>
      <c r="W119" s="252">
        <f t="shared" si="196"/>
        <v>1.4104801115682526</v>
      </c>
      <c r="X119" s="252">
        <f t="shared" si="196"/>
        <v>1.0384281332157435</v>
      </c>
      <c r="Y119" s="252">
        <f t="shared" si="196"/>
        <v>1.4732716815157325</v>
      </c>
      <c r="Z119" s="252">
        <f t="shared" si="196"/>
        <v>1.3022266956159145</v>
      </c>
      <c r="AA119" s="252">
        <f t="shared" si="196"/>
        <v>1.3103186226235113</v>
      </c>
      <c r="AB119" s="252">
        <f t="shared" si="196"/>
        <v>1.3014901886307975</v>
      </c>
      <c r="AC119" s="623">
        <f t="shared" si="196"/>
        <v>1.2928798826704104</v>
      </c>
      <c r="AD119" s="252">
        <f t="shared" si="196"/>
        <v>1.1343034547682402</v>
      </c>
      <c r="AE119" s="252">
        <f t="shared" si="196"/>
        <v>0.84095734403469369</v>
      </c>
      <c r="AF119" s="252">
        <f t="shared" si="196"/>
        <v>0.82286818192613842</v>
      </c>
      <c r="AG119" s="252">
        <f t="shared" si="196"/>
        <v>0.98779014341059279</v>
      </c>
      <c r="AH119" s="252">
        <f t="shared" si="196"/>
        <v>0.87729345122679814</v>
      </c>
      <c r="AI119" s="252">
        <f t="shared" si="196"/>
        <v>0.91881673888079651</v>
      </c>
      <c r="AJ119" s="252">
        <f t="shared" si="196"/>
        <v>0.82089698456909066</v>
      </c>
      <c r="AK119" s="252">
        <f t="shared" si="196"/>
        <v>0.73627953512329525</v>
      </c>
      <c r="AL119" s="252">
        <f t="shared" si="196"/>
        <v>0.64416762906066138</v>
      </c>
      <c r="AM119" s="252">
        <f t="shared" si="196"/>
        <v>0.5693186739434517</v>
      </c>
      <c r="AN119" s="252">
        <f t="shared" si="196"/>
        <v>0.50649621764419639</v>
      </c>
      <c r="AO119" s="623">
        <f t="shared" si="196"/>
        <v>0.4611593694552602</v>
      </c>
      <c r="AP119" s="252">
        <f t="shared" si="196"/>
        <v>0.51550195693167722</v>
      </c>
      <c r="AQ119" s="252">
        <f t="shared" si="196"/>
        <v>0.47070440982027484</v>
      </c>
      <c r="AR119" s="252">
        <f t="shared" si="196"/>
        <v>0.43110604958844295</v>
      </c>
      <c r="AS119" s="252">
        <f t="shared" si="196"/>
        <v>0.39657576413982026</v>
      </c>
      <c r="AT119" s="252">
        <f t="shared" si="196"/>
        <v>0.36626202361339805</v>
      </c>
      <c r="AU119" s="252">
        <f t="shared" si="196"/>
        <v>0.33948809450815665</v>
      </c>
      <c r="AV119" s="252">
        <f t="shared" si="196"/>
        <v>0.31531296402073594</v>
      </c>
      <c r="AW119" s="252">
        <f t="shared" si="196"/>
        <v>0.29380217935353198</v>
      </c>
      <c r="AX119" s="252">
        <f t="shared" si="196"/>
        <v>0.27456600213943122</v>
      </c>
      <c r="AY119" s="252">
        <f t="shared" si="196"/>
        <v>0.25728496139454998</v>
      </c>
      <c r="AZ119" s="252">
        <f t="shared" si="196"/>
        <v>0.24169493295131703</v>
      </c>
      <c r="BA119" s="623">
        <f t="shared" si="196"/>
        <v>0.22757583623026259</v>
      </c>
      <c r="BB119" s="252">
        <f t="shared" ref="BB119:BM119" si="197">BB34/BB24</f>
        <v>0.20069051954829628</v>
      </c>
      <c r="BC119" s="252">
        <f t="shared" si="197"/>
        <v>0.17299359022840541</v>
      </c>
      <c r="BD119" s="252">
        <f t="shared" si="197"/>
        <v>0.16123464628359693</v>
      </c>
      <c r="BE119" s="252">
        <f t="shared" si="197"/>
        <v>0.15076140365571553</v>
      </c>
      <c r="BF119" s="252">
        <f t="shared" si="197"/>
        <v>0.14138581221232444</v>
      </c>
      <c r="BG119" s="252">
        <f t="shared" si="197"/>
        <v>0.13295375166441836</v>
      </c>
      <c r="BH119" s="252">
        <f t="shared" si="197"/>
        <v>0.12527889902377784</v>
      </c>
      <c r="BI119" s="252">
        <f t="shared" si="197"/>
        <v>0.11832764574646543</v>
      </c>
      <c r="BJ119" s="252">
        <f t="shared" si="197"/>
        <v>0.11200798405158409</v>
      </c>
      <c r="BK119" s="252">
        <f t="shared" si="197"/>
        <v>0.10624242384136412</v>
      </c>
      <c r="BL119" s="252">
        <f t="shared" si="197"/>
        <v>0.10096528319822247</v>
      </c>
      <c r="BM119" s="623">
        <f t="shared" si="197"/>
        <v>9.6120558342023182E-2</v>
      </c>
      <c r="BN119" s="252">
        <f t="shared" ref="BN119:BY119" si="198">BN34/BN24</f>
        <v>9.1719623129188591E-2</v>
      </c>
      <c r="BO119" s="252">
        <f t="shared" si="198"/>
        <v>8.765039444315581E-2</v>
      </c>
      <c r="BP119" s="252">
        <f t="shared" si="198"/>
        <v>8.3855792220916214E-2</v>
      </c>
      <c r="BQ119" s="252">
        <f t="shared" si="198"/>
        <v>8.0333787651777039E-2</v>
      </c>
      <c r="BR119" s="252">
        <f t="shared" si="198"/>
        <v>7.7057786813075554E-2</v>
      </c>
      <c r="BS119" s="252">
        <f t="shared" si="198"/>
        <v>7.4004429369126004E-2</v>
      </c>
      <c r="BT119" s="252">
        <f t="shared" si="198"/>
        <v>7.113412697815652E-2</v>
      </c>
      <c r="BU119" s="252">
        <f t="shared" si="198"/>
        <v>6.8450769551340024E-2</v>
      </c>
      <c r="BV119" s="252">
        <f t="shared" si="198"/>
        <v>6.5937708804141182E-2</v>
      </c>
      <c r="BW119" s="252">
        <f t="shared" si="198"/>
        <v>6.358015309444863E-2</v>
      </c>
      <c r="BX119" s="252">
        <f t="shared" si="198"/>
        <v>6.1364920638271869E-2</v>
      </c>
      <c r="BY119" s="623">
        <f t="shared" si="198"/>
        <v>5.928023058714136E-2</v>
      </c>
      <c r="BZ119" s="252">
        <f t="shared" ref="BZ119:CK119" si="199">BZ34/BZ24</f>
        <v>5.7338741150597283E-2</v>
      </c>
      <c r="CA119" s="252">
        <f t="shared" si="199"/>
        <v>5.5504430803429955E-2</v>
      </c>
      <c r="CB119" s="252">
        <f t="shared" si="199"/>
        <v>5.3759633558329745E-2</v>
      </c>
      <c r="CC119" s="252">
        <f t="shared" si="199"/>
        <v>5.2107904704149201E-2</v>
      </c>
      <c r="CD119" s="252">
        <f t="shared" si="199"/>
        <v>5.0542423516844799E-2</v>
      </c>
      <c r="CE119" s="252">
        <f t="shared" si="199"/>
        <v>4.90569968907019E-2</v>
      </c>
      <c r="CF119" s="252">
        <f t="shared" si="199"/>
        <v>4.7637472418854909E-2</v>
      </c>
      <c r="CG119" s="252">
        <f t="shared" si="199"/>
        <v>4.6288321498439776E-2</v>
      </c>
      <c r="CH119" s="252">
        <f t="shared" si="199"/>
        <v>4.5004721910040915E-2</v>
      </c>
      <c r="CI119" s="252">
        <f t="shared" si="199"/>
        <v>4.3782268108233352E-2</v>
      </c>
      <c r="CJ119" s="252">
        <f t="shared" si="199"/>
        <v>4.2616928090543654E-2</v>
      </c>
      <c r="CK119" s="623">
        <f t="shared" si="199"/>
        <v>4.1505005442021577E-2</v>
      </c>
    </row>
    <row r="120" spans="2:89" x14ac:dyDescent="0.2">
      <c r="B120" s="560" t="s">
        <v>16</v>
      </c>
      <c r="P120" s="503">
        <f t="shared" ref="P120:Q120" si="200">P35/P$24</f>
        <v>0</v>
      </c>
      <c r="Q120" s="623">
        <f t="shared" si="200"/>
        <v>0</v>
      </c>
      <c r="R120" s="252">
        <f>R35/R$24</f>
        <v>0</v>
      </c>
      <c r="S120" s="252">
        <f t="shared" ref="S120:BA120" si="201">S35/S$24</f>
        <v>0</v>
      </c>
      <c r="T120" s="252">
        <f t="shared" si="201"/>
        <v>0</v>
      </c>
      <c r="U120" s="252">
        <f t="shared" si="201"/>
        <v>0.54083414121277495</v>
      </c>
      <c r="V120" s="252">
        <f t="shared" si="201"/>
        <v>0.31253578252308606</v>
      </c>
      <c r="W120" s="252">
        <f t="shared" si="201"/>
        <v>0.19337960747387758</v>
      </c>
      <c r="X120" s="252">
        <f t="shared" si="201"/>
        <v>0.23872843285886727</v>
      </c>
      <c r="Y120" s="252">
        <f t="shared" si="201"/>
        <v>0.12902171343125338</v>
      </c>
      <c r="Z120" s="252">
        <f t="shared" si="201"/>
        <v>1.8979970379743194E-2</v>
      </c>
      <c r="AA120" s="252">
        <f t="shared" si="201"/>
        <v>1.9097910317110698E-2</v>
      </c>
      <c r="AB120" s="252">
        <f t="shared" si="201"/>
        <v>1.8969235781221252E-2</v>
      </c>
      <c r="AC120" s="623">
        <f t="shared" si="201"/>
        <v>1.8843740464131797E-2</v>
      </c>
      <c r="AD120" s="252">
        <f t="shared" si="201"/>
        <v>1.8716007003675966E-2</v>
      </c>
      <c r="AE120" s="252">
        <f t="shared" si="201"/>
        <v>1.8501061568763261E-2</v>
      </c>
      <c r="AF120" s="252">
        <f t="shared" si="201"/>
        <v>1.8103100002375045E-2</v>
      </c>
      <c r="AG120" s="252">
        <f t="shared" si="201"/>
        <v>0.20432462335155316</v>
      </c>
      <c r="AH120" s="252">
        <f t="shared" si="201"/>
        <v>0.33103018896319342</v>
      </c>
      <c r="AI120" s="252">
        <f t="shared" si="201"/>
        <v>0.38674304072451121</v>
      </c>
      <c r="AJ120" s="252">
        <f t="shared" si="201"/>
        <v>0.34552722267614278</v>
      </c>
      <c r="AK120" s="252">
        <f t="shared" si="201"/>
        <v>0.4447945440741336</v>
      </c>
      <c r="AL120" s="252">
        <f t="shared" si="201"/>
        <v>0.43149660527515238</v>
      </c>
      <c r="AM120" s="252">
        <f t="shared" si="201"/>
        <v>0.38135892591277204</v>
      </c>
      <c r="AN120" s="252">
        <f t="shared" si="201"/>
        <v>0.33927721394021559</v>
      </c>
      <c r="AO120" s="623">
        <f t="shared" si="201"/>
        <v>0.30890826150476397</v>
      </c>
      <c r="AP120" s="252">
        <f t="shared" si="201"/>
        <v>0.32720664912501396</v>
      </c>
      <c r="AQ120" s="252">
        <f t="shared" si="201"/>
        <v>0.29877212025030664</v>
      </c>
      <c r="AR120" s="252">
        <f t="shared" si="201"/>
        <v>0.30588455846630097</v>
      </c>
      <c r="AS120" s="252">
        <f t="shared" si="201"/>
        <v>0.28138413420120284</v>
      </c>
      <c r="AT120" s="252">
        <f t="shared" si="201"/>
        <v>0.25987549347292099</v>
      </c>
      <c r="AU120" s="252">
        <f t="shared" si="201"/>
        <v>0.24087847060445702</v>
      </c>
      <c r="AV120" s="252">
        <f t="shared" si="201"/>
        <v>0.22372538467103215</v>
      </c>
      <c r="AW120" s="252">
        <f t="shared" si="201"/>
        <v>0.20846274366547721</v>
      </c>
      <c r="AX120" s="252">
        <f t="shared" si="201"/>
        <v>0.19481401482176938</v>
      </c>
      <c r="AY120" s="252">
        <f t="shared" si="201"/>
        <v>0.18255252249724166</v>
      </c>
      <c r="AZ120" s="252">
        <f t="shared" si="201"/>
        <v>0.17149086151756418</v>
      </c>
      <c r="BA120" s="623">
        <f t="shared" si="201"/>
        <v>0.16147287714785816</v>
      </c>
      <c r="BB120" s="252">
        <f t="shared" ref="BB120:BM120" si="202">BB35/BB$24</f>
        <v>0.13786680152202471</v>
      </c>
      <c r="BC120" s="252">
        <f t="shared" si="202"/>
        <v>0.11884005792741251</v>
      </c>
      <c r="BD120" s="252">
        <f t="shared" si="202"/>
        <v>0.110762107884748</v>
      </c>
      <c r="BE120" s="252">
        <f t="shared" si="202"/>
        <v>0.10356738605174852</v>
      </c>
      <c r="BF120" s="252">
        <f t="shared" si="202"/>
        <v>9.7126709095074773E-2</v>
      </c>
      <c r="BG120" s="252">
        <f t="shared" si="202"/>
        <v>9.1334202201394099E-2</v>
      </c>
      <c r="BH120" s="252">
        <f t="shared" si="202"/>
        <v>8.6061868520164383E-2</v>
      </c>
      <c r="BI120" s="252">
        <f t="shared" si="202"/>
        <v>8.1286620251987324E-2</v>
      </c>
      <c r="BJ120" s="252">
        <f t="shared" si="202"/>
        <v>7.6945251528962644E-2</v>
      </c>
      <c r="BK120" s="252">
        <f t="shared" si="202"/>
        <v>7.2984529582780275E-2</v>
      </c>
      <c r="BL120" s="252">
        <f t="shared" si="202"/>
        <v>6.9359333418610017E-2</v>
      </c>
      <c r="BM120" s="623">
        <f t="shared" si="202"/>
        <v>6.6031190556247704E-2</v>
      </c>
      <c r="BN120" s="252">
        <f t="shared" ref="BN120:BY120" si="203">BN35/BN$24</f>
        <v>6.4885041131237331E-2</v>
      </c>
      <c r="BO120" s="252">
        <f t="shared" si="203"/>
        <v>6.2006354306567826E-2</v>
      </c>
      <c r="BP120" s="252">
        <f t="shared" si="203"/>
        <v>5.9321945966599988E-2</v>
      </c>
      <c r="BQ120" s="252">
        <f t="shared" si="203"/>
        <v>5.6830380873586911E-2</v>
      </c>
      <c r="BR120" s="252">
        <f t="shared" si="203"/>
        <v>5.4512845738649479E-2</v>
      </c>
      <c r="BS120" s="252">
        <f t="shared" si="203"/>
        <v>5.2352814803284811E-2</v>
      </c>
      <c r="BT120" s="252">
        <f t="shared" si="203"/>
        <v>5.0322282161051619E-2</v>
      </c>
      <c r="BU120" s="252">
        <f t="shared" si="203"/>
        <v>4.8423999644522278E-2</v>
      </c>
      <c r="BV120" s="252">
        <f t="shared" si="203"/>
        <v>4.6646189788962553E-2</v>
      </c>
      <c r="BW120" s="252">
        <f t="shared" si="203"/>
        <v>4.4978388570709363E-2</v>
      </c>
      <c r="BX120" s="252">
        <f t="shared" si="203"/>
        <v>4.3411270825013573E-2</v>
      </c>
      <c r="BY120" s="623">
        <f t="shared" si="203"/>
        <v>4.1936502448316683E-2</v>
      </c>
      <c r="BZ120" s="252">
        <f t="shared" ref="BZ120:CK120" si="204">BZ35/BZ$24</f>
        <v>4.1795202976317482E-2</v>
      </c>
      <c r="CA120" s="252">
        <f t="shared" si="204"/>
        <v>4.0458142347796523E-2</v>
      </c>
      <c r="CB120" s="252">
        <f t="shared" si="204"/>
        <v>3.9186329371994504E-2</v>
      </c>
      <c r="CC120" s="252">
        <f t="shared" si="204"/>
        <v>3.7982355560623224E-2</v>
      </c>
      <c r="CD120" s="252">
        <f t="shared" si="204"/>
        <v>3.684124916962056E-2</v>
      </c>
      <c r="CE120" s="252">
        <f t="shared" si="204"/>
        <v>3.5758495936810492E-2</v>
      </c>
      <c r="CF120" s="252">
        <f t="shared" si="204"/>
        <v>3.4723779927352427E-2</v>
      </c>
      <c r="CG120" s="252">
        <f t="shared" si="204"/>
        <v>3.3740360420176016E-2</v>
      </c>
      <c r="CH120" s="252">
        <f t="shared" si="204"/>
        <v>3.2804722415906908E-2</v>
      </c>
      <c r="CI120" s="252">
        <f t="shared" si="204"/>
        <v>3.1913654636069787E-2</v>
      </c>
      <c r="CJ120" s="252">
        <f t="shared" si="204"/>
        <v>3.1064218084125898E-2</v>
      </c>
      <c r="CK120" s="623">
        <f t="shared" si="204"/>
        <v>3.0253718379102977E-2</v>
      </c>
    </row>
    <row r="121" spans="2:89" x14ac:dyDescent="0.2">
      <c r="B121" s="560" t="s">
        <v>9</v>
      </c>
      <c r="P121" s="503">
        <f t="shared" ref="P121:Q121" si="205">P36/P$24</f>
        <v>0.11258785583483852</v>
      </c>
      <c r="Q121" s="623">
        <f t="shared" si="205"/>
        <v>9.9988226456243098E-2</v>
      </c>
      <c r="R121" s="252">
        <f>R36/R$24</f>
        <v>0.20191012667443212</v>
      </c>
      <c r="S121" s="252">
        <f t="shared" ref="S121:BA121" si="206">S36/S$24</f>
        <v>3.9232211098356604E-2</v>
      </c>
      <c r="T121" s="252">
        <f t="shared" si="206"/>
        <v>8.3291564702066806E-2</v>
      </c>
      <c r="U121" s="252">
        <f t="shared" si="206"/>
        <v>0.39051299206685147</v>
      </c>
      <c r="V121" s="252">
        <f t="shared" si="206"/>
        <v>0.2494673315386878</v>
      </c>
      <c r="W121" s="252">
        <f t="shared" si="206"/>
        <v>0.3050398087581998</v>
      </c>
      <c r="X121" s="252">
        <f t="shared" si="206"/>
        <v>7.1444745341963517E-2</v>
      </c>
      <c r="Y121" s="252">
        <f t="shared" si="206"/>
        <v>0</v>
      </c>
      <c r="Z121" s="252">
        <f t="shared" si="206"/>
        <v>0</v>
      </c>
      <c r="AA121" s="252">
        <f t="shared" si="206"/>
        <v>0</v>
      </c>
      <c r="AB121" s="252">
        <f t="shared" si="206"/>
        <v>0</v>
      </c>
      <c r="AC121" s="623">
        <f t="shared" si="206"/>
        <v>0</v>
      </c>
      <c r="AD121" s="252">
        <f t="shared" si="206"/>
        <v>0</v>
      </c>
      <c r="AE121" s="252">
        <f t="shared" si="206"/>
        <v>0</v>
      </c>
      <c r="AF121" s="252">
        <f t="shared" si="206"/>
        <v>0</v>
      </c>
      <c r="AG121" s="252">
        <f t="shared" si="206"/>
        <v>0.28066569141696868</v>
      </c>
      <c r="AH121" s="252">
        <f t="shared" si="206"/>
        <v>0.24926972060481434</v>
      </c>
      <c r="AI121" s="252">
        <f t="shared" si="206"/>
        <v>0.442958501454563</v>
      </c>
      <c r="AJ121" s="252">
        <f t="shared" si="206"/>
        <v>0.39575171276942628</v>
      </c>
      <c r="AK121" s="252">
        <f t="shared" si="206"/>
        <v>0.42594950535247839</v>
      </c>
      <c r="AL121" s="252">
        <f t="shared" si="206"/>
        <v>0.45029906138044223</v>
      </c>
      <c r="AM121" s="252">
        <f t="shared" si="206"/>
        <v>0.39797663362396707</v>
      </c>
      <c r="AN121" s="252">
        <f t="shared" si="206"/>
        <v>0.38735850453132437</v>
      </c>
      <c r="AO121" s="623">
        <f t="shared" si="206"/>
        <v>0.35268576048535266</v>
      </c>
      <c r="AP121" s="252">
        <f t="shared" si="206"/>
        <v>0.33510220799840096</v>
      </c>
      <c r="AQ121" s="252">
        <f t="shared" si="206"/>
        <v>0.30598154851672821</v>
      </c>
      <c r="AR121" s="252">
        <f t="shared" si="206"/>
        <v>0.28024062208885503</v>
      </c>
      <c r="AS121" s="252">
        <f t="shared" si="206"/>
        <v>0.25779419925562008</v>
      </c>
      <c r="AT121" s="252">
        <f t="shared" si="206"/>
        <v>0.23808874276510081</v>
      </c>
      <c r="AU121" s="252">
        <f t="shared" si="206"/>
        <v>0.22068434179374202</v>
      </c>
      <c r="AV121" s="252">
        <f t="shared" si="206"/>
        <v>0.2049692906750169</v>
      </c>
      <c r="AW121" s="252">
        <f t="shared" si="206"/>
        <v>0.19098619838830116</v>
      </c>
      <c r="AX121" s="252">
        <f t="shared" si="206"/>
        <v>0.17848171538641019</v>
      </c>
      <c r="AY121" s="252">
        <f t="shared" si="206"/>
        <v>0.16724816945655926</v>
      </c>
      <c r="AZ121" s="252">
        <f t="shared" si="206"/>
        <v>0.15711386660118204</v>
      </c>
      <c r="BA121" s="623">
        <f t="shared" si="206"/>
        <v>0.14793574337090418</v>
      </c>
      <c r="BB121" s="252">
        <f t="shared" ref="BB121:BM121" si="207">BB36/BB$24</f>
        <v>0.12272490221674062</v>
      </c>
      <c r="BC121" s="252">
        <f t="shared" si="207"/>
        <v>0.10578786428321936</v>
      </c>
      <c r="BD121" s="252">
        <f t="shared" si="207"/>
        <v>9.8597114819583304E-2</v>
      </c>
      <c r="BE121" s="252">
        <f t="shared" si="207"/>
        <v>9.2192588685055907E-2</v>
      </c>
      <c r="BF121" s="252">
        <f t="shared" si="207"/>
        <v>8.6459290741017325E-2</v>
      </c>
      <c r="BG121" s="252">
        <f t="shared" si="207"/>
        <v>8.1302974396047278E-2</v>
      </c>
      <c r="BH121" s="252">
        <f t="shared" si="207"/>
        <v>7.6609700683016535E-2</v>
      </c>
      <c r="BI121" s="252">
        <f t="shared" si="207"/>
        <v>7.2358917533607889E-2</v>
      </c>
      <c r="BJ121" s="252">
        <f t="shared" si="207"/>
        <v>6.8494360975117588E-2</v>
      </c>
      <c r="BK121" s="252">
        <f t="shared" si="207"/>
        <v>6.4968644789736463E-2</v>
      </c>
      <c r="BL121" s="252">
        <f t="shared" si="207"/>
        <v>6.1741603617730866E-2</v>
      </c>
      <c r="BM121" s="623">
        <f t="shared" si="207"/>
        <v>5.8778990408186668E-2</v>
      </c>
      <c r="BN121" s="252">
        <f t="shared" ref="BN121:BY121" si="208">BN36/BN$24</f>
        <v>5.6087760424463604E-2</v>
      </c>
      <c r="BO121" s="252">
        <f t="shared" si="208"/>
        <v>5.3599373361063983E-2</v>
      </c>
      <c r="BP121" s="252">
        <f t="shared" si="208"/>
        <v>5.1278924005887974E-2</v>
      </c>
      <c r="BQ121" s="252">
        <f t="shared" si="208"/>
        <v>4.9125171714412642E-2</v>
      </c>
      <c r="BR121" s="252">
        <f t="shared" si="208"/>
        <v>4.7121853951837177E-2</v>
      </c>
      <c r="BS121" s="252">
        <f t="shared" si="208"/>
        <v>4.5254685564486981E-2</v>
      </c>
      <c r="BT121" s="252">
        <f t="shared" si="208"/>
        <v>4.3499457758723908E-2</v>
      </c>
      <c r="BU121" s="252">
        <f t="shared" si="208"/>
        <v>4.1858549266584756E-2</v>
      </c>
      <c r="BV121" s="252">
        <f t="shared" si="208"/>
        <v>4.0321779442285773E-2</v>
      </c>
      <c r="BW121" s="252">
        <f t="shared" si="208"/>
        <v>3.8880103001396847E-2</v>
      </c>
      <c r="BX121" s="252">
        <f t="shared" si="208"/>
        <v>3.7525459108982091E-2</v>
      </c>
      <c r="BY121" s="623">
        <f t="shared" si="208"/>
        <v>3.6250643620671819E-2</v>
      </c>
      <c r="BZ121" s="252">
        <f t="shared" ref="BZ121:CK121" si="209">BZ36/BZ$24</f>
        <v>3.506339719871332E-2</v>
      </c>
      <c r="CA121" s="252">
        <f t="shared" si="209"/>
        <v>3.3941692204885292E-2</v>
      </c>
      <c r="CB121" s="252">
        <f t="shared" si="209"/>
        <v>3.2874725654721812E-2</v>
      </c>
      <c r="CC121" s="252">
        <f t="shared" si="209"/>
        <v>3.1864671654293089E-2</v>
      </c>
      <c r="CD121" s="252">
        <f t="shared" si="209"/>
        <v>3.0907359240799407E-2</v>
      </c>
      <c r="CE121" s="252">
        <f t="shared" si="209"/>
        <v>2.9999001248334996E-2</v>
      </c>
      <c r="CF121" s="252">
        <f t="shared" si="209"/>
        <v>2.9130943293261696E-2</v>
      </c>
      <c r="CG121" s="252">
        <f t="shared" si="209"/>
        <v>2.8305919693959451E-2</v>
      </c>
      <c r="CH121" s="252">
        <f t="shared" si="209"/>
        <v>2.7520981599592771E-2</v>
      </c>
      <c r="CI121" s="252">
        <f t="shared" si="209"/>
        <v>2.6773434960972342E-2</v>
      </c>
      <c r="CJ121" s="252">
        <f t="shared" si="209"/>
        <v>2.6060814155355234E-2</v>
      </c>
      <c r="CK121" s="623">
        <f t="shared" si="209"/>
        <v>2.5380858776199361E-2</v>
      </c>
    </row>
    <row r="122" spans="2:89" ht="17" thickBot="1" x14ac:dyDescent="0.25">
      <c r="B122" s="561" t="s">
        <v>126</v>
      </c>
      <c r="P122" s="504">
        <f t="shared" ref="P122:Q122" si="210">P37/P$24</f>
        <v>1.256196473751974</v>
      </c>
      <c r="Q122" s="624">
        <f t="shared" si="210"/>
        <v>1.2631041223582706</v>
      </c>
      <c r="R122" s="474">
        <f>R37/R$24</f>
        <v>1.3296764376001018</v>
      </c>
      <c r="S122" s="474">
        <f t="shared" ref="S122:BA122" si="211">S37/S$24</f>
        <v>1.3754281396666714</v>
      </c>
      <c r="T122" s="474">
        <f t="shared" si="211"/>
        <v>2.103752542972551</v>
      </c>
      <c r="U122" s="474">
        <f t="shared" si="211"/>
        <v>2.3535181670467114</v>
      </c>
      <c r="V122" s="474">
        <f t="shared" si="211"/>
        <v>1.8744993253240356</v>
      </c>
      <c r="W122" s="474">
        <f t="shared" si="211"/>
        <v>1.90889952780033</v>
      </c>
      <c r="X122" s="474">
        <f t="shared" si="211"/>
        <v>1.3486013114165742</v>
      </c>
      <c r="Y122" s="474">
        <f t="shared" si="211"/>
        <v>1.6022933949469857</v>
      </c>
      <c r="Z122" s="474">
        <f t="shared" si="211"/>
        <v>1.3212066659956576</v>
      </c>
      <c r="AA122" s="474">
        <f t="shared" si="211"/>
        <v>1.329416532940622</v>
      </c>
      <c r="AB122" s="474">
        <f t="shared" si="211"/>
        <v>1.3204594244120187</v>
      </c>
      <c r="AC122" s="624">
        <f t="shared" si="211"/>
        <v>1.3117236231345424</v>
      </c>
      <c r="AD122" s="474">
        <f t="shared" si="211"/>
        <v>1.1530194617719163</v>
      </c>
      <c r="AE122" s="474">
        <f t="shared" si="211"/>
        <v>0.85945840560345699</v>
      </c>
      <c r="AF122" s="474">
        <f t="shared" si="211"/>
        <v>0.84097128192851356</v>
      </c>
      <c r="AG122" s="474">
        <f t="shared" si="211"/>
        <v>1.4727804581791146</v>
      </c>
      <c r="AH122" s="474">
        <f t="shared" si="211"/>
        <v>1.4575933607948059</v>
      </c>
      <c r="AI122" s="474">
        <f t="shared" si="211"/>
        <v>1.7485182810598709</v>
      </c>
      <c r="AJ122" s="474">
        <f t="shared" si="211"/>
        <v>1.5621759200146599</v>
      </c>
      <c r="AK122" s="474">
        <f t="shared" si="211"/>
        <v>1.6070235845499072</v>
      </c>
      <c r="AL122" s="474">
        <f t="shared" si="211"/>
        <v>1.5259632957162561</v>
      </c>
      <c r="AM122" s="474">
        <f t="shared" si="211"/>
        <v>1.348654233480191</v>
      </c>
      <c r="AN122" s="474">
        <f t="shared" si="211"/>
        <v>1.2331319361157365</v>
      </c>
      <c r="AO122" s="624">
        <f t="shared" si="211"/>
        <v>1.1227533914453769</v>
      </c>
      <c r="AP122" s="474">
        <f t="shared" si="211"/>
        <v>1.177810814055092</v>
      </c>
      <c r="AQ122" s="474">
        <f t="shared" si="211"/>
        <v>1.0754580785873098</v>
      </c>
      <c r="AR122" s="474">
        <f t="shared" si="211"/>
        <v>1.0172312301435988</v>
      </c>
      <c r="AS122" s="474">
        <f t="shared" si="211"/>
        <v>0.93575409759664319</v>
      </c>
      <c r="AT122" s="474">
        <f t="shared" si="211"/>
        <v>0.86422625985141988</v>
      </c>
      <c r="AU122" s="474">
        <f t="shared" si="211"/>
        <v>0.80105090690635572</v>
      </c>
      <c r="AV122" s="474">
        <f t="shared" si="211"/>
        <v>0.74400763936678505</v>
      </c>
      <c r="AW122" s="474">
        <f t="shared" si="211"/>
        <v>0.69325112140731038</v>
      </c>
      <c r="AX122" s="474">
        <f t="shared" si="211"/>
        <v>0.6478617323476108</v>
      </c>
      <c r="AY122" s="474">
        <f t="shared" si="211"/>
        <v>0.60708565334835096</v>
      </c>
      <c r="AZ122" s="474">
        <f t="shared" si="211"/>
        <v>0.57029966107006325</v>
      </c>
      <c r="BA122" s="624">
        <f t="shared" si="211"/>
        <v>0.53698445674902495</v>
      </c>
      <c r="BB122" s="474">
        <f t="shared" ref="BB122:BM122" si="212">BB37/BB$24</f>
        <v>0.46128222328706164</v>
      </c>
      <c r="BC122" s="474">
        <f t="shared" si="212"/>
        <v>0.39762151243903732</v>
      </c>
      <c r="BD122" s="474">
        <f t="shared" si="212"/>
        <v>0.37059386898792823</v>
      </c>
      <c r="BE122" s="474">
        <f t="shared" si="212"/>
        <v>0.34652137839251995</v>
      </c>
      <c r="BF122" s="474">
        <f t="shared" si="212"/>
        <v>0.32497181204841652</v>
      </c>
      <c r="BG122" s="474">
        <f t="shared" si="212"/>
        <v>0.30559092826185974</v>
      </c>
      <c r="BH122" s="474">
        <f t="shared" si="212"/>
        <v>0.28795046822695874</v>
      </c>
      <c r="BI122" s="474">
        <f t="shared" si="212"/>
        <v>0.27197318353206063</v>
      </c>
      <c r="BJ122" s="474">
        <f t="shared" si="212"/>
        <v>0.25744759655566435</v>
      </c>
      <c r="BK122" s="474">
        <f t="shared" si="212"/>
        <v>0.24419559821388084</v>
      </c>
      <c r="BL122" s="474">
        <f t="shared" si="212"/>
        <v>0.23206622023456336</v>
      </c>
      <c r="BM122" s="624">
        <f t="shared" si="212"/>
        <v>0.22093073930645754</v>
      </c>
      <c r="BN122" s="474">
        <f t="shared" ref="BN122:BY122" si="213">BN37/BN$24</f>
        <v>0.21269242468488953</v>
      </c>
      <c r="BO122" s="474">
        <f t="shared" si="213"/>
        <v>0.20325612211078761</v>
      </c>
      <c r="BP122" s="474">
        <f t="shared" si="213"/>
        <v>0.19445666219340418</v>
      </c>
      <c r="BQ122" s="474">
        <f t="shared" si="213"/>
        <v>0.18628934023977661</v>
      </c>
      <c r="BR122" s="474">
        <f t="shared" si="213"/>
        <v>0.1786924865035622</v>
      </c>
      <c r="BS122" s="474">
        <f t="shared" si="213"/>
        <v>0.17161192973689779</v>
      </c>
      <c r="BT122" s="474">
        <f t="shared" si="213"/>
        <v>0.16495586689793204</v>
      </c>
      <c r="BU122" s="474">
        <f t="shared" si="213"/>
        <v>0.15873331846244707</v>
      </c>
      <c r="BV122" s="474">
        <f t="shared" si="213"/>
        <v>0.15290567803538951</v>
      </c>
      <c r="BW122" s="474">
        <f t="shared" si="213"/>
        <v>0.14743864466655485</v>
      </c>
      <c r="BX122" s="474">
        <f t="shared" si="213"/>
        <v>0.14230165057226754</v>
      </c>
      <c r="BY122" s="624">
        <f t="shared" si="213"/>
        <v>0.13746737665612985</v>
      </c>
      <c r="BZ122" s="474">
        <f t="shared" ref="BZ122:CK122" si="214">BZ37/BZ$24</f>
        <v>0.13419734132562808</v>
      </c>
      <c r="CA122" s="474">
        <f t="shared" si="214"/>
        <v>0.12990426535611177</v>
      </c>
      <c r="CB122" s="474">
        <f t="shared" si="214"/>
        <v>0.12582068858504605</v>
      </c>
      <c r="CC122" s="474">
        <f t="shared" si="214"/>
        <v>0.12195493191906551</v>
      </c>
      <c r="CD122" s="474">
        <f t="shared" si="214"/>
        <v>0.11829103192726476</v>
      </c>
      <c r="CE122" s="474">
        <f t="shared" si="214"/>
        <v>0.11481449407584739</v>
      </c>
      <c r="CF122" s="474">
        <f t="shared" si="214"/>
        <v>0.11149219563946904</v>
      </c>
      <c r="CG122" s="474">
        <f t="shared" si="214"/>
        <v>0.10833460161257524</v>
      </c>
      <c r="CH122" s="474">
        <f t="shared" si="214"/>
        <v>0.10533042592554059</v>
      </c>
      <c r="CI122" s="474">
        <f t="shared" si="214"/>
        <v>0.10246935770527547</v>
      </c>
      <c r="CJ122" s="474">
        <f t="shared" si="214"/>
        <v>9.974196033002479E-2</v>
      </c>
      <c r="CK122" s="624">
        <f t="shared" si="214"/>
        <v>9.7139582597323915E-2</v>
      </c>
    </row>
    <row r="123" spans="2:89" x14ac:dyDescent="0.2">
      <c r="B123" s="562"/>
      <c r="P123" s="503"/>
      <c r="Q123" s="623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623"/>
      <c r="AD123" s="252"/>
      <c r="AE123" s="252"/>
      <c r="AF123" s="252"/>
      <c r="AG123" s="252"/>
      <c r="AH123" s="252"/>
      <c r="AI123" s="252"/>
      <c r="AJ123" s="252"/>
      <c r="AK123" s="252"/>
      <c r="AL123" s="252"/>
      <c r="AM123" s="252"/>
      <c r="AN123" s="252"/>
      <c r="AO123" s="623"/>
      <c r="AP123" s="252"/>
      <c r="AQ123" s="252"/>
      <c r="AR123" s="252"/>
      <c r="AS123" s="252"/>
      <c r="AT123" s="252"/>
      <c r="AU123" s="252"/>
      <c r="AV123" s="252"/>
      <c r="AW123" s="252"/>
      <c r="AX123" s="252"/>
      <c r="AY123" s="252"/>
      <c r="AZ123" s="252"/>
      <c r="BA123" s="623"/>
      <c r="BB123" s="252"/>
      <c r="BC123" s="252"/>
      <c r="BD123" s="252"/>
      <c r="BE123" s="252"/>
      <c r="BF123" s="252"/>
      <c r="BG123" s="252"/>
      <c r="BH123" s="252"/>
      <c r="BI123" s="252"/>
      <c r="BJ123" s="252"/>
      <c r="BK123" s="252"/>
      <c r="BL123" s="252"/>
      <c r="BM123" s="623"/>
      <c r="BN123" s="252"/>
      <c r="BO123" s="252"/>
      <c r="BP123" s="252"/>
      <c r="BQ123" s="252"/>
      <c r="BR123" s="252"/>
      <c r="BS123" s="252"/>
      <c r="BT123" s="252"/>
      <c r="BU123" s="252"/>
      <c r="BV123" s="252"/>
      <c r="BW123" s="252"/>
      <c r="BX123" s="252"/>
      <c r="BY123" s="623"/>
      <c r="BZ123" s="252"/>
      <c r="CA123" s="252"/>
      <c r="CB123" s="252"/>
      <c r="CC123" s="252"/>
      <c r="CD123" s="252"/>
      <c r="CE123" s="252"/>
      <c r="CF123" s="252"/>
      <c r="CG123" s="252"/>
      <c r="CH123" s="252"/>
      <c r="CI123" s="252"/>
      <c r="CJ123" s="252"/>
      <c r="CK123" s="623"/>
    </row>
    <row r="124" spans="2:89" x14ac:dyDescent="0.2">
      <c r="B124" s="562" t="s">
        <v>18</v>
      </c>
      <c r="P124" s="503">
        <f t="shared" ref="P124:Q124" si="215">P39/P$24</f>
        <v>0</v>
      </c>
      <c r="Q124" s="623">
        <f t="shared" si="215"/>
        <v>0</v>
      </c>
      <c r="R124" s="252">
        <f>R39/R$24</f>
        <v>0</v>
      </c>
      <c r="S124" s="252">
        <f t="shared" ref="S124:BA124" si="216">S39/S$24</f>
        <v>0</v>
      </c>
      <c r="T124" s="252">
        <f t="shared" si="216"/>
        <v>0</v>
      </c>
      <c r="U124" s="252">
        <f t="shared" si="216"/>
        <v>0</v>
      </c>
      <c r="V124" s="252">
        <f t="shared" si="216"/>
        <v>0</v>
      </c>
      <c r="W124" s="252">
        <f t="shared" si="216"/>
        <v>0</v>
      </c>
      <c r="X124" s="252">
        <f t="shared" si="216"/>
        <v>0</v>
      </c>
      <c r="Y124" s="252">
        <f t="shared" si="216"/>
        <v>0</v>
      </c>
      <c r="Z124" s="252">
        <f t="shared" si="216"/>
        <v>0</v>
      </c>
      <c r="AA124" s="252">
        <f t="shared" si="216"/>
        <v>0</v>
      </c>
      <c r="AB124" s="252">
        <f t="shared" si="216"/>
        <v>0</v>
      </c>
      <c r="AC124" s="623">
        <f t="shared" si="216"/>
        <v>0</v>
      </c>
      <c r="AD124" s="252">
        <f t="shared" si="216"/>
        <v>0</v>
      </c>
      <c r="AE124" s="252">
        <f t="shared" si="216"/>
        <v>0</v>
      </c>
      <c r="AF124" s="252">
        <f t="shared" si="216"/>
        <v>0.10091655383142162</v>
      </c>
      <c r="AG124" s="252">
        <f t="shared" si="216"/>
        <v>0.17673365498149377</v>
      </c>
      <c r="AH124" s="252">
        <f t="shared" si="216"/>
        <v>0.17491120329537671</v>
      </c>
      <c r="AI124" s="252">
        <f t="shared" si="216"/>
        <v>0.2098221937271845</v>
      </c>
      <c r="AJ124" s="252">
        <f t="shared" si="216"/>
        <v>0.1874611104017592</v>
      </c>
      <c r="AK124" s="252">
        <f t="shared" si="216"/>
        <v>0.19284283014598885</v>
      </c>
      <c r="AL124" s="252">
        <f t="shared" si="216"/>
        <v>0.18311559548595072</v>
      </c>
      <c r="AM124" s="252">
        <f t="shared" si="216"/>
        <v>0.16183850801762292</v>
      </c>
      <c r="AN124" s="252">
        <f t="shared" si="216"/>
        <v>0.14797583233388836</v>
      </c>
      <c r="AO124" s="623">
        <f t="shared" si="216"/>
        <v>0.13473040697344521</v>
      </c>
      <c r="AP124" s="252">
        <f t="shared" si="216"/>
        <v>0.14133729768661105</v>
      </c>
      <c r="AQ124" s="252">
        <f t="shared" si="216"/>
        <v>0.12905496943047715</v>
      </c>
      <c r="AR124" s="252">
        <f t="shared" si="216"/>
        <v>0.12206774761723187</v>
      </c>
      <c r="AS124" s="252">
        <f t="shared" si="216"/>
        <v>0.11229049171159718</v>
      </c>
      <c r="AT124" s="252">
        <f t="shared" si="216"/>
        <v>0.10370715118217037</v>
      </c>
      <c r="AU124" s="252">
        <f t="shared" si="216"/>
        <v>9.6126108828762685E-2</v>
      </c>
      <c r="AV124" s="252">
        <f t="shared" si="216"/>
        <v>8.9280916724014198E-2</v>
      </c>
      <c r="AW124" s="252">
        <f t="shared" si="216"/>
        <v>8.3190134568877236E-2</v>
      </c>
      <c r="AX124" s="252">
        <f t="shared" si="216"/>
        <v>7.7743407881713286E-2</v>
      </c>
      <c r="AY124" s="252">
        <f t="shared" si="216"/>
        <v>7.285027840180211E-2</v>
      </c>
      <c r="AZ124" s="252">
        <f t="shared" si="216"/>
        <v>6.8435959328407583E-2</v>
      </c>
      <c r="BA124" s="623">
        <f t="shared" si="216"/>
        <v>6.4438134809882988E-2</v>
      </c>
      <c r="BB124" s="252">
        <f t="shared" ref="BB124:BM124" si="217">BB39/BB$24</f>
        <v>5.5353866794447391E-2</v>
      </c>
      <c r="BC124" s="252">
        <f t="shared" si="217"/>
        <v>4.7714581492684469E-2</v>
      </c>
      <c r="BD124" s="252">
        <f t="shared" si="217"/>
        <v>4.447126427855138E-2</v>
      </c>
      <c r="BE124" s="252">
        <f t="shared" si="217"/>
        <v>4.1582565407102388E-2</v>
      </c>
      <c r="BF124" s="252">
        <f t="shared" si="217"/>
        <v>3.8996617445809983E-2</v>
      </c>
      <c r="BG124" s="252">
        <f t="shared" si="217"/>
        <v>3.6670911391423165E-2</v>
      </c>
      <c r="BH124" s="252">
        <f t="shared" si="217"/>
        <v>3.4554056187235047E-2</v>
      </c>
      <c r="BI124" s="252">
        <f t="shared" si="217"/>
        <v>3.2636782023847274E-2</v>
      </c>
      <c r="BJ124" s="252">
        <f t="shared" si="217"/>
        <v>3.0893711586679716E-2</v>
      </c>
      <c r="BK124" s="252">
        <f t="shared" si="217"/>
        <v>2.93034717856657E-2</v>
      </c>
      <c r="BL124" s="252">
        <f t="shared" si="217"/>
        <v>2.7847946428147599E-2</v>
      </c>
      <c r="BM124" s="623">
        <f t="shared" si="217"/>
        <v>2.6511688716774902E-2</v>
      </c>
      <c r="BN124" s="252">
        <f t="shared" ref="BN124:BY124" si="218">BN39/BN$24</f>
        <v>2.5523090962186742E-2</v>
      </c>
      <c r="BO124" s="252">
        <f t="shared" si="218"/>
        <v>2.4390734653294513E-2</v>
      </c>
      <c r="BP124" s="252">
        <f t="shared" si="218"/>
        <v>2.3334799463208499E-2</v>
      </c>
      <c r="BQ124" s="252">
        <f t="shared" si="218"/>
        <v>2.235472082877319E-2</v>
      </c>
      <c r="BR124" s="252">
        <f t="shared" si="218"/>
        <v>2.1443098380427465E-2</v>
      </c>
      <c r="BS124" s="252">
        <f t="shared" si="218"/>
        <v>2.0593431568427734E-2</v>
      </c>
      <c r="BT124" s="252">
        <f t="shared" si="218"/>
        <v>1.9794704027751846E-2</v>
      </c>
      <c r="BU124" s="252">
        <f t="shared" si="218"/>
        <v>1.9047998215493647E-2</v>
      </c>
      <c r="BV124" s="252">
        <f t="shared" si="218"/>
        <v>1.8348681364246739E-2</v>
      </c>
      <c r="BW124" s="252">
        <f t="shared" si="218"/>
        <v>1.7692637359986579E-2</v>
      </c>
      <c r="BX124" s="252">
        <f t="shared" si="218"/>
        <v>1.7076198068672103E-2</v>
      </c>
      <c r="BY124" s="623">
        <f t="shared" si="218"/>
        <v>1.6496085198735581E-2</v>
      </c>
      <c r="BZ124" s="252">
        <f t="shared" ref="BZ124:CK124" si="219">BZ39/BZ$24</f>
        <v>1.610368095907537E-2</v>
      </c>
      <c r="CA124" s="252">
        <f t="shared" si="219"/>
        <v>1.5588511842733412E-2</v>
      </c>
      <c r="CB124" s="252">
        <f t="shared" si="219"/>
        <v>1.5098482630205527E-2</v>
      </c>
      <c r="CC124" s="252">
        <f t="shared" si="219"/>
        <v>1.463459183028786E-2</v>
      </c>
      <c r="CD124" s="252">
        <f t="shared" si="219"/>
        <v>1.4194923831271772E-2</v>
      </c>
      <c r="CE124" s="252">
        <f t="shared" si="219"/>
        <v>1.3777739289101686E-2</v>
      </c>
      <c r="CF124" s="252">
        <f t="shared" si="219"/>
        <v>1.3379063476736284E-2</v>
      </c>
      <c r="CG124" s="252">
        <f t="shared" si="219"/>
        <v>1.3000152193509029E-2</v>
      </c>
      <c r="CH124" s="252">
        <f t="shared" si="219"/>
        <v>1.2639651111064871E-2</v>
      </c>
      <c r="CI124" s="252">
        <f t="shared" si="219"/>
        <v>1.2296322924633058E-2</v>
      </c>
      <c r="CJ124" s="252">
        <f t="shared" si="219"/>
        <v>1.1969035239602974E-2</v>
      </c>
      <c r="CK124" s="623">
        <f t="shared" si="219"/>
        <v>1.1656749911678869E-2</v>
      </c>
    </row>
    <row r="125" spans="2:89" x14ac:dyDescent="0.2">
      <c r="B125" s="562"/>
      <c r="P125" s="503"/>
      <c r="Q125" s="623"/>
      <c r="R125" s="252"/>
      <c r="S125" s="252"/>
      <c r="T125" s="252"/>
      <c r="U125" s="252"/>
      <c r="V125" s="252"/>
      <c r="W125" s="252"/>
      <c r="X125" s="252"/>
      <c r="Y125" s="252"/>
      <c r="Z125" s="252"/>
      <c r="AA125" s="252"/>
      <c r="AB125" s="252"/>
      <c r="AC125" s="623"/>
      <c r="AD125" s="252"/>
      <c r="AE125" s="252"/>
      <c r="AF125" s="252"/>
      <c r="AG125" s="252"/>
      <c r="AH125" s="252"/>
      <c r="AI125" s="252"/>
      <c r="AJ125" s="252"/>
      <c r="AK125" s="252"/>
      <c r="AL125" s="252"/>
      <c r="AM125" s="252"/>
      <c r="AN125" s="252"/>
      <c r="AO125" s="623"/>
      <c r="AP125" s="252"/>
      <c r="AQ125" s="252"/>
      <c r="AR125" s="252"/>
      <c r="AS125" s="252"/>
      <c r="AT125" s="252"/>
      <c r="AU125" s="252"/>
      <c r="AV125" s="252"/>
      <c r="AW125" s="252"/>
      <c r="AX125" s="252"/>
      <c r="AY125" s="252"/>
      <c r="AZ125" s="252"/>
      <c r="BA125" s="623"/>
      <c r="BB125" s="252"/>
      <c r="BC125" s="252"/>
      <c r="BD125" s="252"/>
      <c r="BE125" s="252"/>
      <c r="BF125" s="252"/>
      <c r="BG125" s="252"/>
      <c r="BH125" s="252"/>
      <c r="BI125" s="252"/>
      <c r="BJ125" s="252"/>
      <c r="BK125" s="252"/>
      <c r="BL125" s="252"/>
      <c r="BM125" s="623"/>
      <c r="BN125" s="252"/>
      <c r="BO125" s="252"/>
      <c r="BP125" s="252"/>
      <c r="BQ125" s="252"/>
      <c r="BR125" s="252"/>
      <c r="BS125" s="252"/>
      <c r="BT125" s="252"/>
      <c r="BU125" s="252"/>
      <c r="BV125" s="252"/>
      <c r="BW125" s="252"/>
      <c r="BX125" s="252"/>
      <c r="BY125" s="623"/>
      <c r="BZ125" s="252"/>
      <c r="CA125" s="252"/>
      <c r="CB125" s="252"/>
      <c r="CC125" s="252"/>
      <c r="CD125" s="252"/>
      <c r="CE125" s="252"/>
      <c r="CF125" s="252"/>
      <c r="CG125" s="252"/>
      <c r="CH125" s="252"/>
      <c r="CI125" s="252"/>
      <c r="CJ125" s="252"/>
      <c r="CK125" s="623"/>
    </row>
    <row r="126" spans="2:89" x14ac:dyDescent="0.2">
      <c r="B126" s="562" t="s">
        <v>125</v>
      </c>
      <c r="P126" s="503"/>
      <c r="Q126" s="623"/>
      <c r="R126" s="252"/>
      <c r="S126" s="252"/>
      <c r="T126" s="252"/>
      <c r="U126" s="252"/>
      <c r="V126" s="252"/>
      <c r="W126" s="252"/>
      <c r="X126" s="252"/>
      <c r="Y126" s="252"/>
      <c r="Z126" s="252"/>
      <c r="AA126" s="252"/>
      <c r="AB126" s="252"/>
      <c r="AC126" s="623"/>
      <c r="AD126" s="252"/>
      <c r="AE126" s="252"/>
      <c r="AF126" s="252"/>
      <c r="AG126" s="252"/>
      <c r="AH126" s="252"/>
      <c r="AI126" s="252"/>
      <c r="AJ126" s="252"/>
      <c r="AK126" s="252"/>
      <c r="AL126" s="252"/>
      <c r="AM126" s="252"/>
      <c r="AN126" s="252"/>
      <c r="AO126" s="623"/>
      <c r="AP126" s="252"/>
      <c r="AQ126" s="252"/>
      <c r="AR126" s="252"/>
      <c r="AS126" s="252"/>
      <c r="AT126" s="252"/>
      <c r="AU126" s="252"/>
      <c r="AV126" s="252"/>
      <c r="AW126" s="252"/>
      <c r="AX126" s="252"/>
      <c r="AY126" s="252"/>
      <c r="AZ126" s="252"/>
      <c r="BA126" s="623"/>
      <c r="BB126" s="252"/>
      <c r="BC126" s="252"/>
      <c r="BD126" s="252"/>
      <c r="BE126" s="252"/>
      <c r="BF126" s="252"/>
      <c r="BG126" s="252"/>
      <c r="BH126" s="252"/>
      <c r="BI126" s="252"/>
      <c r="BJ126" s="252"/>
      <c r="BK126" s="252"/>
      <c r="BL126" s="252"/>
      <c r="BM126" s="623"/>
      <c r="BN126" s="252"/>
      <c r="BO126" s="252"/>
      <c r="BP126" s="252"/>
      <c r="BQ126" s="252"/>
      <c r="BR126" s="252"/>
      <c r="BS126" s="252"/>
      <c r="BT126" s="252"/>
      <c r="BU126" s="252"/>
      <c r="BV126" s="252"/>
      <c r="BW126" s="252"/>
      <c r="BX126" s="252"/>
      <c r="BY126" s="623"/>
      <c r="BZ126" s="252"/>
      <c r="CA126" s="252"/>
      <c r="CB126" s="252"/>
      <c r="CC126" s="252"/>
      <c r="CD126" s="252"/>
      <c r="CE126" s="252"/>
      <c r="CF126" s="252"/>
      <c r="CG126" s="252"/>
      <c r="CH126" s="252"/>
      <c r="CI126" s="252"/>
      <c r="CJ126" s="252"/>
      <c r="CK126" s="623"/>
    </row>
    <row r="127" spans="2:89" x14ac:dyDescent="0.2">
      <c r="B127" s="560"/>
      <c r="P127" s="503">
        <f t="shared" ref="P127:Q127" si="220">P41/P$24</f>
        <v>0</v>
      </c>
      <c r="Q127" s="623">
        <f t="shared" si="220"/>
        <v>0</v>
      </c>
      <c r="R127" s="252">
        <f t="shared" ref="R127:BA127" si="221">R41/R$24</f>
        <v>0</v>
      </c>
      <c r="S127" s="252">
        <f t="shared" si="221"/>
        <v>4.6032461022071751E-2</v>
      </c>
      <c r="T127" s="252">
        <f t="shared" si="221"/>
        <v>7.7837072854320843E-2</v>
      </c>
      <c r="U127" s="252">
        <f t="shared" si="221"/>
        <v>0</v>
      </c>
      <c r="V127" s="252">
        <f t="shared" si="221"/>
        <v>0</v>
      </c>
      <c r="W127" s="252">
        <f t="shared" si="221"/>
        <v>0</v>
      </c>
      <c r="X127" s="252">
        <f t="shared" si="221"/>
        <v>0</v>
      </c>
      <c r="Y127" s="252">
        <f t="shared" si="221"/>
        <v>0</v>
      </c>
      <c r="Z127" s="252">
        <f t="shared" si="221"/>
        <v>0</v>
      </c>
      <c r="AA127" s="252">
        <f t="shared" si="221"/>
        <v>0</v>
      </c>
      <c r="AB127" s="252">
        <f t="shared" si="221"/>
        <v>0</v>
      </c>
      <c r="AC127" s="623">
        <f t="shared" si="221"/>
        <v>0</v>
      </c>
      <c r="AD127" s="252">
        <f t="shared" si="221"/>
        <v>0</v>
      </c>
      <c r="AE127" s="252">
        <f t="shared" si="221"/>
        <v>0</v>
      </c>
      <c r="AF127" s="252">
        <f t="shared" si="221"/>
        <v>0</v>
      </c>
      <c r="AG127" s="252">
        <f t="shared" si="221"/>
        <v>0</v>
      </c>
      <c r="AH127" s="252">
        <f t="shared" si="221"/>
        <v>0</v>
      </c>
      <c r="AI127" s="252">
        <f t="shared" si="221"/>
        <v>0</v>
      </c>
      <c r="AJ127" s="252">
        <f t="shared" si="221"/>
        <v>0</v>
      </c>
      <c r="AK127" s="252">
        <f t="shared" si="221"/>
        <v>0</v>
      </c>
      <c r="AL127" s="252">
        <f t="shared" si="221"/>
        <v>0</v>
      </c>
      <c r="AM127" s="252">
        <f t="shared" si="221"/>
        <v>0</v>
      </c>
      <c r="AN127" s="252">
        <f t="shared" si="221"/>
        <v>0</v>
      </c>
      <c r="AO127" s="623">
        <f t="shared" si="221"/>
        <v>0</v>
      </c>
      <c r="AP127" s="252">
        <f t="shared" si="221"/>
        <v>0</v>
      </c>
      <c r="AQ127" s="252">
        <f t="shared" si="221"/>
        <v>0</v>
      </c>
      <c r="AR127" s="252">
        <f t="shared" si="221"/>
        <v>0</v>
      </c>
      <c r="AS127" s="252">
        <f t="shared" si="221"/>
        <v>0</v>
      </c>
      <c r="AT127" s="252">
        <f t="shared" si="221"/>
        <v>0</v>
      </c>
      <c r="AU127" s="252">
        <f t="shared" si="221"/>
        <v>0</v>
      </c>
      <c r="AV127" s="252">
        <f t="shared" si="221"/>
        <v>0</v>
      </c>
      <c r="AW127" s="252">
        <f t="shared" si="221"/>
        <v>0</v>
      </c>
      <c r="AX127" s="252">
        <f t="shared" si="221"/>
        <v>0</v>
      </c>
      <c r="AY127" s="252">
        <f t="shared" si="221"/>
        <v>0</v>
      </c>
      <c r="AZ127" s="252">
        <f t="shared" si="221"/>
        <v>0</v>
      </c>
      <c r="BA127" s="623">
        <f t="shared" si="221"/>
        <v>0</v>
      </c>
      <c r="BB127" s="252">
        <f t="shared" ref="BB127:BM127" si="222">BB41/BB$24</f>
        <v>0</v>
      </c>
      <c r="BC127" s="252">
        <f t="shared" si="222"/>
        <v>0</v>
      </c>
      <c r="BD127" s="252">
        <f t="shared" si="222"/>
        <v>0</v>
      </c>
      <c r="BE127" s="252">
        <f t="shared" si="222"/>
        <v>0</v>
      </c>
      <c r="BF127" s="252">
        <f t="shared" si="222"/>
        <v>0</v>
      </c>
      <c r="BG127" s="252">
        <f t="shared" si="222"/>
        <v>0</v>
      </c>
      <c r="BH127" s="252">
        <f t="shared" si="222"/>
        <v>0</v>
      </c>
      <c r="BI127" s="252">
        <f t="shared" si="222"/>
        <v>0</v>
      </c>
      <c r="BJ127" s="252">
        <f t="shared" si="222"/>
        <v>0</v>
      </c>
      <c r="BK127" s="252">
        <f t="shared" si="222"/>
        <v>0</v>
      </c>
      <c r="BL127" s="252">
        <f t="shared" si="222"/>
        <v>0</v>
      </c>
      <c r="BM127" s="623">
        <f t="shared" si="222"/>
        <v>0</v>
      </c>
      <c r="BN127" s="252">
        <f t="shared" ref="BN127:BY127" si="223">BN41/BN$24</f>
        <v>0</v>
      </c>
      <c r="BO127" s="252">
        <f t="shared" si="223"/>
        <v>0</v>
      </c>
      <c r="BP127" s="252">
        <f t="shared" si="223"/>
        <v>0</v>
      </c>
      <c r="BQ127" s="252">
        <f t="shared" si="223"/>
        <v>0</v>
      </c>
      <c r="BR127" s="252">
        <f t="shared" si="223"/>
        <v>0</v>
      </c>
      <c r="BS127" s="252">
        <f t="shared" si="223"/>
        <v>0</v>
      </c>
      <c r="BT127" s="252">
        <f t="shared" si="223"/>
        <v>0</v>
      </c>
      <c r="BU127" s="252">
        <f t="shared" si="223"/>
        <v>0</v>
      </c>
      <c r="BV127" s="252">
        <f t="shared" si="223"/>
        <v>0</v>
      </c>
      <c r="BW127" s="252">
        <f t="shared" si="223"/>
        <v>0</v>
      </c>
      <c r="BX127" s="252">
        <f t="shared" si="223"/>
        <v>0</v>
      </c>
      <c r="BY127" s="623">
        <f t="shared" si="223"/>
        <v>0</v>
      </c>
      <c r="BZ127" s="252">
        <f t="shared" ref="BZ127:CK127" si="224">BZ41/BZ$24</f>
        <v>0</v>
      </c>
      <c r="CA127" s="252">
        <f t="shared" si="224"/>
        <v>0</v>
      </c>
      <c r="CB127" s="252">
        <f t="shared" si="224"/>
        <v>0</v>
      </c>
      <c r="CC127" s="252">
        <f t="shared" si="224"/>
        <v>0</v>
      </c>
      <c r="CD127" s="252">
        <f t="shared" si="224"/>
        <v>0</v>
      </c>
      <c r="CE127" s="252">
        <f t="shared" si="224"/>
        <v>0</v>
      </c>
      <c r="CF127" s="252">
        <f t="shared" si="224"/>
        <v>0</v>
      </c>
      <c r="CG127" s="252">
        <f t="shared" si="224"/>
        <v>0</v>
      </c>
      <c r="CH127" s="252">
        <f t="shared" si="224"/>
        <v>0</v>
      </c>
      <c r="CI127" s="252">
        <f t="shared" si="224"/>
        <v>0</v>
      </c>
      <c r="CJ127" s="252">
        <f t="shared" si="224"/>
        <v>0</v>
      </c>
      <c r="CK127" s="623">
        <f t="shared" si="224"/>
        <v>0</v>
      </c>
    </row>
    <row r="128" spans="2:89" x14ac:dyDescent="0.2">
      <c r="B128" s="562" t="s">
        <v>93</v>
      </c>
      <c r="P128" s="503"/>
      <c r="Q128" s="623"/>
      <c r="R128" s="252"/>
      <c r="S128" s="252"/>
      <c r="T128" s="252"/>
      <c r="U128" s="252"/>
      <c r="V128" s="252"/>
      <c r="W128" s="252"/>
      <c r="X128" s="252"/>
      <c r="Y128" s="252"/>
      <c r="Z128" s="252"/>
      <c r="AA128" s="252"/>
      <c r="AB128" s="252"/>
      <c r="AC128" s="623"/>
      <c r="AD128" s="252"/>
      <c r="AE128" s="252"/>
      <c r="AF128" s="252"/>
      <c r="AG128" s="252"/>
      <c r="AH128" s="252"/>
      <c r="AI128" s="252"/>
      <c r="AJ128" s="252"/>
      <c r="AK128" s="252"/>
      <c r="AL128" s="252"/>
      <c r="AM128" s="252"/>
      <c r="AN128" s="252"/>
      <c r="AO128" s="623"/>
      <c r="AP128" s="252"/>
      <c r="AQ128" s="252"/>
      <c r="AR128" s="252"/>
      <c r="AS128" s="252"/>
      <c r="AT128" s="252"/>
      <c r="AU128" s="252"/>
      <c r="AV128" s="252"/>
      <c r="AW128" s="252"/>
      <c r="AX128" s="252"/>
      <c r="AY128" s="252"/>
      <c r="AZ128" s="252"/>
      <c r="BA128" s="623"/>
      <c r="BB128" s="252"/>
      <c r="BC128" s="252"/>
      <c r="BD128" s="252"/>
      <c r="BE128" s="252"/>
      <c r="BF128" s="252"/>
      <c r="BG128" s="252"/>
      <c r="BH128" s="252"/>
      <c r="BI128" s="252"/>
      <c r="BJ128" s="252"/>
      <c r="BK128" s="252"/>
      <c r="BL128" s="252"/>
      <c r="BM128" s="623"/>
      <c r="BN128" s="252"/>
      <c r="BO128" s="252"/>
      <c r="BP128" s="252"/>
      <c r="BQ128" s="252"/>
      <c r="BR128" s="252"/>
      <c r="BS128" s="252"/>
      <c r="BT128" s="252"/>
      <c r="BU128" s="252"/>
      <c r="BV128" s="252"/>
      <c r="BW128" s="252"/>
      <c r="BX128" s="252"/>
      <c r="BY128" s="623"/>
      <c r="BZ128" s="252"/>
      <c r="CA128" s="252"/>
      <c r="CB128" s="252"/>
      <c r="CC128" s="252"/>
      <c r="CD128" s="252"/>
      <c r="CE128" s="252"/>
      <c r="CF128" s="252"/>
      <c r="CG128" s="252"/>
      <c r="CH128" s="252"/>
      <c r="CI128" s="252"/>
      <c r="CJ128" s="252"/>
      <c r="CK128" s="623"/>
    </row>
    <row r="129" spans="2:89" x14ac:dyDescent="0.2">
      <c r="B129" s="560" t="s">
        <v>94</v>
      </c>
      <c r="P129" s="503">
        <f t="shared" ref="P129:Q129" si="225">P45/P$24</f>
        <v>0.14283134484277057</v>
      </c>
      <c r="Q129" s="623">
        <f t="shared" si="225"/>
        <v>8.4798679274731503E-2</v>
      </c>
      <c r="R129" s="252">
        <f>R45/R$24</f>
        <v>6.7632782924432144E-2</v>
      </c>
      <c r="S129" s="252">
        <f t="shared" ref="S129:BA129" si="226">S45/S$24</f>
        <v>2.6372764127228606E-2</v>
      </c>
      <c r="T129" s="252">
        <f t="shared" si="226"/>
        <v>1.842733732346611E-2</v>
      </c>
      <c r="U129" s="252">
        <f t="shared" si="226"/>
        <v>0</v>
      </c>
      <c r="V129" s="252">
        <f t="shared" si="226"/>
        <v>0</v>
      </c>
      <c r="W129" s="252">
        <f t="shared" si="226"/>
        <v>0</v>
      </c>
      <c r="X129" s="252">
        <f t="shared" si="226"/>
        <v>0</v>
      </c>
      <c r="Y129" s="252">
        <f t="shared" si="226"/>
        <v>5.3669597933133688E-2</v>
      </c>
      <c r="Z129" s="252">
        <f t="shared" si="226"/>
        <v>5.3920370396997715E-2</v>
      </c>
      <c r="AA129" s="252">
        <f t="shared" si="226"/>
        <v>5.4255427037246298E-2</v>
      </c>
      <c r="AB129" s="252">
        <f t="shared" si="226"/>
        <v>5.3889874378469461E-2</v>
      </c>
      <c r="AC129" s="623">
        <f t="shared" si="226"/>
        <v>5.3533353591283514E-2</v>
      </c>
      <c r="AD129" s="252">
        <f t="shared" si="226"/>
        <v>5.3170474442261265E-2</v>
      </c>
      <c r="AE129" s="252">
        <f t="shared" si="226"/>
        <v>5.2559834002168355E-2</v>
      </c>
      <c r="AF129" s="252">
        <f t="shared" si="226"/>
        <v>1.7143087123461218E-2</v>
      </c>
      <c r="AG129" s="252">
        <f t="shared" si="226"/>
        <v>0.19901749027748683</v>
      </c>
      <c r="AH129" s="252">
        <f t="shared" si="226"/>
        <v>1.3596530214808052E-2</v>
      </c>
      <c r="AI129" s="252">
        <f t="shared" si="226"/>
        <v>1.2080686403306264E-2</v>
      </c>
      <c r="AJ129" s="252">
        <f t="shared" si="226"/>
        <v>1.0793228530075262E-2</v>
      </c>
      <c r="AK129" s="252">
        <f t="shared" si="226"/>
        <v>9.6806705761926914E-3</v>
      </c>
      <c r="AL129" s="252">
        <f t="shared" si="226"/>
        <v>8.4695748222026763E-3</v>
      </c>
      <c r="AM129" s="252">
        <f t="shared" si="226"/>
        <v>7.4854539239617634E-3</v>
      </c>
      <c r="AN129" s="252">
        <f t="shared" si="226"/>
        <v>6.659458530624488E-3</v>
      </c>
      <c r="AO129" s="623">
        <f t="shared" si="226"/>
        <v>6.0633655097768364E-3</v>
      </c>
      <c r="AP129" s="252">
        <f t="shared" si="226"/>
        <v>6.6102353358588684E-3</v>
      </c>
      <c r="AQ129" s="252">
        <f t="shared" si="226"/>
        <v>6.0358004090971043E-3</v>
      </c>
      <c r="AR129" s="252">
        <f t="shared" si="226"/>
        <v>5.5280341891500171E-3</v>
      </c>
      <c r="AS129" s="252">
        <f t="shared" si="226"/>
        <v>7.2888661268986271E-2</v>
      </c>
      <c r="AT129" s="252">
        <f t="shared" si="226"/>
        <v>4.6965450627636327E-3</v>
      </c>
      <c r="AU129" s="252">
        <f t="shared" si="226"/>
        <v>4.353225372369705E-3</v>
      </c>
      <c r="AV129" s="252">
        <f t="shared" si="226"/>
        <v>4.7171014840277862E-3</v>
      </c>
      <c r="AW129" s="252">
        <f t="shared" si="226"/>
        <v>4.3952988122239172E-3</v>
      </c>
      <c r="AX129" s="252">
        <f t="shared" si="226"/>
        <v>4.1075244088927274E-3</v>
      </c>
      <c r="AY129" s="252">
        <f t="shared" si="226"/>
        <v>3.8489989683153365E-3</v>
      </c>
      <c r="AZ129" s="252">
        <f t="shared" si="226"/>
        <v>3.6157711765751484E-3</v>
      </c>
      <c r="BA129" s="623">
        <f t="shared" si="226"/>
        <v>3.4045486145632743E-3</v>
      </c>
      <c r="BB129" s="252">
        <f t="shared" ref="BB129:BM129" si="227">BB45/BB$24</f>
        <v>2.4208747834535134E-3</v>
      </c>
      <c r="BC129" s="252">
        <f t="shared" si="227"/>
        <v>2.0867743091484365E-3</v>
      </c>
      <c r="BD129" s="252">
        <f t="shared" si="227"/>
        <v>1.944929388221917E-3</v>
      </c>
      <c r="BE129" s="252">
        <f t="shared" si="227"/>
        <v>2.6066507266569228E-2</v>
      </c>
      <c r="BF129" s="252">
        <f t="shared" si="227"/>
        <v>1.7054983379049991E-3</v>
      </c>
      <c r="BG129" s="252">
        <f t="shared" si="227"/>
        <v>1.6037847004151792E-3</v>
      </c>
      <c r="BH129" s="252">
        <f t="shared" si="227"/>
        <v>1.763072563663942E-3</v>
      </c>
      <c r="BI129" s="252">
        <f t="shared" si="227"/>
        <v>1.665246321321387E-3</v>
      </c>
      <c r="BJ129" s="252">
        <f t="shared" si="227"/>
        <v>1.5763085813451719E-3</v>
      </c>
      <c r="BK129" s="252">
        <f t="shared" si="227"/>
        <v>1.4951688115994145E-3</v>
      </c>
      <c r="BL129" s="252">
        <f t="shared" si="227"/>
        <v>1.4209026585998335E-3</v>
      </c>
      <c r="BM129" s="623">
        <f t="shared" si="227"/>
        <v>1.3527219710377204E-3</v>
      </c>
      <c r="BN129" s="252">
        <f t="shared" ref="BN129:BY129" si="228">BN45/BN$24</f>
        <v>1.1063886987839396E-3</v>
      </c>
      <c r="BO129" s="252">
        <f t="shared" si="228"/>
        <v>1.0573027073963305E-3</v>
      </c>
      <c r="BP129" s="252">
        <f t="shared" si="228"/>
        <v>1.0115294598421738E-3</v>
      </c>
      <c r="BQ129" s="252">
        <f t="shared" si="228"/>
        <v>1.3889637591581875E-2</v>
      </c>
      <c r="BR129" s="252">
        <f t="shared" si="228"/>
        <v>9.2952698206363741E-4</v>
      </c>
      <c r="BS129" s="252">
        <f t="shared" si="228"/>
        <v>8.9269516729946908E-4</v>
      </c>
      <c r="BT129" s="252">
        <f t="shared" si="228"/>
        <v>1.0010834114336461E-3</v>
      </c>
      <c r="BU129" s="252">
        <f t="shared" si="228"/>
        <v>9.6332003791592305E-4</v>
      </c>
      <c r="BV129" s="252">
        <f t="shared" si="228"/>
        <v>9.2795328031561764E-4</v>
      </c>
      <c r="BW129" s="252">
        <f t="shared" si="228"/>
        <v>8.947749731828315E-4</v>
      </c>
      <c r="BX129" s="252">
        <f t="shared" si="228"/>
        <v>8.6359960689164268E-4</v>
      </c>
      <c r="BY129" s="623">
        <f t="shared" si="228"/>
        <v>8.3426138743463905E-4</v>
      </c>
      <c r="BZ129" s="252">
        <f t="shared" ref="BZ129:CK129" si="229">BZ45/BZ$24</f>
        <v>6.9166153378283812E-4</v>
      </c>
      <c r="CA129" s="252">
        <f t="shared" si="229"/>
        <v>6.6953475034294268E-4</v>
      </c>
      <c r="CB129" s="252">
        <f t="shared" si="229"/>
        <v>6.4848773894245768E-4</v>
      </c>
      <c r="CC129" s="252">
        <f t="shared" si="229"/>
        <v>9.0094085334877973E-3</v>
      </c>
      <c r="CD129" s="252">
        <f t="shared" si="229"/>
        <v>6.0967941516097462E-4</v>
      </c>
      <c r="CE129" s="252">
        <f t="shared" si="229"/>
        <v>5.9176112051510126E-4</v>
      </c>
      <c r="CF129" s="252">
        <f t="shared" si="229"/>
        <v>6.7041074976273483E-4</v>
      </c>
      <c r="CG129" s="252">
        <f t="shared" si="229"/>
        <v>6.5142390528564217E-4</v>
      </c>
      <c r="CH129" s="252">
        <f t="shared" si="229"/>
        <v>6.3335957653857329E-4</v>
      </c>
      <c r="CI129" s="252">
        <f t="shared" si="229"/>
        <v>6.1615576348539086E-4</v>
      </c>
      <c r="CJ129" s="252">
        <f t="shared" si="229"/>
        <v>5.9975572302735326E-4</v>
      </c>
      <c r="CK129" s="623">
        <f t="shared" si="229"/>
        <v>5.8410743484951951E-4</v>
      </c>
    </row>
    <row r="130" spans="2:89" x14ac:dyDescent="0.2">
      <c r="B130" s="560" t="s">
        <v>95</v>
      </c>
      <c r="P130" s="503">
        <f t="shared" ref="P130:Q130" si="230">P46/P$24</f>
        <v>0.13105601117269106</v>
      </c>
      <c r="Q130" s="623">
        <f t="shared" si="230"/>
        <v>7.2712015828302464E-3</v>
      </c>
      <c r="R130" s="252">
        <f>R46/R$24</f>
        <v>0</v>
      </c>
      <c r="S130" s="252">
        <f t="shared" ref="S130:BA130" si="231">S46/S$24</f>
        <v>0</v>
      </c>
      <c r="T130" s="252">
        <f t="shared" si="231"/>
        <v>0</v>
      </c>
      <c r="U130" s="252">
        <f t="shared" si="231"/>
        <v>2.2488632794898752E-2</v>
      </c>
      <c r="V130" s="252">
        <f t="shared" si="231"/>
        <v>3.9304645946668049E-2</v>
      </c>
      <c r="W130" s="252">
        <f t="shared" si="231"/>
        <v>4.6505927889520189E-2</v>
      </c>
      <c r="X130" s="252">
        <f t="shared" si="231"/>
        <v>1.780325816359199E-2</v>
      </c>
      <c r="Y130" s="252">
        <f t="shared" si="231"/>
        <v>9.5660691356017485E-2</v>
      </c>
      <c r="Z130" s="252">
        <f t="shared" si="231"/>
        <v>4.5940155578242055E-2</v>
      </c>
      <c r="AA130" s="252">
        <f t="shared" si="231"/>
        <v>0</v>
      </c>
      <c r="AB130" s="252">
        <f t="shared" si="231"/>
        <v>0</v>
      </c>
      <c r="AC130" s="623">
        <f t="shared" si="231"/>
        <v>0</v>
      </c>
      <c r="AD130" s="252">
        <f t="shared" si="231"/>
        <v>0</v>
      </c>
      <c r="AE130" s="252">
        <f t="shared" si="231"/>
        <v>0</v>
      </c>
      <c r="AF130" s="252">
        <f t="shared" si="231"/>
        <v>0</v>
      </c>
      <c r="AG130" s="252">
        <f t="shared" si="231"/>
        <v>0.24494460341844532</v>
      </c>
      <c r="AH130" s="252">
        <f t="shared" si="231"/>
        <v>0.21754448343692884</v>
      </c>
      <c r="AI130" s="252">
        <f t="shared" si="231"/>
        <v>3.8658196490580041E-2</v>
      </c>
      <c r="AJ130" s="252">
        <f t="shared" si="231"/>
        <v>3.4538331296240836E-2</v>
      </c>
      <c r="AK130" s="252">
        <f t="shared" si="231"/>
        <v>3.0978145843816612E-2</v>
      </c>
      <c r="AL130" s="252">
        <f t="shared" si="231"/>
        <v>2.7102639431048563E-2</v>
      </c>
      <c r="AM130" s="252">
        <f t="shared" si="231"/>
        <v>2.3953452556677642E-2</v>
      </c>
      <c r="AN130" s="252">
        <f t="shared" si="231"/>
        <v>2.1310267297998359E-2</v>
      </c>
      <c r="AO130" s="623">
        <f t="shared" si="231"/>
        <v>1.9402769631285878E-2</v>
      </c>
      <c r="AP130" s="252">
        <f t="shared" si="231"/>
        <v>2.2034117786196229E-2</v>
      </c>
      <c r="AQ130" s="252">
        <f t="shared" si="231"/>
        <v>2.0119334696990347E-2</v>
      </c>
      <c r="AR130" s="252">
        <f t="shared" si="231"/>
        <v>1.8426780630500059E-2</v>
      </c>
      <c r="AS130" s="252">
        <f t="shared" si="231"/>
        <v>1.6950851457903784E-2</v>
      </c>
      <c r="AT130" s="252">
        <f t="shared" si="231"/>
        <v>1.5655150209212109E-2</v>
      </c>
      <c r="AU130" s="252">
        <f t="shared" si="231"/>
        <v>1.4510751241232351E-2</v>
      </c>
      <c r="AV130" s="252">
        <f t="shared" si="231"/>
        <v>1.3477432811507961E-2</v>
      </c>
      <c r="AW130" s="252">
        <f t="shared" si="231"/>
        <v>1.2557996606354049E-2</v>
      </c>
      <c r="AX130" s="252">
        <f t="shared" si="231"/>
        <v>1.1735784025407793E-2</v>
      </c>
      <c r="AY130" s="252">
        <f t="shared" si="231"/>
        <v>1.0997139909472389E-2</v>
      </c>
      <c r="AZ130" s="252">
        <f t="shared" si="231"/>
        <v>1.0330774790214709E-2</v>
      </c>
      <c r="BA130" s="623">
        <f t="shared" si="231"/>
        <v>9.7272817558950696E-3</v>
      </c>
      <c r="BB130" s="252">
        <f t="shared" ref="BB130:BM130" si="232">BB46/BB$24</f>
        <v>8.0695826115117116E-3</v>
      </c>
      <c r="BC130" s="252">
        <f t="shared" si="232"/>
        <v>6.9559143638281218E-3</v>
      </c>
      <c r="BD130" s="252">
        <f t="shared" si="232"/>
        <v>6.4830979607397232E-3</v>
      </c>
      <c r="BE130" s="252">
        <f t="shared" si="232"/>
        <v>6.0619784340858671E-3</v>
      </c>
      <c r="BF130" s="252">
        <f t="shared" si="232"/>
        <v>5.6849944596833301E-3</v>
      </c>
      <c r="BG130" s="252">
        <f t="shared" si="232"/>
        <v>5.3459490013839303E-3</v>
      </c>
      <c r="BH130" s="252">
        <f t="shared" si="232"/>
        <v>5.037350181896977E-3</v>
      </c>
      <c r="BI130" s="252">
        <f t="shared" si="232"/>
        <v>4.7578466323468195E-3</v>
      </c>
      <c r="BJ130" s="252">
        <f t="shared" si="232"/>
        <v>4.503738803843348E-3</v>
      </c>
      <c r="BK130" s="252">
        <f t="shared" si="232"/>
        <v>4.2719108902840412E-3</v>
      </c>
      <c r="BL130" s="252">
        <f t="shared" si="232"/>
        <v>4.0597218817138101E-3</v>
      </c>
      <c r="BM130" s="623">
        <f t="shared" si="232"/>
        <v>3.8649199172506301E-3</v>
      </c>
      <c r="BN130" s="252">
        <f t="shared" ref="BN130:BY130" si="233">BN46/BN$24</f>
        <v>3.6879623292797982E-3</v>
      </c>
      <c r="BO130" s="252">
        <f t="shared" si="233"/>
        <v>3.5243423579877685E-3</v>
      </c>
      <c r="BP130" s="252">
        <f t="shared" si="233"/>
        <v>3.3717648661405791E-3</v>
      </c>
      <c r="BQ130" s="252">
        <f t="shared" si="233"/>
        <v>3.2301482771120642E-3</v>
      </c>
      <c r="BR130" s="252">
        <f t="shared" si="233"/>
        <v>3.0984232735454579E-3</v>
      </c>
      <c r="BS130" s="252">
        <f t="shared" si="233"/>
        <v>2.9756505576648972E-3</v>
      </c>
      <c r="BT130" s="252">
        <f t="shared" si="233"/>
        <v>2.8602383183818458E-3</v>
      </c>
      <c r="BU130" s="252">
        <f t="shared" si="233"/>
        <v>2.7523429654740658E-3</v>
      </c>
      <c r="BV130" s="252">
        <f t="shared" si="233"/>
        <v>2.6512950866160504E-3</v>
      </c>
      <c r="BW130" s="252">
        <f t="shared" si="233"/>
        <v>2.5564999233795185E-3</v>
      </c>
      <c r="BX130" s="252">
        <f t="shared" si="233"/>
        <v>2.467427448261836E-3</v>
      </c>
      <c r="BY130" s="623">
        <f t="shared" si="233"/>
        <v>2.3836039640989688E-3</v>
      </c>
      <c r="BZ130" s="252">
        <f t="shared" ref="BZ130:CK130" si="234">BZ46/BZ$24</f>
        <v>2.3055384459427937E-3</v>
      </c>
      <c r="CA130" s="252">
        <f t="shared" si="234"/>
        <v>2.231782501143142E-3</v>
      </c>
      <c r="CB130" s="252">
        <f t="shared" si="234"/>
        <v>2.1616257964748586E-3</v>
      </c>
      <c r="CC130" s="252">
        <f t="shared" si="234"/>
        <v>2.0952112868576275E-3</v>
      </c>
      <c r="CD130" s="252">
        <f t="shared" si="234"/>
        <v>2.0322647172032484E-3</v>
      </c>
      <c r="CE130" s="252">
        <f t="shared" si="234"/>
        <v>1.972537068383671E-3</v>
      </c>
      <c r="CF130" s="252">
        <f t="shared" si="234"/>
        <v>1.9154592850363853E-3</v>
      </c>
      <c r="CG130" s="252">
        <f t="shared" si="234"/>
        <v>1.8612111579589775E-3</v>
      </c>
      <c r="CH130" s="252">
        <f t="shared" si="234"/>
        <v>1.8095987901102094E-3</v>
      </c>
      <c r="CI130" s="252">
        <f t="shared" si="234"/>
        <v>1.7604450385296881E-3</v>
      </c>
      <c r="CJ130" s="252">
        <f t="shared" si="234"/>
        <v>1.7135877800781522E-3</v>
      </c>
      <c r="CK130" s="623">
        <f t="shared" si="234"/>
        <v>1.6688783852843413E-3</v>
      </c>
    </row>
    <row r="131" spans="2:89" x14ac:dyDescent="0.2">
      <c r="B131" s="563" t="s">
        <v>54</v>
      </c>
      <c r="P131" s="503">
        <f t="shared" ref="P131:Q131" si="235">P47/P$24</f>
        <v>0</v>
      </c>
      <c r="Q131" s="623">
        <f t="shared" si="235"/>
        <v>0</v>
      </c>
      <c r="R131" s="252">
        <f>R47/R$24</f>
        <v>6.3370772968840999E-2</v>
      </c>
      <c r="S131" s="252">
        <f t="shared" ref="S131:BA131" si="236">S47/S$24</f>
        <v>0.11491245404745644</v>
      </c>
      <c r="T131" s="252">
        <f t="shared" si="236"/>
        <v>0.24657620072530001</v>
      </c>
      <c r="U131" s="252">
        <f t="shared" si="236"/>
        <v>0</v>
      </c>
      <c r="V131" s="252">
        <f t="shared" si="236"/>
        <v>3.7283985819456265E-2</v>
      </c>
      <c r="W131" s="252">
        <f t="shared" si="236"/>
        <v>1.4611222942119875E-2</v>
      </c>
      <c r="X131" s="252">
        <f t="shared" si="236"/>
        <v>2.9749334501851833E-2</v>
      </c>
      <c r="Y131" s="252">
        <f t="shared" si="236"/>
        <v>0</v>
      </c>
      <c r="Z131" s="252">
        <f t="shared" si="236"/>
        <v>0</v>
      </c>
      <c r="AA131" s="252">
        <f t="shared" si="236"/>
        <v>2.8936227753198027E-2</v>
      </c>
      <c r="AB131" s="252">
        <f t="shared" si="236"/>
        <v>2.8741266335183712E-2</v>
      </c>
      <c r="AC131" s="623">
        <f t="shared" si="236"/>
        <v>2.8551121915351207E-2</v>
      </c>
      <c r="AD131" s="252">
        <f t="shared" si="236"/>
        <v>2.835758636920601E-2</v>
      </c>
      <c r="AE131" s="252">
        <f t="shared" si="236"/>
        <v>2.8031911467823124E-2</v>
      </c>
      <c r="AF131" s="252">
        <f t="shared" si="236"/>
        <v>2.742893939753795E-2</v>
      </c>
      <c r="AG131" s="252">
        <f t="shared" si="236"/>
        <v>0.12247230170922266</v>
      </c>
      <c r="AH131" s="252">
        <f t="shared" si="236"/>
        <v>0.10877224171846442</v>
      </c>
      <c r="AI131" s="252">
        <f t="shared" si="236"/>
        <v>9.6645491226450109E-2</v>
      </c>
      <c r="AJ131" s="252">
        <f t="shared" si="236"/>
        <v>8.6345828240602093E-2</v>
      </c>
      <c r="AK131" s="252">
        <f t="shared" si="236"/>
        <v>7.7445364609541531E-2</v>
      </c>
      <c r="AL131" s="252">
        <f t="shared" si="236"/>
        <v>6.775659857762141E-2</v>
      </c>
      <c r="AM131" s="252">
        <f t="shared" si="236"/>
        <v>5.9883631391694107E-2</v>
      </c>
      <c r="AN131" s="252">
        <f t="shared" si="236"/>
        <v>5.3275668244995904E-2</v>
      </c>
      <c r="AO131" s="623">
        <f t="shared" si="236"/>
        <v>4.8506924078214692E-2</v>
      </c>
      <c r="AP131" s="252">
        <f t="shared" si="236"/>
        <v>5.508529446549057E-2</v>
      </c>
      <c r="AQ131" s="252">
        <f t="shared" si="236"/>
        <v>5.0298336742475865E-2</v>
      </c>
      <c r="AR131" s="252">
        <f t="shared" si="236"/>
        <v>4.606695157625014E-2</v>
      </c>
      <c r="AS131" s="252">
        <f t="shared" si="236"/>
        <v>4.2377128644759461E-2</v>
      </c>
      <c r="AT131" s="252">
        <f t="shared" si="236"/>
        <v>3.9137875523030267E-2</v>
      </c>
      <c r="AU131" s="252">
        <f t="shared" si="236"/>
        <v>3.6276878103080876E-2</v>
      </c>
      <c r="AV131" s="252">
        <f t="shared" si="236"/>
        <v>3.3693582028769903E-2</v>
      </c>
      <c r="AW131" s="252">
        <f t="shared" si="236"/>
        <v>3.1394991515885123E-2</v>
      </c>
      <c r="AX131" s="252">
        <f t="shared" si="236"/>
        <v>2.9339460063519483E-2</v>
      </c>
      <c r="AY131" s="252">
        <f t="shared" si="236"/>
        <v>2.7492849773680973E-2</v>
      </c>
      <c r="AZ131" s="252">
        <f t="shared" si="236"/>
        <v>2.5826936975536775E-2</v>
      </c>
      <c r="BA131" s="623">
        <f t="shared" si="236"/>
        <v>2.4318204389737672E-2</v>
      </c>
      <c r="BB131" s="252">
        <f t="shared" ref="BB131:BM131" si="237">BB47/BB$24</f>
        <v>2.0173956528779277E-2</v>
      </c>
      <c r="BC131" s="252">
        <f t="shared" si="237"/>
        <v>1.7389785909570306E-2</v>
      </c>
      <c r="BD131" s="252">
        <f t="shared" si="237"/>
        <v>1.620774490184931E-2</v>
      </c>
      <c r="BE131" s="252">
        <f t="shared" si="237"/>
        <v>1.5154946085214668E-2</v>
      </c>
      <c r="BF131" s="252">
        <f t="shared" si="237"/>
        <v>1.4212486149208326E-2</v>
      </c>
      <c r="BG131" s="252">
        <f t="shared" si="237"/>
        <v>1.3364872503459826E-2</v>
      </c>
      <c r="BH131" s="252">
        <f t="shared" si="237"/>
        <v>1.2593375454742442E-2</v>
      </c>
      <c r="BI131" s="252">
        <f t="shared" si="237"/>
        <v>1.1894616580867049E-2</v>
      </c>
      <c r="BJ131" s="252">
        <f t="shared" si="237"/>
        <v>1.1259347009608371E-2</v>
      </c>
      <c r="BK131" s="252">
        <f t="shared" si="237"/>
        <v>1.0679777225710103E-2</v>
      </c>
      <c r="BL131" s="252">
        <f t="shared" si="237"/>
        <v>1.0149304704284526E-2</v>
      </c>
      <c r="BM131" s="623">
        <f t="shared" si="237"/>
        <v>9.662299793126574E-3</v>
      </c>
      <c r="BN131" s="252">
        <f t="shared" ref="BN131:BY131" si="238">BN47/BN$24</f>
        <v>9.2199058231994951E-3</v>
      </c>
      <c r="BO131" s="252">
        <f t="shared" si="238"/>
        <v>8.8108558949694209E-3</v>
      </c>
      <c r="BP131" s="252">
        <f t="shared" si="238"/>
        <v>8.4294121653514485E-3</v>
      </c>
      <c r="BQ131" s="252">
        <f t="shared" si="238"/>
        <v>8.0753706927801597E-3</v>
      </c>
      <c r="BR131" s="252">
        <f t="shared" si="238"/>
        <v>7.7460581838636449E-3</v>
      </c>
      <c r="BS131" s="252">
        <f t="shared" si="238"/>
        <v>7.4391263941622427E-3</v>
      </c>
      <c r="BT131" s="252">
        <f t="shared" si="238"/>
        <v>7.1505957959546148E-3</v>
      </c>
      <c r="BU131" s="252">
        <f t="shared" si="238"/>
        <v>6.8808574136851649E-3</v>
      </c>
      <c r="BV131" s="252">
        <f t="shared" si="238"/>
        <v>6.6282377165401262E-3</v>
      </c>
      <c r="BW131" s="252">
        <f t="shared" si="238"/>
        <v>6.3912498084487965E-3</v>
      </c>
      <c r="BX131" s="252">
        <f t="shared" si="238"/>
        <v>6.1685686206545904E-3</v>
      </c>
      <c r="BY131" s="623">
        <f t="shared" si="238"/>
        <v>5.9590099102474221E-3</v>
      </c>
      <c r="BZ131" s="252">
        <f t="shared" ref="BZ131:CK131" si="239">BZ47/BZ$24</f>
        <v>5.7638461148569846E-3</v>
      </c>
      <c r="CA131" s="252">
        <f t="shared" si="239"/>
        <v>5.5794562528578553E-3</v>
      </c>
      <c r="CB131" s="252">
        <f t="shared" si="239"/>
        <v>5.4040644911871466E-3</v>
      </c>
      <c r="CC131" s="252">
        <f t="shared" si="239"/>
        <v>5.2380282171440688E-3</v>
      </c>
      <c r="CD131" s="252">
        <f t="shared" si="239"/>
        <v>5.0806617930081212E-3</v>
      </c>
      <c r="CE131" s="252">
        <f t="shared" si="239"/>
        <v>4.9313426709591771E-3</v>
      </c>
      <c r="CF131" s="252">
        <f t="shared" si="239"/>
        <v>4.7886482125909634E-3</v>
      </c>
      <c r="CG131" s="252">
        <f t="shared" si="239"/>
        <v>4.653027894897444E-3</v>
      </c>
      <c r="CH131" s="252">
        <f t="shared" si="239"/>
        <v>4.5239969752755241E-3</v>
      </c>
      <c r="CI131" s="252">
        <f t="shared" si="239"/>
        <v>4.4011125963242205E-3</v>
      </c>
      <c r="CJ131" s="252">
        <f t="shared" si="239"/>
        <v>4.2839694501953804E-3</v>
      </c>
      <c r="CK131" s="623">
        <f t="shared" si="239"/>
        <v>4.1721959632108532E-3</v>
      </c>
    </row>
    <row r="134" spans="2:89" x14ac:dyDescent="0.2">
      <c r="B134" t="s">
        <v>205</v>
      </c>
      <c r="P134" s="505">
        <f t="shared" ref="P134:Q134" si="240">P73/P24</f>
        <v>2.8782304723147498</v>
      </c>
      <c r="Q134" s="625">
        <f t="shared" si="240"/>
        <v>2.908334224378847</v>
      </c>
      <c r="R134" s="282">
        <f>R73/R24</f>
        <v>2.5720635726830956</v>
      </c>
      <c r="S134" s="282">
        <f>S73/S24</f>
        <v>2.8280250214324112</v>
      </c>
      <c r="T134" s="282">
        <f>T73/T24</f>
        <v>3.547834861573842</v>
      </c>
      <c r="U134" s="282">
        <f>U73/U24</f>
        <v>2.6487782131982467</v>
      </c>
      <c r="V134" s="282">
        <f t="shared" ref="V134:BA134" si="241">V73/V24</f>
        <v>2.234582924523854</v>
      </c>
      <c r="W134" s="282">
        <f t="shared" si="241"/>
        <v>2.2823155498323873</v>
      </c>
      <c r="X134" s="282">
        <f t="shared" si="241"/>
        <v>1.6382484786452942</v>
      </c>
      <c r="Y134" s="282">
        <f t="shared" si="241"/>
        <v>2.2597983511554562</v>
      </c>
      <c r="Z134" s="282">
        <f t="shared" si="241"/>
        <v>2.1150503975728645</v>
      </c>
      <c r="AA134" s="282">
        <f t="shared" si="241"/>
        <v>1.9479968353438659</v>
      </c>
      <c r="AB134" s="282">
        <f t="shared" si="241"/>
        <v>1.9348719654214532</v>
      </c>
      <c r="AC134" s="625">
        <f t="shared" si="241"/>
        <v>1.9220713774785041</v>
      </c>
      <c r="AD134" s="282">
        <f t="shared" si="241"/>
        <v>1.6883359701824427</v>
      </c>
      <c r="AE134" s="282">
        <f t="shared" si="241"/>
        <v>1.3970366034695867</v>
      </c>
      <c r="AF134" s="282">
        <f t="shared" si="241"/>
        <v>1.6244157410589919</v>
      </c>
      <c r="AG134" s="282">
        <f t="shared" si="241"/>
        <v>3.2356150906736656</v>
      </c>
      <c r="AH134" s="282">
        <f t="shared" si="241"/>
        <v>2.9753949752874553</v>
      </c>
      <c r="AI134" s="282">
        <f t="shared" si="241"/>
        <v>3.0549812418437203</v>
      </c>
      <c r="AJ134" s="282">
        <f t="shared" si="241"/>
        <v>2.727065277594892</v>
      </c>
      <c r="AK134" s="282">
        <f t="shared" si="241"/>
        <v>2.6956544982283424</v>
      </c>
      <c r="AL134" s="282">
        <f t="shared" si="241"/>
        <v>2.5187707858551582</v>
      </c>
      <c r="AM134" s="282">
        <f t="shared" si="241"/>
        <v>2.2514419282817086</v>
      </c>
      <c r="AN134" s="282">
        <f t="shared" si="241"/>
        <v>2.0648362392588488</v>
      </c>
      <c r="AO134" s="625">
        <f t="shared" si="241"/>
        <v>1.8519968064237822</v>
      </c>
      <c r="AP134" s="282">
        <f t="shared" si="241"/>
        <v>1.9305916951901718</v>
      </c>
      <c r="AQ134" s="282">
        <f t="shared" si="241"/>
        <v>1.7869601394356036</v>
      </c>
      <c r="AR134" s="282">
        <f t="shared" si="241"/>
        <v>1.6965543592821752</v>
      </c>
      <c r="AS134" s="282">
        <f t="shared" si="241"/>
        <v>1.6517080657732133</v>
      </c>
      <c r="AT134" s="282">
        <f t="shared" si="241"/>
        <v>1.485497069893787</v>
      </c>
      <c r="AU134" s="282">
        <f t="shared" si="241"/>
        <v>1.416416470730099</v>
      </c>
      <c r="AV134" s="282">
        <f t="shared" si="241"/>
        <v>1.3215683262268167</v>
      </c>
      <c r="AW134" s="282">
        <f t="shared" si="241"/>
        <v>1.2523619144876221</v>
      </c>
      <c r="AX134" s="282">
        <f t="shared" si="241"/>
        <v>1.1907736645905884</v>
      </c>
      <c r="AY134" s="282">
        <f t="shared" si="241"/>
        <v>1.1357107986348787</v>
      </c>
      <c r="AZ134" s="282">
        <f t="shared" si="241"/>
        <v>1.0862719863136945</v>
      </c>
      <c r="BA134" s="625">
        <f t="shared" si="241"/>
        <v>1.0640807535802188</v>
      </c>
      <c r="BB134" s="282">
        <f t="shared" ref="BB134:BM134" si="242">BB73/BB24</f>
        <v>0.90569826704874268</v>
      </c>
      <c r="BC134" s="282">
        <f t="shared" si="242"/>
        <v>0.79623982969841567</v>
      </c>
      <c r="BD134" s="282">
        <f t="shared" si="242"/>
        <v>0.75702840710800889</v>
      </c>
      <c r="BE134" s="282">
        <f t="shared" si="242"/>
        <v>0.74644096880001432</v>
      </c>
      <c r="BF134" s="282">
        <f t="shared" si="242"/>
        <v>0.69109112020788133</v>
      </c>
      <c r="BG134" s="282">
        <f t="shared" si="242"/>
        <v>0.66961119361889265</v>
      </c>
      <c r="BH134" s="282">
        <f t="shared" si="242"/>
        <v>0.63802462201494792</v>
      </c>
      <c r="BI134" s="282">
        <f t="shared" si="242"/>
        <v>0.61505497814633803</v>
      </c>
      <c r="BJ134" s="282">
        <f t="shared" si="242"/>
        <v>0.59423855408346848</v>
      </c>
      <c r="BK134" s="282">
        <f t="shared" si="242"/>
        <v>0.57530941552921355</v>
      </c>
      <c r="BL134" s="282">
        <f t="shared" si="242"/>
        <v>0.55804223266152686</v>
      </c>
      <c r="BM134" s="625">
        <f t="shared" si="242"/>
        <v>0.55113426413961597</v>
      </c>
      <c r="BN134" s="282">
        <f t="shared" ref="BN134:BY134" si="243">BN73/BN24</f>
        <v>0.53001289173387744</v>
      </c>
      <c r="BO134" s="282">
        <f t="shared" si="243"/>
        <v>0.51691700799833895</v>
      </c>
      <c r="BP134" s="282">
        <f t="shared" si="243"/>
        <v>0.50470640913979548</v>
      </c>
      <c r="BQ134" s="282">
        <f t="shared" si="243"/>
        <v>0.50633493691708853</v>
      </c>
      <c r="BR134" s="282">
        <f t="shared" si="243"/>
        <v>0.48295025064802066</v>
      </c>
      <c r="BS134" s="282">
        <f t="shared" si="243"/>
        <v>0.47680539021466073</v>
      </c>
      <c r="BT134" s="282">
        <f t="shared" si="243"/>
        <v>0.46421643746646413</v>
      </c>
      <c r="BU134" s="282">
        <f t="shared" si="243"/>
        <v>0.45568200003215625</v>
      </c>
      <c r="BV134" s="282">
        <f t="shared" si="243"/>
        <v>0.44772294053519801</v>
      </c>
      <c r="BW134" s="282">
        <f t="shared" si="243"/>
        <v>0.44028851572927469</v>
      </c>
      <c r="BX134" s="282">
        <f t="shared" si="243"/>
        <v>0.43333352693268828</v>
      </c>
      <c r="BY134" s="625">
        <f t="shared" si="243"/>
        <v>0.43229988846912698</v>
      </c>
      <c r="BZ134" s="282">
        <f t="shared" ref="BZ134:CK134" si="244">BZ73/BZ24</f>
        <v>0.42213972411578798</v>
      </c>
      <c r="CA134" s="282">
        <f t="shared" si="244"/>
        <v>0.416508810312825</v>
      </c>
      <c r="CB134" s="282">
        <f t="shared" si="244"/>
        <v>0.41113193289767752</v>
      </c>
      <c r="CC134" s="282">
        <f t="shared" si="244"/>
        <v>0.41444588481797712</v>
      </c>
      <c r="CD134" s="282">
        <f t="shared" si="244"/>
        <v>0.40128490536865363</v>
      </c>
      <c r="CE134" s="282">
        <f t="shared" si="244"/>
        <v>0.39913749852502101</v>
      </c>
      <c r="CF134" s="282">
        <f t="shared" si="244"/>
        <v>0.3925281253592825</v>
      </c>
      <c r="CG134" s="282">
        <f t="shared" si="244"/>
        <v>0.38842293291632102</v>
      </c>
      <c r="CH134" s="282">
        <f t="shared" si="244"/>
        <v>0.38453689605413122</v>
      </c>
      <c r="CI134" s="282">
        <f t="shared" si="244"/>
        <v>0.38085485312557582</v>
      </c>
      <c r="CJ134" s="282">
        <f t="shared" si="244"/>
        <v>0.37736293832613066</v>
      </c>
      <c r="CK134" s="625">
        <f t="shared" si="244"/>
        <v>0.37788686998136178</v>
      </c>
    </row>
    <row r="135" spans="2:89" x14ac:dyDescent="0.2">
      <c r="B135" s="283" t="s">
        <v>206</v>
      </c>
      <c r="P135" s="505">
        <f t="shared" ref="P135:Q135" si="245">P70/P24</f>
        <v>0.11891995624236947</v>
      </c>
      <c r="Q135" s="625">
        <f t="shared" si="245"/>
        <v>8.1966377397235959E-2</v>
      </c>
      <c r="R135" s="282">
        <f>R70/R24</f>
        <v>8.4892259618884677E-2</v>
      </c>
      <c r="S135" s="282">
        <f>S70/S24</f>
        <v>4.6026212929193122E-2</v>
      </c>
      <c r="T135" s="282">
        <f>T70/T24</f>
        <v>3.2237668425863134E-2</v>
      </c>
      <c r="U135" s="282">
        <f>U70/U24</f>
        <v>5.5257588377459477E-3</v>
      </c>
      <c r="V135" s="282">
        <f t="shared" ref="V135:BA135" si="246">V70/V24</f>
        <v>2.1427416765641593E-2</v>
      </c>
      <c r="W135" s="282">
        <f t="shared" si="246"/>
        <v>2.4739946810551056E-2</v>
      </c>
      <c r="X135" s="282">
        <f t="shared" si="246"/>
        <v>2.3480219009683143E-2</v>
      </c>
      <c r="Y135" s="282">
        <f t="shared" si="246"/>
        <v>5.3824309494108935E-2</v>
      </c>
      <c r="Z135" s="282">
        <f t="shared" si="246"/>
        <v>0.12618977094626654</v>
      </c>
      <c r="AA135" s="282">
        <f t="shared" si="246"/>
        <v>0.12697390355469812</v>
      </c>
      <c r="AB135" s="282">
        <f t="shared" si="246"/>
        <v>0.12611840115476622</v>
      </c>
      <c r="AC135" s="625">
        <f t="shared" si="246"/>
        <v>0.12528403603187602</v>
      </c>
      <c r="AD135" s="282">
        <f t="shared" si="246"/>
        <v>0.1244347904432581</v>
      </c>
      <c r="AE135" s="282">
        <f t="shared" si="246"/>
        <v>0.12300570943549592</v>
      </c>
      <c r="AF135" s="282">
        <f t="shared" si="246"/>
        <v>0.14624578516960812</v>
      </c>
      <c r="AG135" s="282">
        <f t="shared" si="246"/>
        <v>0.58150134739647097</v>
      </c>
      <c r="AH135" s="282">
        <f t="shared" si="246"/>
        <v>0.53308128914778863</v>
      </c>
      <c r="AI135" s="282">
        <f t="shared" si="246"/>
        <v>0.49141500127551202</v>
      </c>
      <c r="AJ135" s="282">
        <f t="shared" si="246"/>
        <v>0.45747171579166906</v>
      </c>
      <c r="AK135" s="282">
        <f t="shared" si="246"/>
        <v>0.43002228988154567</v>
      </c>
      <c r="AL135" s="282">
        <f t="shared" si="246"/>
        <v>0.40271520536979899</v>
      </c>
      <c r="AM135" s="282">
        <f t="shared" si="246"/>
        <v>0.38172039658039658</v>
      </c>
      <c r="AN135" s="282">
        <f t="shared" si="246"/>
        <v>0.36454802875427839</v>
      </c>
      <c r="AO135" s="625">
        <f t="shared" si="246"/>
        <v>0.2836592469582418</v>
      </c>
      <c r="AP135" s="282">
        <f t="shared" si="246"/>
        <v>0.31372867554733125</v>
      </c>
      <c r="AQ135" s="282">
        <f t="shared" si="246"/>
        <v>0.31091248624162626</v>
      </c>
      <c r="AR135" s="282">
        <f t="shared" si="246"/>
        <v>0.30884649473730014</v>
      </c>
      <c r="AS135" s="282">
        <f t="shared" si="246"/>
        <v>0.30760800740822231</v>
      </c>
      <c r="AT135" s="282">
        <f t="shared" si="246"/>
        <v>0.30699903930895578</v>
      </c>
      <c r="AU135" s="282">
        <f t="shared" si="246"/>
        <v>0.30687690327824141</v>
      </c>
      <c r="AV135" s="282">
        <f t="shared" si="246"/>
        <v>0.30674546192654534</v>
      </c>
      <c r="AW135" s="282">
        <f t="shared" si="246"/>
        <v>0.3069633377740969</v>
      </c>
      <c r="AX135" s="282">
        <f t="shared" si="246"/>
        <v>0.30745341181336561</v>
      </c>
      <c r="AY135" s="282">
        <f t="shared" si="246"/>
        <v>0.30815495725844139</v>
      </c>
      <c r="AZ135" s="282">
        <f t="shared" si="246"/>
        <v>0.30901987055800478</v>
      </c>
      <c r="BA135" s="625">
        <f t="shared" si="246"/>
        <v>0.31000985542783721</v>
      </c>
      <c r="BB135" s="282">
        <f t="shared" ref="BB135:BM135" si="247">BB70/BB24</f>
        <v>0.28151512135645057</v>
      </c>
      <c r="BC135" s="282">
        <f t="shared" si="247"/>
        <v>0.25830575513386161</v>
      </c>
      <c r="BD135" s="282">
        <f t="shared" si="247"/>
        <v>0.25575893357292867</v>
      </c>
      <c r="BE135" s="282">
        <f t="shared" si="247"/>
        <v>0.25357729628648629</v>
      </c>
      <c r="BF135" s="282">
        <f t="shared" si="247"/>
        <v>0.25170497434206085</v>
      </c>
      <c r="BG135" s="282">
        <f t="shared" si="247"/>
        <v>0.25009631728247289</v>
      </c>
      <c r="BH135" s="282">
        <f t="shared" si="247"/>
        <v>0.24859677467247601</v>
      </c>
      <c r="BI135" s="282">
        <f t="shared" si="247"/>
        <v>0.24730799763576389</v>
      </c>
      <c r="BJ135" s="282">
        <f t="shared" si="247"/>
        <v>0.2462013500607923</v>
      </c>
      <c r="BK135" s="282">
        <f t="shared" si="247"/>
        <v>0.24525279994501867</v>
      </c>
      <c r="BL135" s="282">
        <f t="shared" si="247"/>
        <v>0.24444205213227585</v>
      </c>
      <c r="BM135" s="625">
        <f t="shared" si="247"/>
        <v>0.24375186756748063</v>
      </c>
      <c r="BN135" s="282">
        <f t="shared" ref="BN135:BY135" si="248">BN70/BN24</f>
        <v>0.243325078391467</v>
      </c>
      <c r="BO135" s="282">
        <f t="shared" si="248"/>
        <v>0.24297427724077408</v>
      </c>
      <c r="BP135" s="282">
        <f t="shared" si="248"/>
        <v>0.2426233363050844</v>
      </c>
      <c r="BQ135" s="282">
        <f t="shared" si="248"/>
        <v>0.24233895160720154</v>
      </c>
      <c r="BR135" s="282">
        <f t="shared" si="248"/>
        <v>0.24211367849319312</v>
      </c>
      <c r="BS135" s="282">
        <f t="shared" si="248"/>
        <v>0.24194100729383339</v>
      </c>
      <c r="BT135" s="282">
        <f t="shared" si="248"/>
        <v>0.24175067254697105</v>
      </c>
      <c r="BU135" s="282">
        <f t="shared" si="248"/>
        <v>0.24160820093649965</v>
      </c>
      <c r="BV135" s="282">
        <f t="shared" si="248"/>
        <v>0.24150851928199979</v>
      </c>
      <c r="BW135" s="282">
        <f t="shared" si="248"/>
        <v>0.24144714390505337</v>
      </c>
      <c r="BX135" s="282">
        <f t="shared" si="248"/>
        <v>0.24142010100128972</v>
      </c>
      <c r="BY135" s="625">
        <f t="shared" si="248"/>
        <v>0.24142385935089808</v>
      </c>
      <c r="BZ135" s="282">
        <f t="shared" ref="BZ135:CK135" si="249">BZ70/BZ24</f>
        <v>0.2415530750279497</v>
      </c>
      <c r="CA135" s="282">
        <f t="shared" si="249"/>
        <v>0.24169926676192344</v>
      </c>
      <c r="CB135" s="282">
        <f t="shared" si="249"/>
        <v>0.24181757604790666</v>
      </c>
      <c r="CC135" s="282">
        <f t="shared" si="249"/>
        <v>0.24195275341027023</v>
      </c>
      <c r="CD135" s="282">
        <f t="shared" si="249"/>
        <v>0.2421030552524642</v>
      </c>
      <c r="CE135" s="282">
        <f t="shared" si="249"/>
        <v>0.24226691062653746</v>
      </c>
      <c r="CF135" s="282">
        <f t="shared" si="249"/>
        <v>0.24239955881589023</v>
      </c>
      <c r="CG135" s="282">
        <f t="shared" si="249"/>
        <v>0.24254618922263257</v>
      </c>
      <c r="CH135" s="282">
        <f t="shared" si="249"/>
        <v>0.24270539146397122</v>
      </c>
      <c r="CI135" s="282">
        <f t="shared" si="249"/>
        <v>0.24287588788337358</v>
      </c>
      <c r="CJ135" s="282">
        <f t="shared" si="249"/>
        <v>0.24305651945358339</v>
      </c>
      <c r="CK135" s="625">
        <f t="shared" si="249"/>
        <v>0.24324623339373735</v>
      </c>
    </row>
  </sheetData>
  <mergeCells count="31">
    <mergeCell ref="F79:Q79"/>
    <mergeCell ref="R79:AC79"/>
    <mergeCell ref="AD29:AO29"/>
    <mergeCell ref="R29:AC29"/>
    <mergeCell ref="F29:Q29"/>
    <mergeCell ref="AD115:AO115"/>
    <mergeCell ref="AP115:BA115"/>
    <mergeCell ref="AP79:BA79"/>
    <mergeCell ref="AP4:BA4"/>
    <mergeCell ref="AD79:AO79"/>
    <mergeCell ref="A4:A26"/>
    <mergeCell ref="F4:Q4"/>
    <mergeCell ref="R4:AC4"/>
    <mergeCell ref="C4:E4"/>
    <mergeCell ref="BB4:BM4"/>
    <mergeCell ref="BZ4:CK4"/>
    <mergeCell ref="BZ29:CK29"/>
    <mergeCell ref="BZ79:CK79"/>
    <mergeCell ref="BZ115:CK115"/>
    <mergeCell ref="P3:Z3"/>
    <mergeCell ref="BN4:BY4"/>
    <mergeCell ref="BN29:BY29"/>
    <mergeCell ref="BN79:BY79"/>
    <mergeCell ref="BN115:BY115"/>
    <mergeCell ref="AP29:BA29"/>
    <mergeCell ref="AD4:AO4"/>
    <mergeCell ref="BB29:BM29"/>
    <mergeCell ref="BB79:BM79"/>
    <mergeCell ref="BB115:BM115"/>
    <mergeCell ref="F115:Q115"/>
    <mergeCell ref="R115:AC115"/>
  </mergeCells>
  <conditionalFormatting sqref="F76:CK76">
    <cfRule type="cellIs" dxfId="0" priority="1" operator="lessThan">
      <formula>0</formula>
    </cfRule>
  </conditionalFormatting>
  <pageMargins left="0.75" right="0.75" top="1" bottom="1" header="0.5" footer="0.5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2:CL86"/>
  <sheetViews>
    <sheetView zoomScaleNormal="100" workbookViewId="0">
      <pane xSplit="5" ySplit="6" topLeftCell="AC7" activePane="bottomRight" state="frozen"/>
      <selection activeCell="I11" sqref="I11"/>
      <selection pane="topRight" activeCell="I11" sqref="I11"/>
      <selection pane="bottomLeft" activeCell="I11" sqref="I11"/>
      <selection pane="bottomRight" activeCell="AM54" sqref="AM54:AN54"/>
    </sheetView>
  </sheetViews>
  <sheetFormatPr baseColWidth="10" defaultColWidth="4.6640625" defaultRowHeight="15" x14ac:dyDescent="0.2"/>
  <cols>
    <col min="1" max="1" width="4.6640625" style="52"/>
    <col min="2" max="2" width="35" style="52" customWidth="1"/>
    <col min="3" max="3" width="27.5" style="52" customWidth="1"/>
    <col min="4" max="4" width="19" style="52" bestFit="1" customWidth="1"/>
    <col min="5" max="5" width="22.5" style="509" customWidth="1"/>
    <col min="6" max="6" width="4.6640625" style="509"/>
    <col min="7" max="7" width="5.5" style="52" hidden="1" customWidth="1"/>
    <col min="8" max="8" width="5.1640625" style="52" hidden="1" customWidth="1"/>
    <col min="9" max="9" width="5.6640625" style="52" hidden="1" customWidth="1"/>
    <col min="10" max="14" width="5.5" style="52" hidden="1" customWidth="1"/>
    <col min="15" max="15" width="13.5" style="52" hidden="1" customWidth="1"/>
    <col min="16" max="18" width="12" style="52" bestFit="1" customWidth="1"/>
    <col min="19" max="29" width="14" style="52" customWidth="1"/>
    <col min="30" max="30" width="14" style="509" customWidth="1"/>
    <col min="31" max="41" width="14" style="52" customWidth="1"/>
    <col min="42" max="42" width="14" style="509" customWidth="1"/>
    <col min="43" max="53" width="14" style="52" customWidth="1"/>
    <col min="54" max="54" width="14" style="509" customWidth="1"/>
    <col min="55" max="65" width="14" style="52" customWidth="1"/>
    <col min="66" max="66" width="14" style="509" customWidth="1"/>
    <col min="67" max="77" width="14" style="52" customWidth="1"/>
    <col min="78" max="78" width="14" style="509" customWidth="1"/>
    <col min="79" max="89" width="14" style="52" customWidth="1"/>
    <col min="90" max="90" width="14" style="509" customWidth="1"/>
    <col min="91" max="16384" width="4.6640625" style="52"/>
  </cols>
  <sheetData>
    <row r="2" spans="2:90" ht="19" x14ac:dyDescent="0.25">
      <c r="B2" s="80" t="s">
        <v>35</v>
      </c>
      <c r="C2" s="81">
        <v>0.05</v>
      </c>
    </row>
    <row r="3" spans="2:90" ht="16" thickBot="1" x14ac:dyDescent="0.25"/>
    <row r="4" spans="2:90" customFormat="1" ht="16" x14ac:dyDescent="0.2">
      <c r="B4" s="5" t="s">
        <v>26</v>
      </c>
      <c r="C4" s="5"/>
      <c r="D4" s="55"/>
      <c r="E4" s="150"/>
      <c r="F4" s="150"/>
      <c r="G4" s="715">
        <v>2022</v>
      </c>
      <c r="H4" s="716"/>
      <c r="I4" s="716"/>
      <c r="J4" s="716"/>
      <c r="K4" s="716"/>
      <c r="L4" s="716"/>
      <c r="M4" s="716"/>
      <c r="N4" s="716"/>
      <c r="O4" s="716"/>
      <c r="P4" s="716"/>
      <c r="Q4" s="716"/>
      <c r="R4" s="717"/>
      <c r="S4" s="701">
        <v>2023</v>
      </c>
      <c r="T4" s="702"/>
      <c r="U4" s="702"/>
      <c r="V4" s="702"/>
      <c r="W4" s="702"/>
      <c r="X4" s="702"/>
      <c r="Y4" s="702"/>
      <c r="Z4" s="702"/>
      <c r="AA4" s="702"/>
      <c r="AB4" s="702"/>
      <c r="AC4" s="702"/>
      <c r="AD4" s="703"/>
      <c r="AE4" s="715">
        <v>2024</v>
      </c>
      <c r="AF4" s="716"/>
      <c r="AG4" s="716"/>
      <c r="AH4" s="716"/>
      <c r="AI4" s="716"/>
      <c r="AJ4" s="716"/>
      <c r="AK4" s="716"/>
      <c r="AL4" s="716"/>
      <c r="AM4" s="716"/>
      <c r="AN4" s="716"/>
      <c r="AO4" s="716"/>
      <c r="AP4" s="735"/>
      <c r="AQ4" s="701">
        <v>2025</v>
      </c>
      <c r="AR4" s="702"/>
      <c r="AS4" s="702"/>
      <c r="AT4" s="702"/>
      <c r="AU4" s="702"/>
      <c r="AV4" s="702"/>
      <c r="AW4" s="702"/>
      <c r="AX4" s="702"/>
      <c r="AY4" s="702"/>
      <c r="AZ4" s="702"/>
      <c r="BA4" s="702"/>
      <c r="BB4" s="703"/>
      <c r="BC4" s="701">
        <v>2026</v>
      </c>
      <c r="BD4" s="702"/>
      <c r="BE4" s="702"/>
      <c r="BF4" s="702"/>
      <c r="BG4" s="702"/>
      <c r="BH4" s="702"/>
      <c r="BI4" s="702"/>
      <c r="BJ4" s="702"/>
      <c r="BK4" s="702"/>
      <c r="BL4" s="702"/>
      <c r="BM4" s="702"/>
      <c r="BN4" s="703"/>
      <c r="BO4" s="701">
        <v>2027</v>
      </c>
      <c r="BP4" s="702"/>
      <c r="BQ4" s="702"/>
      <c r="BR4" s="702"/>
      <c r="BS4" s="702"/>
      <c r="BT4" s="702"/>
      <c r="BU4" s="702"/>
      <c r="BV4" s="702"/>
      <c r="BW4" s="702"/>
      <c r="BX4" s="702"/>
      <c r="BY4" s="702"/>
      <c r="BZ4" s="703"/>
      <c r="CA4" s="701">
        <v>2027</v>
      </c>
      <c r="CB4" s="702"/>
      <c r="CC4" s="702"/>
      <c r="CD4" s="702"/>
      <c r="CE4" s="702"/>
      <c r="CF4" s="702"/>
      <c r="CG4" s="702"/>
      <c r="CH4" s="702"/>
      <c r="CI4" s="702"/>
      <c r="CJ4" s="702"/>
      <c r="CK4" s="702"/>
      <c r="CL4" s="703"/>
    </row>
    <row r="5" spans="2:90" customFormat="1" ht="16" x14ac:dyDescent="0.2">
      <c r="B5" s="4"/>
      <c r="C5" s="4"/>
      <c r="D5" s="10"/>
      <c r="E5" s="87"/>
      <c r="F5" s="87"/>
      <c r="G5" s="508">
        <v>44562</v>
      </c>
      <c r="H5" s="251">
        <v>44593</v>
      </c>
      <c r="I5" s="251">
        <v>44621</v>
      </c>
      <c r="J5" s="251">
        <v>44652</v>
      </c>
      <c r="K5" s="251">
        <v>44682</v>
      </c>
      <c r="L5" s="251">
        <v>44713</v>
      </c>
      <c r="M5" s="251">
        <v>44743</v>
      </c>
      <c r="N5" s="251">
        <v>44774</v>
      </c>
      <c r="O5" s="251">
        <v>44805</v>
      </c>
      <c r="P5" s="251">
        <v>44835</v>
      </c>
      <c r="Q5" s="251">
        <v>44866</v>
      </c>
      <c r="R5" s="251">
        <v>44896</v>
      </c>
      <c r="S5" s="248">
        <v>44927</v>
      </c>
      <c r="T5" s="248">
        <v>44958</v>
      </c>
      <c r="U5" s="248">
        <v>44986</v>
      </c>
      <c r="V5" s="248">
        <v>45017</v>
      </c>
      <c r="W5" s="248">
        <v>45047</v>
      </c>
      <c r="X5" s="248">
        <v>45078</v>
      </c>
      <c r="Y5" s="248">
        <v>45108</v>
      </c>
      <c r="Z5" s="248">
        <v>45139</v>
      </c>
      <c r="AA5" s="248">
        <v>45170</v>
      </c>
      <c r="AB5" s="248">
        <v>45200</v>
      </c>
      <c r="AC5" s="248">
        <v>45231</v>
      </c>
      <c r="AD5" s="522">
        <v>45261</v>
      </c>
      <c r="AE5" s="506">
        <v>45292</v>
      </c>
      <c r="AF5" s="249">
        <v>45323</v>
      </c>
      <c r="AG5" s="249">
        <v>45352</v>
      </c>
      <c r="AH5" s="249">
        <v>45383</v>
      </c>
      <c r="AI5" s="249">
        <v>45413</v>
      </c>
      <c r="AJ5" s="249">
        <v>45444</v>
      </c>
      <c r="AK5" s="249">
        <v>45474</v>
      </c>
      <c r="AL5" s="249">
        <v>45505</v>
      </c>
      <c r="AM5" s="249">
        <v>45536</v>
      </c>
      <c r="AN5" s="249">
        <v>45566</v>
      </c>
      <c r="AO5" s="249">
        <v>45597</v>
      </c>
      <c r="AP5" s="529">
        <v>45627</v>
      </c>
      <c r="AQ5" s="507">
        <v>45658</v>
      </c>
      <c r="AR5" s="250">
        <v>45689</v>
      </c>
      <c r="AS5" s="250">
        <v>45717</v>
      </c>
      <c r="AT5" s="250">
        <v>45748</v>
      </c>
      <c r="AU5" s="250">
        <v>45778</v>
      </c>
      <c r="AV5" s="250">
        <v>45809</v>
      </c>
      <c r="AW5" s="250">
        <v>45839</v>
      </c>
      <c r="AX5" s="250">
        <v>45870</v>
      </c>
      <c r="AY5" s="250">
        <v>45901</v>
      </c>
      <c r="AZ5" s="250">
        <v>45931</v>
      </c>
      <c r="BA5" s="250">
        <v>45962</v>
      </c>
      <c r="BB5" s="530">
        <v>45992</v>
      </c>
      <c r="BC5" s="507">
        <v>45658</v>
      </c>
      <c r="BD5" s="250">
        <v>45689</v>
      </c>
      <c r="BE5" s="250">
        <v>45717</v>
      </c>
      <c r="BF5" s="250">
        <v>45748</v>
      </c>
      <c r="BG5" s="250">
        <v>45778</v>
      </c>
      <c r="BH5" s="250">
        <v>45809</v>
      </c>
      <c r="BI5" s="250">
        <v>45839</v>
      </c>
      <c r="BJ5" s="250">
        <v>45870</v>
      </c>
      <c r="BK5" s="250">
        <v>45901</v>
      </c>
      <c r="BL5" s="250">
        <v>45931</v>
      </c>
      <c r="BM5" s="250">
        <v>45962</v>
      </c>
      <c r="BN5" s="530">
        <v>45992</v>
      </c>
      <c r="BO5" s="507">
        <v>45658</v>
      </c>
      <c r="BP5" s="250">
        <v>45689</v>
      </c>
      <c r="BQ5" s="250">
        <v>45717</v>
      </c>
      <c r="BR5" s="250">
        <v>45748</v>
      </c>
      <c r="BS5" s="250">
        <v>45778</v>
      </c>
      <c r="BT5" s="250">
        <v>45809</v>
      </c>
      <c r="BU5" s="250">
        <v>45839</v>
      </c>
      <c r="BV5" s="250">
        <v>45870</v>
      </c>
      <c r="BW5" s="250">
        <v>45901</v>
      </c>
      <c r="BX5" s="250">
        <v>45931</v>
      </c>
      <c r="BY5" s="250">
        <v>45962</v>
      </c>
      <c r="BZ5" s="530">
        <v>45992</v>
      </c>
      <c r="CA5" s="507">
        <v>45658</v>
      </c>
      <c r="CB5" s="250">
        <v>45689</v>
      </c>
      <c r="CC5" s="250">
        <v>45717</v>
      </c>
      <c r="CD5" s="250">
        <v>45748</v>
      </c>
      <c r="CE5" s="250">
        <v>45778</v>
      </c>
      <c r="CF5" s="250">
        <v>45809</v>
      </c>
      <c r="CG5" s="250">
        <v>45839</v>
      </c>
      <c r="CH5" s="250">
        <v>45870</v>
      </c>
      <c r="CI5" s="250">
        <v>45901</v>
      </c>
      <c r="CJ5" s="250">
        <v>45931</v>
      </c>
      <c r="CK5" s="250">
        <v>45962</v>
      </c>
      <c r="CL5" s="530">
        <v>45992</v>
      </c>
    </row>
    <row r="6" spans="2:90" customFormat="1" ht="16" x14ac:dyDescent="0.2">
      <c r="B6" t="s">
        <v>23</v>
      </c>
      <c r="C6" t="s">
        <v>27</v>
      </c>
      <c r="D6" t="s">
        <v>173</v>
      </c>
      <c r="E6" s="22"/>
      <c r="F6" s="22"/>
      <c r="R6" s="22"/>
      <c r="S6" s="21"/>
      <c r="AD6" s="22"/>
      <c r="AP6" s="22"/>
      <c r="BB6" s="22"/>
      <c r="BN6" s="22"/>
      <c r="BZ6" s="22"/>
      <c r="CL6" s="22"/>
    </row>
    <row r="7" spans="2:90" customFormat="1" ht="16" x14ac:dyDescent="0.2">
      <c r="E7" s="22"/>
      <c r="F7" s="22"/>
      <c r="R7" s="22"/>
      <c r="S7" s="21"/>
      <c r="AD7" s="22"/>
      <c r="AP7" s="22"/>
      <c r="BB7" s="22"/>
      <c r="BN7" s="22"/>
      <c r="BZ7" s="22"/>
      <c r="CL7" s="22"/>
    </row>
    <row r="8" spans="2:90" customFormat="1" ht="24" x14ac:dyDescent="0.3">
      <c r="B8" s="61" t="s">
        <v>4</v>
      </c>
      <c r="C8" s="59"/>
      <c r="E8" s="22"/>
      <c r="F8" s="22"/>
      <c r="R8" s="22"/>
      <c r="S8" s="21"/>
      <c r="AD8" s="22"/>
      <c r="AP8" s="22"/>
      <c r="BB8" s="22"/>
      <c r="BN8" s="22"/>
      <c r="BZ8" s="22"/>
      <c r="CL8" s="22"/>
    </row>
    <row r="9" spans="2:90" customFormat="1" ht="9" customHeight="1" x14ac:dyDescent="0.3">
      <c r="B9" s="59"/>
      <c r="C9" s="59"/>
      <c r="E9" s="22"/>
      <c r="F9" s="22"/>
      <c r="R9" s="22"/>
      <c r="S9" s="21"/>
      <c r="AD9" s="22"/>
      <c r="AP9" s="22"/>
      <c r="BB9" s="22"/>
      <c r="BN9" s="22"/>
      <c r="BZ9" s="22"/>
      <c r="CL9" s="22"/>
    </row>
    <row r="10" spans="2:90" customFormat="1" ht="19" x14ac:dyDescent="0.25">
      <c r="B10" s="56" t="s">
        <v>20</v>
      </c>
      <c r="C10" s="56" t="s">
        <v>110</v>
      </c>
      <c r="D10" s="60">
        <v>175000</v>
      </c>
      <c r="E10" s="515"/>
      <c r="F10" s="22"/>
      <c r="G10" s="63"/>
      <c r="H10" s="63"/>
      <c r="I10" s="63"/>
      <c r="J10" s="63"/>
      <c r="K10" s="63"/>
      <c r="L10" s="63"/>
      <c r="M10" s="63"/>
      <c r="N10" s="63"/>
      <c r="O10" s="63">
        <f t="shared" ref="O10:R17" si="0">$D10/12</f>
        <v>14583.333333333334</v>
      </c>
      <c r="P10" s="63">
        <f t="shared" si="0"/>
        <v>14583.333333333334</v>
      </c>
      <c r="Q10" s="63">
        <f t="shared" si="0"/>
        <v>14583.333333333334</v>
      </c>
      <c r="R10" s="74">
        <f>$D10/12</f>
        <v>14583.333333333334</v>
      </c>
      <c r="S10" s="73">
        <f>($D10/12)*(1+$C$2)</f>
        <v>15312.500000000002</v>
      </c>
      <c r="T10" s="63">
        <f t="shared" ref="T10:AD19" si="1">($D10/12)*(1+$C$2)</f>
        <v>15312.500000000002</v>
      </c>
      <c r="U10" s="63">
        <f t="shared" si="1"/>
        <v>15312.500000000002</v>
      </c>
      <c r="V10" s="63">
        <f t="shared" si="1"/>
        <v>15312.500000000002</v>
      </c>
      <c r="W10" s="63">
        <f t="shared" si="1"/>
        <v>15312.500000000002</v>
      </c>
      <c r="X10" s="63">
        <f t="shared" si="1"/>
        <v>15312.500000000002</v>
      </c>
      <c r="Y10" s="63">
        <f t="shared" si="1"/>
        <v>15312.500000000002</v>
      </c>
      <c r="Z10" s="63">
        <f t="shared" si="1"/>
        <v>15312.500000000002</v>
      </c>
      <c r="AA10" s="63">
        <f t="shared" si="1"/>
        <v>15312.500000000002</v>
      </c>
      <c r="AB10" s="63">
        <f t="shared" si="1"/>
        <v>15312.500000000002</v>
      </c>
      <c r="AC10" s="63">
        <f t="shared" si="1"/>
        <v>15312.500000000002</v>
      </c>
      <c r="AD10" s="74">
        <f t="shared" si="1"/>
        <v>15312.500000000002</v>
      </c>
      <c r="AE10" s="63">
        <f>($D10/12)*(1+$C$2+$C$2)</f>
        <v>16041.666666666668</v>
      </c>
      <c r="AF10" s="63">
        <f t="shared" ref="AF10:AP22" si="2">($D10/12)*(1+$C$2+$C$2)</f>
        <v>16041.666666666668</v>
      </c>
      <c r="AG10" s="63">
        <f t="shared" si="2"/>
        <v>16041.666666666668</v>
      </c>
      <c r="AH10" s="63">
        <f t="shared" si="2"/>
        <v>16041.666666666668</v>
      </c>
      <c r="AI10" s="63">
        <f t="shared" si="2"/>
        <v>16041.666666666668</v>
      </c>
      <c r="AJ10" s="63">
        <f t="shared" si="2"/>
        <v>16041.666666666668</v>
      </c>
      <c r="AK10" s="63">
        <f t="shared" si="2"/>
        <v>16041.666666666668</v>
      </c>
      <c r="AL10" s="63">
        <f t="shared" si="2"/>
        <v>16041.666666666668</v>
      </c>
      <c r="AM10" s="63">
        <f t="shared" si="2"/>
        <v>16041.666666666668</v>
      </c>
      <c r="AN10" s="63">
        <f t="shared" si="2"/>
        <v>16041.666666666668</v>
      </c>
      <c r="AO10" s="63">
        <f t="shared" si="2"/>
        <v>16041.666666666668</v>
      </c>
      <c r="AP10" s="74">
        <f t="shared" si="2"/>
        <v>16041.666666666668</v>
      </c>
      <c r="AQ10" s="63">
        <f>($D10/12)*(1+$C$2+$C$2+$C$2)</f>
        <v>16770.833333333336</v>
      </c>
      <c r="AR10" s="63">
        <f t="shared" ref="AR10:BB19" si="3">($D10/12)*(1+$C$2+$C$2+$C$2)</f>
        <v>16770.833333333336</v>
      </c>
      <c r="AS10" s="63">
        <f t="shared" si="3"/>
        <v>16770.833333333336</v>
      </c>
      <c r="AT10" s="63">
        <f t="shared" si="3"/>
        <v>16770.833333333336</v>
      </c>
      <c r="AU10" s="63">
        <f t="shared" si="3"/>
        <v>16770.833333333336</v>
      </c>
      <c r="AV10" s="63">
        <f t="shared" si="3"/>
        <v>16770.833333333336</v>
      </c>
      <c r="AW10" s="63">
        <f t="shared" si="3"/>
        <v>16770.833333333336</v>
      </c>
      <c r="AX10" s="63">
        <f t="shared" si="3"/>
        <v>16770.833333333336</v>
      </c>
      <c r="AY10" s="63">
        <f t="shared" si="3"/>
        <v>16770.833333333336</v>
      </c>
      <c r="AZ10" s="63">
        <f t="shared" si="3"/>
        <v>16770.833333333336</v>
      </c>
      <c r="BA10" s="63">
        <f t="shared" si="3"/>
        <v>16770.833333333336</v>
      </c>
      <c r="BB10" s="74">
        <f t="shared" si="3"/>
        <v>16770.833333333336</v>
      </c>
      <c r="BC10" s="63">
        <f>($D10/12)*(1+$C$2+$C$2+$C$2+$C$2)</f>
        <v>17500.000000000004</v>
      </c>
      <c r="BD10" s="63">
        <f t="shared" ref="BD10:BS24" si="4">($D10/12)*(1+$C$2+$C$2+$C$2+$C$2)</f>
        <v>17500.000000000004</v>
      </c>
      <c r="BE10" s="63">
        <f t="shared" si="4"/>
        <v>17500.000000000004</v>
      </c>
      <c r="BF10" s="63">
        <f t="shared" si="4"/>
        <v>17500.000000000004</v>
      </c>
      <c r="BG10" s="63">
        <f t="shared" si="4"/>
        <v>17500.000000000004</v>
      </c>
      <c r="BH10" s="63">
        <f t="shared" si="4"/>
        <v>17500.000000000004</v>
      </c>
      <c r="BI10" s="63">
        <f t="shared" si="4"/>
        <v>17500.000000000004</v>
      </c>
      <c r="BJ10" s="63">
        <f t="shared" si="4"/>
        <v>17500.000000000004</v>
      </c>
      <c r="BK10" s="63">
        <f t="shared" si="4"/>
        <v>17500.000000000004</v>
      </c>
      <c r="BL10" s="63">
        <f t="shared" si="4"/>
        <v>17500.000000000004</v>
      </c>
      <c r="BM10" s="63">
        <f t="shared" si="4"/>
        <v>17500.000000000004</v>
      </c>
      <c r="BN10" s="63">
        <f t="shared" si="4"/>
        <v>17500.000000000004</v>
      </c>
      <c r="BO10" s="63">
        <f>($D10/12)*(1+$C$2+$C$2+$C$2+$C$2)</f>
        <v>17500.000000000004</v>
      </c>
      <c r="BP10" s="63">
        <f t="shared" si="4"/>
        <v>17500.000000000004</v>
      </c>
      <c r="BQ10" s="63">
        <f t="shared" si="4"/>
        <v>17500.000000000004</v>
      </c>
      <c r="BR10" s="63">
        <f t="shared" si="4"/>
        <v>17500.000000000004</v>
      </c>
      <c r="BS10" s="63">
        <f t="shared" si="4"/>
        <v>17500.000000000004</v>
      </c>
      <c r="BT10" s="63">
        <f t="shared" ref="BP10:BZ24" si="5">($D10/12)*(1+$C$2+$C$2+$C$2+$C$2)</f>
        <v>17500.000000000004</v>
      </c>
      <c r="BU10" s="63">
        <f t="shared" si="5"/>
        <v>17500.000000000004</v>
      </c>
      <c r="BV10" s="63">
        <f t="shared" si="5"/>
        <v>17500.000000000004</v>
      </c>
      <c r="BW10" s="63">
        <f t="shared" si="5"/>
        <v>17500.000000000004</v>
      </c>
      <c r="BX10" s="63">
        <f t="shared" si="5"/>
        <v>17500.000000000004</v>
      </c>
      <c r="BY10" s="63">
        <f t="shared" si="5"/>
        <v>17500.000000000004</v>
      </c>
      <c r="BZ10" s="63">
        <f t="shared" si="5"/>
        <v>17500.000000000004</v>
      </c>
      <c r="CA10" s="63">
        <f>($D10/12)*(1+$C$2+$C$2+$C$2+$C$2)</f>
        <v>17500.000000000004</v>
      </c>
      <c r="CB10" s="63">
        <f t="shared" ref="CA10:CL24" si="6">($D10/12)*(1+$C$2+$C$2+$C$2+$C$2)</f>
        <v>17500.000000000004</v>
      </c>
      <c r="CC10" s="63">
        <f t="shared" si="6"/>
        <v>17500.000000000004</v>
      </c>
      <c r="CD10" s="63">
        <f t="shared" si="6"/>
        <v>17500.000000000004</v>
      </c>
      <c r="CE10" s="63">
        <f t="shared" si="6"/>
        <v>17500.000000000004</v>
      </c>
      <c r="CF10" s="63">
        <f t="shared" si="6"/>
        <v>17500.000000000004</v>
      </c>
      <c r="CG10" s="63">
        <f t="shared" si="6"/>
        <v>17500.000000000004</v>
      </c>
      <c r="CH10" s="63">
        <f t="shared" si="6"/>
        <v>17500.000000000004</v>
      </c>
      <c r="CI10" s="63">
        <f t="shared" si="6"/>
        <v>17500.000000000004</v>
      </c>
      <c r="CJ10" s="63">
        <f t="shared" si="6"/>
        <v>17500.000000000004</v>
      </c>
      <c r="CK10" s="63">
        <f t="shared" si="6"/>
        <v>17500.000000000004</v>
      </c>
      <c r="CL10" s="63">
        <f t="shared" si="6"/>
        <v>17500.000000000004</v>
      </c>
    </row>
    <row r="11" spans="2:90" customFormat="1" ht="19" x14ac:dyDescent="0.25">
      <c r="B11" s="56" t="s">
        <v>61</v>
      </c>
      <c r="C11" s="56" t="s">
        <v>183</v>
      </c>
      <c r="D11" s="60">
        <v>145000</v>
      </c>
      <c r="E11" s="515"/>
      <c r="F11" s="22"/>
      <c r="G11" s="63"/>
      <c r="H11" s="63"/>
      <c r="I11" s="63"/>
      <c r="J11" s="63"/>
      <c r="K11" s="63"/>
      <c r="L11" s="63"/>
      <c r="M11" s="63"/>
      <c r="N11" s="63"/>
      <c r="O11" s="63"/>
      <c r="P11" s="63">
        <f t="shared" si="0"/>
        <v>12083.333333333334</v>
      </c>
      <c r="Q11" s="63">
        <f t="shared" si="0"/>
        <v>12083.333333333334</v>
      </c>
      <c r="R11" s="74">
        <f t="shared" si="0"/>
        <v>12083.333333333334</v>
      </c>
      <c r="S11" s="73">
        <f>($D11/12)*(1+$C$2)</f>
        <v>12687.500000000002</v>
      </c>
      <c r="T11" s="63">
        <f t="shared" si="1"/>
        <v>12687.500000000002</v>
      </c>
      <c r="U11" s="63">
        <f t="shared" si="1"/>
        <v>12687.500000000002</v>
      </c>
      <c r="V11" s="63">
        <f t="shared" si="1"/>
        <v>12687.500000000002</v>
      </c>
      <c r="W11" s="63">
        <f t="shared" si="1"/>
        <v>12687.500000000002</v>
      </c>
      <c r="X11" s="63">
        <f t="shared" si="1"/>
        <v>12687.500000000002</v>
      </c>
      <c r="Y11" s="63">
        <f t="shared" si="1"/>
        <v>12687.500000000002</v>
      </c>
      <c r="Z11" s="63">
        <f t="shared" si="1"/>
        <v>12687.500000000002</v>
      </c>
      <c r="AA11" s="63">
        <f t="shared" si="1"/>
        <v>12687.500000000002</v>
      </c>
      <c r="AB11" s="63">
        <f t="shared" si="1"/>
        <v>12687.500000000002</v>
      </c>
      <c r="AC11" s="63">
        <f t="shared" si="1"/>
        <v>12687.500000000002</v>
      </c>
      <c r="AD11" s="74">
        <f t="shared" si="1"/>
        <v>12687.500000000002</v>
      </c>
      <c r="AE11" s="63">
        <f>($D11/12)*(1+$C$2+$C$2)</f>
        <v>13291.666666666668</v>
      </c>
      <c r="AF11" s="63">
        <f t="shared" si="2"/>
        <v>13291.666666666668</v>
      </c>
      <c r="AG11" s="63">
        <f t="shared" si="2"/>
        <v>13291.666666666668</v>
      </c>
      <c r="AH11" s="63">
        <f t="shared" si="2"/>
        <v>13291.666666666668</v>
      </c>
      <c r="AI11" s="63">
        <f t="shared" si="2"/>
        <v>13291.666666666668</v>
      </c>
      <c r="AJ11" s="63">
        <f t="shared" si="2"/>
        <v>13291.666666666668</v>
      </c>
      <c r="AK11" s="63">
        <f t="shared" si="2"/>
        <v>13291.666666666668</v>
      </c>
      <c r="AL11" s="63">
        <f t="shared" si="2"/>
        <v>13291.666666666668</v>
      </c>
      <c r="AM11" s="63">
        <f t="shared" si="2"/>
        <v>13291.666666666668</v>
      </c>
      <c r="AN11" s="63">
        <f t="shared" si="2"/>
        <v>13291.666666666668</v>
      </c>
      <c r="AO11" s="63">
        <f t="shared" si="2"/>
        <v>13291.666666666668</v>
      </c>
      <c r="AP11" s="74">
        <f t="shared" si="2"/>
        <v>13291.666666666668</v>
      </c>
      <c r="AQ11" s="63">
        <f>($D11/12)*(1+$C$2+$C$2+$C$2)</f>
        <v>13895.833333333336</v>
      </c>
      <c r="AR11" s="63">
        <f t="shared" si="3"/>
        <v>13895.833333333336</v>
      </c>
      <c r="AS11" s="63">
        <f t="shared" si="3"/>
        <v>13895.833333333336</v>
      </c>
      <c r="AT11" s="63">
        <f t="shared" si="3"/>
        <v>13895.833333333336</v>
      </c>
      <c r="AU11" s="63">
        <f t="shared" si="3"/>
        <v>13895.833333333336</v>
      </c>
      <c r="AV11" s="63">
        <f t="shared" si="3"/>
        <v>13895.833333333336</v>
      </c>
      <c r="AW11" s="63">
        <f t="shared" si="3"/>
        <v>13895.833333333336</v>
      </c>
      <c r="AX11" s="63">
        <f t="shared" si="3"/>
        <v>13895.833333333336</v>
      </c>
      <c r="AY11" s="63">
        <f t="shared" si="3"/>
        <v>13895.833333333336</v>
      </c>
      <c r="AZ11" s="63">
        <f t="shared" si="3"/>
        <v>13895.833333333336</v>
      </c>
      <c r="BA11" s="63">
        <f t="shared" si="3"/>
        <v>13895.833333333336</v>
      </c>
      <c r="BB11" s="74">
        <f t="shared" si="3"/>
        <v>13895.833333333336</v>
      </c>
      <c r="BC11" s="63">
        <f>($D11/12)*(1+$C$2+$C$2+$C$2+$C$2)</f>
        <v>14500.000000000004</v>
      </c>
      <c r="BD11" s="63">
        <f t="shared" si="4"/>
        <v>14500.000000000004</v>
      </c>
      <c r="BE11" s="63">
        <f t="shared" si="4"/>
        <v>14500.000000000004</v>
      </c>
      <c r="BF11" s="63">
        <f t="shared" si="4"/>
        <v>14500.000000000004</v>
      </c>
      <c r="BG11" s="63">
        <f t="shared" si="4"/>
        <v>14500.000000000004</v>
      </c>
      <c r="BH11" s="63">
        <f t="shared" si="4"/>
        <v>14500.000000000004</v>
      </c>
      <c r="BI11" s="63">
        <f t="shared" si="4"/>
        <v>14500.000000000004</v>
      </c>
      <c r="BJ11" s="63">
        <f t="shared" si="4"/>
        <v>14500.000000000004</v>
      </c>
      <c r="BK11" s="63">
        <f t="shared" si="4"/>
        <v>14500.000000000004</v>
      </c>
      <c r="BL11" s="63">
        <f t="shared" si="4"/>
        <v>14500.000000000004</v>
      </c>
      <c r="BM11" s="63">
        <f t="shared" si="4"/>
        <v>14500.000000000004</v>
      </c>
      <c r="BN11" s="63">
        <f t="shared" si="4"/>
        <v>14500.000000000004</v>
      </c>
      <c r="BO11" s="63">
        <f>($D11/12)*(1+$C$2+$C$2+$C$2+$C$2)</f>
        <v>14500.000000000004</v>
      </c>
      <c r="BP11" s="63">
        <f t="shared" si="5"/>
        <v>14500.000000000004</v>
      </c>
      <c r="BQ11" s="63">
        <f t="shared" si="5"/>
        <v>14500.000000000004</v>
      </c>
      <c r="BR11" s="63">
        <f t="shared" si="5"/>
        <v>14500.000000000004</v>
      </c>
      <c r="BS11" s="63">
        <f t="shared" si="5"/>
        <v>14500.000000000004</v>
      </c>
      <c r="BT11" s="63">
        <f t="shared" si="5"/>
        <v>14500.000000000004</v>
      </c>
      <c r="BU11" s="63">
        <f t="shared" si="5"/>
        <v>14500.000000000004</v>
      </c>
      <c r="BV11" s="63">
        <f t="shared" si="5"/>
        <v>14500.000000000004</v>
      </c>
      <c r="BW11" s="63">
        <f t="shared" si="5"/>
        <v>14500.000000000004</v>
      </c>
      <c r="BX11" s="63">
        <f t="shared" si="5"/>
        <v>14500.000000000004</v>
      </c>
      <c r="BY11" s="63">
        <f t="shared" si="5"/>
        <v>14500.000000000004</v>
      </c>
      <c r="BZ11" s="63">
        <f t="shared" si="5"/>
        <v>14500.000000000004</v>
      </c>
      <c r="CA11" s="63">
        <f>($D11/12)*(1+$C$2+$C$2+$C$2+$C$2)</f>
        <v>14500.000000000004</v>
      </c>
      <c r="CB11" s="63">
        <f t="shared" si="6"/>
        <v>14500.000000000004</v>
      </c>
      <c r="CC11" s="63">
        <f t="shared" si="6"/>
        <v>14500.000000000004</v>
      </c>
      <c r="CD11" s="63">
        <f t="shared" si="6"/>
        <v>14500.000000000004</v>
      </c>
      <c r="CE11" s="63">
        <f t="shared" si="6"/>
        <v>14500.000000000004</v>
      </c>
      <c r="CF11" s="63">
        <f t="shared" si="6"/>
        <v>14500.000000000004</v>
      </c>
      <c r="CG11" s="63">
        <f t="shared" si="6"/>
        <v>14500.000000000004</v>
      </c>
      <c r="CH11" s="63">
        <f t="shared" si="6"/>
        <v>14500.000000000004</v>
      </c>
      <c r="CI11" s="63">
        <f t="shared" si="6"/>
        <v>14500.000000000004</v>
      </c>
      <c r="CJ11" s="63">
        <f t="shared" si="6"/>
        <v>14500.000000000004</v>
      </c>
      <c r="CK11" s="63">
        <f t="shared" si="6"/>
        <v>14500.000000000004</v>
      </c>
      <c r="CL11" s="63">
        <f t="shared" si="6"/>
        <v>14500.000000000004</v>
      </c>
    </row>
    <row r="12" spans="2:90" customFormat="1" ht="19" x14ac:dyDescent="0.25">
      <c r="B12" s="56" t="s">
        <v>25</v>
      </c>
      <c r="C12" s="56" t="s">
        <v>352</v>
      </c>
      <c r="D12" s="60">
        <v>118000</v>
      </c>
      <c r="E12" s="515"/>
      <c r="F12" s="22"/>
      <c r="G12" s="63"/>
      <c r="H12" s="63"/>
      <c r="I12" s="63"/>
      <c r="J12" s="63"/>
      <c r="K12" s="63"/>
      <c r="L12" s="63"/>
      <c r="M12" s="63"/>
      <c r="N12" s="63"/>
      <c r="O12" s="63">
        <f t="shared" si="0"/>
        <v>9833.3333333333339</v>
      </c>
      <c r="P12" s="63">
        <f t="shared" si="0"/>
        <v>9833.3333333333339</v>
      </c>
      <c r="Q12" s="63">
        <f t="shared" si="0"/>
        <v>9833.3333333333339</v>
      </c>
      <c r="R12" s="74">
        <f t="shared" si="0"/>
        <v>9833.3333333333339</v>
      </c>
      <c r="S12" s="73">
        <f>($D12/12)*(1+$C$2)</f>
        <v>10325.000000000002</v>
      </c>
      <c r="T12" s="63">
        <f t="shared" si="1"/>
        <v>10325.000000000002</v>
      </c>
      <c r="U12" s="63">
        <f t="shared" si="1"/>
        <v>10325.000000000002</v>
      </c>
      <c r="V12" s="63">
        <f t="shared" si="1"/>
        <v>10325.000000000002</v>
      </c>
      <c r="W12" s="63"/>
      <c r="X12" s="63"/>
      <c r="Y12" s="63"/>
      <c r="Z12" s="63"/>
      <c r="AA12" s="63"/>
      <c r="AB12" s="63"/>
      <c r="AC12" s="63"/>
      <c r="AD12" s="74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74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74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74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74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74"/>
    </row>
    <row r="13" spans="2:90" customFormat="1" ht="19" x14ac:dyDescent="0.25">
      <c r="B13" s="56" t="s">
        <v>25</v>
      </c>
      <c r="C13" s="56" t="s">
        <v>103</v>
      </c>
      <c r="D13" s="60">
        <v>117500</v>
      </c>
      <c r="E13" s="515" t="s">
        <v>182</v>
      </c>
      <c r="F13" s="22"/>
      <c r="G13" s="63"/>
      <c r="H13" s="63"/>
      <c r="I13" s="63"/>
      <c r="J13" s="63"/>
      <c r="K13" s="63"/>
      <c r="L13" s="63"/>
      <c r="M13" s="63"/>
      <c r="N13" s="63"/>
      <c r="O13" s="63">
        <f t="shared" si="0"/>
        <v>9791.6666666666661</v>
      </c>
      <c r="P13" s="63">
        <f t="shared" si="0"/>
        <v>9791.6666666666661</v>
      </c>
      <c r="Q13" s="63">
        <f t="shared" si="0"/>
        <v>9791.6666666666661</v>
      </c>
      <c r="R13" s="74">
        <f t="shared" si="0"/>
        <v>9791.6666666666661</v>
      </c>
      <c r="S13" s="73">
        <f>($D13/12)*(1+$C$2)</f>
        <v>10281.25</v>
      </c>
      <c r="T13" s="63">
        <f t="shared" si="1"/>
        <v>10281.25</v>
      </c>
      <c r="U13" s="63">
        <f t="shared" si="1"/>
        <v>10281.25</v>
      </c>
      <c r="V13" s="63">
        <f t="shared" si="1"/>
        <v>10281.25</v>
      </c>
      <c r="W13" s="63">
        <f>135000/12</f>
        <v>11250</v>
      </c>
      <c r="X13" s="63">
        <f t="shared" ref="X13:AD13" si="7">135000/12</f>
        <v>11250</v>
      </c>
      <c r="Y13" s="63">
        <f t="shared" si="7"/>
        <v>11250</v>
      </c>
      <c r="Z13" s="63">
        <f t="shared" si="7"/>
        <v>11250</v>
      </c>
      <c r="AA13" s="63">
        <f t="shared" si="7"/>
        <v>11250</v>
      </c>
      <c r="AB13" s="63">
        <f t="shared" si="7"/>
        <v>11250</v>
      </c>
      <c r="AC13" s="63">
        <f t="shared" si="7"/>
        <v>11250</v>
      </c>
      <c r="AD13" s="74">
        <f t="shared" si="7"/>
        <v>11250</v>
      </c>
      <c r="AE13" s="63">
        <f>AD13*(1+$C$2)</f>
        <v>11812.5</v>
      </c>
      <c r="AF13" s="63">
        <f>AE13</f>
        <v>11812.5</v>
      </c>
      <c r="AG13" s="63">
        <f t="shared" ref="AG13:AP13" si="8">AF13</f>
        <v>11812.5</v>
      </c>
      <c r="AH13" s="63">
        <f t="shared" si="8"/>
        <v>11812.5</v>
      </c>
      <c r="AI13" s="63">
        <f t="shared" si="8"/>
        <v>11812.5</v>
      </c>
      <c r="AJ13" s="63">
        <f t="shared" si="8"/>
        <v>11812.5</v>
      </c>
      <c r="AK13" s="63">
        <f t="shared" si="8"/>
        <v>11812.5</v>
      </c>
      <c r="AL13" s="63">
        <f t="shared" si="8"/>
        <v>11812.5</v>
      </c>
      <c r="AM13" s="63">
        <f t="shared" si="8"/>
        <v>11812.5</v>
      </c>
      <c r="AN13" s="63">
        <f t="shared" si="8"/>
        <v>11812.5</v>
      </c>
      <c r="AO13" s="63">
        <f t="shared" si="8"/>
        <v>11812.5</v>
      </c>
      <c r="AP13" s="74">
        <f t="shared" si="8"/>
        <v>11812.5</v>
      </c>
      <c r="AQ13" s="63">
        <f>AP13*(1+$C$2)</f>
        <v>12403.125</v>
      </c>
      <c r="AR13" s="63">
        <f>AQ13</f>
        <v>12403.125</v>
      </c>
      <c r="AS13" s="63">
        <f t="shared" ref="AS13:BB13" si="9">AR13</f>
        <v>12403.125</v>
      </c>
      <c r="AT13" s="63">
        <f t="shared" si="9"/>
        <v>12403.125</v>
      </c>
      <c r="AU13" s="63">
        <f t="shared" si="9"/>
        <v>12403.125</v>
      </c>
      <c r="AV13" s="63">
        <f t="shared" si="9"/>
        <v>12403.125</v>
      </c>
      <c r="AW13" s="63">
        <f t="shared" si="9"/>
        <v>12403.125</v>
      </c>
      <c r="AX13" s="63">
        <f t="shared" si="9"/>
        <v>12403.125</v>
      </c>
      <c r="AY13" s="63">
        <f t="shared" si="9"/>
        <v>12403.125</v>
      </c>
      <c r="AZ13" s="63">
        <f t="shared" si="9"/>
        <v>12403.125</v>
      </c>
      <c r="BA13" s="63">
        <f t="shared" si="9"/>
        <v>12403.125</v>
      </c>
      <c r="BB13" s="74">
        <f t="shared" si="9"/>
        <v>12403.125</v>
      </c>
      <c r="BC13" s="63">
        <f>($D13/12)*(1+$C$2+$C$2+$C$2+$C$2)</f>
        <v>11750.000000000002</v>
      </c>
      <c r="BD13" s="63">
        <f t="shared" si="4"/>
        <v>11750.000000000002</v>
      </c>
      <c r="BE13" s="63">
        <f t="shared" si="4"/>
        <v>11750.000000000002</v>
      </c>
      <c r="BF13" s="63">
        <f t="shared" si="4"/>
        <v>11750.000000000002</v>
      </c>
      <c r="BG13" s="63">
        <f t="shared" si="4"/>
        <v>11750.000000000002</v>
      </c>
      <c r="BH13" s="63">
        <f t="shared" si="4"/>
        <v>11750.000000000002</v>
      </c>
      <c r="BI13" s="63">
        <f t="shared" si="4"/>
        <v>11750.000000000002</v>
      </c>
      <c r="BJ13" s="63">
        <f t="shared" si="4"/>
        <v>11750.000000000002</v>
      </c>
      <c r="BK13" s="63">
        <f t="shared" si="4"/>
        <v>11750.000000000002</v>
      </c>
      <c r="BL13" s="63">
        <f t="shared" si="4"/>
        <v>11750.000000000002</v>
      </c>
      <c r="BM13" s="63">
        <f t="shared" si="4"/>
        <v>11750.000000000002</v>
      </c>
      <c r="BN13" s="63">
        <f t="shared" si="4"/>
        <v>11750.000000000002</v>
      </c>
      <c r="BO13" s="63">
        <f>($D13/12)*(1+$C$2+$C$2+$C$2+$C$2)</f>
        <v>11750.000000000002</v>
      </c>
      <c r="BP13" s="63">
        <f t="shared" si="5"/>
        <v>11750.000000000002</v>
      </c>
      <c r="BQ13" s="63">
        <f t="shared" si="5"/>
        <v>11750.000000000002</v>
      </c>
      <c r="BR13" s="63">
        <f t="shared" si="5"/>
        <v>11750.000000000002</v>
      </c>
      <c r="BS13" s="63">
        <f t="shared" si="5"/>
        <v>11750.000000000002</v>
      </c>
      <c r="BT13" s="63">
        <f t="shared" si="5"/>
        <v>11750.000000000002</v>
      </c>
      <c r="BU13" s="63">
        <f t="shared" si="5"/>
        <v>11750.000000000002</v>
      </c>
      <c r="BV13" s="63">
        <f t="shared" si="5"/>
        <v>11750.000000000002</v>
      </c>
      <c r="BW13" s="63">
        <f t="shared" si="5"/>
        <v>11750.000000000002</v>
      </c>
      <c r="BX13" s="63">
        <f t="shared" si="5"/>
        <v>11750.000000000002</v>
      </c>
      <c r="BY13" s="63">
        <f t="shared" si="5"/>
        <v>11750.000000000002</v>
      </c>
      <c r="BZ13" s="63">
        <f t="shared" si="5"/>
        <v>11750.000000000002</v>
      </c>
      <c r="CA13" s="63">
        <f>($D13/12)*(1+$C$2+$C$2+$C$2+$C$2)</f>
        <v>11750.000000000002</v>
      </c>
      <c r="CB13" s="63">
        <f t="shared" si="6"/>
        <v>11750.000000000002</v>
      </c>
      <c r="CC13" s="63">
        <f t="shared" si="6"/>
        <v>11750.000000000002</v>
      </c>
      <c r="CD13" s="63">
        <f t="shared" si="6"/>
        <v>11750.000000000002</v>
      </c>
      <c r="CE13" s="63">
        <f t="shared" si="6"/>
        <v>11750.000000000002</v>
      </c>
      <c r="CF13" s="63">
        <f t="shared" si="6"/>
        <v>11750.000000000002</v>
      </c>
      <c r="CG13" s="63">
        <f t="shared" si="6"/>
        <v>11750.000000000002</v>
      </c>
      <c r="CH13" s="63">
        <f t="shared" si="6"/>
        <v>11750.000000000002</v>
      </c>
      <c r="CI13" s="63">
        <f t="shared" si="6"/>
        <v>11750.000000000002</v>
      </c>
      <c r="CJ13" s="63">
        <f t="shared" si="6"/>
        <v>11750.000000000002</v>
      </c>
      <c r="CK13" s="63">
        <f t="shared" si="6"/>
        <v>11750.000000000002</v>
      </c>
      <c r="CL13" s="63">
        <f t="shared" si="6"/>
        <v>11750.000000000002</v>
      </c>
    </row>
    <row r="14" spans="2:90" customFormat="1" ht="19" x14ac:dyDescent="0.25">
      <c r="B14" s="56" t="s">
        <v>25</v>
      </c>
      <c r="C14" s="56" t="s">
        <v>104</v>
      </c>
      <c r="D14" s="60">
        <v>110000</v>
      </c>
      <c r="E14" s="515" t="s">
        <v>353</v>
      </c>
      <c r="F14" s="22"/>
      <c r="G14" s="63"/>
      <c r="H14" s="63"/>
      <c r="I14" s="63"/>
      <c r="J14" s="63"/>
      <c r="K14" s="63"/>
      <c r="L14" s="63"/>
      <c r="M14" s="63"/>
      <c r="N14" s="63"/>
      <c r="O14" s="63">
        <f t="shared" si="0"/>
        <v>9166.6666666666661</v>
      </c>
      <c r="P14" s="63"/>
      <c r="Q14" s="63"/>
      <c r="R14" s="74"/>
      <c r="S14" s="7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74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74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74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74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74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74"/>
    </row>
    <row r="15" spans="2:90" customFormat="1" ht="19" x14ac:dyDescent="0.25">
      <c r="B15" s="56" t="s">
        <v>25</v>
      </c>
      <c r="C15" s="56" t="s">
        <v>108</v>
      </c>
      <c r="D15" s="60">
        <v>100000</v>
      </c>
      <c r="E15" s="515"/>
      <c r="F15" s="22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74"/>
      <c r="S15" s="73">
        <f>($D15/12)*(1+$C$2)</f>
        <v>8750.0000000000018</v>
      </c>
      <c r="T15" s="63">
        <f t="shared" si="1"/>
        <v>8750.0000000000018</v>
      </c>
      <c r="U15" s="63">
        <f t="shared" si="1"/>
        <v>8750.0000000000018</v>
      </c>
      <c r="V15" s="63">
        <f t="shared" si="1"/>
        <v>8750.0000000000018</v>
      </c>
      <c r="W15" s="63">
        <f t="shared" si="1"/>
        <v>8750.0000000000018</v>
      </c>
      <c r="X15" s="63">
        <f t="shared" si="1"/>
        <v>8750.0000000000018</v>
      </c>
      <c r="Y15" s="63">
        <f t="shared" si="1"/>
        <v>8750.0000000000018</v>
      </c>
      <c r="Z15" s="63">
        <f t="shared" si="1"/>
        <v>8750.0000000000018</v>
      </c>
      <c r="AA15" s="63">
        <f t="shared" si="1"/>
        <v>8750.0000000000018</v>
      </c>
      <c r="AB15" s="63">
        <f t="shared" si="1"/>
        <v>8750.0000000000018</v>
      </c>
      <c r="AC15" s="63">
        <f t="shared" si="1"/>
        <v>8750.0000000000018</v>
      </c>
      <c r="AD15" s="74">
        <f t="shared" si="1"/>
        <v>8750.0000000000018</v>
      </c>
      <c r="AE15" s="63">
        <f>($D15/12)*(1+$C$2+$C$2)</f>
        <v>9166.6666666666679</v>
      </c>
      <c r="AF15" s="63">
        <f t="shared" si="2"/>
        <v>9166.6666666666679</v>
      </c>
      <c r="AG15" s="63">
        <f t="shared" si="2"/>
        <v>9166.6666666666679</v>
      </c>
      <c r="AH15" s="63">
        <f t="shared" si="2"/>
        <v>9166.6666666666679</v>
      </c>
      <c r="AI15" s="63">
        <f t="shared" si="2"/>
        <v>9166.6666666666679</v>
      </c>
      <c r="AJ15" s="63">
        <f t="shared" si="2"/>
        <v>9166.6666666666679</v>
      </c>
      <c r="AK15" s="63">
        <f t="shared" si="2"/>
        <v>9166.6666666666679</v>
      </c>
      <c r="AL15" s="63">
        <f t="shared" si="2"/>
        <v>9166.6666666666679</v>
      </c>
      <c r="AM15" s="63">
        <f t="shared" si="2"/>
        <v>9166.6666666666679</v>
      </c>
      <c r="AN15" s="63">
        <f t="shared" si="2"/>
        <v>9166.6666666666679</v>
      </c>
      <c r="AO15" s="63">
        <f t="shared" si="2"/>
        <v>9166.6666666666679</v>
      </c>
      <c r="AP15" s="74">
        <f t="shared" si="2"/>
        <v>9166.6666666666679</v>
      </c>
      <c r="AQ15" s="63">
        <f>($D15/12)*(1+$C$2+$C$2+$C$2)</f>
        <v>9583.3333333333358</v>
      </c>
      <c r="AR15" s="63">
        <f t="shared" si="3"/>
        <v>9583.3333333333358</v>
      </c>
      <c r="AS15" s="63">
        <f t="shared" si="3"/>
        <v>9583.3333333333358</v>
      </c>
      <c r="AT15" s="63">
        <f t="shared" si="3"/>
        <v>9583.3333333333358</v>
      </c>
      <c r="AU15" s="63">
        <f t="shared" si="3"/>
        <v>9583.3333333333358</v>
      </c>
      <c r="AV15" s="63">
        <f t="shared" si="3"/>
        <v>9583.3333333333358</v>
      </c>
      <c r="AW15" s="63">
        <f t="shared" si="3"/>
        <v>9583.3333333333358</v>
      </c>
      <c r="AX15" s="63">
        <f t="shared" si="3"/>
        <v>9583.3333333333358</v>
      </c>
      <c r="AY15" s="63">
        <f t="shared" si="3"/>
        <v>9583.3333333333358</v>
      </c>
      <c r="AZ15" s="63">
        <f t="shared" si="3"/>
        <v>9583.3333333333358</v>
      </c>
      <c r="BA15" s="63">
        <f t="shared" si="3"/>
        <v>9583.3333333333358</v>
      </c>
      <c r="BB15" s="74">
        <f t="shared" si="3"/>
        <v>9583.3333333333358</v>
      </c>
      <c r="BC15" s="63">
        <f t="shared" ref="BC15:BC16" si="10">($D15/12)*(1+$C$2+$C$2+$C$2+$C$2)</f>
        <v>10000.000000000002</v>
      </c>
      <c r="BD15" s="63">
        <f t="shared" si="4"/>
        <v>10000.000000000002</v>
      </c>
      <c r="BE15" s="63">
        <f t="shared" si="4"/>
        <v>10000.000000000002</v>
      </c>
      <c r="BF15" s="63">
        <f t="shared" si="4"/>
        <v>10000.000000000002</v>
      </c>
      <c r="BG15" s="63">
        <f t="shared" si="4"/>
        <v>10000.000000000002</v>
      </c>
      <c r="BH15" s="63">
        <f t="shared" si="4"/>
        <v>10000.000000000002</v>
      </c>
      <c r="BI15" s="63">
        <f t="shared" si="4"/>
        <v>10000.000000000002</v>
      </c>
      <c r="BJ15" s="63">
        <f t="shared" si="4"/>
        <v>10000.000000000002</v>
      </c>
      <c r="BK15" s="63">
        <f t="shared" si="4"/>
        <v>10000.000000000002</v>
      </c>
      <c r="BL15" s="63">
        <f t="shared" si="4"/>
        <v>10000.000000000002</v>
      </c>
      <c r="BM15" s="63">
        <f t="shared" si="4"/>
        <v>10000.000000000002</v>
      </c>
      <c r="BN15" s="63">
        <f t="shared" si="4"/>
        <v>10000.000000000002</v>
      </c>
      <c r="BO15" s="63">
        <f t="shared" si="4"/>
        <v>10000.000000000002</v>
      </c>
      <c r="BP15" s="63">
        <f t="shared" si="5"/>
        <v>10000.000000000002</v>
      </c>
      <c r="BQ15" s="63">
        <f t="shared" si="5"/>
        <v>10000.000000000002</v>
      </c>
      <c r="BR15" s="63">
        <f t="shared" si="5"/>
        <v>10000.000000000002</v>
      </c>
      <c r="BS15" s="63">
        <f t="shared" si="5"/>
        <v>10000.000000000002</v>
      </c>
      <c r="BT15" s="63">
        <f t="shared" si="5"/>
        <v>10000.000000000002</v>
      </c>
      <c r="BU15" s="63">
        <f t="shared" si="5"/>
        <v>10000.000000000002</v>
      </c>
      <c r="BV15" s="63">
        <f t="shared" si="5"/>
        <v>10000.000000000002</v>
      </c>
      <c r="BW15" s="63">
        <f t="shared" si="5"/>
        <v>10000.000000000002</v>
      </c>
      <c r="BX15" s="63">
        <f t="shared" si="5"/>
        <v>10000.000000000002</v>
      </c>
      <c r="BY15" s="63">
        <f t="shared" si="5"/>
        <v>10000.000000000002</v>
      </c>
      <c r="BZ15" s="63">
        <f t="shared" si="5"/>
        <v>10000.000000000002</v>
      </c>
      <c r="CA15" s="63">
        <f t="shared" si="6"/>
        <v>10000.000000000002</v>
      </c>
      <c r="CB15" s="63">
        <f t="shared" si="6"/>
        <v>10000.000000000002</v>
      </c>
      <c r="CC15" s="63">
        <f t="shared" si="6"/>
        <v>10000.000000000002</v>
      </c>
      <c r="CD15" s="63">
        <f t="shared" si="6"/>
        <v>10000.000000000002</v>
      </c>
      <c r="CE15" s="63">
        <f t="shared" si="6"/>
        <v>10000.000000000002</v>
      </c>
      <c r="CF15" s="63">
        <f t="shared" si="6"/>
        <v>10000.000000000002</v>
      </c>
      <c r="CG15" s="63">
        <f t="shared" si="6"/>
        <v>10000.000000000002</v>
      </c>
      <c r="CH15" s="63">
        <f t="shared" si="6"/>
        <v>10000.000000000002</v>
      </c>
      <c r="CI15" s="63">
        <f t="shared" si="6"/>
        <v>10000.000000000002</v>
      </c>
      <c r="CJ15" s="63">
        <f t="shared" si="6"/>
        <v>10000.000000000002</v>
      </c>
      <c r="CK15" s="63">
        <f t="shared" si="6"/>
        <v>10000.000000000002</v>
      </c>
      <c r="CL15" s="63">
        <f t="shared" si="6"/>
        <v>10000.000000000002</v>
      </c>
    </row>
    <row r="16" spans="2:90" customFormat="1" ht="19" x14ac:dyDescent="0.25">
      <c r="B16" s="56" t="s">
        <v>25</v>
      </c>
      <c r="C16" s="56" t="s">
        <v>105</v>
      </c>
      <c r="D16" s="60">
        <v>81000</v>
      </c>
      <c r="E16" s="515"/>
      <c r="F16" s="22"/>
      <c r="G16" s="63"/>
      <c r="H16" s="63"/>
      <c r="I16" s="63"/>
      <c r="J16" s="63"/>
      <c r="K16" s="63"/>
      <c r="L16" s="63"/>
      <c r="M16" s="63"/>
      <c r="N16" s="63"/>
      <c r="O16" s="63">
        <f t="shared" si="0"/>
        <v>6750</v>
      </c>
      <c r="P16" s="63">
        <f t="shared" si="0"/>
        <v>6750</v>
      </c>
      <c r="Q16" s="63">
        <f t="shared" si="0"/>
        <v>6750</v>
      </c>
      <c r="R16" s="74">
        <f t="shared" si="0"/>
        <v>6750</v>
      </c>
      <c r="S16" s="73">
        <f>($D16/12)*(1+$C$2)</f>
        <v>7087.5</v>
      </c>
      <c r="T16" s="63">
        <f t="shared" si="1"/>
        <v>7087.5</v>
      </c>
      <c r="U16" s="63">
        <f t="shared" si="1"/>
        <v>7087.5</v>
      </c>
      <c r="V16" s="63">
        <f t="shared" si="1"/>
        <v>7087.5</v>
      </c>
      <c r="W16" s="63">
        <f t="shared" si="1"/>
        <v>7087.5</v>
      </c>
      <c r="X16" s="63">
        <f t="shared" si="1"/>
        <v>7087.5</v>
      </c>
      <c r="Y16" s="63">
        <f t="shared" si="1"/>
        <v>7087.5</v>
      </c>
      <c r="Z16" s="63">
        <f t="shared" si="1"/>
        <v>7087.5</v>
      </c>
      <c r="AA16" s="63">
        <f t="shared" si="1"/>
        <v>7087.5</v>
      </c>
      <c r="AB16" s="63">
        <f t="shared" si="1"/>
        <v>7087.5</v>
      </c>
      <c r="AC16" s="63">
        <f t="shared" si="1"/>
        <v>7087.5</v>
      </c>
      <c r="AD16" s="74">
        <f t="shared" si="1"/>
        <v>7087.5</v>
      </c>
      <c r="AE16" s="63">
        <f>($D16/12)*(1+$C$2+$C$2)</f>
        <v>7425.0000000000009</v>
      </c>
      <c r="AF16" s="63">
        <f t="shared" si="2"/>
        <v>7425.0000000000009</v>
      </c>
      <c r="AG16" s="63">
        <f t="shared" si="2"/>
        <v>7425.0000000000009</v>
      </c>
      <c r="AH16" s="63">
        <f t="shared" si="2"/>
        <v>7425.0000000000009</v>
      </c>
      <c r="AI16" s="63">
        <f t="shared" si="2"/>
        <v>7425.0000000000009</v>
      </c>
      <c r="AJ16" s="63">
        <f t="shared" si="2"/>
        <v>7425.0000000000009</v>
      </c>
      <c r="AK16" s="63">
        <f t="shared" si="2"/>
        <v>7425.0000000000009</v>
      </c>
      <c r="AL16" s="63">
        <f t="shared" si="2"/>
        <v>7425.0000000000009</v>
      </c>
      <c r="AM16" s="63">
        <f t="shared" si="2"/>
        <v>7425.0000000000009</v>
      </c>
      <c r="AN16" s="63">
        <f t="shared" si="2"/>
        <v>7425.0000000000009</v>
      </c>
      <c r="AO16" s="63">
        <f t="shared" si="2"/>
        <v>7425.0000000000009</v>
      </c>
      <c r="AP16" s="74">
        <f t="shared" si="2"/>
        <v>7425.0000000000009</v>
      </c>
      <c r="AQ16" s="63">
        <f>($D16/12)*(1+$C$2+$C$2+$C$2)</f>
        <v>7762.5000000000009</v>
      </c>
      <c r="AR16" s="63">
        <f t="shared" si="3"/>
        <v>7762.5000000000009</v>
      </c>
      <c r="AS16" s="63">
        <f t="shared" si="3"/>
        <v>7762.5000000000009</v>
      </c>
      <c r="AT16" s="63">
        <f t="shared" si="3"/>
        <v>7762.5000000000009</v>
      </c>
      <c r="AU16" s="63">
        <f t="shared" si="3"/>
        <v>7762.5000000000009</v>
      </c>
      <c r="AV16" s="63">
        <f t="shared" si="3"/>
        <v>7762.5000000000009</v>
      </c>
      <c r="AW16" s="63">
        <f t="shared" si="3"/>
        <v>7762.5000000000009</v>
      </c>
      <c r="AX16" s="63">
        <f t="shared" si="3"/>
        <v>7762.5000000000009</v>
      </c>
      <c r="AY16" s="63">
        <f t="shared" si="3"/>
        <v>7762.5000000000009</v>
      </c>
      <c r="AZ16" s="63">
        <f t="shared" si="3"/>
        <v>7762.5000000000009</v>
      </c>
      <c r="BA16" s="63">
        <f t="shared" si="3"/>
        <v>7762.5000000000009</v>
      </c>
      <c r="BB16" s="74">
        <f t="shared" si="3"/>
        <v>7762.5000000000009</v>
      </c>
      <c r="BC16" s="63">
        <f t="shared" si="10"/>
        <v>8100.0000000000009</v>
      </c>
      <c r="BD16" s="63">
        <f t="shared" si="4"/>
        <v>8100.0000000000009</v>
      </c>
      <c r="BE16" s="63">
        <f t="shared" si="4"/>
        <v>8100.0000000000009</v>
      </c>
      <c r="BF16" s="63">
        <f t="shared" si="4"/>
        <v>8100.0000000000009</v>
      </c>
      <c r="BG16" s="63">
        <f t="shared" si="4"/>
        <v>8100.0000000000009</v>
      </c>
      <c r="BH16" s="63">
        <f t="shared" si="4"/>
        <v>8100.0000000000009</v>
      </c>
      <c r="BI16" s="63">
        <f t="shared" si="4"/>
        <v>8100.0000000000009</v>
      </c>
      <c r="BJ16" s="63">
        <f t="shared" si="4"/>
        <v>8100.0000000000009</v>
      </c>
      <c r="BK16" s="63">
        <f t="shared" si="4"/>
        <v>8100.0000000000009</v>
      </c>
      <c r="BL16" s="63">
        <f t="shared" si="4"/>
        <v>8100.0000000000009</v>
      </c>
      <c r="BM16" s="63">
        <f t="shared" si="4"/>
        <v>8100.0000000000009</v>
      </c>
      <c r="BN16" s="63">
        <f t="shared" si="4"/>
        <v>8100.0000000000009</v>
      </c>
      <c r="BO16" s="63">
        <f t="shared" si="4"/>
        <v>8100.0000000000009</v>
      </c>
      <c r="BP16" s="63">
        <f t="shared" si="5"/>
        <v>8100.0000000000009</v>
      </c>
      <c r="BQ16" s="63">
        <f t="shared" si="5"/>
        <v>8100.0000000000009</v>
      </c>
      <c r="BR16" s="63">
        <f t="shared" si="5"/>
        <v>8100.0000000000009</v>
      </c>
      <c r="BS16" s="63">
        <f t="shared" si="5"/>
        <v>8100.0000000000009</v>
      </c>
      <c r="BT16" s="63">
        <f t="shared" si="5"/>
        <v>8100.0000000000009</v>
      </c>
      <c r="BU16" s="63">
        <f t="shared" si="5"/>
        <v>8100.0000000000009</v>
      </c>
      <c r="BV16" s="63">
        <f t="shared" si="5"/>
        <v>8100.0000000000009</v>
      </c>
      <c r="BW16" s="63">
        <f t="shared" si="5"/>
        <v>8100.0000000000009</v>
      </c>
      <c r="BX16" s="63">
        <f t="shared" si="5"/>
        <v>8100.0000000000009</v>
      </c>
      <c r="BY16" s="63">
        <f t="shared" si="5"/>
        <v>8100.0000000000009</v>
      </c>
      <c r="BZ16" s="63">
        <f t="shared" si="5"/>
        <v>8100.0000000000009</v>
      </c>
      <c r="CA16" s="63">
        <f t="shared" si="6"/>
        <v>8100.0000000000009</v>
      </c>
      <c r="CB16" s="63">
        <f t="shared" si="6"/>
        <v>8100.0000000000009</v>
      </c>
      <c r="CC16" s="63">
        <f t="shared" si="6"/>
        <v>8100.0000000000009</v>
      </c>
      <c r="CD16" s="63">
        <f t="shared" si="6"/>
        <v>8100.0000000000009</v>
      </c>
      <c r="CE16" s="63">
        <f t="shared" si="6"/>
        <v>8100.0000000000009</v>
      </c>
      <c r="CF16" s="63">
        <f t="shared" si="6"/>
        <v>8100.0000000000009</v>
      </c>
      <c r="CG16" s="63">
        <f t="shared" si="6"/>
        <v>8100.0000000000009</v>
      </c>
      <c r="CH16" s="63">
        <f t="shared" si="6"/>
        <v>8100.0000000000009</v>
      </c>
      <c r="CI16" s="63">
        <f t="shared" si="6"/>
        <v>8100.0000000000009</v>
      </c>
      <c r="CJ16" s="63">
        <f t="shared" si="6"/>
        <v>8100.0000000000009</v>
      </c>
      <c r="CK16" s="63">
        <f t="shared" si="6"/>
        <v>8100.0000000000009</v>
      </c>
      <c r="CL16" s="63">
        <f t="shared" si="6"/>
        <v>8100.0000000000009</v>
      </c>
    </row>
    <row r="17" spans="2:90" customFormat="1" ht="19" x14ac:dyDescent="0.25">
      <c r="B17" s="56" t="s">
        <v>25</v>
      </c>
      <c r="C17" s="56" t="s">
        <v>106</v>
      </c>
      <c r="D17" s="60">
        <v>58000</v>
      </c>
      <c r="E17" s="515"/>
      <c r="F17" s="22"/>
      <c r="G17" s="63"/>
      <c r="H17" s="63"/>
      <c r="I17" s="63"/>
      <c r="J17" s="63"/>
      <c r="K17" s="63"/>
      <c r="L17" s="63"/>
      <c r="M17" s="63"/>
      <c r="N17" s="63"/>
      <c r="O17" s="63">
        <f t="shared" si="0"/>
        <v>4833.333333333333</v>
      </c>
      <c r="P17" s="63">
        <f t="shared" si="0"/>
        <v>4833.333333333333</v>
      </c>
      <c r="Q17" s="63">
        <f t="shared" si="0"/>
        <v>4833.333333333333</v>
      </c>
      <c r="R17" s="74">
        <f t="shared" si="0"/>
        <v>4833.333333333333</v>
      </c>
      <c r="S17" s="73">
        <f>($D17/12)*(1+$C$2)</f>
        <v>5075</v>
      </c>
      <c r="T17" s="63">
        <f t="shared" si="1"/>
        <v>5075</v>
      </c>
      <c r="U17" s="63">
        <f t="shared" si="1"/>
        <v>5075</v>
      </c>
      <c r="V17" s="63">
        <f t="shared" si="1"/>
        <v>5075</v>
      </c>
      <c r="W17" s="63"/>
      <c r="X17" s="63"/>
      <c r="Y17" s="63"/>
      <c r="Z17" s="63"/>
      <c r="AA17" s="63"/>
      <c r="AB17" s="63"/>
      <c r="AC17" s="63"/>
      <c r="AD17" s="74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74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74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74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74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74"/>
    </row>
    <row r="18" spans="2:90" customFormat="1" ht="19" x14ac:dyDescent="0.25">
      <c r="B18" s="56" t="s">
        <v>25</v>
      </c>
      <c r="C18" s="56" t="s">
        <v>184</v>
      </c>
      <c r="D18" s="60">
        <v>70000</v>
      </c>
      <c r="E18" s="516" t="s">
        <v>121</v>
      </c>
      <c r="F18" s="22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74"/>
      <c r="S18" s="73"/>
      <c r="T18" s="63">
        <f t="shared" si="1"/>
        <v>6125</v>
      </c>
      <c r="U18" s="63">
        <f t="shared" si="1"/>
        <v>6125</v>
      </c>
      <c r="V18" s="63">
        <f t="shared" si="1"/>
        <v>6125</v>
      </c>
      <c r="W18" s="63">
        <f t="shared" si="1"/>
        <v>6125</v>
      </c>
      <c r="X18" s="63">
        <f t="shared" si="1"/>
        <v>6125</v>
      </c>
      <c r="Y18" s="63">
        <f t="shared" si="1"/>
        <v>6125</v>
      </c>
      <c r="Z18" s="63">
        <f t="shared" si="1"/>
        <v>6125</v>
      </c>
      <c r="AA18" s="63">
        <f t="shared" si="1"/>
        <v>6125</v>
      </c>
      <c r="AB18" s="63">
        <f t="shared" si="1"/>
        <v>6125</v>
      </c>
      <c r="AC18" s="63">
        <f t="shared" si="1"/>
        <v>6125</v>
      </c>
      <c r="AD18" s="74">
        <f t="shared" si="1"/>
        <v>6125</v>
      </c>
      <c r="AE18" s="63">
        <f>($D18/12)*(1+$C$2+$C$2)</f>
        <v>6416.666666666667</v>
      </c>
      <c r="AF18" s="63">
        <f t="shared" si="2"/>
        <v>6416.666666666667</v>
      </c>
      <c r="AG18" s="63">
        <f t="shared" si="2"/>
        <v>6416.666666666667</v>
      </c>
      <c r="AH18" s="63">
        <f t="shared" si="2"/>
        <v>6416.666666666667</v>
      </c>
      <c r="AI18" s="63">
        <f t="shared" si="2"/>
        <v>6416.666666666667</v>
      </c>
      <c r="AJ18" s="63">
        <f t="shared" si="2"/>
        <v>6416.666666666667</v>
      </c>
      <c r="AK18" s="63">
        <f t="shared" si="2"/>
        <v>6416.666666666667</v>
      </c>
      <c r="AL18" s="63">
        <f t="shared" si="2"/>
        <v>6416.666666666667</v>
      </c>
      <c r="AM18" s="63">
        <f t="shared" si="2"/>
        <v>6416.666666666667</v>
      </c>
      <c r="AN18" s="63">
        <f t="shared" si="2"/>
        <v>6416.666666666667</v>
      </c>
      <c r="AO18" s="63">
        <f t="shared" si="2"/>
        <v>6416.666666666667</v>
      </c>
      <c r="AP18" s="74">
        <f t="shared" si="2"/>
        <v>6416.666666666667</v>
      </c>
      <c r="AQ18" s="63">
        <f>($D18/12)*(1+$C$2+$C$2+$C$2)</f>
        <v>6708.3333333333339</v>
      </c>
      <c r="AR18" s="63">
        <f t="shared" si="3"/>
        <v>6708.3333333333339</v>
      </c>
      <c r="AS18" s="63">
        <f t="shared" si="3"/>
        <v>6708.3333333333339</v>
      </c>
      <c r="AT18" s="63">
        <f t="shared" si="3"/>
        <v>6708.3333333333339</v>
      </c>
      <c r="AU18" s="63">
        <f t="shared" si="3"/>
        <v>6708.3333333333339</v>
      </c>
      <c r="AV18" s="63">
        <f t="shared" si="3"/>
        <v>6708.3333333333339</v>
      </c>
      <c r="AW18" s="63">
        <f t="shared" si="3"/>
        <v>6708.3333333333339</v>
      </c>
      <c r="AX18" s="63">
        <f t="shared" si="3"/>
        <v>6708.3333333333339</v>
      </c>
      <c r="AY18" s="63">
        <f t="shared" si="3"/>
        <v>6708.3333333333339</v>
      </c>
      <c r="AZ18" s="63">
        <f t="shared" si="3"/>
        <v>6708.3333333333339</v>
      </c>
      <c r="BA18" s="63">
        <f t="shared" si="3"/>
        <v>6708.3333333333339</v>
      </c>
      <c r="BB18" s="74">
        <f t="shared" si="3"/>
        <v>6708.3333333333339</v>
      </c>
      <c r="BC18" s="63">
        <f t="shared" ref="BC18:BC24" si="11">($D18/12)*(1+$C$2+$C$2+$C$2+$C$2)</f>
        <v>7000.0000000000009</v>
      </c>
      <c r="BD18" s="63">
        <f t="shared" si="4"/>
        <v>7000.0000000000009</v>
      </c>
      <c r="BE18" s="63">
        <f t="shared" si="4"/>
        <v>7000.0000000000009</v>
      </c>
      <c r="BF18" s="63">
        <f t="shared" si="4"/>
        <v>7000.0000000000009</v>
      </c>
      <c r="BG18" s="63">
        <f t="shared" si="4"/>
        <v>7000.0000000000009</v>
      </c>
      <c r="BH18" s="63">
        <f t="shared" si="4"/>
        <v>7000.0000000000009</v>
      </c>
      <c r="BI18" s="63">
        <f t="shared" si="4"/>
        <v>7000.0000000000009</v>
      </c>
      <c r="BJ18" s="63">
        <f t="shared" si="4"/>
        <v>7000.0000000000009</v>
      </c>
      <c r="BK18" s="63">
        <f t="shared" si="4"/>
        <v>7000.0000000000009</v>
      </c>
      <c r="BL18" s="63">
        <f t="shared" si="4"/>
        <v>7000.0000000000009</v>
      </c>
      <c r="BM18" s="63">
        <f t="shared" si="4"/>
        <v>7000.0000000000009</v>
      </c>
      <c r="BN18" s="63">
        <f t="shared" si="4"/>
        <v>7000.0000000000009</v>
      </c>
      <c r="BO18" s="63">
        <f t="shared" si="4"/>
        <v>7000.0000000000009</v>
      </c>
      <c r="BP18" s="63">
        <f t="shared" si="5"/>
        <v>7000.0000000000009</v>
      </c>
      <c r="BQ18" s="63">
        <f t="shared" si="5"/>
        <v>7000.0000000000009</v>
      </c>
      <c r="BR18" s="63">
        <f t="shared" si="5"/>
        <v>7000.0000000000009</v>
      </c>
      <c r="BS18" s="63">
        <f t="shared" si="5"/>
        <v>7000.0000000000009</v>
      </c>
      <c r="BT18" s="63">
        <f t="shared" si="5"/>
        <v>7000.0000000000009</v>
      </c>
      <c r="BU18" s="63">
        <f t="shared" si="5"/>
        <v>7000.0000000000009</v>
      </c>
      <c r="BV18" s="63">
        <f t="shared" si="5"/>
        <v>7000.0000000000009</v>
      </c>
      <c r="BW18" s="63">
        <f t="shared" si="5"/>
        <v>7000.0000000000009</v>
      </c>
      <c r="BX18" s="63">
        <f t="shared" si="5"/>
        <v>7000.0000000000009</v>
      </c>
      <c r="BY18" s="63">
        <f t="shared" si="5"/>
        <v>7000.0000000000009</v>
      </c>
      <c r="BZ18" s="63">
        <f t="shared" si="5"/>
        <v>7000.0000000000009</v>
      </c>
      <c r="CA18" s="63">
        <f t="shared" si="6"/>
        <v>7000.0000000000009</v>
      </c>
      <c r="CB18" s="63">
        <f t="shared" si="6"/>
        <v>7000.0000000000009</v>
      </c>
      <c r="CC18" s="63">
        <f t="shared" si="6"/>
        <v>7000.0000000000009</v>
      </c>
      <c r="CD18" s="63">
        <f t="shared" si="6"/>
        <v>7000.0000000000009</v>
      </c>
      <c r="CE18" s="63">
        <f t="shared" si="6"/>
        <v>7000.0000000000009</v>
      </c>
      <c r="CF18" s="63">
        <f t="shared" si="6"/>
        <v>7000.0000000000009</v>
      </c>
      <c r="CG18" s="63">
        <f t="shared" si="6"/>
        <v>7000.0000000000009</v>
      </c>
      <c r="CH18" s="63">
        <f t="shared" si="6"/>
        <v>7000.0000000000009</v>
      </c>
      <c r="CI18" s="63">
        <f t="shared" si="6"/>
        <v>7000.0000000000009</v>
      </c>
      <c r="CJ18" s="63">
        <f t="shared" si="6"/>
        <v>7000.0000000000009</v>
      </c>
      <c r="CK18" s="63">
        <f t="shared" si="6"/>
        <v>7000.0000000000009</v>
      </c>
      <c r="CL18" s="63">
        <f t="shared" si="6"/>
        <v>7000.0000000000009</v>
      </c>
    </row>
    <row r="19" spans="2:90" customFormat="1" ht="19" x14ac:dyDescent="0.25">
      <c r="B19" s="56" t="s">
        <v>25</v>
      </c>
      <c r="C19" s="486" t="s">
        <v>109</v>
      </c>
      <c r="D19" s="60">
        <v>60000</v>
      </c>
      <c r="E19" s="516" t="s">
        <v>122</v>
      </c>
      <c r="F19" s="22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74"/>
      <c r="S19" s="73"/>
      <c r="T19" s="63">
        <f t="shared" si="1"/>
        <v>5250</v>
      </c>
      <c r="U19" s="63">
        <f t="shared" si="1"/>
        <v>5250</v>
      </c>
      <c r="V19" s="63">
        <f t="shared" si="1"/>
        <v>5250</v>
      </c>
      <c r="W19" s="63">
        <f t="shared" si="1"/>
        <v>5250</v>
      </c>
      <c r="X19" s="63">
        <f t="shared" si="1"/>
        <v>5250</v>
      </c>
      <c r="Y19" s="63">
        <f t="shared" si="1"/>
        <v>5250</v>
      </c>
      <c r="Z19" s="63">
        <f t="shared" si="1"/>
        <v>5250</v>
      </c>
      <c r="AA19" s="63">
        <f t="shared" si="1"/>
        <v>5250</v>
      </c>
      <c r="AB19" s="63">
        <f t="shared" si="1"/>
        <v>5250</v>
      </c>
      <c r="AC19" s="63">
        <f t="shared" si="1"/>
        <v>5250</v>
      </c>
      <c r="AD19" s="74">
        <f t="shared" si="1"/>
        <v>5250</v>
      </c>
      <c r="AE19" s="63">
        <f>($D19/12)*(1+$C$2+$C$2)</f>
        <v>5500</v>
      </c>
      <c r="AF19" s="63">
        <f t="shared" si="2"/>
        <v>5500</v>
      </c>
      <c r="AG19" s="63">
        <f t="shared" si="2"/>
        <v>5500</v>
      </c>
      <c r="AH19" s="63">
        <f t="shared" si="2"/>
        <v>5500</v>
      </c>
      <c r="AI19" s="63">
        <f t="shared" si="2"/>
        <v>5500</v>
      </c>
      <c r="AJ19" s="63">
        <f t="shared" si="2"/>
        <v>5500</v>
      </c>
      <c r="AK19" s="63">
        <f t="shared" si="2"/>
        <v>5500</v>
      </c>
      <c r="AL19" s="63">
        <f t="shared" si="2"/>
        <v>5500</v>
      </c>
      <c r="AM19" s="63">
        <f t="shared" si="2"/>
        <v>5500</v>
      </c>
      <c r="AN19" s="63">
        <f t="shared" si="2"/>
        <v>5500</v>
      </c>
      <c r="AO19" s="63">
        <f t="shared" si="2"/>
        <v>5500</v>
      </c>
      <c r="AP19" s="74">
        <f t="shared" si="2"/>
        <v>5500</v>
      </c>
      <c r="AQ19" s="63">
        <f>($D19/12)*(1+$C$2+$C$2+$C$2)</f>
        <v>5750.0000000000009</v>
      </c>
      <c r="AR19" s="63">
        <f t="shared" si="3"/>
        <v>5750.0000000000009</v>
      </c>
      <c r="AS19" s="63">
        <f t="shared" si="3"/>
        <v>5750.0000000000009</v>
      </c>
      <c r="AT19" s="63">
        <f t="shared" si="3"/>
        <v>5750.0000000000009</v>
      </c>
      <c r="AU19" s="63">
        <f t="shared" si="3"/>
        <v>5750.0000000000009</v>
      </c>
      <c r="AV19" s="63">
        <f t="shared" si="3"/>
        <v>5750.0000000000009</v>
      </c>
      <c r="AW19" s="63">
        <f t="shared" si="3"/>
        <v>5750.0000000000009</v>
      </c>
      <c r="AX19" s="63">
        <f t="shared" si="3"/>
        <v>5750.0000000000009</v>
      </c>
      <c r="AY19" s="63">
        <f t="shared" si="3"/>
        <v>5750.0000000000009</v>
      </c>
      <c r="AZ19" s="63">
        <f t="shared" si="3"/>
        <v>5750.0000000000009</v>
      </c>
      <c r="BA19" s="63">
        <f t="shared" si="3"/>
        <v>5750.0000000000009</v>
      </c>
      <c r="BB19" s="74">
        <f t="shared" si="3"/>
        <v>5750.0000000000009</v>
      </c>
      <c r="BC19" s="63">
        <f t="shared" si="11"/>
        <v>6000.0000000000009</v>
      </c>
      <c r="BD19" s="63">
        <f t="shared" si="4"/>
        <v>6000.0000000000009</v>
      </c>
      <c r="BE19" s="63">
        <f t="shared" si="4"/>
        <v>6000.0000000000009</v>
      </c>
      <c r="BF19" s="63">
        <f t="shared" si="4"/>
        <v>6000.0000000000009</v>
      </c>
      <c r="BG19" s="63">
        <f t="shared" si="4"/>
        <v>6000.0000000000009</v>
      </c>
      <c r="BH19" s="63">
        <f t="shared" si="4"/>
        <v>6000.0000000000009</v>
      </c>
      <c r="BI19" s="63">
        <f t="shared" si="4"/>
        <v>6000.0000000000009</v>
      </c>
      <c r="BJ19" s="63">
        <f t="shared" si="4"/>
        <v>6000.0000000000009</v>
      </c>
      <c r="BK19" s="63">
        <f t="shared" si="4"/>
        <v>6000.0000000000009</v>
      </c>
      <c r="BL19" s="63">
        <f t="shared" si="4"/>
        <v>6000.0000000000009</v>
      </c>
      <c r="BM19" s="63">
        <f t="shared" si="4"/>
        <v>6000.0000000000009</v>
      </c>
      <c r="BN19" s="63">
        <f t="shared" si="4"/>
        <v>6000.0000000000009</v>
      </c>
      <c r="BO19" s="63">
        <f t="shared" si="4"/>
        <v>6000.0000000000009</v>
      </c>
      <c r="BP19" s="63">
        <f t="shared" si="5"/>
        <v>6000.0000000000009</v>
      </c>
      <c r="BQ19" s="63">
        <f t="shared" si="5"/>
        <v>6000.0000000000009</v>
      </c>
      <c r="BR19" s="63">
        <f t="shared" si="5"/>
        <v>6000.0000000000009</v>
      </c>
      <c r="BS19" s="63">
        <f t="shared" si="5"/>
        <v>6000.0000000000009</v>
      </c>
      <c r="BT19" s="63">
        <f t="shared" si="5"/>
        <v>6000.0000000000009</v>
      </c>
      <c r="BU19" s="63">
        <f t="shared" si="5"/>
        <v>6000.0000000000009</v>
      </c>
      <c r="BV19" s="63">
        <f t="shared" si="5"/>
        <v>6000.0000000000009</v>
      </c>
      <c r="BW19" s="63">
        <f t="shared" si="5"/>
        <v>6000.0000000000009</v>
      </c>
      <c r="BX19" s="63">
        <f t="shared" si="5"/>
        <v>6000.0000000000009</v>
      </c>
      <c r="BY19" s="63">
        <f t="shared" si="5"/>
        <v>6000.0000000000009</v>
      </c>
      <c r="BZ19" s="63">
        <f t="shared" si="5"/>
        <v>6000.0000000000009</v>
      </c>
      <c r="CA19" s="63">
        <f t="shared" si="6"/>
        <v>6000.0000000000009</v>
      </c>
      <c r="CB19" s="63">
        <f t="shared" si="6"/>
        <v>6000.0000000000009</v>
      </c>
      <c r="CC19" s="63">
        <f t="shared" si="6"/>
        <v>6000.0000000000009</v>
      </c>
      <c r="CD19" s="63">
        <f t="shared" si="6"/>
        <v>6000.0000000000009</v>
      </c>
      <c r="CE19" s="63">
        <f t="shared" si="6"/>
        <v>6000.0000000000009</v>
      </c>
      <c r="CF19" s="63">
        <f t="shared" si="6"/>
        <v>6000.0000000000009</v>
      </c>
      <c r="CG19" s="63">
        <f t="shared" si="6"/>
        <v>6000.0000000000009</v>
      </c>
      <c r="CH19" s="63">
        <f t="shared" si="6"/>
        <v>6000.0000000000009</v>
      </c>
      <c r="CI19" s="63">
        <f t="shared" si="6"/>
        <v>6000.0000000000009</v>
      </c>
      <c r="CJ19" s="63">
        <f t="shared" si="6"/>
        <v>6000.0000000000009</v>
      </c>
      <c r="CK19" s="63">
        <f t="shared" si="6"/>
        <v>6000.0000000000009</v>
      </c>
      <c r="CL19" s="63">
        <f t="shared" si="6"/>
        <v>6000.0000000000009</v>
      </c>
    </row>
    <row r="20" spans="2:90" customFormat="1" ht="19" x14ac:dyDescent="0.25">
      <c r="B20" s="56" t="s">
        <v>25</v>
      </c>
      <c r="C20" s="56" t="s">
        <v>31</v>
      </c>
      <c r="D20" s="60">
        <v>120000</v>
      </c>
      <c r="E20" s="515"/>
      <c r="F20" s="22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74"/>
      <c r="S20" s="73"/>
      <c r="T20" s="63"/>
      <c r="U20" s="63"/>
      <c r="V20" s="63"/>
      <c r="W20" s="63"/>
      <c r="X20" s="63"/>
      <c r="Y20" s="63"/>
      <c r="Z20" s="63"/>
      <c r="AA20" s="63"/>
      <c r="AB20" s="63">
        <f>($D20/12)*(1+$C$2)</f>
        <v>10500</v>
      </c>
      <c r="AC20" s="63">
        <f>($D20/12)*(1+$C$2)</f>
        <v>10500</v>
      </c>
      <c r="AD20" s="74">
        <f>($D20/12)*(1+$C$2)</f>
        <v>10500</v>
      </c>
      <c r="AE20" s="63">
        <f>($D20/12)*(1+$C$2+$C$2)</f>
        <v>11000</v>
      </c>
      <c r="AF20" s="63">
        <f t="shared" ref="AF20:AP21" si="12">($D20/12)*(1+$C$2+$C$2)</f>
        <v>11000</v>
      </c>
      <c r="AG20" s="63">
        <f t="shared" si="12"/>
        <v>11000</v>
      </c>
      <c r="AH20" s="63">
        <f t="shared" si="12"/>
        <v>11000</v>
      </c>
      <c r="AI20" s="63">
        <f t="shared" si="12"/>
        <v>11000</v>
      </c>
      <c r="AJ20" s="63">
        <f t="shared" si="12"/>
        <v>11000</v>
      </c>
      <c r="AK20" s="63">
        <f t="shared" si="12"/>
        <v>11000</v>
      </c>
      <c r="AL20" s="63">
        <f t="shared" si="12"/>
        <v>11000</v>
      </c>
      <c r="AM20" s="63">
        <f t="shared" si="12"/>
        <v>11000</v>
      </c>
      <c r="AN20" s="63">
        <f t="shared" si="12"/>
        <v>11000</v>
      </c>
      <c r="AO20" s="63">
        <f t="shared" si="12"/>
        <v>11000</v>
      </c>
      <c r="AP20" s="74">
        <f t="shared" si="12"/>
        <v>11000</v>
      </c>
      <c r="AQ20" s="63">
        <f>($D20/12)*(1+$C$2+$C$2+$C$2)</f>
        <v>11500.000000000002</v>
      </c>
      <c r="AR20" s="63">
        <f t="shared" ref="AR20:BB21" si="13">($D20/12)*(1+$C$2+$C$2+$C$2)</f>
        <v>11500.000000000002</v>
      </c>
      <c r="AS20" s="63">
        <f t="shared" si="13"/>
        <v>11500.000000000002</v>
      </c>
      <c r="AT20" s="63">
        <f t="shared" si="13"/>
        <v>11500.000000000002</v>
      </c>
      <c r="AU20" s="63">
        <f t="shared" si="13"/>
        <v>11500.000000000002</v>
      </c>
      <c r="AV20" s="63">
        <f t="shared" si="13"/>
        <v>11500.000000000002</v>
      </c>
      <c r="AW20" s="63">
        <f t="shared" si="13"/>
        <v>11500.000000000002</v>
      </c>
      <c r="AX20" s="63">
        <f t="shared" si="13"/>
        <v>11500.000000000002</v>
      </c>
      <c r="AY20" s="63">
        <f t="shared" si="13"/>
        <v>11500.000000000002</v>
      </c>
      <c r="AZ20" s="63">
        <f t="shared" si="13"/>
        <v>11500.000000000002</v>
      </c>
      <c r="BA20" s="63">
        <f t="shared" si="13"/>
        <v>11500.000000000002</v>
      </c>
      <c r="BB20" s="74">
        <f t="shared" si="13"/>
        <v>11500.000000000002</v>
      </c>
      <c r="BC20" s="63">
        <f t="shared" si="11"/>
        <v>12000.000000000002</v>
      </c>
      <c r="BD20" s="63">
        <f t="shared" si="4"/>
        <v>12000.000000000002</v>
      </c>
      <c r="BE20" s="63">
        <f t="shared" si="4"/>
        <v>12000.000000000002</v>
      </c>
      <c r="BF20" s="63">
        <f t="shared" si="4"/>
        <v>12000.000000000002</v>
      </c>
      <c r="BG20" s="63">
        <f t="shared" si="4"/>
        <v>12000.000000000002</v>
      </c>
      <c r="BH20" s="63">
        <f t="shared" si="4"/>
        <v>12000.000000000002</v>
      </c>
      <c r="BI20" s="63">
        <f t="shared" si="4"/>
        <v>12000.000000000002</v>
      </c>
      <c r="BJ20" s="63">
        <f t="shared" si="4"/>
        <v>12000.000000000002</v>
      </c>
      <c r="BK20" s="63">
        <f t="shared" si="4"/>
        <v>12000.000000000002</v>
      </c>
      <c r="BL20" s="63">
        <f t="shared" si="4"/>
        <v>12000.000000000002</v>
      </c>
      <c r="BM20" s="63">
        <f t="shared" si="4"/>
        <v>12000.000000000002</v>
      </c>
      <c r="BN20" s="63">
        <f t="shared" si="4"/>
        <v>12000.000000000002</v>
      </c>
      <c r="BO20" s="63">
        <f t="shared" si="4"/>
        <v>12000.000000000002</v>
      </c>
      <c r="BP20" s="63">
        <f t="shared" si="5"/>
        <v>12000.000000000002</v>
      </c>
      <c r="BQ20" s="63">
        <f t="shared" si="5"/>
        <v>12000.000000000002</v>
      </c>
      <c r="BR20" s="63">
        <f t="shared" si="5"/>
        <v>12000.000000000002</v>
      </c>
      <c r="BS20" s="63">
        <f t="shared" si="5"/>
        <v>12000.000000000002</v>
      </c>
      <c r="BT20" s="63">
        <f t="shared" si="5"/>
        <v>12000.000000000002</v>
      </c>
      <c r="BU20" s="63">
        <f t="shared" si="5"/>
        <v>12000.000000000002</v>
      </c>
      <c r="BV20" s="63">
        <f t="shared" si="5"/>
        <v>12000.000000000002</v>
      </c>
      <c r="BW20" s="63">
        <f t="shared" si="5"/>
        <v>12000.000000000002</v>
      </c>
      <c r="BX20" s="63">
        <f t="shared" si="5"/>
        <v>12000.000000000002</v>
      </c>
      <c r="BY20" s="63">
        <f t="shared" si="5"/>
        <v>12000.000000000002</v>
      </c>
      <c r="BZ20" s="63">
        <f t="shared" si="5"/>
        <v>12000.000000000002</v>
      </c>
      <c r="CA20" s="63">
        <f t="shared" si="6"/>
        <v>12000.000000000002</v>
      </c>
      <c r="CB20" s="63">
        <f t="shared" si="6"/>
        <v>12000.000000000002</v>
      </c>
      <c r="CC20" s="63">
        <f t="shared" si="6"/>
        <v>12000.000000000002</v>
      </c>
      <c r="CD20" s="63">
        <f t="shared" si="6"/>
        <v>12000.000000000002</v>
      </c>
      <c r="CE20" s="63">
        <f t="shared" si="6"/>
        <v>12000.000000000002</v>
      </c>
      <c r="CF20" s="63">
        <f t="shared" si="6"/>
        <v>12000.000000000002</v>
      </c>
      <c r="CG20" s="63">
        <f t="shared" si="6"/>
        <v>12000.000000000002</v>
      </c>
      <c r="CH20" s="63">
        <f t="shared" si="6"/>
        <v>12000.000000000002</v>
      </c>
      <c r="CI20" s="63">
        <f t="shared" si="6"/>
        <v>12000.000000000002</v>
      </c>
      <c r="CJ20" s="63">
        <f t="shared" si="6"/>
        <v>12000.000000000002</v>
      </c>
      <c r="CK20" s="63">
        <f t="shared" si="6"/>
        <v>12000.000000000002</v>
      </c>
      <c r="CL20" s="63">
        <f t="shared" si="6"/>
        <v>12000.000000000002</v>
      </c>
    </row>
    <row r="21" spans="2:90" customFormat="1" ht="19" x14ac:dyDescent="0.25">
      <c r="B21" s="56" t="s">
        <v>25</v>
      </c>
      <c r="C21" s="56" t="s">
        <v>31</v>
      </c>
      <c r="D21" s="60">
        <v>80000</v>
      </c>
      <c r="E21" s="515"/>
      <c r="F21" s="22"/>
      <c r="G21" s="63"/>
      <c r="H21" s="63"/>
      <c r="I21" s="63"/>
      <c r="J21" s="63"/>
      <c r="K21" s="63"/>
      <c r="L21" s="63"/>
      <c r="M21" s="63"/>
      <c r="N21" s="63"/>
      <c r="O21" s="63">
        <f>$D21/12</f>
        <v>6666.666666666667</v>
      </c>
      <c r="P21" s="63">
        <f>$D21/12</f>
        <v>6666.666666666667</v>
      </c>
      <c r="Q21" s="63">
        <f>$D21/12</f>
        <v>6666.666666666667</v>
      </c>
      <c r="R21" s="74">
        <f>$D21/12</f>
        <v>6666.666666666667</v>
      </c>
      <c r="S21" s="7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74"/>
      <c r="AE21" s="63"/>
      <c r="AF21" s="63"/>
      <c r="AG21" s="63"/>
      <c r="AH21" s="63"/>
      <c r="AI21" s="63"/>
      <c r="AJ21" s="63">
        <f t="shared" si="12"/>
        <v>7333.3333333333339</v>
      </c>
      <c r="AK21" s="63">
        <f t="shared" si="12"/>
        <v>7333.3333333333339</v>
      </c>
      <c r="AL21" s="63">
        <f t="shared" si="12"/>
        <v>7333.3333333333339</v>
      </c>
      <c r="AM21" s="63">
        <f t="shared" si="12"/>
        <v>7333.3333333333339</v>
      </c>
      <c r="AN21" s="63">
        <f t="shared" si="12"/>
        <v>7333.3333333333339</v>
      </c>
      <c r="AO21" s="63">
        <f t="shared" si="12"/>
        <v>7333.3333333333339</v>
      </c>
      <c r="AP21" s="74">
        <f t="shared" si="12"/>
        <v>7333.3333333333339</v>
      </c>
      <c r="AQ21" s="63">
        <f>($D21/12)*(1+$C$2+$C$2+$C$2)</f>
        <v>7666.6666666666679</v>
      </c>
      <c r="AR21" s="63">
        <f t="shared" si="13"/>
        <v>7666.6666666666679</v>
      </c>
      <c r="AS21" s="63">
        <f t="shared" si="13"/>
        <v>7666.6666666666679</v>
      </c>
      <c r="AT21" s="63">
        <f t="shared" si="13"/>
        <v>7666.6666666666679</v>
      </c>
      <c r="AU21" s="63">
        <f t="shared" si="13"/>
        <v>7666.6666666666679</v>
      </c>
      <c r="AV21" s="63">
        <f t="shared" si="13"/>
        <v>7666.6666666666679</v>
      </c>
      <c r="AW21" s="63">
        <f t="shared" si="13"/>
        <v>7666.6666666666679</v>
      </c>
      <c r="AX21" s="63">
        <f t="shared" si="13"/>
        <v>7666.6666666666679</v>
      </c>
      <c r="AY21" s="63">
        <f t="shared" si="13"/>
        <v>7666.6666666666679</v>
      </c>
      <c r="AZ21" s="63">
        <f t="shared" si="13"/>
        <v>7666.6666666666679</v>
      </c>
      <c r="BA21" s="63">
        <f t="shared" si="13"/>
        <v>7666.6666666666679</v>
      </c>
      <c r="BB21" s="74">
        <f t="shared" si="13"/>
        <v>7666.6666666666679</v>
      </c>
      <c r="BC21" s="63">
        <f t="shared" si="11"/>
        <v>8000.0000000000018</v>
      </c>
      <c r="BD21" s="63">
        <f t="shared" si="4"/>
        <v>8000.0000000000018</v>
      </c>
      <c r="BE21" s="63">
        <f t="shared" si="4"/>
        <v>8000.0000000000018</v>
      </c>
      <c r="BF21" s="63">
        <f t="shared" si="4"/>
        <v>8000.0000000000018</v>
      </c>
      <c r="BG21" s="63">
        <f t="shared" si="4"/>
        <v>8000.0000000000018</v>
      </c>
      <c r="BH21" s="63">
        <f t="shared" si="4"/>
        <v>8000.0000000000018</v>
      </c>
      <c r="BI21" s="63">
        <f t="shared" si="4"/>
        <v>8000.0000000000018</v>
      </c>
      <c r="BJ21" s="63">
        <f t="shared" si="4"/>
        <v>8000.0000000000018</v>
      </c>
      <c r="BK21" s="63">
        <f t="shared" si="4"/>
        <v>8000.0000000000018</v>
      </c>
      <c r="BL21" s="63">
        <f t="shared" si="4"/>
        <v>8000.0000000000018</v>
      </c>
      <c r="BM21" s="63">
        <f t="shared" si="4"/>
        <v>8000.0000000000018</v>
      </c>
      <c r="BN21" s="63">
        <f t="shared" si="4"/>
        <v>8000.0000000000018</v>
      </c>
      <c r="BO21" s="63">
        <f t="shared" si="4"/>
        <v>8000.0000000000018</v>
      </c>
      <c r="BP21" s="63">
        <f t="shared" si="5"/>
        <v>8000.0000000000018</v>
      </c>
      <c r="BQ21" s="63">
        <f t="shared" si="5"/>
        <v>8000.0000000000018</v>
      </c>
      <c r="BR21" s="63">
        <f t="shared" si="5"/>
        <v>8000.0000000000018</v>
      </c>
      <c r="BS21" s="63">
        <f t="shared" si="5"/>
        <v>8000.0000000000018</v>
      </c>
      <c r="BT21" s="63">
        <f t="shared" si="5"/>
        <v>8000.0000000000018</v>
      </c>
      <c r="BU21" s="63">
        <f t="shared" si="5"/>
        <v>8000.0000000000018</v>
      </c>
      <c r="BV21" s="63">
        <f t="shared" si="5"/>
        <v>8000.0000000000018</v>
      </c>
      <c r="BW21" s="63">
        <f t="shared" si="5"/>
        <v>8000.0000000000018</v>
      </c>
      <c r="BX21" s="63">
        <f t="shared" si="5"/>
        <v>8000.0000000000018</v>
      </c>
      <c r="BY21" s="63">
        <f t="shared" si="5"/>
        <v>8000.0000000000018</v>
      </c>
      <c r="BZ21" s="63">
        <f t="shared" si="5"/>
        <v>8000.0000000000018</v>
      </c>
      <c r="CA21" s="63">
        <f t="shared" si="6"/>
        <v>8000.0000000000018</v>
      </c>
      <c r="CB21" s="63">
        <f t="shared" si="6"/>
        <v>8000.0000000000018</v>
      </c>
      <c r="CC21" s="63">
        <f t="shared" si="6"/>
        <v>8000.0000000000018</v>
      </c>
      <c r="CD21" s="63">
        <f t="shared" si="6"/>
        <v>8000.0000000000018</v>
      </c>
      <c r="CE21" s="63">
        <f t="shared" si="6"/>
        <v>8000.0000000000018</v>
      </c>
      <c r="CF21" s="63">
        <f t="shared" si="6"/>
        <v>8000.0000000000018</v>
      </c>
      <c r="CG21" s="63">
        <f t="shared" si="6"/>
        <v>8000.0000000000018</v>
      </c>
      <c r="CH21" s="63">
        <f t="shared" si="6"/>
        <v>8000.0000000000018</v>
      </c>
      <c r="CI21" s="63">
        <f t="shared" si="6"/>
        <v>8000.0000000000018</v>
      </c>
      <c r="CJ21" s="63">
        <f t="shared" si="6"/>
        <v>8000.0000000000018</v>
      </c>
      <c r="CK21" s="63">
        <f t="shared" si="6"/>
        <v>8000.0000000000018</v>
      </c>
      <c r="CL21" s="63">
        <f t="shared" si="6"/>
        <v>8000.0000000000018</v>
      </c>
    </row>
    <row r="22" spans="2:90" customFormat="1" ht="19" x14ac:dyDescent="0.25">
      <c r="B22" s="56" t="s">
        <v>25</v>
      </c>
      <c r="C22" s="56" t="s">
        <v>31</v>
      </c>
      <c r="D22" s="632">
        <v>85000</v>
      </c>
      <c r="E22" s="633"/>
      <c r="F22" s="22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74"/>
      <c r="S22" s="73"/>
      <c r="T22" s="63"/>
      <c r="U22" s="63"/>
      <c r="V22" s="255"/>
      <c r="W22" s="255"/>
      <c r="X22" s="63"/>
      <c r="Y22" s="63"/>
      <c r="Z22" s="63"/>
      <c r="AA22" s="63"/>
      <c r="AB22" s="63"/>
      <c r="AC22" s="63"/>
      <c r="AD22" s="74"/>
      <c r="AE22" s="63"/>
      <c r="AF22" s="63"/>
      <c r="AG22" s="63"/>
      <c r="AH22" s="63"/>
      <c r="AI22" s="63"/>
      <c r="AJ22" s="63">
        <f>D22/12</f>
        <v>7083.333333333333</v>
      </c>
      <c r="AK22" s="63">
        <f>AJ22</f>
        <v>7083.333333333333</v>
      </c>
      <c r="AL22" s="63">
        <f t="shared" ref="AL22:AP22" si="14">AK22</f>
        <v>7083.333333333333</v>
      </c>
      <c r="AM22" s="63">
        <f t="shared" si="14"/>
        <v>7083.333333333333</v>
      </c>
      <c r="AN22" s="63">
        <f t="shared" si="14"/>
        <v>7083.333333333333</v>
      </c>
      <c r="AO22" s="63">
        <f t="shared" si="14"/>
        <v>7083.333333333333</v>
      </c>
      <c r="AP22" s="74">
        <f t="shared" si="14"/>
        <v>7083.333333333333</v>
      </c>
      <c r="AQ22" s="63">
        <f>AP22*(1+C2)</f>
        <v>7437.5</v>
      </c>
      <c r="AR22" s="63">
        <f>AQ22</f>
        <v>7437.5</v>
      </c>
      <c r="AS22" s="63">
        <f t="shared" ref="AS22:BB22" si="15">AR22</f>
        <v>7437.5</v>
      </c>
      <c r="AT22" s="63">
        <f t="shared" si="15"/>
        <v>7437.5</v>
      </c>
      <c r="AU22" s="63">
        <f t="shared" si="15"/>
        <v>7437.5</v>
      </c>
      <c r="AV22" s="63">
        <f t="shared" si="15"/>
        <v>7437.5</v>
      </c>
      <c r="AW22" s="63">
        <f t="shared" si="15"/>
        <v>7437.5</v>
      </c>
      <c r="AX22" s="63">
        <f t="shared" si="15"/>
        <v>7437.5</v>
      </c>
      <c r="AY22" s="63">
        <f t="shared" si="15"/>
        <v>7437.5</v>
      </c>
      <c r="AZ22" s="63">
        <f t="shared" si="15"/>
        <v>7437.5</v>
      </c>
      <c r="BA22" s="63">
        <f t="shared" si="15"/>
        <v>7437.5</v>
      </c>
      <c r="BB22" s="74">
        <f t="shared" si="15"/>
        <v>7437.5</v>
      </c>
      <c r="BC22" s="63">
        <f t="shared" si="11"/>
        <v>8500</v>
      </c>
      <c r="BD22" s="63">
        <f t="shared" si="4"/>
        <v>8500</v>
      </c>
      <c r="BE22" s="63">
        <f t="shared" si="4"/>
        <v>8500</v>
      </c>
      <c r="BF22" s="63">
        <f t="shared" si="4"/>
        <v>8500</v>
      </c>
      <c r="BG22" s="63">
        <f t="shared" si="4"/>
        <v>8500</v>
      </c>
      <c r="BH22" s="63">
        <f t="shared" si="4"/>
        <v>8500</v>
      </c>
      <c r="BI22" s="63">
        <f t="shared" si="4"/>
        <v>8500</v>
      </c>
      <c r="BJ22" s="63">
        <f t="shared" si="4"/>
        <v>8500</v>
      </c>
      <c r="BK22" s="63">
        <f t="shared" si="4"/>
        <v>8500</v>
      </c>
      <c r="BL22" s="63">
        <f t="shared" si="4"/>
        <v>8500</v>
      </c>
      <c r="BM22" s="63">
        <f t="shared" si="4"/>
        <v>8500</v>
      </c>
      <c r="BN22" s="63">
        <f t="shared" si="4"/>
        <v>8500</v>
      </c>
      <c r="BO22" s="63">
        <f t="shared" si="4"/>
        <v>8500</v>
      </c>
      <c r="BP22" s="63">
        <f t="shared" si="5"/>
        <v>8500</v>
      </c>
      <c r="BQ22" s="63">
        <f t="shared" si="5"/>
        <v>8500</v>
      </c>
      <c r="BR22" s="63">
        <f t="shared" si="5"/>
        <v>8500</v>
      </c>
      <c r="BS22" s="63">
        <f t="shared" si="5"/>
        <v>8500</v>
      </c>
      <c r="BT22" s="63">
        <f t="shared" si="5"/>
        <v>8500</v>
      </c>
      <c r="BU22" s="63">
        <f t="shared" si="5"/>
        <v>8500</v>
      </c>
      <c r="BV22" s="63">
        <f t="shared" si="5"/>
        <v>8500</v>
      </c>
      <c r="BW22" s="63">
        <f t="shared" si="5"/>
        <v>8500</v>
      </c>
      <c r="BX22" s="63">
        <f t="shared" si="5"/>
        <v>8500</v>
      </c>
      <c r="BY22" s="63">
        <f t="shared" si="5"/>
        <v>8500</v>
      </c>
      <c r="BZ22" s="63">
        <f t="shared" si="5"/>
        <v>8500</v>
      </c>
      <c r="CA22" s="63">
        <f t="shared" si="6"/>
        <v>8500</v>
      </c>
      <c r="CB22" s="63">
        <f t="shared" si="6"/>
        <v>8500</v>
      </c>
      <c r="CC22" s="63">
        <f t="shared" si="6"/>
        <v>8500</v>
      </c>
      <c r="CD22" s="63">
        <f t="shared" si="6"/>
        <v>8500</v>
      </c>
      <c r="CE22" s="63">
        <f t="shared" si="6"/>
        <v>8500</v>
      </c>
      <c r="CF22" s="63">
        <f t="shared" si="6"/>
        <v>8500</v>
      </c>
      <c r="CG22" s="63">
        <f t="shared" si="6"/>
        <v>8500</v>
      </c>
      <c r="CH22" s="63">
        <f t="shared" si="6"/>
        <v>8500</v>
      </c>
      <c r="CI22" s="63">
        <f t="shared" si="6"/>
        <v>8500</v>
      </c>
      <c r="CJ22" s="63">
        <f t="shared" si="6"/>
        <v>8500</v>
      </c>
      <c r="CK22" s="63">
        <f t="shared" si="6"/>
        <v>8500</v>
      </c>
      <c r="CL22" s="63">
        <f t="shared" si="6"/>
        <v>8500</v>
      </c>
    </row>
    <row r="23" spans="2:90" customFormat="1" ht="19" x14ac:dyDescent="0.25">
      <c r="B23" s="56" t="s">
        <v>25</v>
      </c>
      <c r="C23" s="56" t="s">
        <v>31</v>
      </c>
      <c r="D23" s="60">
        <v>85000</v>
      </c>
      <c r="E23" s="515"/>
      <c r="F23" s="22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74"/>
      <c r="S23" s="73"/>
      <c r="T23" s="63"/>
      <c r="U23" s="63"/>
      <c r="V23" s="255"/>
      <c r="W23" s="255"/>
      <c r="X23" s="63"/>
      <c r="Y23" s="63"/>
      <c r="Z23" s="63"/>
      <c r="AA23" s="63"/>
      <c r="AB23" s="63"/>
      <c r="AC23" s="63"/>
      <c r="AD23" s="74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74"/>
      <c r="AQ23" s="63">
        <f>D23/12</f>
        <v>7083.333333333333</v>
      </c>
      <c r="AR23" s="63">
        <f>AQ23</f>
        <v>7083.333333333333</v>
      </c>
      <c r="AS23" s="63">
        <f t="shared" ref="AS23:BB23" si="16">AR23</f>
        <v>7083.333333333333</v>
      </c>
      <c r="AT23" s="63">
        <f t="shared" si="16"/>
        <v>7083.333333333333</v>
      </c>
      <c r="AU23" s="63">
        <f t="shared" si="16"/>
        <v>7083.333333333333</v>
      </c>
      <c r="AV23" s="63">
        <f t="shared" si="16"/>
        <v>7083.333333333333</v>
      </c>
      <c r="AW23" s="63">
        <f t="shared" si="16"/>
        <v>7083.333333333333</v>
      </c>
      <c r="AX23" s="63">
        <f t="shared" si="16"/>
        <v>7083.333333333333</v>
      </c>
      <c r="AY23" s="63">
        <f t="shared" si="16"/>
        <v>7083.333333333333</v>
      </c>
      <c r="AZ23" s="63">
        <f t="shared" si="16"/>
        <v>7083.333333333333</v>
      </c>
      <c r="BA23" s="63">
        <f t="shared" si="16"/>
        <v>7083.333333333333</v>
      </c>
      <c r="BB23" s="74">
        <f t="shared" si="16"/>
        <v>7083.333333333333</v>
      </c>
      <c r="BC23" s="63">
        <f t="shared" si="11"/>
        <v>8500</v>
      </c>
      <c r="BD23" s="63">
        <f t="shared" si="4"/>
        <v>8500</v>
      </c>
      <c r="BE23" s="63">
        <f t="shared" si="4"/>
        <v>8500</v>
      </c>
      <c r="BF23" s="63">
        <f t="shared" si="4"/>
        <v>8500</v>
      </c>
      <c r="BG23" s="63">
        <f t="shared" si="4"/>
        <v>8500</v>
      </c>
      <c r="BH23" s="63">
        <f t="shared" si="4"/>
        <v>8500</v>
      </c>
      <c r="BI23" s="63">
        <f t="shared" si="4"/>
        <v>8500</v>
      </c>
      <c r="BJ23" s="63">
        <f t="shared" si="4"/>
        <v>8500</v>
      </c>
      <c r="BK23" s="63">
        <f t="shared" si="4"/>
        <v>8500</v>
      </c>
      <c r="BL23" s="63">
        <f t="shared" si="4"/>
        <v>8500</v>
      </c>
      <c r="BM23" s="63">
        <f t="shared" si="4"/>
        <v>8500</v>
      </c>
      <c r="BN23" s="63">
        <f t="shared" si="4"/>
        <v>8500</v>
      </c>
      <c r="BO23" s="63">
        <f t="shared" si="4"/>
        <v>8500</v>
      </c>
      <c r="BP23" s="63">
        <f t="shared" si="5"/>
        <v>8500</v>
      </c>
      <c r="BQ23" s="63">
        <f t="shared" si="5"/>
        <v>8500</v>
      </c>
      <c r="BR23" s="63">
        <f t="shared" si="5"/>
        <v>8500</v>
      </c>
      <c r="BS23" s="63">
        <f t="shared" si="5"/>
        <v>8500</v>
      </c>
      <c r="BT23" s="63">
        <f t="shared" si="5"/>
        <v>8500</v>
      </c>
      <c r="BU23" s="63">
        <f t="shared" si="5"/>
        <v>8500</v>
      </c>
      <c r="BV23" s="63">
        <f t="shared" si="5"/>
        <v>8500</v>
      </c>
      <c r="BW23" s="63">
        <f t="shared" si="5"/>
        <v>8500</v>
      </c>
      <c r="BX23" s="63">
        <f t="shared" si="5"/>
        <v>8500</v>
      </c>
      <c r="BY23" s="63">
        <f t="shared" si="5"/>
        <v>8500</v>
      </c>
      <c r="BZ23" s="63">
        <f t="shared" si="5"/>
        <v>8500</v>
      </c>
      <c r="CA23" s="63">
        <f t="shared" si="6"/>
        <v>8500</v>
      </c>
      <c r="CB23" s="63">
        <f t="shared" si="6"/>
        <v>8500</v>
      </c>
      <c r="CC23" s="63">
        <f t="shared" si="6"/>
        <v>8500</v>
      </c>
      <c r="CD23" s="63">
        <f t="shared" si="6"/>
        <v>8500</v>
      </c>
      <c r="CE23" s="63">
        <f t="shared" si="6"/>
        <v>8500</v>
      </c>
      <c r="CF23" s="63">
        <f t="shared" si="6"/>
        <v>8500</v>
      </c>
      <c r="CG23" s="63">
        <f t="shared" si="6"/>
        <v>8500</v>
      </c>
      <c r="CH23" s="63">
        <f t="shared" si="6"/>
        <v>8500</v>
      </c>
      <c r="CI23" s="63">
        <f t="shared" si="6"/>
        <v>8500</v>
      </c>
      <c r="CJ23" s="63">
        <f t="shared" si="6"/>
        <v>8500</v>
      </c>
      <c r="CK23" s="63">
        <f t="shared" si="6"/>
        <v>8500</v>
      </c>
      <c r="CL23" s="63">
        <f t="shared" si="6"/>
        <v>8500</v>
      </c>
    </row>
    <row r="24" spans="2:90" customFormat="1" ht="19" x14ac:dyDescent="0.25">
      <c r="B24" s="56" t="s">
        <v>185</v>
      </c>
      <c r="C24" s="56" t="s">
        <v>186</v>
      </c>
      <c r="D24" s="60">
        <v>125000</v>
      </c>
      <c r="E24" s="515"/>
      <c r="F24" s="22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74"/>
      <c r="S24" s="73">
        <f>8*4*32</f>
        <v>1024</v>
      </c>
      <c r="T24" s="63">
        <f>S24</f>
        <v>1024</v>
      </c>
      <c r="U24" s="63"/>
      <c r="V24" s="255"/>
      <c r="W24" s="255"/>
      <c r="X24" s="63"/>
      <c r="Y24" s="63"/>
      <c r="Z24" s="63"/>
      <c r="AA24" s="63"/>
      <c r="AB24" s="63"/>
      <c r="AC24" s="63"/>
      <c r="AD24" s="74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74"/>
      <c r="AQ24" s="63">
        <f>D24/12</f>
        <v>10416.666666666666</v>
      </c>
      <c r="AR24" s="63">
        <f>AQ24</f>
        <v>10416.666666666666</v>
      </c>
      <c r="AS24" s="63">
        <f t="shared" ref="AS24" si="17">AR24</f>
        <v>10416.666666666666</v>
      </c>
      <c r="AT24" s="63">
        <f t="shared" ref="AT24" si="18">AS24</f>
        <v>10416.666666666666</v>
      </c>
      <c r="AU24" s="63">
        <f t="shared" ref="AU24" si="19">AT24</f>
        <v>10416.666666666666</v>
      </c>
      <c r="AV24" s="63">
        <f t="shared" ref="AV24" si="20">AU24</f>
        <v>10416.666666666666</v>
      </c>
      <c r="AW24" s="63">
        <f t="shared" ref="AW24" si="21">AV24</f>
        <v>10416.666666666666</v>
      </c>
      <c r="AX24" s="63">
        <f t="shared" ref="AX24" si="22">AW24</f>
        <v>10416.666666666666</v>
      </c>
      <c r="AY24" s="63">
        <f t="shared" ref="AY24" si="23">AX24</f>
        <v>10416.666666666666</v>
      </c>
      <c r="AZ24" s="63">
        <f t="shared" ref="AZ24" si="24">AY24</f>
        <v>10416.666666666666</v>
      </c>
      <c r="BA24" s="63">
        <f t="shared" ref="BA24" si="25">AZ24</f>
        <v>10416.666666666666</v>
      </c>
      <c r="BB24" s="74">
        <f t="shared" ref="BB24" si="26">BA24</f>
        <v>10416.666666666666</v>
      </c>
      <c r="BC24" s="63">
        <f t="shared" si="11"/>
        <v>12500.000000000002</v>
      </c>
      <c r="BD24" s="63">
        <f t="shared" si="4"/>
        <v>12500.000000000002</v>
      </c>
      <c r="BE24" s="63">
        <f t="shared" si="4"/>
        <v>12500.000000000002</v>
      </c>
      <c r="BF24" s="63">
        <f t="shared" si="4"/>
        <v>12500.000000000002</v>
      </c>
      <c r="BG24" s="63">
        <f t="shared" si="4"/>
        <v>12500.000000000002</v>
      </c>
      <c r="BH24" s="63">
        <f t="shared" si="4"/>
        <v>12500.000000000002</v>
      </c>
      <c r="BI24" s="63">
        <f t="shared" si="4"/>
        <v>12500.000000000002</v>
      </c>
      <c r="BJ24" s="63">
        <f t="shared" si="4"/>
        <v>12500.000000000002</v>
      </c>
      <c r="BK24" s="63">
        <f t="shared" si="4"/>
        <v>12500.000000000002</v>
      </c>
      <c r="BL24" s="63">
        <f t="shared" si="4"/>
        <v>12500.000000000002</v>
      </c>
      <c r="BM24" s="63">
        <f t="shared" si="4"/>
        <v>12500.000000000002</v>
      </c>
      <c r="BN24" s="63">
        <f t="shared" si="4"/>
        <v>12500.000000000002</v>
      </c>
      <c r="BO24" s="63">
        <f t="shared" si="4"/>
        <v>12500.000000000002</v>
      </c>
      <c r="BP24" s="63">
        <f t="shared" si="5"/>
        <v>12500.000000000002</v>
      </c>
      <c r="BQ24" s="63">
        <f t="shared" si="5"/>
        <v>12500.000000000002</v>
      </c>
      <c r="BR24" s="63">
        <f t="shared" si="5"/>
        <v>12500.000000000002</v>
      </c>
      <c r="BS24" s="63">
        <f t="shared" si="5"/>
        <v>12500.000000000002</v>
      </c>
      <c r="BT24" s="63">
        <f t="shared" si="5"/>
        <v>12500.000000000002</v>
      </c>
      <c r="BU24" s="63">
        <f t="shared" si="5"/>
        <v>12500.000000000002</v>
      </c>
      <c r="BV24" s="63">
        <f t="shared" si="5"/>
        <v>12500.000000000002</v>
      </c>
      <c r="BW24" s="63">
        <f t="shared" si="5"/>
        <v>12500.000000000002</v>
      </c>
      <c r="BX24" s="63">
        <f t="shared" si="5"/>
        <v>12500.000000000002</v>
      </c>
      <c r="BY24" s="63">
        <f t="shared" si="5"/>
        <v>12500.000000000002</v>
      </c>
      <c r="BZ24" s="63">
        <f t="shared" si="5"/>
        <v>12500.000000000002</v>
      </c>
      <c r="CA24" s="63">
        <f t="shared" si="6"/>
        <v>12500.000000000002</v>
      </c>
      <c r="CB24" s="63">
        <f t="shared" si="6"/>
        <v>12500.000000000002</v>
      </c>
      <c r="CC24" s="63">
        <f t="shared" si="6"/>
        <v>12500.000000000002</v>
      </c>
      <c r="CD24" s="63">
        <f t="shared" si="6"/>
        <v>12500.000000000002</v>
      </c>
      <c r="CE24" s="63">
        <f t="shared" si="6"/>
        <v>12500.000000000002</v>
      </c>
      <c r="CF24" s="63">
        <f t="shared" si="6"/>
        <v>12500.000000000002</v>
      </c>
      <c r="CG24" s="63">
        <f t="shared" si="6"/>
        <v>12500.000000000002</v>
      </c>
      <c r="CH24" s="63">
        <f t="shared" si="6"/>
        <v>12500.000000000002</v>
      </c>
      <c r="CI24" s="63">
        <f t="shared" si="6"/>
        <v>12500.000000000002</v>
      </c>
      <c r="CJ24" s="63">
        <f t="shared" si="6"/>
        <v>12500.000000000002</v>
      </c>
      <c r="CK24" s="63">
        <f t="shared" si="6"/>
        <v>12500.000000000002</v>
      </c>
      <c r="CL24" s="63">
        <f t="shared" si="6"/>
        <v>12500.000000000002</v>
      </c>
    </row>
    <row r="25" spans="2:90" customFormat="1" ht="19" x14ac:dyDescent="0.25">
      <c r="B25" s="56"/>
      <c r="C25" s="56"/>
      <c r="D25" s="60"/>
      <c r="E25" s="515"/>
      <c r="F25" s="22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74"/>
      <c r="S25" s="73"/>
      <c r="T25" s="63"/>
      <c r="U25" s="63"/>
      <c r="V25" s="255"/>
      <c r="W25" s="255"/>
      <c r="X25" s="63"/>
      <c r="Y25" s="63"/>
      <c r="Z25" s="63"/>
      <c r="AA25" s="63"/>
      <c r="AB25" s="63"/>
      <c r="AC25" s="63"/>
      <c r="AD25" s="74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74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74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74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74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74"/>
    </row>
    <row r="26" spans="2:90" customFormat="1" ht="19" x14ac:dyDescent="0.25">
      <c r="B26" s="56" t="s">
        <v>194</v>
      </c>
      <c r="C26" s="256" t="s">
        <v>31</v>
      </c>
      <c r="D26" s="60">
        <f>4.33*40*30</f>
        <v>5196</v>
      </c>
      <c r="E26" s="22" t="s">
        <v>196</v>
      </c>
      <c r="F26" s="22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74"/>
      <c r="S26" s="73"/>
      <c r="T26" s="63"/>
      <c r="U26" s="63"/>
      <c r="V26" s="63"/>
      <c r="W26" s="63">
        <f>D26</f>
        <v>5196</v>
      </c>
      <c r="X26" s="63">
        <f t="shared" ref="X26:Z27" si="27">W26</f>
        <v>5196</v>
      </c>
      <c r="Y26" s="63">
        <f t="shared" si="27"/>
        <v>5196</v>
      </c>
      <c r="Z26" s="63">
        <f t="shared" si="27"/>
        <v>5196</v>
      </c>
      <c r="AA26" s="63"/>
      <c r="AB26" s="63"/>
      <c r="AC26" s="63"/>
      <c r="AD26" s="74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74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74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74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74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74"/>
    </row>
    <row r="27" spans="2:90" customFormat="1" ht="19" x14ac:dyDescent="0.25">
      <c r="B27" s="56" t="s">
        <v>195</v>
      </c>
      <c r="C27" s="256" t="s">
        <v>31</v>
      </c>
      <c r="D27" s="60">
        <f>4.33*40*30</f>
        <v>5196</v>
      </c>
      <c r="E27" s="22" t="s">
        <v>196</v>
      </c>
      <c r="F27" s="509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74"/>
      <c r="S27" s="52"/>
      <c r="T27" s="52"/>
      <c r="U27" s="52"/>
      <c r="V27" s="52"/>
      <c r="W27" s="63">
        <f>D27</f>
        <v>5196</v>
      </c>
      <c r="X27" s="63">
        <f t="shared" si="27"/>
        <v>5196</v>
      </c>
      <c r="Y27" s="63">
        <f t="shared" si="27"/>
        <v>5196</v>
      </c>
      <c r="Z27" s="63">
        <f t="shared" si="27"/>
        <v>5196</v>
      </c>
      <c r="AA27" s="52"/>
      <c r="AB27" s="52"/>
      <c r="AC27" s="52"/>
      <c r="AD27" s="509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09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09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09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09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09"/>
    </row>
    <row r="28" spans="2:90" customFormat="1" ht="19" x14ac:dyDescent="0.25">
      <c r="B28" s="56"/>
      <c r="C28" s="56"/>
      <c r="D28" s="60"/>
      <c r="E28" s="22"/>
      <c r="F28" s="22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74"/>
      <c r="S28" s="7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74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74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74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74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74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74"/>
    </row>
    <row r="29" spans="2:90" s="70" customFormat="1" ht="22" thickBot="1" x14ac:dyDescent="0.3">
      <c r="B29" s="68" t="s">
        <v>0</v>
      </c>
      <c r="C29" s="68"/>
      <c r="D29" s="69"/>
      <c r="E29" s="94"/>
      <c r="F29" s="94"/>
      <c r="G29" s="71">
        <f t="shared" ref="G29:S29" si="28">SUM(G8:G28)</f>
        <v>0</v>
      </c>
      <c r="H29" s="75">
        <f t="shared" si="28"/>
        <v>0</v>
      </c>
      <c r="I29" s="75">
        <f t="shared" si="28"/>
        <v>0</v>
      </c>
      <c r="J29" s="75">
        <f t="shared" si="28"/>
        <v>0</v>
      </c>
      <c r="K29" s="75">
        <f t="shared" si="28"/>
        <v>0</v>
      </c>
      <c r="L29" s="75">
        <f t="shared" si="28"/>
        <v>0</v>
      </c>
      <c r="M29" s="75">
        <f t="shared" si="28"/>
        <v>0</v>
      </c>
      <c r="N29" s="75">
        <f t="shared" si="28"/>
        <v>0</v>
      </c>
      <c r="O29" s="75">
        <f t="shared" si="28"/>
        <v>61625</v>
      </c>
      <c r="P29" s="75">
        <f t="shared" si="28"/>
        <v>64541.666666666664</v>
      </c>
      <c r="Q29" s="75">
        <f t="shared" si="28"/>
        <v>64541.666666666664</v>
      </c>
      <c r="R29" s="75">
        <f t="shared" si="28"/>
        <v>64541.666666666664</v>
      </c>
      <c r="S29" s="75">
        <f t="shared" si="28"/>
        <v>70542.75</v>
      </c>
      <c r="T29" s="71">
        <f t="shared" ref="T29:BB29" si="29">SUM(T9:T28)</f>
        <v>81917.75</v>
      </c>
      <c r="U29" s="71">
        <f t="shared" si="29"/>
        <v>80893.75</v>
      </c>
      <c r="V29" s="71">
        <f t="shared" si="29"/>
        <v>80893.75</v>
      </c>
      <c r="W29" s="71">
        <f t="shared" si="29"/>
        <v>76854.5</v>
      </c>
      <c r="X29" s="71">
        <f t="shared" si="29"/>
        <v>76854.5</v>
      </c>
      <c r="Y29" s="71">
        <f t="shared" si="29"/>
        <v>76854.5</v>
      </c>
      <c r="Z29" s="71">
        <f t="shared" si="29"/>
        <v>76854.5</v>
      </c>
      <c r="AA29" s="71">
        <f t="shared" si="29"/>
        <v>66462.5</v>
      </c>
      <c r="AB29" s="71">
        <f t="shared" si="29"/>
        <v>76962.5</v>
      </c>
      <c r="AC29" s="71">
        <f t="shared" si="29"/>
        <v>76962.5</v>
      </c>
      <c r="AD29" s="76">
        <f t="shared" si="29"/>
        <v>76962.5</v>
      </c>
      <c r="AE29" s="71">
        <f t="shared" si="29"/>
        <v>80654.166666666657</v>
      </c>
      <c r="AF29" s="71">
        <f t="shared" si="29"/>
        <v>80654.166666666657</v>
      </c>
      <c r="AG29" s="71">
        <f t="shared" si="29"/>
        <v>80654.166666666657</v>
      </c>
      <c r="AH29" s="71">
        <f t="shared" si="29"/>
        <v>80654.166666666657</v>
      </c>
      <c r="AI29" s="71">
        <f t="shared" si="29"/>
        <v>80654.166666666657</v>
      </c>
      <c r="AJ29" s="71">
        <f t="shared" si="29"/>
        <v>95070.833333333314</v>
      </c>
      <c r="AK29" s="71">
        <f t="shared" si="29"/>
        <v>95070.833333333314</v>
      </c>
      <c r="AL29" s="71">
        <f t="shared" si="29"/>
        <v>95070.833333333314</v>
      </c>
      <c r="AM29" s="71">
        <f t="shared" si="29"/>
        <v>95070.833333333314</v>
      </c>
      <c r="AN29" s="71">
        <f t="shared" si="29"/>
        <v>95070.833333333314</v>
      </c>
      <c r="AO29" s="71">
        <f t="shared" si="29"/>
        <v>95070.833333333314</v>
      </c>
      <c r="AP29" s="76">
        <f t="shared" si="29"/>
        <v>95070.833333333314</v>
      </c>
      <c r="AQ29" s="71">
        <f t="shared" si="29"/>
        <v>116978.12500000001</v>
      </c>
      <c r="AR29" s="71">
        <f t="shared" si="29"/>
        <v>116978.12500000001</v>
      </c>
      <c r="AS29" s="71">
        <f t="shared" si="29"/>
        <v>116978.12500000001</v>
      </c>
      <c r="AT29" s="71">
        <f t="shared" si="29"/>
        <v>116978.12500000001</v>
      </c>
      <c r="AU29" s="71">
        <f t="shared" si="29"/>
        <v>116978.12500000001</v>
      </c>
      <c r="AV29" s="71">
        <f t="shared" si="29"/>
        <v>116978.12500000001</v>
      </c>
      <c r="AW29" s="71">
        <f t="shared" si="29"/>
        <v>116978.12500000001</v>
      </c>
      <c r="AX29" s="71">
        <f t="shared" si="29"/>
        <v>116978.12500000001</v>
      </c>
      <c r="AY29" s="71">
        <f t="shared" si="29"/>
        <v>116978.12500000001</v>
      </c>
      <c r="AZ29" s="71">
        <f t="shared" si="29"/>
        <v>116978.12500000001</v>
      </c>
      <c r="BA29" s="71">
        <f t="shared" si="29"/>
        <v>116978.12500000001</v>
      </c>
      <c r="BB29" s="76">
        <f t="shared" si="29"/>
        <v>116978.12500000001</v>
      </c>
      <c r="BC29" s="71">
        <f t="shared" ref="BC29:BN29" si="30">SUM(BC9:BC28)</f>
        <v>124350.00000000001</v>
      </c>
      <c r="BD29" s="71">
        <f t="shared" si="30"/>
        <v>124350.00000000001</v>
      </c>
      <c r="BE29" s="71">
        <f t="shared" si="30"/>
        <v>124350.00000000001</v>
      </c>
      <c r="BF29" s="71">
        <f t="shared" si="30"/>
        <v>124350.00000000001</v>
      </c>
      <c r="BG29" s="71">
        <f t="shared" si="30"/>
        <v>124350.00000000001</v>
      </c>
      <c r="BH29" s="71">
        <f t="shared" si="30"/>
        <v>124350.00000000001</v>
      </c>
      <c r="BI29" s="71">
        <f t="shared" si="30"/>
        <v>124350.00000000001</v>
      </c>
      <c r="BJ29" s="71">
        <f t="shared" si="30"/>
        <v>124350.00000000001</v>
      </c>
      <c r="BK29" s="71">
        <f t="shared" si="30"/>
        <v>124350.00000000001</v>
      </c>
      <c r="BL29" s="71">
        <f t="shared" si="30"/>
        <v>124350.00000000001</v>
      </c>
      <c r="BM29" s="71">
        <f t="shared" si="30"/>
        <v>124350.00000000001</v>
      </c>
      <c r="BN29" s="76">
        <f t="shared" si="30"/>
        <v>124350.00000000001</v>
      </c>
      <c r="BO29" s="71">
        <f t="shared" ref="BO29:BZ29" si="31">SUM(BO9:BO28)</f>
        <v>124350.00000000001</v>
      </c>
      <c r="BP29" s="71">
        <f t="shared" si="31"/>
        <v>124350.00000000001</v>
      </c>
      <c r="BQ29" s="71">
        <f t="shared" si="31"/>
        <v>124350.00000000001</v>
      </c>
      <c r="BR29" s="71">
        <f t="shared" si="31"/>
        <v>124350.00000000001</v>
      </c>
      <c r="BS29" s="71">
        <f t="shared" si="31"/>
        <v>124350.00000000001</v>
      </c>
      <c r="BT29" s="71">
        <f t="shared" si="31"/>
        <v>124350.00000000001</v>
      </c>
      <c r="BU29" s="71">
        <f t="shared" si="31"/>
        <v>124350.00000000001</v>
      </c>
      <c r="BV29" s="71">
        <f t="shared" si="31"/>
        <v>124350.00000000001</v>
      </c>
      <c r="BW29" s="71">
        <f t="shared" si="31"/>
        <v>124350.00000000001</v>
      </c>
      <c r="BX29" s="71">
        <f t="shared" si="31"/>
        <v>124350.00000000001</v>
      </c>
      <c r="BY29" s="71">
        <f t="shared" si="31"/>
        <v>124350.00000000001</v>
      </c>
      <c r="BZ29" s="76">
        <f t="shared" si="31"/>
        <v>124350.00000000001</v>
      </c>
      <c r="CA29" s="71">
        <f t="shared" ref="CA29:CL29" si="32">SUM(CA9:CA28)</f>
        <v>124350.00000000001</v>
      </c>
      <c r="CB29" s="71">
        <f t="shared" si="32"/>
        <v>124350.00000000001</v>
      </c>
      <c r="CC29" s="71">
        <f t="shared" si="32"/>
        <v>124350.00000000001</v>
      </c>
      <c r="CD29" s="71">
        <f t="shared" si="32"/>
        <v>124350.00000000001</v>
      </c>
      <c r="CE29" s="71">
        <f t="shared" si="32"/>
        <v>124350.00000000001</v>
      </c>
      <c r="CF29" s="71">
        <f t="shared" si="32"/>
        <v>124350.00000000001</v>
      </c>
      <c r="CG29" s="71">
        <f t="shared" si="32"/>
        <v>124350.00000000001</v>
      </c>
      <c r="CH29" s="71">
        <f t="shared" si="32"/>
        <v>124350.00000000001</v>
      </c>
      <c r="CI29" s="71">
        <f t="shared" si="32"/>
        <v>124350.00000000001</v>
      </c>
      <c r="CJ29" s="71">
        <f t="shared" si="32"/>
        <v>124350.00000000001</v>
      </c>
      <c r="CK29" s="71">
        <f t="shared" si="32"/>
        <v>124350.00000000001</v>
      </c>
      <c r="CL29" s="76">
        <f t="shared" si="32"/>
        <v>124350.00000000001</v>
      </c>
    </row>
    <row r="30" spans="2:90" ht="16" x14ac:dyDescent="0.2">
      <c r="D30" s="62"/>
      <c r="E30" s="22"/>
      <c r="F30" s="22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74"/>
      <c r="S30" s="7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74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74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74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74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74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74"/>
    </row>
    <row r="31" spans="2:90" ht="16" x14ac:dyDescent="0.2">
      <c r="D31" s="62"/>
      <c r="E31" s="22"/>
      <c r="F31" s="22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74"/>
      <c r="S31" s="7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74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74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74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74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74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74"/>
    </row>
    <row r="32" spans="2:90" ht="19" customHeight="1" x14ac:dyDescent="0.3">
      <c r="B32" s="61" t="s">
        <v>29</v>
      </c>
      <c r="D32" s="62"/>
      <c r="E32" s="22"/>
      <c r="F32" s="22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74"/>
      <c r="S32" s="7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74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74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74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74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74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74"/>
    </row>
    <row r="33" spans="2:90" ht="19" x14ac:dyDescent="0.25">
      <c r="B33" s="56" t="s">
        <v>65</v>
      </c>
      <c r="C33" s="56" t="s">
        <v>120</v>
      </c>
      <c r="D33" s="60">
        <v>175000</v>
      </c>
      <c r="E33" s="22"/>
      <c r="F33" s="22"/>
      <c r="G33" s="63"/>
      <c r="H33" s="63"/>
      <c r="I33" s="63"/>
      <c r="J33" s="63"/>
      <c r="K33" s="63"/>
      <c r="L33" s="63"/>
      <c r="M33" s="63"/>
      <c r="N33" s="63"/>
      <c r="O33" s="63">
        <f t="shared" ref="O33:R37" si="33">$D33/12</f>
        <v>14583.333333333334</v>
      </c>
      <c r="P33" s="63">
        <f t="shared" si="33"/>
        <v>14583.333333333334</v>
      </c>
      <c r="Q33" s="63">
        <f t="shared" si="33"/>
        <v>14583.333333333334</v>
      </c>
      <c r="R33" s="74">
        <f t="shared" si="33"/>
        <v>14583.333333333334</v>
      </c>
      <c r="S33" s="73"/>
      <c r="T33" s="63"/>
      <c r="U33" s="63"/>
      <c r="V33" s="63"/>
      <c r="W33" s="63">
        <f t="shared" ref="W33:AD35" si="34">($D33/12)*(1+$C$2)</f>
        <v>15312.500000000002</v>
      </c>
      <c r="X33" s="63">
        <f t="shared" si="34"/>
        <v>15312.500000000002</v>
      </c>
      <c r="Y33" s="63">
        <f t="shared" si="34"/>
        <v>15312.500000000002</v>
      </c>
      <c r="Z33" s="63">
        <f t="shared" si="34"/>
        <v>15312.500000000002</v>
      </c>
      <c r="AA33" s="63">
        <f t="shared" si="34"/>
        <v>15312.500000000002</v>
      </c>
      <c r="AB33" s="63"/>
      <c r="AC33" s="63"/>
      <c r="AD33" s="74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74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74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74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74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74"/>
    </row>
    <row r="34" spans="2:90" ht="19" x14ac:dyDescent="0.25">
      <c r="B34" s="56" t="s">
        <v>123</v>
      </c>
      <c r="C34" s="56" t="s">
        <v>31</v>
      </c>
      <c r="D34" s="60">
        <v>100000</v>
      </c>
      <c r="E34" s="22"/>
      <c r="F34" s="22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74"/>
      <c r="S34" s="7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74"/>
      <c r="AE34" s="63"/>
      <c r="AF34" s="63"/>
      <c r="AG34" s="63"/>
      <c r="AH34" s="63"/>
      <c r="AI34" s="63"/>
      <c r="AJ34" s="63"/>
      <c r="AK34" s="63"/>
      <c r="AL34" s="63">
        <f t="shared" ref="AE34:AP38" si="35">($D34/12)*(1+$C$2+$C$2)</f>
        <v>9166.6666666666679</v>
      </c>
      <c r="AM34" s="63">
        <f t="shared" si="35"/>
        <v>9166.6666666666679</v>
      </c>
      <c r="AN34" s="63">
        <f t="shared" si="35"/>
        <v>9166.6666666666679</v>
      </c>
      <c r="AO34" s="63">
        <f t="shared" si="35"/>
        <v>9166.6666666666679</v>
      </c>
      <c r="AP34" s="74">
        <f t="shared" si="35"/>
        <v>9166.6666666666679</v>
      </c>
      <c r="AQ34" s="63">
        <f t="shared" ref="AQ34:BB37" si="36">($D34/12)*(1+$C$2+$C$2+$C$2)</f>
        <v>9583.3333333333358</v>
      </c>
      <c r="AR34" s="63">
        <f t="shared" si="36"/>
        <v>9583.3333333333358</v>
      </c>
      <c r="AS34" s="63">
        <f t="shared" si="36"/>
        <v>9583.3333333333358</v>
      </c>
      <c r="AT34" s="63">
        <f t="shared" si="36"/>
        <v>9583.3333333333358</v>
      </c>
      <c r="AU34" s="63">
        <f t="shared" si="36"/>
        <v>9583.3333333333358</v>
      </c>
      <c r="AV34" s="63">
        <f t="shared" si="36"/>
        <v>9583.3333333333358</v>
      </c>
      <c r="AW34" s="63">
        <f t="shared" si="36"/>
        <v>9583.3333333333358</v>
      </c>
      <c r="AX34" s="63">
        <f t="shared" si="36"/>
        <v>9583.3333333333358</v>
      </c>
      <c r="AY34" s="63">
        <f t="shared" si="36"/>
        <v>9583.3333333333358</v>
      </c>
      <c r="AZ34" s="63">
        <f t="shared" si="36"/>
        <v>9583.3333333333358</v>
      </c>
      <c r="BA34" s="63">
        <f t="shared" si="36"/>
        <v>9583.3333333333358</v>
      </c>
      <c r="BB34" s="74">
        <f t="shared" si="36"/>
        <v>9583.3333333333358</v>
      </c>
      <c r="BC34" s="63">
        <f t="shared" ref="BC34:BR37" si="37">($D34/12)*(1+$C$2+$C$2+$C$2)</f>
        <v>9583.3333333333358</v>
      </c>
      <c r="BD34" s="63">
        <f t="shared" si="37"/>
        <v>9583.3333333333358</v>
      </c>
      <c r="BE34" s="63">
        <f t="shared" si="37"/>
        <v>9583.3333333333358</v>
      </c>
      <c r="BF34" s="63">
        <f t="shared" si="37"/>
        <v>9583.3333333333358</v>
      </c>
      <c r="BG34" s="63">
        <f t="shared" si="37"/>
        <v>9583.3333333333358</v>
      </c>
      <c r="BH34" s="63">
        <f t="shared" si="37"/>
        <v>9583.3333333333358</v>
      </c>
      <c r="BI34" s="63">
        <f t="shared" si="37"/>
        <v>9583.3333333333358</v>
      </c>
      <c r="BJ34" s="63">
        <f t="shared" si="37"/>
        <v>9583.3333333333358</v>
      </c>
      <c r="BK34" s="63">
        <f t="shared" si="37"/>
        <v>9583.3333333333358</v>
      </c>
      <c r="BL34" s="63">
        <f t="shared" si="37"/>
        <v>9583.3333333333358</v>
      </c>
      <c r="BM34" s="63">
        <f t="shared" si="37"/>
        <v>9583.3333333333358</v>
      </c>
      <c r="BN34" s="74">
        <f t="shared" si="37"/>
        <v>9583.3333333333358</v>
      </c>
      <c r="BO34" s="63">
        <f t="shared" si="37"/>
        <v>9583.3333333333358</v>
      </c>
      <c r="BP34" s="63">
        <f t="shared" si="37"/>
        <v>9583.3333333333358</v>
      </c>
      <c r="BQ34" s="63">
        <f t="shared" si="37"/>
        <v>9583.3333333333358</v>
      </c>
      <c r="BR34" s="63">
        <f t="shared" si="37"/>
        <v>9583.3333333333358</v>
      </c>
      <c r="BS34" s="63">
        <f t="shared" ref="BO34:CE37" si="38">($D34/12)*(1+$C$2+$C$2+$C$2)</f>
        <v>9583.3333333333358</v>
      </c>
      <c r="BT34" s="63">
        <f t="shared" si="38"/>
        <v>9583.3333333333358</v>
      </c>
      <c r="BU34" s="63">
        <f t="shared" si="38"/>
        <v>9583.3333333333358</v>
      </c>
      <c r="BV34" s="63">
        <f t="shared" si="38"/>
        <v>9583.3333333333358</v>
      </c>
      <c r="BW34" s="63">
        <f t="shared" si="38"/>
        <v>9583.3333333333358</v>
      </c>
      <c r="BX34" s="63">
        <f t="shared" si="38"/>
        <v>9583.3333333333358</v>
      </c>
      <c r="BY34" s="63">
        <f t="shared" si="38"/>
        <v>9583.3333333333358</v>
      </c>
      <c r="BZ34" s="74">
        <f t="shared" si="38"/>
        <v>9583.3333333333358</v>
      </c>
      <c r="CA34" s="63">
        <f t="shared" si="38"/>
        <v>9583.3333333333358</v>
      </c>
      <c r="CB34" s="63">
        <f t="shared" si="38"/>
        <v>9583.3333333333358</v>
      </c>
      <c r="CC34" s="63">
        <f t="shared" si="38"/>
        <v>9583.3333333333358</v>
      </c>
      <c r="CD34" s="63">
        <f t="shared" si="38"/>
        <v>9583.3333333333358</v>
      </c>
      <c r="CE34" s="63">
        <f t="shared" si="38"/>
        <v>9583.3333333333358</v>
      </c>
      <c r="CF34" s="63">
        <f t="shared" ref="CA34:CL37" si="39">($D34/12)*(1+$C$2+$C$2+$C$2)</f>
        <v>9583.3333333333358</v>
      </c>
      <c r="CG34" s="63">
        <f t="shared" si="39"/>
        <v>9583.3333333333358</v>
      </c>
      <c r="CH34" s="63">
        <f t="shared" si="39"/>
        <v>9583.3333333333358</v>
      </c>
      <c r="CI34" s="63">
        <f t="shared" si="39"/>
        <v>9583.3333333333358</v>
      </c>
      <c r="CJ34" s="63">
        <f t="shared" si="39"/>
        <v>9583.3333333333358</v>
      </c>
      <c r="CK34" s="63">
        <f t="shared" si="39"/>
        <v>9583.3333333333358</v>
      </c>
      <c r="CL34" s="74">
        <f t="shared" si="39"/>
        <v>9583.3333333333358</v>
      </c>
    </row>
    <row r="35" spans="2:90" ht="19" x14ac:dyDescent="0.25">
      <c r="B35" s="662" t="s">
        <v>107</v>
      </c>
      <c r="C35" s="56" t="s">
        <v>371</v>
      </c>
      <c r="D35" s="60">
        <v>150000</v>
      </c>
      <c r="E35" s="22"/>
      <c r="F35" s="22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74"/>
      <c r="S35" s="7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>
        <f t="shared" si="35"/>
        <v>13750.000000000002</v>
      </c>
      <c r="AJ35" s="63">
        <f t="shared" ref="AG35:AP35" si="40">AI35</f>
        <v>13750.000000000002</v>
      </c>
      <c r="AK35" s="63">
        <f t="shared" si="40"/>
        <v>13750.000000000002</v>
      </c>
      <c r="AL35" s="63">
        <f t="shared" si="40"/>
        <v>13750.000000000002</v>
      </c>
      <c r="AM35" s="63">
        <f t="shared" si="40"/>
        <v>13750.000000000002</v>
      </c>
      <c r="AN35" s="63">
        <f t="shared" si="40"/>
        <v>13750.000000000002</v>
      </c>
      <c r="AO35" s="63">
        <f t="shared" si="40"/>
        <v>13750.000000000002</v>
      </c>
      <c r="AP35" s="74">
        <f t="shared" si="40"/>
        <v>13750.000000000002</v>
      </c>
      <c r="AQ35" s="63">
        <f>AP35*(1+$C$2)</f>
        <v>14437.500000000002</v>
      </c>
      <c r="AR35" s="63">
        <f>AQ35</f>
        <v>14437.500000000002</v>
      </c>
      <c r="AS35" s="63">
        <f t="shared" ref="AS35:BB35" si="41">AR35</f>
        <v>14437.500000000002</v>
      </c>
      <c r="AT35" s="63">
        <f t="shared" si="41"/>
        <v>14437.500000000002</v>
      </c>
      <c r="AU35" s="63">
        <f t="shared" si="41"/>
        <v>14437.500000000002</v>
      </c>
      <c r="AV35" s="63">
        <f t="shared" si="41"/>
        <v>14437.500000000002</v>
      </c>
      <c r="AW35" s="63">
        <f t="shared" si="41"/>
        <v>14437.500000000002</v>
      </c>
      <c r="AX35" s="63">
        <f t="shared" si="41"/>
        <v>14437.500000000002</v>
      </c>
      <c r="AY35" s="63">
        <f t="shared" si="41"/>
        <v>14437.500000000002</v>
      </c>
      <c r="AZ35" s="63">
        <f t="shared" si="41"/>
        <v>14437.500000000002</v>
      </c>
      <c r="BA35" s="63">
        <f t="shared" si="41"/>
        <v>14437.500000000002</v>
      </c>
      <c r="BB35" s="74">
        <f t="shared" si="41"/>
        <v>14437.500000000002</v>
      </c>
      <c r="BC35" s="63">
        <f>BB35*(1+$C$2)</f>
        <v>15159.375000000002</v>
      </c>
      <c r="BD35" s="63">
        <f>BC35</f>
        <v>15159.375000000002</v>
      </c>
      <c r="BE35" s="63">
        <f t="shared" ref="BE35" si="42">BD35</f>
        <v>15159.375000000002</v>
      </c>
      <c r="BF35" s="63">
        <f t="shared" ref="BF35" si="43">BE35</f>
        <v>15159.375000000002</v>
      </c>
      <c r="BG35" s="63">
        <f t="shared" ref="BG35" si="44">BF35</f>
        <v>15159.375000000002</v>
      </c>
      <c r="BH35" s="63">
        <f t="shared" ref="BH35" si="45">BG35</f>
        <v>15159.375000000002</v>
      </c>
      <c r="BI35" s="63">
        <f t="shared" ref="BI35" si="46">BH35</f>
        <v>15159.375000000002</v>
      </c>
      <c r="BJ35" s="63">
        <f t="shared" ref="BJ35" si="47">BI35</f>
        <v>15159.375000000002</v>
      </c>
      <c r="BK35" s="63">
        <f t="shared" ref="BK35" si="48">BJ35</f>
        <v>15159.375000000002</v>
      </c>
      <c r="BL35" s="63">
        <f t="shared" ref="BL35" si="49">BK35</f>
        <v>15159.375000000002</v>
      </c>
      <c r="BM35" s="63">
        <f t="shared" ref="BM35" si="50">BL35</f>
        <v>15159.375000000002</v>
      </c>
      <c r="BN35" s="74">
        <f t="shared" ref="BN35" si="51">BM35</f>
        <v>15159.375000000002</v>
      </c>
      <c r="BO35" s="63">
        <f>BN35*(1+$C$2)</f>
        <v>15917.343750000002</v>
      </c>
      <c r="BP35" s="63">
        <f>BO35</f>
        <v>15917.343750000002</v>
      </c>
      <c r="BQ35" s="63">
        <f t="shared" ref="BQ35" si="52">BP35</f>
        <v>15917.343750000002</v>
      </c>
      <c r="BR35" s="63">
        <f t="shared" ref="BR35" si="53">BQ35</f>
        <v>15917.343750000002</v>
      </c>
      <c r="BS35" s="63">
        <f t="shared" ref="BS35" si="54">BR35</f>
        <v>15917.343750000002</v>
      </c>
      <c r="BT35" s="63">
        <f t="shared" ref="BT35" si="55">BS35</f>
        <v>15917.343750000002</v>
      </c>
      <c r="BU35" s="63">
        <f t="shared" ref="BU35" si="56">BT35</f>
        <v>15917.343750000002</v>
      </c>
      <c r="BV35" s="63">
        <f t="shared" ref="BV35" si="57">BU35</f>
        <v>15917.343750000002</v>
      </c>
      <c r="BW35" s="63">
        <f t="shared" ref="BW35" si="58">BV35</f>
        <v>15917.343750000002</v>
      </c>
      <c r="BX35" s="63">
        <f t="shared" ref="BX35" si="59">BW35</f>
        <v>15917.343750000002</v>
      </c>
      <c r="BY35" s="63">
        <f t="shared" ref="BY35" si="60">BX35</f>
        <v>15917.343750000002</v>
      </c>
      <c r="BZ35" s="74">
        <f t="shared" ref="BZ35" si="61">BY35</f>
        <v>15917.343750000002</v>
      </c>
      <c r="CA35" s="63">
        <f>BZ35*(1+$C$2)</f>
        <v>16713.210937500004</v>
      </c>
      <c r="CB35" s="63">
        <f>CA35</f>
        <v>16713.210937500004</v>
      </c>
      <c r="CC35" s="63">
        <f t="shared" ref="CC35" si="62">CB35</f>
        <v>16713.210937500004</v>
      </c>
      <c r="CD35" s="63">
        <f t="shared" ref="CD35" si="63">CC35</f>
        <v>16713.210937500004</v>
      </c>
      <c r="CE35" s="63">
        <f t="shared" ref="CE35" si="64">CD35</f>
        <v>16713.210937500004</v>
      </c>
      <c r="CF35" s="63">
        <f t="shared" ref="CF35" si="65">CE35</f>
        <v>16713.210937500004</v>
      </c>
      <c r="CG35" s="63">
        <f t="shared" ref="CG35" si="66">CF35</f>
        <v>16713.210937500004</v>
      </c>
      <c r="CH35" s="63">
        <f t="shared" ref="CH35" si="67">CG35</f>
        <v>16713.210937500004</v>
      </c>
      <c r="CI35" s="63">
        <f t="shared" ref="CI35" si="68">CH35</f>
        <v>16713.210937500004</v>
      </c>
      <c r="CJ35" s="63">
        <f t="shared" ref="CJ35" si="69">CI35</f>
        <v>16713.210937500004</v>
      </c>
      <c r="CK35" s="63">
        <f t="shared" ref="CK35" si="70">CJ35</f>
        <v>16713.210937500004</v>
      </c>
      <c r="CL35" s="74">
        <f t="shared" ref="CL35" si="71">CK35</f>
        <v>16713.210937500004</v>
      </c>
    </row>
    <row r="36" spans="2:90" ht="19" x14ac:dyDescent="0.25">
      <c r="B36" s="56" t="s">
        <v>66</v>
      </c>
      <c r="C36" s="56" t="s">
        <v>200</v>
      </c>
      <c r="D36" s="60">
        <v>92000</v>
      </c>
      <c r="E36" s="22"/>
      <c r="F36" s="22"/>
      <c r="G36" s="63"/>
      <c r="H36" s="63"/>
      <c r="I36" s="63"/>
      <c r="J36" s="63"/>
      <c r="K36" s="63"/>
      <c r="L36" s="63"/>
      <c r="M36" s="63"/>
      <c r="N36" s="63"/>
      <c r="O36" s="63">
        <f t="shared" si="33"/>
        <v>7666.666666666667</v>
      </c>
      <c r="P36" s="63">
        <f t="shared" si="33"/>
        <v>7666.666666666667</v>
      </c>
      <c r="Q36" s="63">
        <f t="shared" si="33"/>
        <v>7666.666666666667</v>
      </c>
      <c r="R36" s="74">
        <f t="shared" si="33"/>
        <v>7666.666666666667</v>
      </c>
      <c r="S36" s="73">
        <f t="shared" ref="S36:AD38" si="72">($D36/12)*(1+$C$2)</f>
        <v>8050.0000000000009</v>
      </c>
      <c r="T36" s="63">
        <f t="shared" si="72"/>
        <v>8050.0000000000009</v>
      </c>
      <c r="U36" s="63">
        <f t="shared" si="72"/>
        <v>8050.0000000000009</v>
      </c>
      <c r="V36" s="63">
        <f t="shared" si="72"/>
        <v>8050.0000000000009</v>
      </c>
      <c r="W36" s="63">
        <f t="shared" si="72"/>
        <v>8050.0000000000009</v>
      </c>
      <c r="X36" s="63">
        <f t="shared" si="72"/>
        <v>8050.0000000000009</v>
      </c>
      <c r="Y36" s="63"/>
      <c r="Z36" s="63"/>
      <c r="AA36" s="63"/>
      <c r="AB36" s="63"/>
      <c r="AC36" s="63"/>
      <c r="AD36" s="74"/>
      <c r="AE36" s="63">
        <f t="shared" si="35"/>
        <v>8433.3333333333339</v>
      </c>
      <c r="AF36" s="63">
        <f t="shared" si="35"/>
        <v>8433.3333333333339</v>
      </c>
      <c r="AG36" s="63">
        <f t="shared" si="35"/>
        <v>8433.3333333333339</v>
      </c>
      <c r="AH36" s="63">
        <f t="shared" si="35"/>
        <v>8433.3333333333339</v>
      </c>
      <c r="AI36" s="63">
        <f t="shared" si="35"/>
        <v>8433.3333333333339</v>
      </c>
      <c r="AJ36" s="63">
        <f t="shared" si="35"/>
        <v>8433.3333333333339</v>
      </c>
      <c r="AK36" s="63">
        <f t="shared" si="35"/>
        <v>8433.3333333333339</v>
      </c>
      <c r="AL36" s="63">
        <f t="shared" si="35"/>
        <v>8433.3333333333339</v>
      </c>
      <c r="AM36" s="63">
        <f t="shared" si="35"/>
        <v>8433.3333333333339</v>
      </c>
      <c r="AN36" s="63">
        <f t="shared" si="35"/>
        <v>8433.3333333333339</v>
      </c>
      <c r="AO36" s="63">
        <f t="shared" si="35"/>
        <v>8433.3333333333339</v>
      </c>
      <c r="AP36" s="74">
        <f t="shared" si="35"/>
        <v>8433.3333333333339</v>
      </c>
      <c r="AQ36" s="63">
        <f t="shared" si="36"/>
        <v>8816.6666666666679</v>
      </c>
      <c r="AR36" s="63">
        <f t="shared" si="36"/>
        <v>8816.6666666666679</v>
      </c>
      <c r="AS36" s="63">
        <f t="shared" si="36"/>
        <v>8816.6666666666679</v>
      </c>
      <c r="AT36" s="63">
        <f t="shared" si="36"/>
        <v>8816.6666666666679</v>
      </c>
      <c r="AU36" s="63">
        <f t="shared" si="36"/>
        <v>8816.6666666666679</v>
      </c>
      <c r="AV36" s="63">
        <f t="shared" si="36"/>
        <v>8816.6666666666679</v>
      </c>
      <c r="AW36" s="63">
        <f t="shared" si="36"/>
        <v>8816.6666666666679</v>
      </c>
      <c r="AX36" s="63">
        <f t="shared" si="36"/>
        <v>8816.6666666666679</v>
      </c>
      <c r="AY36" s="63">
        <f t="shared" si="36"/>
        <v>8816.6666666666679</v>
      </c>
      <c r="AZ36" s="63">
        <f t="shared" si="36"/>
        <v>8816.6666666666679</v>
      </c>
      <c r="BA36" s="63">
        <f t="shared" si="36"/>
        <v>8816.6666666666679</v>
      </c>
      <c r="BB36" s="74">
        <f t="shared" si="36"/>
        <v>8816.6666666666679</v>
      </c>
      <c r="BC36" s="63">
        <f t="shared" si="37"/>
        <v>8816.6666666666679</v>
      </c>
      <c r="BD36" s="63">
        <f t="shared" si="37"/>
        <v>8816.6666666666679</v>
      </c>
      <c r="BE36" s="63">
        <f t="shared" si="37"/>
        <v>8816.6666666666679</v>
      </c>
      <c r="BF36" s="63">
        <f t="shared" si="37"/>
        <v>8816.6666666666679</v>
      </c>
      <c r="BG36" s="63">
        <f t="shared" si="37"/>
        <v>8816.6666666666679</v>
      </c>
      <c r="BH36" s="63">
        <f t="shared" si="37"/>
        <v>8816.6666666666679</v>
      </c>
      <c r="BI36" s="63">
        <f t="shared" si="37"/>
        <v>8816.6666666666679</v>
      </c>
      <c r="BJ36" s="63">
        <f t="shared" si="37"/>
        <v>8816.6666666666679</v>
      </c>
      <c r="BK36" s="63">
        <f t="shared" si="37"/>
        <v>8816.6666666666679</v>
      </c>
      <c r="BL36" s="63">
        <f t="shared" si="37"/>
        <v>8816.6666666666679</v>
      </c>
      <c r="BM36" s="63">
        <f t="shared" si="37"/>
        <v>8816.6666666666679</v>
      </c>
      <c r="BN36" s="74">
        <f t="shared" si="37"/>
        <v>8816.6666666666679</v>
      </c>
      <c r="BO36" s="63">
        <f t="shared" si="38"/>
        <v>8816.6666666666679</v>
      </c>
      <c r="BP36" s="63">
        <f t="shared" si="38"/>
        <v>8816.6666666666679</v>
      </c>
      <c r="BQ36" s="63">
        <f t="shared" si="38"/>
        <v>8816.6666666666679</v>
      </c>
      <c r="BR36" s="63">
        <f t="shared" si="38"/>
        <v>8816.6666666666679</v>
      </c>
      <c r="BS36" s="63">
        <f t="shared" si="38"/>
        <v>8816.6666666666679</v>
      </c>
      <c r="BT36" s="63">
        <f t="shared" si="38"/>
        <v>8816.6666666666679</v>
      </c>
      <c r="BU36" s="63">
        <f t="shared" si="38"/>
        <v>8816.6666666666679</v>
      </c>
      <c r="BV36" s="63">
        <f t="shared" si="38"/>
        <v>8816.6666666666679</v>
      </c>
      <c r="BW36" s="63">
        <f t="shared" si="38"/>
        <v>8816.6666666666679</v>
      </c>
      <c r="BX36" s="63">
        <f t="shared" si="38"/>
        <v>8816.6666666666679</v>
      </c>
      <c r="BY36" s="63">
        <f t="shared" si="38"/>
        <v>8816.6666666666679</v>
      </c>
      <c r="BZ36" s="74">
        <f t="shared" si="38"/>
        <v>8816.6666666666679</v>
      </c>
      <c r="CA36" s="63">
        <f t="shared" si="39"/>
        <v>8816.6666666666679</v>
      </c>
      <c r="CB36" s="63">
        <f t="shared" si="39"/>
        <v>8816.6666666666679</v>
      </c>
      <c r="CC36" s="63">
        <f t="shared" si="39"/>
        <v>8816.6666666666679</v>
      </c>
      <c r="CD36" s="63">
        <f t="shared" si="39"/>
        <v>8816.6666666666679</v>
      </c>
      <c r="CE36" s="63">
        <f t="shared" si="39"/>
        <v>8816.6666666666679</v>
      </c>
      <c r="CF36" s="63">
        <f t="shared" si="39"/>
        <v>8816.6666666666679</v>
      </c>
      <c r="CG36" s="63">
        <f t="shared" si="39"/>
        <v>8816.6666666666679</v>
      </c>
      <c r="CH36" s="63">
        <f t="shared" si="39"/>
        <v>8816.6666666666679</v>
      </c>
      <c r="CI36" s="63">
        <f t="shared" si="39"/>
        <v>8816.6666666666679</v>
      </c>
      <c r="CJ36" s="63">
        <f t="shared" si="39"/>
        <v>8816.6666666666679</v>
      </c>
      <c r="CK36" s="63">
        <f t="shared" si="39"/>
        <v>8816.6666666666679</v>
      </c>
      <c r="CL36" s="74">
        <f t="shared" si="39"/>
        <v>8816.6666666666679</v>
      </c>
    </row>
    <row r="37" spans="2:90" ht="18.25" customHeight="1" x14ac:dyDescent="0.25">
      <c r="B37" s="56" t="s">
        <v>68</v>
      </c>
      <c r="C37" s="56" t="s">
        <v>31</v>
      </c>
      <c r="D37" s="60">
        <v>90000</v>
      </c>
      <c r="E37" s="22"/>
      <c r="F37" s="22"/>
      <c r="G37" s="63"/>
      <c r="H37" s="63"/>
      <c r="I37" s="63"/>
      <c r="J37" s="63"/>
      <c r="K37" s="63"/>
      <c r="L37" s="63"/>
      <c r="M37" s="63"/>
      <c r="N37" s="63"/>
      <c r="O37" s="63">
        <f t="shared" si="33"/>
        <v>7500</v>
      </c>
      <c r="P37" s="63">
        <f t="shared" si="33"/>
        <v>7500</v>
      </c>
      <c r="Q37" s="63">
        <f t="shared" si="33"/>
        <v>7500</v>
      </c>
      <c r="R37" s="74">
        <f t="shared" si="33"/>
        <v>7500</v>
      </c>
      <c r="S37" s="73"/>
      <c r="T37" s="255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>
        <f t="shared" si="35"/>
        <v>8250</v>
      </c>
      <c r="AF37" s="63">
        <f t="shared" si="35"/>
        <v>8250</v>
      </c>
      <c r="AG37" s="63">
        <f t="shared" si="35"/>
        <v>8250</v>
      </c>
      <c r="AH37" s="63">
        <f t="shared" si="35"/>
        <v>8250</v>
      </c>
      <c r="AI37" s="63">
        <f t="shared" si="35"/>
        <v>8250</v>
      </c>
      <c r="AJ37" s="63">
        <f t="shared" si="35"/>
        <v>8250</v>
      </c>
      <c r="AK37" s="63">
        <f t="shared" si="35"/>
        <v>8250</v>
      </c>
      <c r="AL37" s="63">
        <f t="shared" si="35"/>
        <v>8250</v>
      </c>
      <c r="AM37" s="63">
        <f t="shared" si="35"/>
        <v>8250</v>
      </c>
      <c r="AN37" s="63">
        <f t="shared" si="35"/>
        <v>8250</v>
      </c>
      <c r="AO37" s="63">
        <f t="shared" si="35"/>
        <v>8250</v>
      </c>
      <c r="AP37" s="74">
        <f t="shared" si="35"/>
        <v>8250</v>
      </c>
      <c r="AQ37" s="63">
        <f t="shared" si="36"/>
        <v>8625.0000000000018</v>
      </c>
      <c r="AR37" s="63">
        <f t="shared" si="36"/>
        <v>8625.0000000000018</v>
      </c>
      <c r="AS37" s="63">
        <f t="shared" si="36"/>
        <v>8625.0000000000018</v>
      </c>
      <c r="AT37" s="63">
        <f t="shared" si="36"/>
        <v>8625.0000000000018</v>
      </c>
      <c r="AU37" s="63">
        <f t="shared" si="36"/>
        <v>8625.0000000000018</v>
      </c>
      <c r="AV37" s="63">
        <f t="shared" si="36"/>
        <v>8625.0000000000018</v>
      </c>
      <c r="AW37" s="63">
        <f t="shared" si="36"/>
        <v>8625.0000000000018</v>
      </c>
      <c r="AX37" s="63">
        <f t="shared" si="36"/>
        <v>8625.0000000000018</v>
      </c>
      <c r="AY37" s="63">
        <f t="shared" si="36"/>
        <v>8625.0000000000018</v>
      </c>
      <c r="AZ37" s="63">
        <f t="shared" si="36"/>
        <v>8625.0000000000018</v>
      </c>
      <c r="BA37" s="63">
        <f t="shared" si="36"/>
        <v>8625.0000000000018</v>
      </c>
      <c r="BB37" s="74">
        <f t="shared" si="36"/>
        <v>8625.0000000000018</v>
      </c>
      <c r="BC37" s="63">
        <f t="shared" si="37"/>
        <v>8625.0000000000018</v>
      </c>
      <c r="BD37" s="63">
        <f t="shared" si="37"/>
        <v>8625.0000000000018</v>
      </c>
      <c r="BE37" s="63">
        <f t="shared" si="37"/>
        <v>8625.0000000000018</v>
      </c>
      <c r="BF37" s="63">
        <f t="shared" si="37"/>
        <v>8625.0000000000018</v>
      </c>
      <c r="BG37" s="63">
        <f t="shared" si="37"/>
        <v>8625.0000000000018</v>
      </c>
      <c r="BH37" s="63">
        <f t="shared" si="37"/>
        <v>8625.0000000000018</v>
      </c>
      <c r="BI37" s="63">
        <f t="shared" si="37"/>
        <v>8625.0000000000018</v>
      </c>
      <c r="BJ37" s="63">
        <f t="shared" si="37"/>
        <v>8625.0000000000018</v>
      </c>
      <c r="BK37" s="63">
        <f t="shared" si="37"/>
        <v>8625.0000000000018</v>
      </c>
      <c r="BL37" s="63">
        <f t="shared" si="37"/>
        <v>8625.0000000000018</v>
      </c>
      <c r="BM37" s="63">
        <f t="shared" si="37"/>
        <v>8625.0000000000018</v>
      </c>
      <c r="BN37" s="74">
        <f t="shared" si="37"/>
        <v>8625.0000000000018</v>
      </c>
      <c r="BO37" s="63">
        <f t="shared" si="38"/>
        <v>8625.0000000000018</v>
      </c>
      <c r="BP37" s="63">
        <f t="shared" si="38"/>
        <v>8625.0000000000018</v>
      </c>
      <c r="BQ37" s="63">
        <f t="shared" si="38"/>
        <v>8625.0000000000018</v>
      </c>
      <c r="BR37" s="63">
        <f t="shared" si="38"/>
        <v>8625.0000000000018</v>
      </c>
      <c r="BS37" s="63">
        <f t="shared" si="38"/>
        <v>8625.0000000000018</v>
      </c>
      <c r="BT37" s="63">
        <f t="shared" si="38"/>
        <v>8625.0000000000018</v>
      </c>
      <c r="BU37" s="63">
        <f t="shared" si="38"/>
        <v>8625.0000000000018</v>
      </c>
      <c r="BV37" s="63">
        <f t="shared" si="38"/>
        <v>8625.0000000000018</v>
      </c>
      <c r="BW37" s="63">
        <f t="shared" si="38"/>
        <v>8625.0000000000018</v>
      </c>
      <c r="BX37" s="63">
        <f t="shared" si="38"/>
        <v>8625.0000000000018</v>
      </c>
      <c r="BY37" s="63">
        <f t="shared" si="38"/>
        <v>8625.0000000000018</v>
      </c>
      <c r="BZ37" s="74">
        <f t="shared" si="38"/>
        <v>8625.0000000000018</v>
      </c>
      <c r="CA37" s="63">
        <f t="shared" si="39"/>
        <v>8625.0000000000018</v>
      </c>
      <c r="CB37" s="63">
        <f t="shared" si="39"/>
        <v>8625.0000000000018</v>
      </c>
      <c r="CC37" s="63">
        <f t="shared" si="39"/>
        <v>8625.0000000000018</v>
      </c>
      <c r="CD37" s="63">
        <f t="shared" si="39"/>
        <v>8625.0000000000018</v>
      </c>
      <c r="CE37" s="63">
        <f t="shared" si="39"/>
        <v>8625.0000000000018</v>
      </c>
      <c r="CF37" s="63">
        <f t="shared" si="39"/>
        <v>8625.0000000000018</v>
      </c>
      <c r="CG37" s="63">
        <f t="shared" si="39"/>
        <v>8625.0000000000018</v>
      </c>
      <c r="CH37" s="63">
        <f t="shared" si="39"/>
        <v>8625.0000000000018</v>
      </c>
      <c r="CI37" s="63">
        <f t="shared" si="39"/>
        <v>8625.0000000000018</v>
      </c>
      <c r="CJ37" s="63">
        <f t="shared" si="39"/>
        <v>8625.0000000000018</v>
      </c>
      <c r="CK37" s="63">
        <f t="shared" si="39"/>
        <v>8625.0000000000018</v>
      </c>
      <c r="CL37" s="74">
        <f t="shared" si="39"/>
        <v>8625.0000000000018</v>
      </c>
    </row>
    <row r="38" spans="2:90" ht="19" x14ac:dyDescent="0.25">
      <c r="B38" s="662" t="s">
        <v>67</v>
      </c>
      <c r="C38" s="56" t="s">
        <v>31</v>
      </c>
      <c r="D38" s="60">
        <v>90000</v>
      </c>
      <c r="E38" s="22"/>
      <c r="F38" s="22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74"/>
      <c r="S38" s="63"/>
      <c r="T38" s="63"/>
      <c r="W38" s="480"/>
      <c r="X38" s="480"/>
      <c r="Y38" s="480"/>
      <c r="Z38" s="480"/>
      <c r="AA38" s="480"/>
      <c r="AB38" s="480"/>
      <c r="AC38" s="63"/>
      <c r="AD38" s="63"/>
      <c r="AE38" s="63"/>
      <c r="AF38" s="63"/>
      <c r="AG38" s="63"/>
      <c r="AH38" s="63"/>
      <c r="AI38" s="63"/>
      <c r="AJ38" s="63"/>
      <c r="AK38" s="63"/>
      <c r="AL38" s="63">
        <f t="shared" si="35"/>
        <v>8250</v>
      </c>
      <c r="AM38" s="63">
        <f t="shared" ref="AG38:AP38" si="73">AL38</f>
        <v>8250</v>
      </c>
      <c r="AN38" s="63">
        <f t="shared" si="73"/>
        <v>8250</v>
      </c>
      <c r="AO38" s="63">
        <f t="shared" si="73"/>
        <v>8250</v>
      </c>
      <c r="AP38" s="74">
        <f t="shared" si="73"/>
        <v>8250</v>
      </c>
      <c r="AQ38" s="63">
        <f>AP38*(1+$C$2)</f>
        <v>8662.5</v>
      </c>
      <c r="AR38" s="63">
        <f t="shared" ref="AR38:AR42" si="74">AQ38</f>
        <v>8662.5</v>
      </c>
      <c r="AS38" s="63">
        <f t="shared" ref="AS38:BB40" si="75">AR38</f>
        <v>8662.5</v>
      </c>
      <c r="AT38" s="63">
        <f t="shared" si="75"/>
        <v>8662.5</v>
      </c>
      <c r="AU38" s="63">
        <f t="shared" si="75"/>
        <v>8662.5</v>
      </c>
      <c r="AV38" s="63">
        <f t="shared" si="75"/>
        <v>8662.5</v>
      </c>
      <c r="AW38" s="63">
        <f t="shared" si="75"/>
        <v>8662.5</v>
      </c>
      <c r="AX38" s="63">
        <f t="shared" si="75"/>
        <v>8662.5</v>
      </c>
      <c r="AY38" s="63">
        <f t="shared" si="75"/>
        <v>8662.5</v>
      </c>
      <c r="AZ38" s="63">
        <f t="shared" si="75"/>
        <v>8662.5</v>
      </c>
      <c r="BA38" s="63">
        <f t="shared" si="75"/>
        <v>8662.5</v>
      </c>
      <c r="BB38" s="74">
        <f t="shared" si="75"/>
        <v>8662.5</v>
      </c>
      <c r="BC38" s="63">
        <f>BB38*(1+$C$2)</f>
        <v>9095.625</v>
      </c>
      <c r="BD38" s="63">
        <f t="shared" ref="BD38:BD42" si="76">BC38</f>
        <v>9095.625</v>
      </c>
      <c r="BE38" s="63">
        <f t="shared" ref="BE38:BE42" si="77">BD38</f>
        <v>9095.625</v>
      </c>
      <c r="BF38" s="63">
        <f t="shared" ref="BF38:BF42" si="78">BE38</f>
        <v>9095.625</v>
      </c>
      <c r="BG38" s="63">
        <f t="shared" ref="BG38:BG42" si="79">BF38</f>
        <v>9095.625</v>
      </c>
      <c r="BH38" s="63">
        <f t="shared" ref="BH38:BH42" si="80">BG38</f>
        <v>9095.625</v>
      </c>
      <c r="BI38" s="63">
        <f t="shared" ref="BI38:BI42" si="81">BH38</f>
        <v>9095.625</v>
      </c>
      <c r="BJ38" s="63">
        <f t="shared" ref="BJ38:BJ42" si="82">BI38</f>
        <v>9095.625</v>
      </c>
      <c r="BK38" s="63">
        <f t="shared" ref="BK38:BK42" si="83">BJ38</f>
        <v>9095.625</v>
      </c>
      <c r="BL38" s="63">
        <f t="shared" ref="BL38:BL42" si="84">BK38</f>
        <v>9095.625</v>
      </c>
      <c r="BM38" s="63">
        <f t="shared" ref="BM38:BM42" si="85">BL38</f>
        <v>9095.625</v>
      </c>
      <c r="BN38" s="74">
        <f t="shared" ref="BN38:BN42" si="86">BM38</f>
        <v>9095.625</v>
      </c>
      <c r="BO38" s="63">
        <f>BN38*(1+$C$2)</f>
        <v>9550.40625</v>
      </c>
      <c r="BP38" s="63">
        <f t="shared" ref="BP38:BP42" si="87">BO38</f>
        <v>9550.40625</v>
      </c>
      <c r="BQ38" s="63">
        <f t="shared" ref="BQ38:BQ42" si="88">BP38</f>
        <v>9550.40625</v>
      </c>
      <c r="BR38" s="63">
        <f t="shared" ref="BR38:BR42" si="89">BQ38</f>
        <v>9550.40625</v>
      </c>
      <c r="BS38" s="63">
        <f t="shared" ref="BS38:BS42" si="90">BR38</f>
        <v>9550.40625</v>
      </c>
      <c r="BT38" s="63">
        <f t="shared" ref="BT38:BT42" si="91">BS38</f>
        <v>9550.40625</v>
      </c>
      <c r="BU38" s="63">
        <f t="shared" ref="BU38:BU42" si="92">BT38</f>
        <v>9550.40625</v>
      </c>
      <c r="BV38" s="63">
        <f t="shared" ref="BV38:BV42" si="93">BU38</f>
        <v>9550.40625</v>
      </c>
      <c r="BW38" s="63">
        <f t="shared" ref="BW38:BW42" si="94">BV38</f>
        <v>9550.40625</v>
      </c>
      <c r="BX38" s="63">
        <f t="shared" ref="BX38:BX42" si="95">BW38</f>
        <v>9550.40625</v>
      </c>
      <c r="BY38" s="63">
        <f t="shared" ref="BY38:BY42" si="96">BX38</f>
        <v>9550.40625</v>
      </c>
      <c r="BZ38" s="74">
        <f t="shared" ref="BZ38:BZ42" si="97">BY38</f>
        <v>9550.40625</v>
      </c>
      <c r="CA38" s="63">
        <f>BZ38*(1+$C$2)</f>
        <v>10027.926562500001</v>
      </c>
      <c r="CB38" s="63">
        <f t="shared" ref="CB38:CB42" si="98">CA38</f>
        <v>10027.926562500001</v>
      </c>
      <c r="CC38" s="63">
        <f t="shared" ref="CC38:CC42" si="99">CB38</f>
        <v>10027.926562500001</v>
      </c>
      <c r="CD38" s="63">
        <f t="shared" ref="CD38:CD42" si="100">CC38</f>
        <v>10027.926562500001</v>
      </c>
      <c r="CE38" s="63">
        <f t="shared" ref="CE38:CE42" si="101">CD38</f>
        <v>10027.926562500001</v>
      </c>
      <c r="CF38" s="63">
        <f t="shared" ref="CF38:CF42" si="102">CE38</f>
        <v>10027.926562500001</v>
      </c>
      <c r="CG38" s="63">
        <f t="shared" ref="CG38:CG42" si="103">CF38</f>
        <v>10027.926562500001</v>
      </c>
      <c r="CH38" s="63">
        <f t="shared" ref="CH38:CH42" si="104">CG38</f>
        <v>10027.926562500001</v>
      </c>
      <c r="CI38" s="63">
        <f t="shared" ref="CI38:CI42" si="105">CH38</f>
        <v>10027.926562500001</v>
      </c>
      <c r="CJ38" s="63">
        <f t="shared" ref="CJ38:CJ42" si="106">CI38</f>
        <v>10027.926562500001</v>
      </c>
      <c r="CK38" s="63">
        <f t="shared" ref="CK38:CK42" si="107">CJ38</f>
        <v>10027.926562500001</v>
      </c>
      <c r="CL38" s="74">
        <f t="shared" ref="CL38:CL42" si="108">CK38</f>
        <v>10027.926562500001</v>
      </c>
    </row>
    <row r="39" spans="2:90" ht="19" x14ac:dyDescent="0.25">
      <c r="B39" s="56" t="s">
        <v>67</v>
      </c>
      <c r="C39" s="56" t="s">
        <v>31</v>
      </c>
      <c r="D39" s="60">
        <v>90000</v>
      </c>
      <c r="E39" s="22"/>
      <c r="F39" s="22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74"/>
      <c r="S39" s="7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74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74"/>
      <c r="AQ39" s="63">
        <f>D39/12</f>
        <v>7500</v>
      </c>
      <c r="AR39" s="63">
        <f t="shared" si="74"/>
        <v>7500</v>
      </c>
      <c r="AS39" s="63">
        <f t="shared" ref="AS39:BB39" si="109">AR39</f>
        <v>7500</v>
      </c>
      <c r="AT39" s="63">
        <f t="shared" si="109"/>
        <v>7500</v>
      </c>
      <c r="AU39" s="63">
        <f t="shared" si="109"/>
        <v>7500</v>
      </c>
      <c r="AV39" s="63">
        <f t="shared" si="109"/>
        <v>7500</v>
      </c>
      <c r="AW39" s="63">
        <f t="shared" si="109"/>
        <v>7500</v>
      </c>
      <c r="AX39" s="63">
        <f t="shared" si="109"/>
        <v>7500</v>
      </c>
      <c r="AY39" s="63">
        <f t="shared" si="109"/>
        <v>7500</v>
      </c>
      <c r="AZ39" s="63">
        <f t="shared" si="109"/>
        <v>7500</v>
      </c>
      <c r="BA39" s="63">
        <f t="shared" si="109"/>
        <v>7500</v>
      </c>
      <c r="BB39" s="74">
        <f t="shared" si="109"/>
        <v>7500</v>
      </c>
      <c r="BC39" s="63">
        <f>BB39*(1+O2)</f>
        <v>7500</v>
      </c>
      <c r="BD39" s="63">
        <f t="shared" si="76"/>
        <v>7500</v>
      </c>
      <c r="BE39" s="63">
        <f t="shared" si="77"/>
        <v>7500</v>
      </c>
      <c r="BF39" s="63">
        <f t="shared" si="78"/>
        <v>7500</v>
      </c>
      <c r="BG39" s="63">
        <f t="shared" si="79"/>
        <v>7500</v>
      </c>
      <c r="BH39" s="63">
        <f t="shared" si="80"/>
        <v>7500</v>
      </c>
      <c r="BI39" s="63">
        <f t="shared" si="81"/>
        <v>7500</v>
      </c>
      <c r="BJ39" s="63">
        <f t="shared" si="82"/>
        <v>7500</v>
      </c>
      <c r="BK39" s="63">
        <f t="shared" si="83"/>
        <v>7500</v>
      </c>
      <c r="BL39" s="63">
        <f t="shared" si="84"/>
        <v>7500</v>
      </c>
      <c r="BM39" s="63">
        <f t="shared" si="85"/>
        <v>7500</v>
      </c>
      <c r="BN39" s="74">
        <f t="shared" si="86"/>
        <v>7500</v>
      </c>
      <c r="BO39" s="63">
        <f>BN39*(1+AA2)</f>
        <v>7500</v>
      </c>
      <c r="BP39" s="63">
        <f t="shared" si="87"/>
        <v>7500</v>
      </c>
      <c r="BQ39" s="63">
        <f t="shared" si="88"/>
        <v>7500</v>
      </c>
      <c r="BR39" s="63">
        <f t="shared" si="89"/>
        <v>7500</v>
      </c>
      <c r="BS39" s="63">
        <f t="shared" si="90"/>
        <v>7500</v>
      </c>
      <c r="BT39" s="63">
        <f t="shared" si="91"/>
        <v>7500</v>
      </c>
      <c r="BU39" s="63">
        <f t="shared" si="92"/>
        <v>7500</v>
      </c>
      <c r="BV39" s="63">
        <f t="shared" si="93"/>
        <v>7500</v>
      </c>
      <c r="BW39" s="63">
        <f t="shared" si="94"/>
        <v>7500</v>
      </c>
      <c r="BX39" s="63">
        <f t="shared" si="95"/>
        <v>7500</v>
      </c>
      <c r="BY39" s="63">
        <f t="shared" si="96"/>
        <v>7500</v>
      </c>
      <c r="BZ39" s="74">
        <f t="shared" si="97"/>
        <v>7500</v>
      </c>
      <c r="CA39" s="63">
        <f>BZ39*(1+AM2)</f>
        <v>7500</v>
      </c>
      <c r="CB39" s="63">
        <f t="shared" si="98"/>
        <v>7500</v>
      </c>
      <c r="CC39" s="63">
        <f t="shared" si="99"/>
        <v>7500</v>
      </c>
      <c r="CD39" s="63">
        <f t="shared" si="100"/>
        <v>7500</v>
      </c>
      <c r="CE39" s="63">
        <f t="shared" si="101"/>
        <v>7500</v>
      </c>
      <c r="CF39" s="63">
        <f t="shared" si="102"/>
        <v>7500</v>
      </c>
      <c r="CG39" s="63">
        <f t="shared" si="103"/>
        <v>7500</v>
      </c>
      <c r="CH39" s="63">
        <f t="shared" si="104"/>
        <v>7500</v>
      </c>
      <c r="CI39" s="63">
        <f t="shared" si="105"/>
        <v>7500</v>
      </c>
      <c r="CJ39" s="63">
        <f t="shared" si="106"/>
        <v>7500</v>
      </c>
      <c r="CK39" s="63">
        <f t="shared" si="107"/>
        <v>7500</v>
      </c>
      <c r="CL39" s="74">
        <f t="shared" si="108"/>
        <v>7500</v>
      </c>
    </row>
    <row r="40" spans="2:90" ht="19" x14ac:dyDescent="0.25">
      <c r="B40" s="56" t="s">
        <v>357</v>
      </c>
      <c r="C40" s="56" t="s">
        <v>199</v>
      </c>
      <c r="D40" s="675">
        <v>105000</v>
      </c>
      <c r="E40" s="22"/>
      <c r="F40" s="22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74">
        <v>0</v>
      </c>
      <c r="S40" s="63">
        <v>0</v>
      </c>
      <c r="T40" s="63"/>
      <c r="U40" s="63"/>
      <c r="V40" s="63"/>
      <c r="W40" s="63"/>
      <c r="X40" s="63"/>
      <c r="Y40" s="63">
        <f t="shared" ref="Y40:AD40" si="110">($D40/12)</f>
        <v>8750</v>
      </c>
      <c r="Z40" s="63">
        <f t="shared" si="110"/>
        <v>8750</v>
      </c>
      <c r="AA40" s="63">
        <f t="shared" si="110"/>
        <v>8750</v>
      </c>
      <c r="AB40" s="63">
        <f t="shared" si="110"/>
        <v>8750</v>
      </c>
      <c r="AC40" s="63">
        <f t="shared" si="110"/>
        <v>8750</v>
      </c>
      <c r="AD40" s="74">
        <f t="shared" si="110"/>
        <v>8750</v>
      </c>
      <c r="AE40" s="63">
        <f>AD40*(1+$C$2)</f>
        <v>9187.5</v>
      </c>
      <c r="AF40" s="63">
        <f>AE40</f>
        <v>9187.5</v>
      </c>
      <c r="AG40" s="63"/>
      <c r="AH40" s="63"/>
      <c r="AI40" s="63"/>
      <c r="AJ40" s="63"/>
      <c r="AK40" s="63"/>
      <c r="AL40" s="63"/>
      <c r="AM40" s="63"/>
      <c r="AN40" s="63"/>
      <c r="AO40" s="63"/>
      <c r="AP40" s="74"/>
      <c r="AQ40" s="63"/>
      <c r="AR40" s="63"/>
      <c r="AS40" s="63">
        <f>D40/12</f>
        <v>8750</v>
      </c>
      <c r="AT40" s="63">
        <f t="shared" ref="AS40:BB40" si="111">AS40</f>
        <v>8750</v>
      </c>
      <c r="AU40" s="63">
        <f t="shared" si="111"/>
        <v>8750</v>
      </c>
      <c r="AV40" s="63">
        <f t="shared" si="111"/>
        <v>8750</v>
      </c>
      <c r="AW40" s="63">
        <f t="shared" si="111"/>
        <v>8750</v>
      </c>
      <c r="AX40" s="63">
        <f t="shared" si="111"/>
        <v>8750</v>
      </c>
      <c r="AY40" s="63">
        <f t="shared" si="111"/>
        <v>8750</v>
      </c>
      <c r="AZ40" s="63">
        <f t="shared" si="111"/>
        <v>8750</v>
      </c>
      <c r="BA40" s="63">
        <f t="shared" si="111"/>
        <v>8750</v>
      </c>
      <c r="BB40" s="74">
        <f t="shared" si="111"/>
        <v>8750</v>
      </c>
      <c r="BC40" s="63">
        <f>BB40*(1+$C$2)</f>
        <v>9187.5</v>
      </c>
      <c r="BD40" s="63">
        <f t="shared" si="76"/>
        <v>9187.5</v>
      </c>
      <c r="BE40" s="63">
        <f t="shared" si="77"/>
        <v>9187.5</v>
      </c>
      <c r="BF40" s="63">
        <f t="shared" si="78"/>
        <v>9187.5</v>
      </c>
      <c r="BG40" s="63">
        <f t="shared" si="79"/>
        <v>9187.5</v>
      </c>
      <c r="BH40" s="63">
        <f t="shared" si="80"/>
        <v>9187.5</v>
      </c>
      <c r="BI40" s="63">
        <f t="shared" si="81"/>
        <v>9187.5</v>
      </c>
      <c r="BJ40" s="63">
        <f t="shared" si="82"/>
        <v>9187.5</v>
      </c>
      <c r="BK40" s="63">
        <f t="shared" si="83"/>
        <v>9187.5</v>
      </c>
      <c r="BL40" s="63">
        <f t="shared" si="84"/>
        <v>9187.5</v>
      </c>
      <c r="BM40" s="63">
        <f t="shared" si="85"/>
        <v>9187.5</v>
      </c>
      <c r="BN40" s="74">
        <f t="shared" si="86"/>
        <v>9187.5</v>
      </c>
      <c r="BO40" s="63">
        <f>BN40*(1+$C$2)</f>
        <v>9646.875</v>
      </c>
      <c r="BP40" s="63">
        <f t="shared" si="87"/>
        <v>9646.875</v>
      </c>
      <c r="BQ40" s="63">
        <f t="shared" si="88"/>
        <v>9646.875</v>
      </c>
      <c r="BR40" s="63">
        <f t="shared" si="89"/>
        <v>9646.875</v>
      </c>
      <c r="BS40" s="63">
        <f t="shared" si="90"/>
        <v>9646.875</v>
      </c>
      <c r="BT40" s="63">
        <f t="shared" si="91"/>
        <v>9646.875</v>
      </c>
      <c r="BU40" s="63">
        <f t="shared" si="92"/>
        <v>9646.875</v>
      </c>
      <c r="BV40" s="63">
        <f t="shared" si="93"/>
        <v>9646.875</v>
      </c>
      <c r="BW40" s="63">
        <f t="shared" si="94"/>
        <v>9646.875</v>
      </c>
      <c r="BX40" s="63">
        <f t="shared" si="95"/>
        <v>9646.875</v>
      </c>
      <c r="BY40" s="63">
        <f t="shared" si="96"/>
        <v>9646.875</v>
      </c>
      <c r="BZ40" s="74">
        <f t="shared" si="97"/>
        <v>9646.875</v>
      </c>
      <c r="CA40" s="63">
        <f>BZ40*(1+$C$2)</f>
        <v>10129.21875</v>
      </c>
      <c r="CB40" s="63">
        <f t="shared" si="98"/>
        <v>10129.21875</v>
      </c>
      <c r="CC40" s="63">
        <f t="shared" si="99"/>
        <v>10129.21875</v>
      </c>
      <c r="CD40" s="63">
        <f t="shared" si="100"/>
        <v>10129.21875</v>
      </c>
      <c r="CE40" s="63">
        <f t="shared" si="101"/>
        <v>10129.21875</v>
      </c>
      <c r="CF40" s="63">
        <f t="shared" si="102"/>
        <v>10129.21875</v>
      </c>
      <c r="CG40" s="63">
        <f t="shared" si="103"/>
        <v>10129.21875</v>
      </c>
      <c r="CH40" s="63">
        <f t="shared" si="104"/>
        <v>10129.21875</v>
      </c>
      <c r="CI40" s="63">
        <f t="shared" si="105"/>
        <v>10129.21875</v>
      </c>
      <c r="CJ40" s="63">
        <f t="shared" si="106"/>
        <v>10129.21875</v>
      </c>
      <c r="CK40" s="63">
        <f t="shared" si="107"/>
        <v>10129.21875</v>
      </c>
      <c r="CL40" s="74">
        <f t="shared" si="108"/>
        <v>10129.21875</v>
      </c>
    </row>
    <row r="41" spans="2:90" ht="19" x14ac:dyDescent="0.25">
      <c r="B41" s="662" t="s">
        <v>69</v>
      </c>
      <c r="C41" s="56" t="s">
        <v>31</v>
      </c>
      <c r="D41" s="60">
        <v>75000</v>
      </c>
      <c r="E41" s="22"/>
      <c r="F41" s="22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74"/>
      <c r="S41" s="7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>
        <f>D41/12</f>
        <v>6250</v>
      </c>
      <c r="AN41" s="63">
        <f t="shared" ref="AF41:AP42" si="112">AM41</f>
        <v>6250</v>
      </c>
      <c r="AO41" s="63">
        <f t="shared" si="112"/>
        <v>6250</v>
      </c>
      <c r="AP41" s="74">
        <f t="shared" si="112"/>
        <v>6250</v>
      </c>
      <c r="AQ41" s="63">
        <f>AP41*(1+$C$2)</f>
        <v>6562.5</v>
      </c>
      <c r="AR41" s="63">
        <f t="shared" si="74"/>
        <v>6562.5</v>
      </c>
      <c r="AS41" s="63">
        <f t="shared" ref="AS41:BB41" si="113">AR41</f>
        <v>6562.5</v>
      </c>
      <c r="AT41" s="63">
        <f t="shared" si="113"/>
        <v>6562.5</v>
      </c>
      <c r="AU41" s="63">
        <f t="shared" si="113"/>
        <v>6562.5</v>
      </c>
      <c r="AV41" s="63">
        <f t="shared" si="113"/>
        <v>6562.5</v>
      </c>
      <c r="AW41" s="63">
        <f t="shared" si="113"/>
        <v>6562.5</v>
      </c>
      <c r="AX41" s="63">
        <f t="shared" si="113"/>
        <v>6562.5</v>
      </c>
      <c r="AY41" s="63">
        <f t="shared" si="113"/>
        <v>6562.5</v>
      </c>
      <c r="AZ41" s="63">
        <f t="shared" si="113"/>
        <v>6562.5</v>
      </c>
      <c r="BA41" s="63">
        <f t="shared" si="113"/>
        <v>6562.5</v>
      </c>
      <c r="BB41" s="74">
        <f t="shared" si="113"/>
        <v>6562.5</v>
      </c>
      <c r="BC41" s="63">
        <f>BB41*(1+$C$2)</f>
        <v>6890.625</v>
      </c>
      <c r="BD41" s="63">
        <f t="shared" si="76"/>
        <v>6890.625</v>
      </c>
      <c r="BE41" s="63">
        <f t="shared" si="77"/>
        <v>6890.625</v>
      </c>
      <c r="BF41" s="63">
        <f t="shared" si="78"/>
        <v>6890.625</v>
      </c>
      <c r="BG41" s="63">
        <f t="shared" si="79"/>
        <v>6890.625</v>
      </c>
      <c r="BH41" s="63">
        <f t="shared" si="80"/>
        <v>6890.625</v>
      </c>
      <c r="BI41" s="63">
        <f t="shared" si="81"/>
        <v>6890.625</v>
      </c>
      <c r="BJ41" s="63">
        <f t="shared" si="82"/>
        <v>6890.625</v>
      </c>
      <c r="BK41" s="63">
        <f t="shared" si="83"/>
        <v>6890.625</v>
      </c>
      <c r="BL41" s="63">
        <f t="shared" si="84"/>
        <v>6890.625</v>
      </c>
      <c r="BM41" s="63">
        <f t="shared" si="85"/>
        <v>6890.625</v>
      </c>
      <c r="BN41" s="74">
        <f t="shared" si="86"/>
        <v>6890.625</v>
      </c>
      <c r="BO41" s="63">
        <f>BN41*(1+$C$2)</f>
        <v>7235.15625</v>
      </c>
      <c r="BP41" s="63">
        <f t="shared" si="87"/>
        <v>7235.15625</v>
      </c>
      <c r="BQ41" s="63">
        <f t="shared" si="88"/>
        <v>7235.15625</v>
      </c>
      <c r="BR41" s="63">
        <f t="shared" si="89"/>
        <v>7235.15625</v>
      </c>
      <c r="BS41" s="63">
        <f t="shared" si="90"/>
        <v>7235.15625</v>
      </c>
      <c r="BT41" s="63">
        <f t="shared" si="91"/>
        <v>7235.15625</v>
      </c>
      <c r="BU41" s="63">
        <f t="shared" si="92"/>
        <v>7235.15625</v>
      </c>
      <c r="BV41" s="63">
        <f t="shared" si="93"/>
        <v>7235.15625</v>
      </c>
      <c r="BW41" s="63">
        <f t="shared" si="94"/>
        <v>7235.15625</v>
      </c>
      <c r="BX41" s="63">
        <f t="shared" si="95"/>
        <v>7235.15625</v>
      </c>
      <c r="BY41" s="63">
        <f t="shared" si="96"/>
        <v>7235.15625</v>
      </c>
      <c r="BZ41" s="74">
        <f t="shared" si="97"/>
        <v>7235.15625</v>
      </c>
      <c r="CA41" s="63">
        <f>BZ41*(1+$C$2)</f>
        <v>7596.9140625</v>
      </c>
      <c r="CB41" s="63">
        <f t="shared" si="98"/>
        <v>7596.9140625</v>
      </c>
      <c r="CC41" s="63">
        <f t="shared" si="99"/>
        <v>7596.9140625</v>
      </c>
      <c r="CD41" s="63">
        <f t="shared" si="100"/>
        <v>7596.9140625</v>
      </c>
      <c r="CE41" s="63">
        <f t="shared" si="101"/>
        <v>7596.9140625</v>
      </c>
      <c r="CF41" s="63">
        <f t="shared" si="102"/>
        <v>7596.9140625</v>
      </c>
      <c r="CG41" s="63">
        <f t="shared" si="103"/>
        <v>7596.9140625</v>
      </c>
      <c r="CH41" s="63">
        <f t="shared" si="104"/>
        <v>7596.9140625</v>
      </c>
      <c r="CI41" s="63">
        <f t="shared" si="105"/>
        <v>7596.9140625</v>
      </c>
      <c r="CJ41" s="63">
        <f t="shared" si="106"/>
        <v>7596.9140625</v>
      </c>
      <c r="CK41" s="63">
        <f t="shared" si="107"/>
        <v>7596.9140625</v>
      </c>
      <c r="CL41" s="74">
        <f t="shared" si="108"/>
        <v>7596.9140625</v>
      </c>
    </row>
    <row r="42" spans="2:90" ht="19" x14ac:dyDescent="0.25">
      <c r="B42" s="56" t="s">
        <v>32</v>
      </c>
      <c r="C42" s="56" t="s">
        <v>31</v>
      </c>
      <c r="D42" s="60">
        <v>115000</v>
      </c>
      <c r="E42" s="22"/>
      <c r="F42" s="22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74"/>
      <c r="S42" s="7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74"/>
      <c r="AE42" s="63"/>
      <c r="AF42" s="63"/>
      <c r="AG42" s="63"/>
      <c r="AH42" s="63"/>
      <c r="AI42" s="63"/>
      <c r="AJ42" s="63">
        <f>D42/12</f>
        <v>9583.3333333333339</v>
      </c>
      <c r="AK42" s="63">
        <f t="shared" si="112"/>
        <v>9583.3333333333339</v>
      </c>
      <c r="AL42" s="63">
        <f t="shared" si="112"/>
        <v>9583.3333333333339</v>
      </c>
      <c r="AM42" s="63">
        <f t="shared" si="112"/>
        <v>9583.3333333333339</v>
      </c>
      <c r="AN42" s="63">
        <f t="shared" si="112"/>
        <v>9583.3333333333339</v>
      </c>
      <c r="AO42" s="63">
        <f t="shared" si="112"/>
        <v>9583.3333333333339</v>
      </c>
      <c r="AP42" s="74">
        <f t="shared" si="112"/>
        <v>9583.3333333333339</v>
      </c>
      <c r="AQ42" s="63">
        <f>AP42*(1+$C$2)</f>
        <v>10062.500000000002</v>
      </c>
      <c r="AR42" s="63">
        <f t="shared" si="74"/>
        <v>10062.500000000002</v>
      </c>
      <c r="AS42" s="63">
        <f t="shared" ref="AS42:BB42" si="114">AR42</f>
        <v>10062.500000000002</v>
      </c>
      <c r="AT42" s="63">
        <f t="shared" si="114"/>
        <v>10062.500000000002</v>
      </c>
      <c r="AU42" s="63">
        <f t="shared" si="114"/>
        <v>10062.500000000002</v>
      </c>
      <c r="AV42" s="63">
        <f t="shared" si="114"/>
        <v>10062.500000000002</v>
      </c>
      <c r="AW42" s="63">
        <f t="shared" si="114"/>
        <v>10062.500000000002</v>
      </c>
      <c r="AX42" s="63">
        <f t="shared" si="114"/>
        <v>10062.500000000002</v>
      </c>
      <c r="AY42" s="63">
        <f t="shared" si="114"/>
        <v>10062.500000000002</v>
      </c>
      <c r="AZ42" s="63">
        <f t="shared" si="114"/>
        <v>10062.500000000002</v>
      </c>
      <c r="BA42" s="63">
        <f t="shared" si="114"/>
        <v>10062.500000000002</v>
      </c>
      <c r="BB42" s="74">
        <f t="shared" si="114"/>
        <v>10062.500000000002</v>
      </c>
      <c r="BC42" s="63">
        <f>BB42*(1+$C$2)</f>
        <v>10565.625000000002</v>
      </c>
      <c r="BD42" s="63">
        <f t="shared" si="76"/>
        <v>10565.625000000002</v>
      </c>
      <c r="BE42" s="63">
        <f t="shared" si="77"/>
        <v>10565.625000000002</v>
      </c>
      <c r="BF42" s="63">
        <f t="shared" si="78"/>
        <v>10565.625000000002</v>
      </c>
      <c r="BG42" s="63">
        <f t="shared" si="79"/>
        <v>10565.625000000002</v>
      </c>
      <c r="BH42" s="63">
        <f t="shared" si="80"/>
        <v>10565.625000000002</v>
      </c>
      <c r="BI42" s="63">
        <f t="shared" si="81"/>
        <v>10565.625000000002</v>
      </c>
      <c r="BJ42" s="63">
        <f t="shared" si="82"/>
        <v>10565.625000000002</v>
      </c>
      <c r="BK42" s="63">
        <f t="shared" si="83"/>
        <v>10565.625000000002</v>
      </c>
      <c r="BL42" s="63">
        <f t="shared" si="84"/>
        <v>10565.625000000002</v>
      </c>
      <c r="BM42" s="63">
        <f t="shared" si="85"/>
        <v>10565.625000000002</v>
      </c>
      <c r="BN42" s="74">
        <f t="shared" si="86"/>
        <v>10565.625000000002</v>
      </c>
      <c r="BO42" s="63">
        <f>BN42*(1+$C$2)</f>
        <v>11093.906250000002</v>
      </c>
      <c r="BP42" s="63">
        <f t="shared" si="87"/>
        <v>11093.906250000002</v>
      </c>
      <c r="BQ42" s="63">
        <f t="shared" si="88"/>
        <v>11093.906250000002</v>
      </c>
      <c r="BR42" s="63">
        <f t="shared" si="89"/>
        <v>11093.906250000002</v>
      </c>
      <c r="BS42" s="63">
        <f t="shared" si="90"/>
        <v>11093.906250000002</v>
      </c>
      <c r="BT42" s="63">
        <f t="shared" si="91"/>
        <v>11093.906250000002</v>
      </c>
      <c r="BU42" s="63">
        <f t="shared" si="92"/>
        <v>11093.906250000002</v>
      </c>
      <c r="BV42" s="63">
        <f t="shared" si="93"/>
        <v>11093.906250000002</v>
      </c>
      <c r="BW42" s="63">
        <f t="shared" si="94"/>
        <v>11093.906250000002</v>
      </c>
      <c r="BX42" s="63">
        <f t="shared" si="95"/>
        <v>11093.906250000002</v>
      </c>
      <c r="BY42" s="63">
        <f t="shared" si="96"/>
        <v>11093.906250000002</v>
      </c>
      <c r="BZ42" s="74">
        <f t="shared" si="97"/>
        <v>11093.906250000002</v>
      </c>
      <c r="CA42" s="63">
        <f>BZ42*(1+$C$2)</f>
        <v>11648.601562500002</v>
      </c>
      <c r="CB42" s="63">
        <f t="shared" si="98"/>
        <v>11648.601562500002</v>
      </c>
      <c r="CC42" s="63">
        <f t="shared" si="99"/>
        <v>11648.601562500002</v>
      </c>
      <c r="CD42" s="63">
        <f t="shared" si="100"/>
        <v>11648.601562500002</v>
      </c>
      <c r="CE42" s="63">
        <f t="shared" si="101"/>
        <v>11648.601562500002</v>
      </c>
      <c r="CF42" s="63">
        <f t="shared" si="102"/>
        <v>11648.601562500002</v>
      </c>
      <c r="CG42" s="63">
        <f t="shared" si="103"/>
        <v>11648.601562500002</v>
      </c>
      <c r="CH42" s="63">
        <f t="shared" si="104"/>
        <v>11648.601562500002</v>
      </c>
      <c r="CI42" s="63">
        <f t="shared" si="105"/>
        <v>11648.601562500002</v>
      </c>
      <c r="CJ42" s="63">
        <f t="shared" si="106"/>
        <v>11648.601562500002</v>
      </c>
      <c r="CK42" s="63">
        <f t="shared" si="107"/>
        <v>11648.601562500002</v>
      </c>
      <c r="CL42" s="74">
        <f t="shared" si="108"/>
        <v>11648.601562500002</v>
      </c>
    </row>
    <row r="43" spans="2:90" ht="16" x14ac:dyDescent="0.2">
      <c r="D43" s="62"/>
      <c r="E43" s="22"/>
      <c r="F43" s="22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74"/>
      <c r="S43" s="7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74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74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74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74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74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74"/>
    </row>
    <row r="44" spans="2:90" s="72" customFormat="1" ht="20" thickBot="1" x14ac:dyDescent="0.3">
      <c r="B44" s="72" t="s">
        <v>0</v>
      </c>
      <c r="D44" s="65"/>
      <c r="E44" s="510"/>
      <c r="F44" s="510"/>
      <c r="G44" s="67">
        <f t="shared" ref="G44:BB44" si="115">SUM(G33:G42)</f>
        <v>0</v>
      </c>
      <c r="H44" s="77">
        <f t="shared" si="115"/>
        <v>0</v>
      </c>
      <c r="I44" s="77">
        <f t="shared" si="115"/>
        <v>0</v>
      </c>
      <c r="J44" s="77">
        <f t="shared" si="115"/>
        <v>0</v>
      </c>
      <c r="K44" s="77">
        <f t="shared" si="115"/>
        <v>0</v>
      </c>
      <c r="L44" s="77">
        <f t="shared" si="115"/>
        <v>0</v>
      </c>
      <c r="M44" s="77">
        <f t="shared" si="115"/>
        <v>0</v>
      </c>
      <c r="N44" s="77">
        <f t="shared" si="115"/>
        <v>0</v>
      </c>
      <c r="O44" s="77">
        <f t="shared" si="115"/>
        <v>29750</v>
      </c>
      <c r="P44" s="77">
        <f t="shared" si="115"/>
        <v>29750</v>
      </c>
      <c r="Q44" s="77">
        <f t="shared" si="115"/>
        <v>29750</v>
      </c>
      <c r="R44" s="77">
        <f t="shared" si="115"/>
        <v>29750</v>
      </c>
      <c r="S44" s="77">
        <f t="shared" si="115"/>
        <v>8050.0000000000009</v>
      </c>
      <c r="T44" s="67">
        <f t="shared" si="115"/>
        <v>8050.0000000000009</v>
      </c>
      <c r="U44" s="67">
        <f t="shared" si="115"/>
        <v>8050.0000000000009</v>
      </c>
      <c r="V44" s="67">
        <f t="shared" si="115"/>
        <v>8050.0000000000009</v>
      </c>
      <c r="W44" s="67">
        <f t="shared" si="115"/>
        <v>23362.500000000004</v>
      </c>
      <c r="X44" s="67">
        <f t="shared" si="115"/>
        <v>23362.500000000004</v>
      </c>
      <c r="Y44" s="67">
        <f t="shared" si="115"/>
        <v>24062.5</v>
      </c>
      <c r="Z44" s="67">
        <f t="shared" si="115"/>
        <v>24062.5</v>
      </c>
      <c r="AA44" s="67">
        <f t="shared" si="115"/>
        <v>24062.5</v>
      </c>
      <c r="AB44" s="67">
        <f t="shared" si="115"/>
        <v>8750</v>
      </c>
      <c r="AC44" s="67">
        <f t="shared" si="115"/>
        <v>8750</v>
      </c>
      <c r="AD44" s="78">
        <f t="shared" si="115"/>
        <v>8750</v>
      </c>
      <c r="AE44" s="67">
        <f t="shared" si="115"/>
        <v>25870.833333333336</v>
      </c>
      <c r="AF44" s="67">
        <f t="shared" si="115"/>
        <v>25870.833333333336</v>
      </c>
      <c r="AG44" s="67">
        <f t="shared" si="115"/>
        <v>16683.333333333336</v>
      </c>
      <c r="AH44" s="67">
        <f t="shared" si="115"/>
        <v>16683.333333333336</v>
      </c>
      <c r="AI44" s="67">
        <f t="shared" si="115"/>
        <v>30433.333333333336</v>
      </c>
      <c r="AJ44" s="67">
        <f t="shared" si="115"/>
        <v>40016.666666666672</v>
      </c>
      <c r="AK44" s="67">
        <f t="shared" si="115"/>
        <v>40016.666666666672</v>
      </c>
      <c r="AL44" s="67">
        <f t="shared" si="115"/>
        <v>57433.333333333343</v>
      </c>
      <c r="AM44" s="67">
        <f t="shared" si="115"/>
        <v>63683.333333333343</v>
      </c>
      <c r="AN44" s="67">
        <f t="shared" si="115"/>
        <v>63683.333333333343</v>
      </c>
      <c r="AO44" s="67">
        <f t="shared" si="115"/>
        <v>63683.333333333343</v>
      </c>
      <c r="AP44" s="78">
        <f t="shared" si="115"/>
        <v>63683.333333333343</v>
      </c>
      <c r="AQ44" s="67">
        <f t="shared" si="115"/>
        <v>74250</v>
      </c>
      <c r="AR44" s="67">
        <f t="shared" si="115"/>
        <v>74250</v>
      </c>
      <c r="AS44" s="67">
        <f t="shared" si="115"/>
        <v>83000</v>
      </c>
      <c r="AT44" s="67">
        <f t="shared" si="115"/>
        <v>83000</v>
      </c>
      <c r="AU44" s="67">
        <f t="shared" si="115"/>
        <v>83000</v>
      </c>
      <c r="AV44" s="67">
        <f t="shared" si="115"/>
        <v>83000</v>
      </c>
      <c r="AW44" s="67">
        <f t="shared" si="115"/>
        <v>83000</v>
      </c>
      <c r="AX44" s="67">
        <f t="shared" si="115"/>
        <v>83000</v>
      </c>
      <c r="AY44" s="67">
        <f t="shared" si="115"/>
        <v>83000</v>
      </c>
      <c r="AZ44" s="67">
        <f t="shared" si="115"/>
        <v>83000</v>
      </c>
      <c r="BA44" s="67">
        <f t="shared" si="115"/>
        <v>83000</v>
      </c>
      <c r="BB44" s="78">
        <f t="shared" si="115"/>
        <v>83000</v>
      </c>
      <c r="BC44" s="67">
        <f t="shared" ref="BC44:BN44" si="116">SUM(BC33:BC42)</f>
        <v>85423.75</v>
      </c>
      <c r="BD44" s="67">
        <f t="shared" si="116"/>
        <v>85423.75</v>
      </c>
      <c r="BE44" s="67">
        <f t="shared" si="116"/>
        <v>85423.75</v>
      </c>
      <c r="BF44" s="67">
        <f t="shared" si="116"/>
        <v>85423.75</v>
      </c>
      <c r="BG44" s="67">
        <f t="shared" si="116"/>
        <v>85423.75</v>
      </c>
      <c r="BH44" s="67">
        <f t="shared" si="116"/>
        <v>85423.75</v>
      </c>
      <c r="BI44" s="67">
        <f t="shared" si="116"/>
        <v>85423.75</v>
      </c>
      <c r="BJ44" s="67">
        <f t="shared" si="116"/>
        <v>85423.75</v>
      </c>
      <c r="BK44" s="67">
        <f t="shared" si="116"/>
        <v>85423.75</v>
      </c>
      <c r="BL44" s="67">
        <f t="shared" si="116"/>
        <v>85423.75</v>
      </c>
      <c r="BM44" s="67">
        <f t="shared" si="116"/>
        <v>85423.75</v>
      </c>
      <c r="BN44" s="78">
        <f t="shared" si="116"/>
        <v>85423.75</v>
      </c>
      <c r="BO44" s="67">
        <f t="shared" ref="BO44:BZ44" si="117">SUM(BO33:BO42)</f>
        <v>87968.6875</v>
      </c>
      <c r="BP44" s="67">
        <f t="shared" si="117"/>
        <v>87968.6875</v>
      </c>
      <c r="BQ44" s="67">
        <f t="shared" si="117"/>
        <v>87968.6875</v>
      </c>
      <c r="BR44" s="67">
        <f t="shared" si="117"/>
        <v>87968.6875</v>
      </c>
      <c r="BS44" s="67">
        <f t="shared" si="117"/>
        <v>87968.6875</v>
      </c>
      <c r="BT44" s="67">
        <f t="shared" si="117"/>
        <v>87968.6875</v>
      </c>
      <c r="BU44" s="67">
        <f t="shared" si="117"/>
        <v>87968.6875</v>
      </c>
      <c r="BV44" s="67">
        <f t="shared" si="117"/>
        <v>87968.6875</v>
      </c>
      <c r="BW44" s="67">
        <f t="shared" si="117"/>
        <v>87968.6875</v>
      </c>
      <c r="BX44" s="67">
        <f t="shared" si="117"/>
        <v>87968.6875</v>
      </c>
      <c r="BY44" s="67">
        <f t="shared" si="117"/>
        <v>87968.6875</v>
      </c>
      <c r="BZ44" s="78">
        <f t="shared" si="117"/>
        <v>87968.6875</v>
      </c>
      <c r="CA44" s="67">
        <f t="shared" ref="CA44:CL44" si="118">SUM(CA33:CA42)</f>
        <v>90640.871875000012</v>
      </c>
      <c r="CB44" s="67">
        <f t="shared" si="118"/>
        <v>90640.871875000012</v>
      </c>
      <c r="CC44" s="67">
        <f t="shared" si="118"/>
        <v>90640.871875000012</v>
      </c>
      <c r="CD44" s="67">
        <f t="shared" si="118"/>
        <v>90640.871875000012</v>
      </c>
      <c r="CE44" s="67">
        <f t="shared" si="118"/>
        <v>90640.871875000012</v>
      </c>
      <c r="CF44" s="67">
        <f t="shared" si="118"/>
        <v>90640.871875000012</v>
      </c>
      <c r="CG44" s="67">
        <f t="shared" si="118"/>
        <v>90640.871875000012</v>
      </c>
      <c r="CH44" s="67">
        <f t="shared" si="118"/>
        <v>90640.871875000012</v>
      </c>
      <c r="CI44" s="67">
        <f t="shared" si="118"/>
        <v>90640.871875000012</v>
      </c>
      <c r="CJ44" s="67">
        <f t="shared" si="118"/>
        <v>90640.871875000012</v>
      </c>
      <c r="CK44" s="67">
        <f t="shared" si="118"/>
        <v>90640.871875000012</v>
      </c>
      <c r="CL44" s="78">
        <f t="shared" si="118"/>
        <v>90640.871875000012</v>
      </c>
    </row>
    <row r="45" spans="2:90" ht="16" x14ac:dyDescent="0.2">
      <c r="D45" s="62"/>
      <c r="E45" s="22"/>
      <c r="F45" s="22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74"/>
      <c r="S45" s="7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74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74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74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74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74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74"/>
    </row>
    <row r="46" spans="2:90" ht="24" x14ac:dyDescent="0.3">
      <c r="B46" s="61" t="s">
        <v>30</v>
      </c>
      <c r="D46" s="62"/>
      <c r="E46" s="22"/>
      <c r="F46" s="22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74"/>
      <c r="S46" s="7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74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74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74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74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74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74"/>
    </row>
    <row r="47" spans="2:90" ht="19" x14ac:dyDescent="0.25">
      <c r="B47" s="56" t="s">
        <v>62</v>
      </c>
      <c r="C47" s="298"/>
      <c r="D47" s="60">
        <v>250000</v>
      </c>
      <c r="E47" s="22"/>
      <c r="F47" s="22"/>
      <c r="G47" s="63"/>
      <c r="H47" s="63"/>
      <c r="I47" s="63"/>
      <c r="J47" s="63"/>
      <c r="K47" s="63"/>
      <c r="L47" s="63"/>
      <c r="M47" s="63"/>
      <c r="N47" s="63"/>
      <c r="O47" s="63">
        <v>0</v>
      </c>
      <c r="P47" s="63">
        <v>0</v>
      </c>
      <c r="Q47" s="63">
        <v>0</v>
      </c>
      <c r="R47" s="74">
        <v>0</v>
      </c>
      <c r="S47" s="7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>
        <f t="shared" ref="AE47:AP52" si="119">($D47/12)*(1+$C$2+$C$2)</f>
        <v>22916.666666666668</v>
      </c>
      <c r="AK47" s="63">
        <f t="shared" si="119"/>
        <v>22916.666666666668</v>
      </c>
      <c r="AL47" s="63">
        <f t="shared" si="119"/>
        <v>22916.666666666668</v>
      </c>
      <c r="AM47" s="63">
        <f t="shared" si="119"/>
        <v>22916.666666666668</v>
      </c>
      <c r="AN47" s="63">
        <f t="shared" si="119"/>
        <v>22916.666666666668</v>
      </c>
      <c r="AO47" s="63">
        <f t="shared" si="119"/>
        <v>22916.666666666668</v>
      </c>
      <c r="AP47" s="74">
        <f t="shared" si="119"/>
        <v>22916.666666666668</v>
      </c>
      <c r="AQ47" s="63">
        <f t="shared" ref="AQ47:BF52" si="120">($D47/12)*(1+$C$2+$C$2+$C$2)</f>
        <v>23958.333333333336</v>
      </c>
      <c r="AR47" s="63">
        <f t="shared" si="120"/>
        <v>23958.333333333336</v>
      </c>
      <c r="AS47" s="63">
        <f t="shared" si="120"/>
        <v>23958.333333333336</v>
      </c>
      <c r="AT47" s="63">
        <f t="shared" si="120"/>
        <v>23958.333333333336</v>
      </c>
      <c r="AU47" s="63">
        <f t="shared" si="120"/>
        <v>23958.333333333336</v>
      </c>
      <c r="AV47" s="63">
        <f t="shared" si="120"/>
        <v>23958.333333333336</v>
      </c>
      <c r="AW47" s="63">
        <f t="shared" si="120"/>
        <v>23958.333333333336</v>
      </c>
      <c r="AX47" s="63">
        <f t="shared" si="120"/>
        <v>23958.333333333336</v>
      </c>
      <c r="AY47" s="63">
        <f t="shared" si="120"/>
        <v>23958.333333333336</v>
      </c>
      <c r="AZ47" s="63">
        <f t="shared" si="120"/>
        <v>23958.333333333336</v>
      </c>
      <c r="BA47" s="63">
        <f t="shared" si="120"/>
        <v>23958.333333333336</v>
      </c>
      <c r="BB47" s="74">
        <f t="shared" si="120"/>
        <v>23958.333333333336</v>
      </c>
      <c r="BC47" s="63">
        <f t="shared" ref="BC47:BR52" si="121">($D47/12)*(1+$C$2+$C$2+$C$2)</f>
        <v>23958.333333333336</v>
      </c>
      <c r="BD47" s="63">
        <f t="shared" si="121"/>
        <v>23958.333333333336</v>
      </c>
      <c r="BE47" s="63">
        <f t="shared" si="121"/>
        <v>23958.333333333336</v>
      </c>
      <c r="BF47" s="63">
        <f t="shared" si="121"/>
        <v>23958.333333333336</v>
      </c>
      <c r="BG47" s="63">
        <f t="shared" si="121"/>
        <v>23958.333333333336</v>
      </c>
      <c r="BH47" s="63">
        <f t="shared" si="121"/>
        <v>23958.333333333336</v>
      </c>
      <c r="BI47" s="63">
        <f t="shared" si="121"/>
        <v>23958.333333333336</v>
      </c>
      <c r="BJ47" s="63">
        <f t="shared" si="121"/>
        <v>23958.333333333336</v>
      </c>
      <c r="BK47" s="63">
        <f t="shared" si="121"/>
        <v>23958.333333333336</v>
      </c>
      <c r="BL47" s="63">
        <f t="shared" si="121"/>
        <v>23958.333333333336</v>
      </c>
      <c r="BM47" s="63">
        <f t="shared" si="121"/>
        <v>23958.333333333336</v>
      </c>
      <c r="BN47" s="74">
        <f t="shared" si="121"/>
        <v>23958.333333333336</v>
      </c>
      <c r="BO47" s="63">
        <f t="shared" si="121"/>
        <v>23958.333333333336</v>
      </c>
      <c r="BP47" s="63">
        <f t="shared" si="121"/>
        <v>23958.333333333336</v>
      </c>
      <c r="BQ47" s="63">
        <f t="shared" si="121"/>
        <v>23958.333333333336</v>
      </c>
      <c r="BR47" s="63">
        <f t="shared" si="121"/>
        <v>23958.333333333336</v>
      </c>
      <c r="BS47" s="63">
        <f t="shared" ref="BO47:CE52" si="122">($D47/12)*(1+$C$2+$C$2+$C$2)</f>
        <v>23958.333333333336</v>
      </c>
      <c r="BT47" s="63">
        <f t="shared" si="122"/>
        <v>23958.333333333336</v>
      </c>
      <c r="BU47" s="63">
        <f t="shared" si="122"/>
        <v>23958.333333333336</v>
      </c>
      <c r="BV47" s="63">
        <f t="shared" si="122"/>
        <v>23958.333333333336</v>
      </c>
      <c r="BW47" s="63">
        <f t="shared" si="122"/>
        <v>23958.333333333336</v>
      </c>
      <c r="BX47" s="63">
        <f t="shared" si="122"/>
        <v>23958.333333333336</v>
      </c>
      <c r="BY47" s="63">
        <f t="shared" si="122"/>
        <v>23958.333333333336</v>
      </c>
      <c r="BZ47" s="74">
        <f t="shared" si="122"/>
        <v>23958.333333333336</v>
      </c>
      <c r="CA47" s="63">
        <f t="shared" si="122"/>
        <v>23958.333333333336</v>
      </c>
      <c r="CB47" s="63">
        <f t="shared" si="122"/>
        <v>23958.333333333336</v>
      </c>
      <c r="CC47" s="63">
        <f t="shared" si="122"/>
        <v>23958.333333333336</v>
      </c>
      <c r="CD47" s="63">
        <f t="shared" si="122"/>
        <v>23958.333333333336</v>
      </c>
      <c r="CE47" s="63">
        <f t="shared" si="122"/>
        <v>23958.333333333336</v>
      </c>
      <c r="CF47" s="63">
        <f t="shared" ref="CA47:CL52" si="123">($D47/12)*(1+$C$2+$C$2+$C$2)</f>
        <v>23958.333333333336</v>
      </c>
      <c r="CG47" s="63">
        <f t="shared" si="123"/>
        <v>23958.333333333336</v>
      </c>
      <c r="CH47" s="63">
        <f t="shared" si="123"/>
        <v>23958.333333333336</v>
      </c>
      <c r="CI47" s="63">
        <f t="shared" si="123"/>
        <v>23958.333333333336</v>
      </c>
      <c r="CJ47" s="63">
        <f t="shared" si="123"/>
        <v>23958.333333333336</v>
      </c>
      <c r="CK47" s="63">
        <f t="shared" si="123"/>
        <v>23958.333333333336</v>
      </c>
      <c r="CL47" s="74">
        <f t="shared" si="123"/>
        <v>23958.333333333336</v>
      </c>
    </row>
    <row r="48" spans="2:90" ht="19" x14ac:dyDescent="0.25">
      <c r="B48" s="56" t="s">
        <v>230</v>
      </c>
      <c r="C48" s="298" t="s">
        <v>31</v>
      </c>
      <c r="D48" s="632">
        <v>100000</v>
      </c>
      <c r="E48" s="753"/>
      <c r="F48" s="753"/>
      <c r="G48" s="754"/>
      <c r="H48" s="754"/>
      <c r="I48" s="754"/>
      <c r="J48" s="754"/>
      <c r="K48" s="754"/>
      <c r="L48" s="754"/>
      <c r="M48" s="754"/>
      <c r="N48" s="754"/>
      <c r="O48" s="754"/>
      <c r="P48" s="754"/>
      <c r="Q48" s="754"/>
      <c r="R48" s="754"/>
      <c r="S48" s="754"/>
      <c r="T48" s="754"/>
      <c r="U48" s="754"/>
      <c r="V48" s="754"/>
      <c r="W48" s="754"/>
      <c r="X48" s="754"/>
      <c r="Y48" s="754"/>
      <c r="Z48" s="755"/>
      <c r="AA48" s="755"/>
      <c r="AB48" s="755"/>
      <c r="AC48" s="755"/>
      <c r="AD48" s="756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74"/>
      <c r="AQ48" s="63">
        <f>AP48*(1+C3)</f>
        <v>0</v>
      </c>
      <c r="AR48" s="63">
        <f>AQ48</f>
        <v>0</v>
      </c>
      <c r="AS48" s="63">
        <f t="shared" ref="AS48" si="124">AR48</f>
        <v>0</v>
      </c>
      <c r="AT48" s="63">
        <f t="shared" ref="AT48" si="125">AS48</f>
        <v>0</v>
      </c>
      <c r="AU48" s="63">
        <f t="shared" ref="AU48" si="126">AT48</f>
        <v>0</v>
      </c>
      <c r="AV48" s="63">
        <f t="shared" ref="AV48" si="127">AU48</f>
        <v>0</v>
      </c>
      <c r="AW48" s="63">
        <f t="shared" ref="AW48" si="128">AV48</f>
        <v>0</v>
      </c>
      <c r="AX48" s="63">
        <f t="shared" ref="AX48" si="129">AW48</f>
        <v>0</v>
      </c>
      <c r="AY48" s="63">
        <f t="shared" ref="AY48" si="130">AX48</f>
        <v>0</v>
      </c>
      <c r="AZ48" s="63">
        <f t="shared" ref="AZ48" si="131">AY48</f>
        <v>0</v>
      </c>
      <c r="BA48" s="63">
        <f t="shared" ref="BA48" si="132">AZ48</f>
        <v>0</v>
      </c>
      <c r="BB48" s="74">
        <f t="shared" ref="BB48" si="133">BA48</f>
        <v>0</v>
      </c>
      <c r="BC48" s="63">
        <f>BB48*(1+O3)</f>
        <v>0</v>
      </c>
      <c r="BD48" s="63">
        <f>BC48</f>
        <v>0</v>
      </c>
      <c r="BE48" s="63">
        <f t="shared" ref="BE48" si="134">BD48</f>
        <v>0</v>
      </c>
      <c r="BF48" s="63">
        <f t="shared" ref="BF48" si="135">BE48</f>
        <v>0</v>
      </c>
      <c r="BG48" s="63">
        <f t="shared" ref="BG48" si="136">BF48</f>
        <v>0</v>
      </c>
      <c r="BH48" s="63">
        <f t="shared" ref="BH48" si="137">BG48</f>
        <v>0</v>
      </c>
      <c r="BI48" s="63">
        <f t="shared" ref="BI48" si="138">BH48</f>
        <v>0</v>
      </c>
      <c r="BJ48" s="63">
        <f t="shared" ref="BJ48" si="139">BI48</f>
        <v>0</v>
      </c>
      <c r="BK48" s="63">
        <f t="shared" ref="BK48" si="140">BJ48</f>
        <v>0</v>
      </c>
      <c r="BL48" s="63">
        <f t="shared" ref="BL48" si="141">BK48</f>
        <v>0</v>
      </c>
      <c r="BM48" s="63">
        <f t="shared" ref="BM48" si="142">BL48</f>
        <v>0</v>
      </c>
      <c r="BN48" s="74">
        <f t="shared" ref="BN48" si="143">BM48</f>
        <v>0</v>
      </c>
      <c r="BO48" s="63">
        <f>BN48*(1+AA3)</f>
        <v>0</v>
      </c>
      <c r="BP48" s="63">
        <f>BO48</f>
        <v>0</v>
      </c>
      <c r="BQ48" s="63">
        <f t="shared" ref="BQ48" si="144">BP48</f>
        <v>0</v>
      </c>
      <c r="BR48" s="63">
        <f t="shared" ref="BR48" si="145">BQ48</f>
        <v>0</v>
      </c>
      <c r="BS48" s="63">
        <f t="shared" ref="BS48" si="146">BR48</f>
        <v>0</v>
      </c>
      <c r="BT48" s="63">
        <f t="shared" ref="BT48" si="147">BS48</f>
        <v>0</v>
      </c>
      <c r="BU48" s="63">
        <f t="shared" ref="BU48" si="148">BT48</f>
        <v>0</v>
      </c>
      <c r="BV48" s="63">
        <f t="shared" ref="BV48" si="149">BU48</f>
        <v>0</v>
      </c>
      <c r="BW48" s="63">
        <f t="shared" ref="BW48" si="150">BV48</f>
        <v>0</v>
      </c>
      <c r="BX48" s="63">
        <f t="shared" ref="BX48" si="151">BW48</f>
        <v>0</v>
      </c>
      <c r="BY48" s="63">
        <f t="shared" ref="BY48" si="152">BX48</f>
        <v>0</v>
      </c>
      <c r="BZ48" s="74">
        <f t="shared" ref="BZ48" si="153">BY48</f>
        <v>0</v>
      </c>
      <c r="CA48" s="63">
        <f>BZ48*(1+AM3)</f>
        <v>0</v>
      </c>
      <c r="CB48" s="63">
        <f>CA48</f>
        <v>0</v>
      </c>
      <c r="CC48" s="63">
        <f t="shared" ref="CC48" si="154">CB48</f>
        <v>0</v>
      </c>
      <c r="CD48" s="63">
        <f t="shared" ref="CD48" si="155">CC48</f>
        <v>0</v>
      </c>
      <c r="CE48" s="63">
        <f t="shared" ref="CE48" si="156">CD48</f>
        <v>0</v>
      </c>
      <c r="CF48" s="63">
        <f t="shared" ref="CF48" si="157">CE48</f>
        <v>0</v>
      </c>
      <c r="CG48" s="63">
        <f t="shared" ref="CG48" si="158">CF48</f>
        <v>0</v>
      </c>
      <c r="CH48" s="63">
        <f t="shared" ref="CH48" si="159">CG48</f>
        <v>0</v>
      </c>
      <c r="CI48" s="63">
        <f t="shared" ref="CI48" si="160">CH48</f>
        <v>0</v>
      </c>
      <c r="CJ48" s="63">
        <f t="shared" ref="CJ48" si="161">CI48</f>
        <v>0</v>
      </c>
      <c r="CK48" s="63">
        <f t="shared" ref="CK48" si="162">CJ48</f>
        <v>0</v>
      </c>
      <c r="CL48" s="74">
        <f t="shared" ref="CL48" si="163">CK48</f>
        <v>0</v>
      </c>
    </row>
    <row r="49" spans="1:90" ht="19" x14ac:dyDescent="0.25">
      <c r="B49" s="56" t="s">
        <v>33</v>
      </c>
      <c r="C49" s="56" t="s">
        <v>358</v>
      </c>
      <c r="D49" s="757">
        <v>100000</v>
      </c>
      <c r="E49" s="758"/>
      <c r="F49" s="758"/>
      <c r="G49" s="755"/>
      <c r="H49" s="755"/>
      <c r="I49" s="755"/>
      <c r="J49" s="755"/>
      <c r="K49" s="755"/>
      <c r="L49" s="755"/>
      <c r="M49" s="755"/>
      <c r="N49" s="755"/>
      <c r="O49" s="755"/>
      <c r="P49" s="755"/>
      <c r="Q49" s="755"/>
      <c r="R49" s="756"/>
      <c r="S49" s="759"/>
      <c r="T49" s="755"/>
      <c r="U49" s="755"/>
      <c r="V49" s="755"/>
      <c r="W49" s="755"/>
      <c r="X49" s="755"/>
      <c r="Y49" s="755"/>
      <c r="Z49" s="755"/>
      <c r="AA49" s="755">
        <f t="shared" ref="W48:AD51" si="164">($D49/12)*(1+$C$2)</f>
        <v>8750.0000000000018</v>
      </c>
      <c r="AB49" s="755">
        <f t="shared" si="164"/>
        <v>8750.0000000000018</v>
      </c>
      <c r="AC49" s="755">
        <f t="shared" si="164"/>
        <v>8750.0000000000018</v>
      </c>
      <c r="AD49" s="756">
        <f t="shared" si="164"/>
        <v>8750.0000000000018</v>
      </c>
      <c r="AE49" s="63">
        <f t="shared" si="119"/>
        <v>9166.6666666666679</v>
      </c>
      <c r="AF49" s="63">
        <f t="shared" si="119"/>
        <v>9166.6666666666679</v>
      </c>
      <c r="AG49" s="63">
        <f t="shared" si="119"/>
        <v>9166.6666666666679</v>
      </c>
      <c r="AH49" s="63">
        <f t="shared" si="119"/>
        <v>9166.6666666666679</v>
      </c>
      <c r="AI49" s="63">
        <f t="shared" si="119"/>
        <v>9166.6666666666679</v>
      </c>
      <c r="AJ49" s="63">
        <f t="shared" si="119"/>
        <v>9166.6666666666679</v>
      </c>
      <c r="AK49" s="63">
        <f t="shared" si="119"/>
        <v>9166.6666666666679</v>
      </c>
      <c r="AL49" s="63">
        <f t="shared" si="119"/>
        <v>9166.6666666666679</v>
      </c>
      <c r="AM49" s="63">
        <f t="shared" si="119"/>
        <v>9166.6666666666679</v>
      </c>
      <c r="AN49" s="63">
        <f t="shared" si="119"/>
        <v>9166.6666666666679</v>
      </c>
      <c r="AO49" s="63">
        <f t="shared" si="119"/>
        <v>9166.6666666666679</v>
      </c>
      <c r="AP49" s="74">
        <f t="shared" si="119"/>
        <v>9166.6666666666679</v>
      </c>
      <c r="AQ49" s="63">
        <f t="shared" si="120"/>
        <v>9583.3333333333358</v>
      </c>
      <c r="AR49" s="63">
        <f t="shared" si="120"/>
        <v>9583.3333333333358</v>
      </c>
      <c r="AS49" s="63">
        <f t="shared" si="120"/>
        <v>9583.3333333333358</v>
      </c>
      <c r="AT49" s="63">
        <f t="shared" si="120"/>
        <v>9583.3333333333358</v>
      </c>
      <c r="AU49" s="63">
        <f t="shared" si="120"/>
        <v>9583.3333333333358</v>
      </c>
      <c r="AV49" s="63">
        <f t="shared" si="120"/>
        <v>9583.3333333333358</v>
      </c>
      <c r="AW49" s="63">
        <f t="shared" si="120"/>
        <v>9583.3333333333358</v>
      </c>
      <c r="AX49" s="63">
        <f t="shared" si="120"/>
        <v>9583.3333333333358</v>
      </c>
      <c r="AY49" s="63">
        <f t="shared" si="120"/>
        <v>9583.3333333333358</v>
      </c>
      <c r="AZ49" s="63">
        <f t="shared" si="120"/>
        <v>9583.3333333333358</v>
      </c>
      <c r="BA49" s="63">
        <f t="shared" si="120"/>
        <v>9583.3333333333358</v>
      </c>
      <c r="BB49" s="74">
        <f t="shared" si="120"/>
        <v>9583.3333333333358</v>
      </c>
      <c r="BC49" s="63">
        <f t="shared" si="120"/>
        <v>9583.3333333333358</v>
      </c>
      <c r="BD49" s="63">
        <f t="shared" si="120"/>
        <v>9583.3333333333358</v>
      </c>
      <c r="BE49" s="63">
        <f t="shared" si="120"/>
        <v>9583.3333333333358</v>
      </c>
      <c r="BF49" s="63">
        <f t="shared" si="120"/>
        <v>9583.3333333333358</v>
      </c>
      <c r="BG49" s="63">
        <f t="shared" si="121"/>
        <v>9583.3333333333358</v>
      </c>
      <c r="BH49" s="63">
        <f t="shared" si="121"/>
        <v>9583.3333333333358</v>
      </c>
      <c r="BI49" s="63">
        <f t="shared" si="121"/>
        <v>9583.3333333333358</v>
      </c>
      <c r="BJ49" s="63">
        <f t="shared" si="121"/>
        <v>9583.3333333333358</v>
      </c>
      <c r="BK49" s="63">
        <f t="shared" si="121"/>
        <v>9583.3333333333358</v>
      </c>
      <c r="BL49" s="63">
        <f t="shared" si="121"/>
        <v>9583.3333333333358</v>
      </c>
      <c r="BM49" s="63">
        <f t="shared" si="121"/>
        <v>9583.3333333333358</v>
      </c>
      <c r="BN49" s="74">
        <f t="shared" si="121"/>
        <v>9583.3333333333358</v>
      </c>
      <c r="BO49" s="63">
        <f t="shared" si="121"/>
        <v>9583.3333333333358</v>
      </c>
      <c r="BP49" s="63">
        <f t="shared" si="121"/>
        <v>9583.3333333333358</v>
      </c>
      <c r="BQ49" s="63">
        <f t="shared" si="121"/>
        <v>9583.3333333333358</v>
      </c>
      <c r="BR49" s="63">
        <f t="shared" si="121"/>
        <v>9583.3333333333358</v>
      </c>
      <c r="BS49" s="63">
        <f t="shared" si="122"/>
        <v>9583.3333333333358</v>
      </c>
      <c r="BT49" s="63">
        <f t="shared" si="122"/>
        <v>9583.3333333333358</v>
      </c>
      <c r="BU49" s="63">
        <f t="shared" si="122"/>
        <v>9583.3333333333358</v>
      </c>
      <c r="BV49" s="63">
        <f t="shared" si="122"/>
        <v>9583.3333333333358</v>
      </c>
      <c r="BW49" s="63">
        <f t="shared" si="122"/>
        <v>9583.3333333333358</v>
      </c>
      <c r="BX49" s="63">
        <f t="shared" si="122"/>
        <v>9583.3333333333358</v>
      </c>
      <c r="BY49" s="63">
        <f t="shared" si="122"/>
        <v>9583.3333333333358</v>
      </c>
      <c r="BZ49" s="74">
        <f t="shared" si="122"/>
        <v>9583.3333333333358</v>
      </c>
      <c r="CA49" s="63">
        <f t="shared" si="122"/>
        <v>9583.3333333333358</v>
      </c>
      <c r="CB49" s="63">
        <f t="shared" si="122"/>
        <v>9583.3333333333358</v>
      </c>
      <c r="CC49" s="63">
        <f t="shared" si="122"/>
        <v>9583.3333333333358</v>
      </c>
      <c r="CD49" s="63">
        <f t="shared" si="122"/>
        <v>9583.3333333333358</v>
      </c>
      <c r="CE49" s="63">
        <f t="shared" si="123"/>
        <v>9583.3333333333358</v>
      </c>
      <c r="CF49" s="63">
        <f t="shared" si="123"/>
        <v>9583.3333333333358</v>
      </c>
      <c r="CG49" s="63">
        <f t="shared" si="123"/>
        <v>9583.3333333333358</v>
      </c>
      <c r="CH49" s="63">
        <f t="shared" si="123"/>
        <v>9583.3333333333358</v>
      </c>
      <c r="CI49" s="63">
        <f t="shared" si="123"/>
        <v>9583.3333333333358</v>
      </c>
      <c r="CJ49" s="63">
        <f t="shared" si="123"/>
        <v>9583.3333333333358</v>
      </c>
      <c r="CK49" s="63">
        <f t="shared" si="123"/>
        <v>9583.3333333333358</v>
      </c>
      <c r="CL49" s="74">
        <f t="shared" si="123"/>
        <v>9583.3333333333358</v>
      </c>
    </row>
    <row r="50" spans="1:90" ht="19" x14ac:dyDescent="0.25">
      <c r="B50" s="56" t="s">
        <v>63</v>
      </c>
      <c r="C50" s="56" t="s">
        <v>31</v>
      </c>
      <c r="D50" s="60">
        <v>100000</v>
      </c>
      <c r="E50" s="22"/>
      <c r="F50" s="22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74"/>
      <c r="S50" s="7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74"/>
      <c r="AE50" s="63"/>
      <c r="AF50" s="63"/>
      <c r="AG50" s="63"/>
      <c r="AH50" s="63"/>
      <c r="AI50" s="63"/>
      <c r="AJ50" s="63"/>
      <c r="AK50" s="63"/>
      <c r="AL50" s="63">
        <f t="shared" si="119"/>
        <v>9166.6666666666679</v>
      </c>
      <c r="AM50" s="63">
        <f t="shared" si="119"/>
        <v>9166.6666666666679</v>
      </c>
      <c r="AN50" s="63">
        <f t="shared" si="119"/>
        <v>9166.6666666666679</v>
      </c>
      <c r="AO50" s="63">
        <f t="shared" si="119"/>
        <v>9166.6666666666679</v>
      </c>
      <c r="AP50" s="74">
        <f t="shared" si="119"/>
        <v>9166.6666666666679</v>
      </c>
      <c r="AQ50" s="63">
        <f t="shared" si="120"/>
        <v>9583.3333333333358</v>
      </c>
      <c r="AR50" s="63">
        <f t="shared" si="120"/>
        <v>9583.3333333333358</v>
      </c>
      <c r="AS50" s="63">
        <f t="shared" si="120"/>
        <v>9583.3333333333358</v>
      </c>
      <c r="AT50" s="63">
        <f t="shared" si="120"/>
        <v>9583.3333333333358</v>
      </c>
      <c r="AU50" s="63">
        <f t="shared" si="120"/>
        <v>9583.3333333333358</v>
      </c>
      <c r="AV50" s="63">
        <f t="shared" si="120"/>
        <v>9583.3333333333358</v>
      </c>
      <c r="AW50" s="63">
        <f t="shared" si="120"/>
        <v>9583.3333333333358</v>
      </c>
      <c r="AX50" s="63">
        <f t="shared" si="120"/>
        <v>9583.3333333333358</v>
      </c>
      <c r="AY50" s="63">
        <f t="shared" si="120"/>
        <v>9583.3333333333358</v>
      </c>
      <c r="AZ50" s="63">
        <f t="shared" si="120"/>
        <v>9583.3333333333358</v>
      </c>
      <c r="BA50" s="63">
        <f t="shared" si="120"/>
        <v>9583.3333333333358</v>
      </c>
      <c r="BB50" s="74">
        <f t="shared" si="120"/>
        <v>9583.3333333333358</v>
      </c>
      <c r="BC50" s="63">
        <f t="shared" si="121"/>
        <v>9583.3333333333358</v>
      </c>
      <c r="BD50" s="63">
        <f t="shared" si="121"/>
        <v>9583.3333333333358</v>
      </c>
      <c r="BE50" s="63">
        <f t="shared" si="121"/>
        <v>9583.3333333333358</v>
      </c>
      <c r="BF50" s="63">
        <f t="shared" si="121"/>
        <v>9583.3333333333358</v>
      </c>
      <c r="BG50" s="63">
        <f t="shared" si="121"/>
        <v>9583.3333333333358</v>
      </c>
      <c r="BH50" s="63">
        <f t="shared" si="121"/>
        <v>9583.3333333333358</v>
      </c>
      <c r="BI50" s="63">
        <f t="shared" si="121"/>
        <v>9583.3333333333358</v>
      </c>
      <c r="BJ50" s="63">
        <f t="shared" si="121"/>
        <v>9583.3333333333358</v>
      </c>
      <c r="BK50" s="63">
        <f t="shared" si="121"/>
        <v>9583.3333333333358</v>
      </c>
      <c r="BL50" s="63">
        <f t="shared" si="121"/>
        <v>9583.3333333333358</v>
      </c>
      <c r="BM50" s="63">
        <f t="shared" si="121"/>
        <v>9583.3333333333358</v>
      </c>
      <c r="BN50" s="74">
        <f t="shared" si="121"/>
        <v>9583.3333333333358</v>
      </c>
      <c r="BO50" s="63">
        <f t="shared" si="122"/>
        <v>9583.3333333333358</v>
      </c>
      <c r="BP50" s="63">
        <f t="shared" si="122"/>
        <v>9583.3333333333358</v>
      </c>
      <c r="BQ50" s="63">
        <f t="shared" si="122"/>
        <v>9583.3333333333358</v>
      </c>
      <c r="BR50" s="63">
        <f t="shared" si="122"/>
        <v>9583.3333333333358</v>
      </c>
      <c r="BS50" s="63">
        <f t="shared" si="122"/>
        <v>9583.3333333333358</v>
      </c>
      <c r="BT50" s="63">
        <f t="shared" si="122"/>
        <v>9583.3333333333358</v>
      </c>
      <c r="BU50" s="63">
        <f t="shared" si="122"/>
        <v>9583.3333333333358</v>
      </c>
      <c r="BV50" s="63">
        <f t="shared" si="122"/>
        <v>9583.3333333333358</v>
      </c>
      <c r="BW50" s="63">
        <f t="shared" si="122"/>
        <v>9583.3333333333358</v>
      </c>
      <c r="BX50" s="63">
        <f t="shared" si="122"/>
        <v>9583.3333333333358</v>
      </c>
      <c r="BY50" s="63">
        <f t="shared" si="122"/>
        <v>9583.3333333333358</v>
      </c>
      <c r="BZ50" s="74">
        <f t="shared" si="122"/>
        <v>9583.3333333333358</v>
      </c>
      <c r="CA50" s="63">
        <f t="shared" si="123"/>
        <v>9583.3333333333358</v>
      </c>
      <c r="CB50" s="63">
        <f t="shared" si="123"/>
        <v>9583.3333333333358</v>
      </c>
      <c r="CC50" s="63">
        <f t="shared" si="123"/>
        <v>9583.3333333333358</v>
      </c>
      <c r="CD50" s="63">
        <f t="shared" si="123"/>
        <v>9583.3333333333358</v>
      </c>
      <c r="CE50" s="63">
        <f t="shared" si="123"/>
        <v>9583.3333333333358</v>
      </c>
      <c r="CF50" s="63">
        <f t="shared" si="123"/>
        <v>9583.3333333333358</v>
      </c>
      <c r="CG50" s="63">
        <f t="shared" si="123"/>
        <v>9583.3333333333358</v>
      </c>
      <c r="CH50" s="63">
        <f t="shared" si="123"/>
        <v>9583.3333333333358</v>
      </c>
      <c r="CI50" s="63">
        <f t="shared" si="123"/>
        <v>9583.3333333333358</v>
      </c>
      <c r="CJ50" s="63">
        <f t="shared" si="123"/>
        <v>9583.3333333333358</v>
      </c>
      <c r="CK50" s="63">
        <f t="shared" si="123"/>
        <v>9583.3333333333358</v>
      </c>
      <c r="CL50" s="74">
        <f t="shared" si="123"/>
        <v>9583.3333333333358</v>
      </c>
    </row>
    <row r="51" spans="1:90" ht="19" x14ac:dyDescent="0.25">
      <c r="B51" s="56" t="s">
        <v>70</v>
      </c>
      <c r="C51" s="56" t="s">
        <v>119</v>
      </c>
      <c r="D51" s="60">
        <v>150000</v>
      </c>
      <c r="E51" s="22"/>
      <c r="F51" s="22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74"/>
      <c r="S51" s="73"/>
      <c r="T51" s="63"/>
      <c r="U51" s="63"/>
      <c r="V51" s="63">
        <v>0</v>
      </c>
      <c r="W51" s="63">
        <f t="shared" si="164"/>
        <v>13125</v>
      </c>
      <c r="X51" s="63">
        <f t="shared" si="164"/>
        <v>13125</v>
      </c>
      <c r="Y51" s="63">
        <f t="shared" si="164"/>
        <v>13125</v>
      </c>
      <c r="Z51" s="63">
        <f t="shared" si="164"/>
        <v>13125</v>
      </c>
      <c r="AA51" s="63">
        <f t="shared" si="164"/>
        <v>13125</v>
      </c>
      <c r="AB51" s="63">
        <f t="shared" si="164"/>
        <v>13125</v>
      </c>
      <c r="AC51" s="63">
        <f t="shared" si="164"/>
        <v>13125</v>
      </c>
      <c r="AD51" s="74">
        <f t="shared" si="164"/>
        <v>13125</v>
      </c>
      <c r="AE51" s="63">
        <f t="shared" si="119"/>
        <v>13750.000000000002</v>
      </c>
      <c r="AF51" s="63">
        <f t="shared" si="119"/>
        <v>13750.000000000002</v>
      </c>
      <c r="AG51" s="63">
        <f t="shared" si="119"/>
        <v>13750.000000000002</v>
      </c>
      <c r="AH51" s="63">
        <f t="shared" si="119"/>
        <v>13750.000000000002</v>
      </c>
      <c r="AI51" s="63">
        <f t="shared" si="119"/>
        <v>13750.000000000002</v>
      </c>
      <c r="AJ51" s="63">
        <f t="shared" si="119"/>
        <v>13750.000000000002</v>
      </c>
      <c r="AK51" s="63">
        <f t="shared" si="119"/>
        <v>13750.000000000002</v>
      </c>
      <c r="AL51" s="63">
        <f t="shared" si="119"/>
        <v>13750.000000000002</v>
      </c>
      <c r="AM51" s="63">
        <f t="shared" si="119"/>
        <v>13750.000000000002</v>
      </c>
      <c r="AN51" s="63">
        <f t="shared" si="119"/>
        <v>13750.000000000002</v>
      </c>
      <c r="AO51" s="63">
        <f t="shared" si="119"/>
        <v>13750.000000000002</v>
      </c>
      <c r="AP51" s="74">
        <f t="shared" si="119"/>
        <v>13750.000000000002</v>
      </c>
      <c r="AQ51" s="63">
        <f t="shared" si="120"/>
        <v>14375.000000000002</v>
      </c>
      <c r="AR51" s="63">
        <f t="shared" si="120"/>
        <v>14375.000000000002</v>
      </c>
      <c r="AS51" s="63">
        <f t="shared" si="120"/>
        <v>14375.000000000002</v>
      </c>
      <c r="AT51" s="63">
        <f t="shared" si="120"/>
        <v>14375.000000000002</v>
      </c>
      <c r="AU51" s="63">
        <f t="shared" si="120"/>
        <v>14375.000000000002</v>
      </c>
      <c r="AV51" s="63">
        <f t="shared" si="120"/>
        <v>14375.000000000002</v>
      </c>
      <c r="AW51" s="63">
        <f t="shared" si="120"/>
        <v>14375.000000000002</v>
      </c>
      <c r="AX51" s="63">
        <f t="shared" si="120"/>
        <v>14375.000000000002</v>
      </c>
      <c r="AY51" s="63">
        <f t="shared" si="120"/>
        <v>14375.000000000002</v>
      </c>
      <c r="AZ51" s="63">
        <f t="shared" si="120"/>
        <v>14375.000000000002</v>
      </c>
      <c r="BA51" s="63">
        <f t="shared" si="120"/>
        <v>14375.000000000002</v>
      </c>
      <c r="BB51" s="74">
        <f t="shared" si="120"/>
        <v>14375.000000000002</v>
      </c>
      <c r="BC51" s="63">
        <f t="shared" si="121"/>
        <v>14375.000000000002</v>
      </c>
      <c r="BD51" s="63">
        <f t="shared" si="121"/>
        <v>14375.000000000002</v>
      </c>
      <c r="BE51" s="63">
        <f t="shared" si="121"/>
        <v>14375.000000000002</v>
      </c>
      <c r="BF51" s="63">
        <f t="shared" si="121"/>
        <v>14375.000000000002</v>
      </c>
      <c r="BG51" s="63">
        <f t="shared" si="121"/>
        <v>14375.000000000002</v>
      </c>
      <c r="BH51" s="63">
        <f t="shared" si="121"/>
        <v>14375.000000000002</v>
      </c>
      <c r="BI51" s="63">
        <f t="shared" si="121"/>
        <v>14375.000000000002</v>
      </c>
      <c r="BJ51" s="63">
        <f t="shared" si="121"/>
        <v>14375.000000000002</v>
      </c>
      <c r="BK51" s="63">
        <f t="shared" si="121"/>
        <v>14375.000000000002</v>
      </c>
      <c r="BL51" s="63">
        <f t="shared" si="121"/>
        <v>14375.000000000002</v>
      </c>
      <c r="BM51" s="63">
        <f t="shared" si="121"/>
        <v>14375.000000000002</v>
      </c>
      <c r="BN51" s="74">
        <f t="shared" si="121"/>
        <v>14375.000000000002</v>
      </c>
      <c r="BO51" s="63">
        <f t="shared" si="122"/>
        <v>14375.000000000002</v>
      </c>
      <c r="BP51" s="63">
        <f t="shared" si="122"/>
        <v>14375.000000000002</v>
      </c>
      <c r="BQ51" s="63">
        <f t="shared" si="122"/>
        <v>14375.000000000002</v>
      </c>
      <c r="BR51" s="63">
        <f t="shared" si="122"/>
        <v>14375.000000000002</v>
      </c>
      <c r="BS51" s="63">
        <f t="shared" si="122"/>
        <v>14375.000000000002</v>
      </c>
      <c r="BT51" s="63">
        <f t="shared" si="122"/>
        <v>14375.000000000002</v>
      </c>
      <c r="BU51" s="63">
        <f t="shared" si="122"/>
        <v>14375.000000000002</v>
      </c>
      <c r="BV51" s="63">
        <f t="shared" si="122"/>
        <v>14375.000000000002</v>
      </c>
      <c r="BW51" s="63">
        <f t="shared" si="122"/>
        <v>14375.000000000002</v>
      </c>
      <c r="BX51" s="63">
        <f t="shared" si="122"/>
        <v>14375.000000000002</v>
      </c>
      <c r="BY51" s="63">
        <f t="shared" si="122"/>
        <v>14375.000000000002</v>
      </c>
      <c r="BZ51" s="74">
        <f t="shared" si="122"/>
        <v>14375.000000000002</v>
      </c>
      <c r="CA51" s="63">
        <f t="shared" si="123"/>
        <v>14375.000000000002</v>
      </c>
      <c r="CB51" s="63">
        <f t="shared" si="123"/>
        <v>14375.000000000002</v>
      </c>
      <c r="CC51" s="63">
        <f t="shared" si="123"/>
        <v>14375.000000000002</v>
      </c>
      <c r="CD51" s="63">
        <f t="shared" si="123"/>
        <v>14375.000000000002</v>
      </c>
      <c r="CE51" s="63">
        <f t="shared" si="123"/>
        <v>14375.000000000002</v>
      </c>
      <c r="CF51" s="63">
        <f t="shared" si="123"/>
        <v>14375.000000000002</v>
      </c>
      <c r="CG51" s="63">
        <f t="shared" si="123"/>
        <v>14375.000000000002</v>
      </c>
      <c r="CH51" s="63">
        <f t="shared" si="123"/>
        <v>14375.000000000002</v>
      </c>
      <c r="CI51" s="63">
        <f t="shared" si="123"/>
        <v>14375.000000000002</v>
      </c>
      <c r="CJ51" s="63">
        <f t="shared" si="123"/>
        <v>14375.000000000002</v>
      </c>
      <c r="CK51" s="63">
        <f t="shared" si="123"/>
        <v>14375.000000000002</v>
      </c>
      <c r="CL51" s="74">
        <f t="shared" si="123"/>
        <v>14375.000000000002</v>
      </c>
    </row>
    <row r="52" spans="1:90" ht="19" x14ac:dyDescent="0.25">
      <c r="B52" s="56" t="s">
        <v>64</v>
      </c>
      <c r="C52" s="56" t="s">
        <v>31</v>
      </c>
      <c r="D52" s="60">
        <v>125000</v>
      </c>
      <c r="E52" s="22"/>
      <c r="F52" s="22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74"/>
      <c r="S52" s="7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74"/>
      <c r="AE52" s="63"/>
      <c r="AF52" s="63"/>
      <c r="AG52" s="63"/>
      <c r="AH52" s="63"/>
      <c r="AI52" s="63"/>
      <c r="AJ52" s="63"/>
      <c r="AK52" s="63"/>
      <c r="AL52" s="63"/>
      <c r="AM52" s="63">
        <f t="shared" si="119"/>
        <v>11458.333333333334</v>
      </c>
      <c r="AN52" s="63">
        <f t="shared" si="119"/>
        <v>11458.333333333334</v>
      </c>
      <c r="AO52" s="63">
        <f t="shared" si="119"/>
        <v>11458.333333333334</v>
      </c>
      <c r="AP52" s="74">
        <f t="shared" si="119"/>
        <v>11458.333333333334</v>
      </c>
      <c r="AQ52" s="63">
        <f t="shared" si="120"/>
        <v>11979.166666666668</v>
      </c>
      <c r="AR52" s="63">
        <f t="shared" si="120"/>
        <v>11979.166666666668</v>
      </c>
      <c r="AS52" s="63">
        <f t="shared" si="120"/>
        <v>11979.166666666668</v>
      </c>
      <c r="AT52" s="63">
        <f t="shared" si="120"/>
        <v>11979.166666666668</v>
      </c>
      <c r="AU52" s="63">
        <f t="shared" si="120"/>
        <v>11979.166666666668</v>
      </c>
      <c r="AV52" s="63">
        <f t="shared" si="120"/>
        <v>11979.166666666668</v>
      </c>
      <c r="AW52" s="63">
        <f t="shared" si="120"/>
        <v>11979.166666666668</v>
      </c>
      <c r="AX52" s="63">
        <f t="shared" si="120"/>
        <v>11979.166666666668</v>
      </c>
      <c r="AY52" s="63">
        <f t="shared" si="120"/>
        <v>11979.166666666668</v>
      </c>
      <c r="AZ52" s="63">
        <f t="shared" si="120"/>
        <v>11979.166666666668</v>
      </c>
      <c r="BA52" s="63">
        <f t="shared" si="120"/>
        <v>11979.166666666668</v>
      </c>
      <c r="BB52" s="74">
        <f t="shared" si="120"/>
        <v>11979.166666666668</v>
      </c>
      <c r="BC52" s="63">
        <f t="shared" si="121"/>
        <v>11979.166666666668</v>
      </c>
      <c r="BD52" s="63">
        <f t="shared" si="121"/>
        <v>11979.166666666668</v>
      </c>
      <c r="BE52" s="63">
        <f t="shared" si="121"/>
        <v>11979.166666666668</v>
      </c>
      <c r="BF52" s="63">
        <f t="shared" si="121"/>
        <v>11979.166666666668</v>
      </c>
      <c r="BG52" s="63">
        <f t="shared" si="121"/>
        <v>11979.166666666668</v>
      </c>
      <c r="BH52" s="63">
        <f t="shared" si="121"/>
        <v>11979.166666666668</v>
      </c>
      <c r="BI52" s="63">
        <f t="shared" si="121"/>
        <v>11979.166666666668</v>
      </c>
      <c r="BJ52" s="63">
        <f t="shared" si="121"/>
        <v>11979.166666666668</v>
      </c>
      <c r="BK52" s="63">
        <f t="shared" si="121"/>
        <v>11979.166666666668</v>
      </c>
      <c r="BL52" s="63">
        <f t="shared" si="121"/>
        <v>11979.166666666668</v>
      </c>
      <c r="BM52" s="63">
        <f t="shared" si="121"/>
        <v>11979.166666666668</v>
      </c>
      <c r="BN52" s="74">
        <f t="shared" si="121"/>
        <v>11979.166666666668</v>
      </c>
      <c r="BO52" s="63">
        <f t="shared" si="122"/>
        <v>11979.166666666668</v>
      </c>
      <c r="BP52" s="63">
        <f t="shared" si="122"/>
        <v>11979.166666666668</v>
      </c>
      <c r="BQ52" s="63">
        <f t="shared" si="122"/>
        <v>11979.166666666668</v>
      </c>
      <c r="BR52" s="63">
        <f t="shared" si="122"/>
        <v>11979.166666666668</v>
      </c>
      <c r="BS52" s="63">
        <f t="shared" si="122"/>
        <v>11979.166666666668</v>
      </c>
      <c r="BT52" s="63">
        <f t="shared" si="122"/>
        <v>11979.166666666668</v>
      </c>
      <c r="BU52" s="63">
        <f t="shared" si="122"/>
        <v>11979.166666666668</v>
      </c>
      <c r="BV52" s="63">
        <f t="shared" si="122"/>
        <v>11979.166666666668</v>
      </c>
      <c r="BW52" s="63">
        <f t="shared" si="122"/>
        <v>11979.166666666668</v>
      </c>
      <c r="BX52" s="63">
        <f t="shared" si="122"/>
        <v>11979.166666666668</v>
      </c>
      <c r="BY52" s="63">
        <f t="shared" si="122"/>
        <v>11979.166666666668</v>
      </c>
      <c r="BZ52" s="74">
        <f t="shared" si="122"/>
        <v>11979.166666666668</v>
      </c>
      <c r="CA52" s="63">
        <f t="shared" si="123"/>
        <v>11979.166666666668</v>
      </c>
      <c r="CB52" s="63">
        <f t="shared" si="123"/>
        <v>11979.166666666668</v>
      </c>
      <c r="CC52" s="63">
        <f t="shared" si="123"/>
        <v>11979.166666666668</v>
      </c>
      <c r="CD52" s="63">
        <f t="shared" si="123"/>
        <v>11979.166666666668</v>
      </c>
      <c r="CE52" s="63">
        <f t="shared" si="123"/>
        <v>11979.166666666668</v>
      </c>
      <c r="CF52" s="63">
        <f t="shared" si="123"/>
        <v>11979.166666666668</v>
      </c>
      <c r="CG52" s="63">
        <f t="shared" si="123"/>
        <v>11979.166666666668</v>
      </c>
      <c r="CH52" s="63">
        <f t="shared" si="123"/>
        <v>11979.166666666668</v>
      </c>
      <c r="CI52" s="63">
        <f t="shared" si="123"/>
        <v>11979.166666666668</v>
      </c>
      <c r="CJ52" s="63">
        <f t="shared" si="123"/>
        <v>11979.166666666668</v>
      </c>
      <c r="CK52" s="63">
        <f t="shared" si="123"/>
        <v>11979.166666666668</v>
      </c>
      <c r="CL52" s="74">
        <f t="shared" si="123"/>
        <v>11979.166666666668</v>
      </c>
    </row>
    <row r="53" spans="1:90" ht="19" x14ac:dyDescent="0.25">
      <c r="B53" s="56" t="s">
        <v>197</v>
      </c>
      <c r="C53" s="56" t="s">
        <v>31</v>
      </c>
      <c r="D53" s="60">
        <f>4.33*40*35</f>
        <v>6062</v>
      </c>
      <c r="E53" s="22" t="s">
        <v>198</v>
      </c>
      <c r="F53" s="22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74"/>
      <c r="S53" s="73"/>
      <c r="T53" s="63"/>
      <c r="U53" s="63"/>
      <c r="V53" s="63"/>
      <c r="W53" s="63">
        <f>D53</f>
        <v>6062</v>
      </c>
      <c r="X53" s="63">
        <f>W53</f>
        <v>6062</v>
      </c>
      <c r="Y53" s="63">
        <f>X53</f>
        <v>6062</v>
      </c>
      <c r="Z53" s="63">
        <f>Y53</f>
        <v>6062</v>
      </c>
      <c r="AA53" s="63"/>
      <c r="AB53" s="63"/>
      <c r="AC53" s="63"/>
      <c r="AD53" s="74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74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74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74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74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3"/>
      <c r="CL53" s="74"/>
    </row>
    <row r="54" spans="1:90" ht="19" x14ac:dyDescent="0.25">
      <c r="B54" s="56" t="s">
        <v>34</v>
      </c>
      <c r="C54" s="56" t="s">
        <v>31</v>
      </c>
      <c r="D54" s="60">
        <v>75000</v>
      </c>
      <c r="E54" s="22"/>
      <c r="F54" s="22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74"/>
      <c r="S54" s="7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74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>
        <f>D54/12</f>
        <v>6250</v>
      </c>
      <c r="AP54" s="74">
        <f t="shared" ref="AJ54:AP54" si="165">AO54</f>
        <v>6250</v>
      </c>
      <c r="AQ54" s="63">
        <f>AP54*(1+C2)</f>
        <v>6562.5</v>
      </c>
      <c r="AR54" s="63">
        <f>AQ54</f>
        <v>6562.5</v>
      </c>
      <c r="AS54" s="63">
        <f t="shared" ref="AS54:BB54" si="166">AR54</f>
        <v>6562.5</v>
      </c>
      <c r="AT54" s="63">
        <f t="shared" si="166"/>
        <v>6562.5</v>
      </c>
      <c r="AU54" s="63">
        <f t="shared" si="166"/>
        <v>6562.5</v>
      </c>
      <c r="AV54" s="63">
        <f t="shared" si="166"/>
        <v>6562.5</v>
      </c>
      <c r="AW54" s="63">
        <f t="shared" si="166"/>
        <v>6562.5</v>
      </c>
      <c r="AX54" s="63">
        <f t="shared" si="166"/>
        <v>6562.5</v>
      </c>
      <c r="AY54" s="63">
        <f t="shared" si="166"/>
        <v>6562.5</v>
      </c>
      <c r="AZ54" s="63">
        <f t="shared" si="166"/>
        <v>6562.5</v>
      </c>
      <c r="BA54" s="63">
        <f t="shared" si="166"/>
        <v>6562.5</v>
      </c>
      <c r="BB54" s="74">
        <f t="shared" si="166"/>
        <v>6562.5</v>
      </c>
      <c r="BC54" s="63">
        <f>BB54*(1+O2)</f>
        <v>6562.5</v>
      </c>
      <c r="BD54" s="63">
        <f>BC54</f>
        <v>6562.5</v>
      </c>
      <c r="BE54" s="63">
        <f t="shared" ref="BE54" si="167">BD54</f>
        <v>6562.5</v>
      </c>
      <c r="BF54" s="63">
        <f t="shared" ref="BF54" si="168">BE54</f>
        <v>6562.5</v>
      </c>
      <c r="BG54" s="63">
        <f t="shared" ref="BG54" si="169">BF54</f>
        <v>6562.5</v>
      </c>
      <c r="BH54" s="63">
        <f t="shared" ref="BH54" si="170">BG54</f>
        <v>6562.5</v>
      </c>
      <c r="BI54" s="63">
        <f t="shared" ref="BI54" si="171">BH54</f>
        <v>6562.5</v>
      </c>
      <c r="BJ54" s="63">
        <f t="shared" ref="BJ54" si="172">BI54</f>
        <v>6562.5</v>
      </c>
      <c r="BK54" s="63">
        <f t="shared" ref="BK54" si="173">BJ54</f>
        <v>6562.5</v>
      </c>
      <c r="BL54" s="63">
        <f t="shared" ref="BL54" si="174">BK54</f>
        <v>6562.5</v>
      </c>
      <c r="BM54" s="63">
        <f t="shared" ref="BM54" si="175">BL54</f>
        <v>6562.5</v>
      </c>
      <c r="BN54" s="74">
        <f t="shared" ref="BN54" si="176">BM54</f>
        <v>6562.5</v>
      </c>
      <c r="BO54" s="63">
        <f>BN54*(1+AA2)</f>
        <v>6562.5</v>
      </c>
      <c r="BP54" s="63">
        <f>BO54</f>
        <v>6562.5</v>
      </c>
      <c r="BQ54" s="63">
        <f t="shared" ref="BQ54" si="177">BP54</f>
        <v>6562.5</v>
      </c>
      <c r="BR54" s="63">
        <f t="shared" ref="BR54" si="178">BQ54</f>
        <v>6562.5</v>
      </c>
      <c r="BS54" s="63">
        <f t="shared" ref="BS54" si="179">BR54</f>
        <v>6562.5</v>
      </c>
      <c r="BT54" s="63">
        <f t="shared" ref="BT54" si="180">BS54</f>
        <v>6562.5</v>
      </c>
      <c r="BU54" s="63">
        <f t="shared" ref="BU54" si="181">BT54</f>
        <v>6562.5</v>
      </c>
      <c r="BV54" s="63">
        <f t="shared" ref="BV54" si="182">BU54</f>
        <v>6562.5</v>
      </c>
      <c r="BW54" s="63">
        <f t="shared" ref="BW54" si="183">BV54</f>
        <v>6562.5</v>
      </c>
      <c r="BX54" s="63">
        <f t="shared" ref="BX54" si="184">BW54</f>
        <v>6562.5</v>
      </c>
      <c r="BY54" s="63">
        <f t="shared" ref="BY54" si="185">BX54</f>
        <v>6562.5</v>
      </c>
      <c r="BZ54" s="74">
        <f t="shared" ref="BZ54" si="186">BY54</f>
        <v>6562.5</v>
      </c>
      <c r="CA54" s="63">
        <f>BZ54*(1+AM2)</f>
        <v>6562.5</v>
      </c>
      <c r="CB54" s="63">
        <f>CA54</f>
        <v>6562.5</v>
      </c>
      <c r="CC54" s="63">
        <f t="shared" ref="CC54" si="187">CB54</f>
        <v>6562.5</v>
      </c>
      <c r="CD54" s="63">
        <f t="shared" ref="CD54" si="188">CC54</f>
        <v>6562.5</v>
      </c>
      <c r="CE54" s="63">
        <f t="shared" ref="CE54" si="189">CD54</f>
        <v>6562.5</v>
      </c>
      <c r="CF54" s="63">
        <f t="shared" ref="CF54" si="190">CE54</f>
        <v>6562.5</v>
      </c>
      <c r="CG54" s="63">
        <f t="shared" ref="CG54" si="191">CF54</f>
        <v>6562.5</v>
      </c>
      <c r="CH54" s="63">
        <f t="shared" ref="CH54" si="192">CG54</f>
        <v>6562.5</v>
      </c>
      <c r="CI54" s="63">
        <f t="shared" ref="CI54" si="193">CH54</f>
        <v>6562.5</v>
      </c>
      <c r="CJ54" s="63">
        <f t="shared" ref="CJ54" si="194">CI54</f>
        <v>6562.5</v>
      </c>
      <c r="CK54" s="63">
        <f t="shared" ref="CK54" si="195">CJ54</f>
        <v>6562.5</v>
      </c>
      <c r="CL54" s="74">
        <f t="shared" ref="CL54" si="196">CK54</f>
        <v>6562.5</v>
      </c>
    </row>
    <row r="55" spans="1:90" ht="19" x14ac:dyDescent="0.25">
      <c r="B55" s="56"/>
      <c r="C55" s="56"/>
      <c r="D55" s="60"/>
      <c r="E55" s="22"/>
      <c r="F55" s="22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74"/>
      <c r="S55" s="7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74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74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74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74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74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74"/>
    </row>
    <row r="56" spans="1:90" ht="16" x14ac:dyDescent="0.2">
      <c r="E56" s="22"/>
      <c r="F56" s="22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7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74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74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74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74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74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74"/>
    </row>
    <row r="57" spans="1:90" s="72" customFormat="1" ht="20" thickBot="1" x14ac:dyDescent="0.3">
      <c r="B57" s="72" t="s">
        <v>0</v>
      </c>
      <c r="D57" s="65"/>
      <c r="E57" s="510"/>
      <c r="F57" s="510"/>
      <c r="G57" s="67">
        <f t="shared" ref="G57:BB57" si="197">SUM(G47:G54)</f>
        <v>0</v>
      </c>
      <c r="H57" s="67">
        <f t="shared" si="197"/>
        <v>0</v>
      </c>
      <c r="I57" s="67">
        <f t="shared" si="197"/>
        <v>0</v>
      </c>
      <c r="J57" s="67">
        <f t="shared" si="197"/>
        <v>0</v>
      </c>
      <c r="K57" s="67">
        <f t="shared" si="197"/>
        <v>0</v>
      </c>
      <c r="L57" s="67">
        <f t="shared" si="197"/>
        <v>0</v>
      </c>
      <c r="M57" s="67">
        <f t="shared" si="197"/>
        <v>0</v>
      </c>
      <c r="N57" s="67">
        <f t="shared" si="197"/>
        <v>0</v>
      </c>
      <c r="O57" s="67">
        <f t="shared" si="197"/>
        <v>0</v>
      </c>
      <c r="P57" s="67">
        <f t="shared" si="197"/>
        <v>0</v>
      </c>
      <c r="Q57" s="67">
        <f t="shared" si="197"/>
        <v>0</v>
      </c>
      <c r="R57" s="78">
        <f t="shared" si="197"/>
        <v>0</v>
      </c>
      <c r="S57" s="77">
        <f t="shared" si="197"/>
        <v>0</v>
      </c>
      <c r="T57" s="67">
        <f t="shared" si="197"/>
        <v>0</v>
      </c>
      <c r="U57" s="67">
        <f t="shared" si="197"/>
        <v>0</v>
      </c>
      <c r="V57" s="67">
        <f t="shared" si="197"/>
        <v>0</v>
      </c>
      <c r="W57" s="67">
        <f t="shared" si="197"/>
        <v>19187</v>
      </c>
      <c r="X57" s="67">
        <f t="shared" si="197"/>
        <v>19187</v>
      </c>
      <c r="Y57" s="67">
        <f t="shared" si="197"/>
        <v>19187</v>
      </c>
      <c r="Z57" s="67">
        <f t="shared" si="197"/>
        <v>19187</v>
      </c>
      <c r="AA57" s="67">
        <f t="shared" si="197"/>
        <v>21875</v>
      </c>
      <c r="AB57" s="67">
        <f t="shared" si="197"/>
        <v>21875</v>
      </c>
      <c r="AC57" s="67">
        <f t="shared" si="197"/>
        <v>21875</v>
      </c>
      <c r="AD57" s="78">
        <f t="shared" si="197"/>
        <v>21875</v>
      </c>
      <c r="AE57" s="67">
        <f t="shared" si="197"/>
        <v>22916.666666666672</v>
      </c>
      <c r="AF57" s="67">
        <f t="shared" si="197"/>
        <v>22916.666666666672</v>
      </c>
      <c r="AG57" s="67">
        <f t="shared" si="197"/>
        <v>22916.666666666672</v>
      </c>
      <c r="AH57" s="67">
        <f t="shared" si="197"/>
        <v>22916.666666666672</v>
      </c>
      <c r="AI57" s="67">
        <f t="shared" si="197"/>
        <v>22916.666666666672</v>
      </c>
      <c r="AJ57" s="67">
        <f t="shared" si="197"/>
        <v>45833.333333333336</v>
      </c>
      <c r="AK57" s="67">
        <f t="shared" si="197"/>
        <v>45833.333333333336</v>
      </c>
      <c r="AL57" s="67">
        <f t="shared" si="197"/>
        <v>55000</v>
      </c>
      <c r="AM57" s="67">
        <f t="shared" si="197"/>
        <v>66458.333333333328</v>
      </c>
      <c r="AN57" s="67">
        <f t="shared" si="197"/>
        <v>66458.333333333328</v>
      </c>
      <c r="AO57" s="67">
        <f t="shared" si="197"/>
        <v>72708.333333333328</v>
      </c>
      <c r="AP57" s="78">
        <f t="shared" si="197"/>
        <v>72708.333333333328</v>
      </c>
      <c r="AQ57" s="67">
        <f t="shared" si="197"/>
        <v>76041.666666666672</v>
      </c>
      <c r="AR57" s="67">
        <f t="shared" si="197"/>
        <v>76041.666666666672</v>
      </c>
      <c r="AS57" s="67">
        <f t="shared" si="197"/>
        <v>76041.666666666672</v>
      </c>
      <c r="AT57" s="67">
        <f t="shared" si="197"/>
        <v>76041.666666666672</v>
      </c>
      <c r="AU57" s="67">
        <f t="shared" si="197"/>
        <v>76041.666666666672</v>
      </c>
      <c r="AV57" s="67">
        <f t="shared" si="197"/>
        <v>76041.666666666672</v>
      </c>
      <c r="AW57" s="67">
        <f t="shared" si="197"/>
        <v>76041.666666666672</v>
      </c>
      <c r="AX57" s="67">
        <f t="shared" si="197"/>
        <v>76041.666666666672</v>
      </c>
      <c r="AY57" s="67">
        <f t="shared" si="197"/>
        <v>76041.666666666672</v>
      </c>
      <c r="AZ57" s="67">
        <f t="shared" si="197"/>
        <v>76041.666666666672</v>
      </c>
      <c r="BA57" s="67">
        <f t="shared" si="197"/>
        <v>76041.666666666672</v>
      </c>
      <c r="BB57" s="78">
        <f t="shared" si="197"/>
        <v>76041.666666666672</v>
      </c>
      <c r="BC57" s="67">
        <f t="shared" ref="BC57:BN57" si="198">SUM(BC47:BC54)</f>
        <v>76041.666666666672</v>
      </c>
      <c r="BD57" s="67">
        <f t="shared" si="198"/>
        <v>76041.666666666672</v>
      </c>
      <c r="BE57" s="67">
        <f t="shared" si="198"/>
        <v>76041.666666666672</v>
      </c>
      <c r="BF57" s="67">
        <f t="shared" si="198"/>
        <v>76041.666666666672</v>
      </c>
      <c r="BG57" s="67">
        <f t="shared" si="198"/>
        <v>76041.666666666672</v>
      </c>
      <c r="BH57" s="67">
        <f t="shared" si="198"/>
        <v>76041.666666666672</v>
      </c>
      <c r="BI57" s="67">
        <f t="shared" si="198"/>
        <v>76041.666666666672</v>
      </c>
      <c r="BJ57" s="67">
        <f t="shared" si="198"/>
        <v>76041.666666666672</v>
      </c>
      <c r="BK57" s="67">
        <f t="shared" si="198"/>
        <v>76041.666666666672</v>
      </c>
      <c r="BL57" s="67">
        <f t="shared" si="198"/>
        <v>76041.666666666672</v>
      </c>
      <c r="BM57" s="67">
        <f t="shared" si="198"/>
        <v>76041.666666666672</v>
      </c>
      <c r="BN57" s="78">
        <f t="shared" si="198"/>
        <v>76041.666666666672</v>
      </c>
      <c r="BO57" s="67">
        <f t="shared" ref="BO57:BZ57" si="199">SUM(BO47:BO54)</f>
        <v>76041.666666666672</v>
      </c>
      <c r="BP57" s="67">
        <f t="shared" si="199"/>
        <v>76041.666666666672</v>
      </c>
      <c r="BQ57" s="67">
        <f t="shared" si="199"/>
        <v>76041.666666666672</v>
      </c>
      <c r="BR57" s="67">
        <f t="shared" si="199"/>
        <v>76041.666666666672</v>
      </c>
      <c r="BS57" s="67">
        <f t="shared" si="199"/>
        <v>76041.666666666672</v>
      </c>
      <c r="BT57" s="67">
        <f t="shared" si="199"/>
        <v>76041.666666666672</v>
      </c>
      <c r="BU57" s="67">
        <f t="shared" si="199"/>
        <v>76041.666666666672</v>
      </c>
      <c r="BV57" s="67">
        <f t="shared" si="199"/>
        <v>76041.666666666672</v>
      </c>
      <c r="BW57" s="67">
        <f t="shared" si="199"/>
        <v>76041.666666666672</v>
      </c>
      <c r="BX57" s="67">
        <f t="shared" si="199"/>
        <v>76041.666666666672</v>
      </c>
      <c r="BY57" s="67">
        <f t="shared" si="199"/>
        <v>76041.666666666672</v>
      </c>
      <c r="BZ57" s="78">
        <f t="shared" si="199"/>
        <v>76041.666666666672</v>
      </c>
      <c r="CA57" s="67">
        <f t="shared" ref="CA57:CL57" si="200">SUM(CA47:CA54)</f>
        <v>76041.666666666672</v>
      </c>
      <c r="CB57" s="67">
        <f t="shared" si="200"/>
        <v>76041.666666666672</v>
      </c>
      <c r="CC57" s="67">
        <f t="shared" si="200"/>
        <v>76041.666666666672</v>
      </c>
      <c r="CD57" s="67">
        <f t="shared" si="200"/>
        <v>76041.666666666672</v>
      </c>
      <c r="CE57" s="67">
        <f t="shared" si="200"/>
        <v>76041.666666666672</v>
      </c>
      <c r="CF57" s="67">
        <f t="shared" si="200"/>
        <v>76041.666666666672</v>
      </c>
      <c r="CG57" s="67">
        <f t="shared" si="200"/>
        <v>76041.666666666672</v>
      </c>
      <c r="CH57" s="67">
        <f t="shared" si="200"/>
        <v>76041.666666666672</v>
      </c>
      <c r="CI57" s="67">
        <f t="shared" si="200"/>
        <v>76041.666666666672</v>
      </c>
      <c r="CJ57" s="67">
        <f t="shared" si="200"/>
        <v>76041.666666666672</v>
      </c>
      <c r="CK57" s="67">
        <f t="shared" si="200"/>
        <v>76041.666666666672</v>
      </c>
      <c r="CL57" s="78">
        <f t="shared" si="200"/>
        <v>76041.666666666672</v>
      </c>
    </row>
    <row r="60" spans="1:90" x14ac:dyDescent="0.2">
      <c r="B60" s="52" t="s">
        <v>41</v>
      </c>
    </row>
    <row r="61" spans="1:90" ht="19" x14ac:dyDescent="0.25">
      <c r="B61" s="56"/>
      <c r="C61" s="56"/>
      <c r="D61" s="56"/>
      <c r="E61" s="517"/>
      <c r="F61" s="511"/>
      <c r="G61" s="57"/>
      <c r="H61" s="57"/>
      <c r="I61" s="58"/>
    </row>
    <row r="62" spans="1:90" ht="19" x14ac:dyDescent="0.25">
      <c r="A62" s="257"/>
      <c r="B62" s="258"/>
      <c r="C62" s="258"/>
      <c r="D62" s="258"/>
      <c r="E62" s="518"/>
      <c r="F62" s="512"/>
      <c r="G62" s="259"/>
      <c r="H62" s="259"/>
      <c r="I62" s="259"/>
      <c r="J62" s="257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57"/>
      <c r="X62" s="257"/>
      <c r="Y62" s="257"/>
      <c r="Z62" s="257"/>
      <c r="AA62" s="257"/>
      <c r="AB62" s="257"/>
      <c r="AC62" s="257"/>
      <c r="AD62" s="523"/>
      <c r="AE62" s="257"/>
      <c r="AF62" s="257"/>
      <c r="AG62" s="257"/>
      <c r="AH62" s="257"/>
      <c r="AI62" s="257"/>
      <c r="AJ62" s="257"/>
      <c r="AK62" s="257"/>
      <c r="AL62" s="257"/>
      <c r="AM62" s="257"/>
      <c r="AN62" s="257"/>
      <c r="AO62" s="257"/>
      <c r="AP62" s="523"/>
      <c r="AQ62" s="257"/>
      <c r="AR62" s="257"/>
      <c r="AS62" s="257"/>
      <c r="AT62" s="257"/>
      <c r="AU62" s="257"/>
      <c r="AV62" s="257"/>
      <c r="AW62" s="257"/>
      <c r="AX62" s="257"/>
      <c r="AY62" s="257"/>
      <c r="AZ62" s="257"/>
      <c r="BA62" s="257"/>
      <c r="BB62" s="523"/>
      <c r="BC62" s="257"/>
      <c r="BD62" s="257"/>
      <c r="BE62" s="257"/>
      <c r="BF62" s="257"/>
      <c r="BG62" s="257"/>
      <c r="BH62" s="257"/>
      <c r="BI62" s="257"/>
      <c r="BJ62" s="257"/>
      <c r="BK62" s="257"/>
      <c r="BL62" s="257"/>
      <c r="BM62" s="257"/>
      <c r="BN62" s="523"/>
      <c r="BO62" s="257"/>
      <c r="BP62" s="257"/>
      <c r="BQ62" s="257"/>
      <c r="BR62" s="257"/>
      <c r="BS62" s="257"/>
      <c r="BT62" s="257"/>
      <c r="BU62" s="257"/>
      <c r="BV62" s="257"/>
      <c r="BW62" s="257"/>
      <c r="BX62" s="257"/>
      <c r="BY62" s="257"/>
      <c r="BZ62" s="523"/>
      <c r="CA62" s="257"/>
      <c r="CB62" s="257"/>
      <c r="CC62" s="257"/>
      <c r="CD62" s="257"/>
      <c r="CE62" s="257"/>
      <c r="CF62" s="257"/>
      <c r="CG62" s="257"/>
      <c r="CH62" s="257"/>
      <c r="CI62" s="257"/>
      <c r="CJ62" s="257"/>
      <c r="CK62" s="257"/>
      <c r="CL62" s="523"/>
    </row>
    <row r="64" spans="1:90" ht="20" x14ac:dyDescent="0.25">
      <c r="A64" s="260" t="s">
        <v>24</v>
      </c>
      <c r="C64" s="56"/>
      <c r="D64" s="60"/>
      <c r="E64" s="516"/>
      <c r="F64" s="22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74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74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74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74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74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74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74"/>
    </row>
    <row r="65" spans="1:90" ht="20" x14ac:dyDescent="0.25">
      <c r="A65" s="260"/>
      <c r="B65" s="261"/>
      <c r="C65" s="56"/>
      <c r="D65" s="60"/>
      <c r="E65" s="519"/>
      <c r="F65" s="513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2"/>
      <c r="R65" s="74"/>
      <c r="S65" s="262"/>
      <c r="T65" s="262"/>
      <c r="U65" s="262"/>
      <c r="V65" s="262"/>
      <c r="W65" s="262"/>
      <c r="X65" s="262"/>
      <c r="Y65" s="262"/>
      <c r="Z65" s="262"/>
      <c r="AA65" s="262"/>
      <c r="AB65" s="262"/>
      <c r="AC65" s="262"/>
      <c r="AD65" s="524"/>
      <c r="AE65" s="262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74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74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74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74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63"/>
      <c r="CL65" s="74"/>
    </row>
    <row r="66" spans="1:90" ht="19" x14ac:dyDescent="0.25">
      <c r="B66" s="263" t="s">
        <v>188</v>
      </c>
      <c r="C66" s="263" t="s">
        <v>187</v>
      </c>
      <c r="D66" s="263"/>
      <c r="E66" s="520" t="s">
        <v>189</v>
      </c>
      <c r="F66" s="514"/>
      <c r="G66" s="261"/>
      <c r="H66" s="261"/>
      <c r="I66" s="261"/>
      <c r="J66" s="261"/>
      <c r="K66" s="261"/>
      <c r="L66" s="261"/>
      <c r="M66" s="261"/>
      <c r="N66" s="261"/>
      <c r="O66" s="261"/>
      <c r="P66" s="261"/>
      <c r="Q66" s="261"/>
      <c r="R66" s="74"/>
      <c r="S66" s="479"/>
      <c r="T66" s="479"/>
      <c r="U66" s="479">
        <v>15000</v>
      </c>
      <c r="V66" s="479"/>
      <c r="W66" s="479"/>
      <c r="X66" s="479"/>
      <c r="Y66" s="479"/>
      <c r="Z66" s="479"/>
      <c r="AA66" s="479"/>
      <c r="AB66" s="479"/>
      <c r="AC66" s="479"/>
      <c r="AD66" s="525"/>
      <c r="AE66" s="261"/>
    </row>
    <row r="67" spans="1:90" ht="19" x14ac:dyDescent="0.25">
      <c r="B67" s="263" t="s">
        <v>190</v>
      </c>
      <c r="C67" s="263" t="s">
        <v>191</v>
      </c>
      <c r="D67" s="263"/>
      <c r="E67" s="520" t="s">
        <v>193</v>
      </c>
      <c r="F67" s="514"/>
      <c r="G67" s="261"/>
      <c r="H67" s="261"/>
      <c r="I67" s="261"/>
      <c r="J67" s="261"/>
      <c r="K67" s="261"/>
      <c r="L67" s="261"/>
      <c r="M67" s="261"/>
      <c r="N67" s="261"/>
      <c r="O67" s="261"/>
      <c r="P67" s="261"/>
      <c r="Q67" s="261"/>
      <c r="R67" s="74"/>
      <c r="S67" s="479"/>
      <c r="T67" s="479">
        <f>4.33*8*125</f>
        <v>4330</v>
      </c>
      <c r="U67" s="479">
        <f>4.33*8*125</f>
        <v>4330</v>
      </c>
      <c r="V67" s="479">
        <f>4.33*8*125</f>
        <v>4330</v>
      </c>
      <c r="W67" s="479"/>
      <c r="X67" s="479"/>
      <c r="Y67" s="479"/>
      <c r="Z67" s="479"/>
      <c r="AA67" s="479"/>
      <c r="AB67" s="479"/>
      <c r="AC67" s="479"/>
      <c r="AD67" s="525"/>
      <c r="AE67" s="261"/>
    </row>
    <row r="68" spans="1:90" ht="19" x14ac:dyDescent="0.25">
      <c r="B68" s="56" t="s">
        <v>25</v>
      </c>
      <c r="C68" s="263" t="s">
        <v>192</v>
      </c>
      <c r="D68" s="263"/>
      <c r="E68" s="520"/>
      <c r="F68" s="514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74"/>
      <c r="S68" s="479">
        <f>40*4.33*33</f>
        <v>5715.5999999999995</v>
      </c>
      <c r="T68" s="479">
        <f t="shared" ref="T68:V68" si="201">40*4.33*33</f>
        <v>5715.5999999999995</v>
      </c>
      <c r="U68" s="479">
        <f t="shared" si="201"/>
        <v>5715.5999999999995</v>
      </c>
      <c r="V68" s="479">
        <f t="shared" si="201"/>
        <v>5715.5999999999995</v>
      </c>
      <c r="W68" s="479"/>
      <c r="X68" s="479"/>
      <c r="Y68" s="479"/>
      <c r="Z68" s="479"/>
      <c r="AA68" s="479"/>
      <c r="AB68" s="479"/>
      <c r="AC68" s="479"/>
      <c r="AD68" s="525"/>
      <c r="AE68" s="261"/>
    </row>
    <row r="69" spans="1:90" ht="16" x14ac:dyDescent="0.2">
      <c r="B69" s="261"/>
      <c r="C69" s="261"/>
      <c r="D69" s="261"/>
      <c r="E69" s="514"/>
      <c r="F69" s="514"/>
      <c r="G69" s="261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74"/>
      <c r="S69" s="261"/>
      <c r="T69" s="261"/>
      <c r="U69" s="261"/>
      <c r="V69" s="261"/>
      <c r="W69" s="261"/>
      <c r="X69" s="261"/>
      <c r="Y69" s="261"/>
      <c r="Z69" s="261"/>
      <c r="AA69" s="261"/>
      <c r="AB69" s="261"/>
      <c r="AC69" s="261"/>
      <c r="AD69" s="514"/>
      <c r="AE69" s="261"/>
    </row>
    <row r="70" spans="1:90" ht="16" x14ac:dyDescent="0.2">
      <c r="B70" s="261"/>
      <c r="C70" s="261"/>
      <c r="D70" s="261"/>
      <c r="E70" s="514"/>
      <c r="F70" s="514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74"/>
      <c r="S70" s="261"/>
      <c r="T70" s="261"/>
      <c r="U70" s="261"/>
      <c r="V70" s="261"/>
      <c r="W70" s="261"/>
      <c r="X70" s="261"/>
      <c r="Y70" s="261"/>
      <c r="Z70" s="261"/>
      <c r="AA70" s="261"/>
      <c r="AB70" s="261"/>
      <c r="AC70" s="261"/>
      <c r="AD70" s="514"/>
      <c r="AE70" s="261"/>
    </row>
    <row r="71" spans="1:90" ht="17" thickBot="1" x14ac:dyDescent="0.25">
      <c r="B71" s="294" t="s">
        <v>221</v>
      </c>
      <c r="C71" s="261"/>
      <c r="D71" s="261"/>
      <c r="E71" s="514"/>
      <c r="F71" s="514"/>
      <c r="G71" s="261"/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74"/>
      <c r="S71" s="299">
        <f>SUM(S66:S70)</f>
        <v>5715.5999999999995</v>
      </c>
      <c r="T71" s="299">
        <f t="shared" ref="T71:BB71" si="202">SUM(T66:T70)</f>
        <v>10045.599999999999</v>
      </c>
      <c r="U71" s="299">
        <f t="shared" si="202"/>
        <v>25045.599999999999</v>
      </c>
      <c r="V71" s="299">
        <f t="shared" si="202"/>
        <v>10045.599999999999</v>
      </c>
      <c r="W71" s="299">
        <f t="shared" si="202"/>
        <v>0</v>
      </c>
      <c r="X71" s="299">
        <f t="shared" si="202"/>
        <v>0</v>
      </c>
      <c r="Y71" s="299">
        <f t="shared" si="202"/>
        <v>0</v>
      </c>
      <c r="Z71" s="299">
        <f t="shared" si="202"/>
        <v>0</v>
      </c>
      <c r="AA71" s="299">
        <f t="shared" si="202"/>
        <v>0</v>
      </c>
      <c r="AB71" s="299">
        <f t="shared" si="202"/>
        <v>0</v>
      </c>
      <c r="AC71" s="299">
        <f t="shared" si="202"/>
        <v>0</v>
      </c>
      <c r="AD71" s="526">
        <f t="shared" si="202"/>
        <v>0</v>
      </c>
      <c r="AE71" s="299">
        <f t="shared" si="202"/>
        <v>0</v>
      </c>
      <c r="AF71" s="299">
        <f t="shared" si="202"/>
        <v>0</v>
      </c>
      <c r="AG71" s="299">
        <f t="shared" si="202"/>
        <v>0</v>
      </c>
      <c r="AH71" s="299">
        <f t="shared" si="202"/>
        <v>0</v>
      </c>
      <c r="AI71" s="299">
        <f t="shared" si="202"/>
        <v>0</v>
      </c>
      <c r="AJ71" s="299">
        <f t="shared" si="202"/>
        <v>0</v>
      </c>
      <c r="AK71" s="299">
        <f t="shared" si="202"/>
        <v>0</v>
      </c>
      <c r="AL71" s="299">
        <f t="shared" si="202"/>
        <v>0</v>
      </c>
      <c r="AM71" s="299">
        <f t="shared" si="202"/>
        <v>0</v>
      </c>
      <c r="AN71" s="299">
        <f t="shared" si="202"/>
        <v>0</v>
      </c>
      <c r="AO71" s="299">
        <f t="shared" si="202"/>
        <v>0</v>
      </c>
      <c r="AP71" s="526">
        <f t="shared" si="202"/>
        <v>0</v>
      </c>
      <c r="AQ71" s="299">
        <f t="shared" si="202"/>
        <v>0</v>
      </c>
      <c r="AR71" s="299">
        <f t="shared" si="202"/>
        <v>0</v>
      </c>
      <c r="AS71" s="299">
        <f t="shared" si="202"/>
        <v>0</v>
      </c>
      <c r="AT71" s="299">
        <f t="shared" si="202"/>
        <v>0</v>
      </c>
      <c r="AU71" s="299">
        <f t="shared" si="202"/>
        <v>0</v>
      </c>
      <c r="AV71" s="299">
        <f t="shared" si="202"/>
        <v>0</v>
      </c>
      <c r="AW71" s="299">
        <f t="shared" si="202"/>
        <v>0</v>
      </c>
      <c r="AX71" s="299">
        <f t="shared" si="202"/>
        <v>0</v>
      </c>
      <c r="AY71" s="299">
        <f t="shared" si="202"/>
        <v>0</v>
      </c>
      <c r="AZ71" s="299">
        <f t="shared" si="202"/>
        <v>0</v>
      </c>
      <c r="BA71" s="299">
        <f t="shared" si="202"/>
        <v>0</v>
      </c>
      <c r="BB71" s="526">
        <f t="shared" si="202"/>
        <v>0</v>
      </c>
      <c r="BC71" s="299">
        <f t="shared" ref="BC71:BN71" si="203">SUM(BC66:BC70)</f>
        <v>0</v>
      </c>
      <c r="BD71" s="299">
        <f t="shared" si="203"/>
        <v>0</v>
      </c>
      <c r="BE71" s="299">
        <f t="shared" si="203"/>
        <v>0</v>
      </c>
      <c r="BF71" s="299">
        <f t="shared" si="203"/>
        <v>0</v>
      </c>
      <c r="BG71" s="299">
        <f t="shared" si="203"/>
        <v>0</v>
      </c>
      <c r="BH71" s="299">
        <f t="shared" si="203"/>
        <v>0</v>
      </c>
      <c r="BI71" s="299">
        <f t="shared" si="203"/>
        <v>0</v>
      </c>
      <c r="BJ71" s="299">
        <f t="shared" si="203"/>
        <v>0</v>
      </c>
      <c r="BK71" s="299">
        <f t="shared" si="203"/>
        <v>0</v>
      </c>
      <c r="BL71" s="299">
        <f t="shared" si="203"/>
        <v>0</v>
      </c>
      <c r="BM71" s="299">
        <f t="shared" si="203"/>
        <v>0</v>
      </c>
      <c r="BN71" s="526">
        <f t="shared" si="203"/>
        <v>0</v>
      </c>
      <c r="BO71" s="299">
        <f t="shared" ref="BO71:BZ71" si="204">SUM(BO66:BO70)</f>
        <v>0</v>
      </c>
      <c r="BP71" s="299">
        <f t="shared" si="204"/>
        <v>0</v>
      </c>
      <c r="BQ71" s="299">
        <f t="shared" si="204"/>
        <v>0</v>
      </c>
      <c r="BR71" s="299">
        <f t="shared" si="204"/>
        <v>0</v>
      </c>
      <c r="BS71" s="299">
        <f t="shared" si="204"/>
        <v>0</v>
      </c>
      <c r="BT71" s="299">
        <f t="shared" si="204"/>
        <v>0</v>
      </c>
      <c r="BU71" s="299">
        <f t="shared" si="204"/>
        <v>0</v>
      </c>
      <c r="BV71" s="299">
        <f t="shared" si="204"/>
        <v>0</v>
      </c>
      <c r="BW71" s="299">
        <f t="shared" si="204"/>
        <v>0</v>
      </c>
      <c r="BX71" s="299">
        <f t="shared" si="204"/>
        <v>0</v>
      </c>
      <c r="BY71" s="299">
        <f t="shared" si="204"/>
        <v>0</v>
      </c>
      <c r="BZ71" s="526">
        <f t="shared" si="204"/>
        <v>0</v>
      </c>
      <c r="CA71" s="299">
        <f t="shared" ref="CA71:CL71" si="205">SUM(CA66:CA70)</f>
        <v>0</v>
      </c>
      <c r="CB71" s="299">
        <f t="shared" si="205"/>
        <v>0</v>
      </c>
      <c r="CC71" s="299">
        <f t="shared" si="205"/>
        <v>0</v>
      </c>
      <c r="CD71" s="299">
        <f t="shared" si="205"/>
        <v>0</v>
      </c>
      <c r="CE71" s="299">
        <f t="shared" si="205"/>
        <v>0</v>
      </c>
      <c r="CF71" s="299">
        <f t="shared" si="205"/>
        <v>0</v>
      </c>
      <c r="CG71" s="299">
        <f t="shared" si="205"/>
        <v>0</v>
      </c>
      <c r="CH71" s="299">
        <f t="shared" si="205"/>
        <v>0</v>
      </c>
      <c r="CI71" s="299">
        <f t="shared" si="205"/>
        <v>0</v>
      </c>
      <c r="CJ71" s="299">
        <f t="shared" si="205"/>
        <v>0</v>
      </c>
      <c r="CK71" s="299">
        <f t="shared" si="205"/>
        <v>0</v>
      </c>
      <c r="CL71" s="526">
        <f t="shared" si="205"/>
        <v>0</v>
      </c>
    </row>
    <row r="72" spans="1:90" ht="16" x14ac:dyDescent="0.2">
      <c r="B72" s="294"/>
      <c r="C72" s="261"/>
      <c r="D72" s="261"/>
      <c r="E72" s="514"/>
      <c r="F72" s="514"/>
      <c r="G72" s="261"/>
      <c r="H72" s="261"/>
      <c r="I72" s="261"/>
      <c r="J72" s="261"/>
      <c r="K72" s="261"/>
      <c r="L72" s="261"/>
      <c r="M72" s="261"/>
      <c r="N72" s="261"/>
      <c r="O72" s="261"/>
      <c r="P72" s="261"/>
      <c r="Q72" s="261"/>
      <c r="R72" s="74"/>
      <c r="S72" s="261"/>
      <c r="T72" s="261"/>
      <c r="U72" s="261"/>
      <c r="V72" s="261"/>
      <c r="W72" s="261"/>
      <c r="X72" s="261"/>
      <c r="Y72" s="261"/>
      <c r="Z72" s="261"/>
      <c r="AA72" s="261"/>
      <c r="AB72" s="261"/>
      <c r="AC72" s="261"/>
      <c r="AD72" s="514"/>
      <c r="AE72" s="261"/>
      <c r="AF72" s="261"/>
      <c r="AG72" s="261"/>
      <c r="AH72" s="261"/>
      <c r="AI72" s="261"/>
      <c r="AJ72" s="261"/>
      <c r="AK72" s="261"/>
      <c r="AL72" s="261"/>
      <c r="AM72" s="261"/>
      <c r="AN72" s="261"/>
      <c r="AO72" s="261"/>
      <c r="AP72" s="514"/>
      <c r="AQ72" s="261"/>
      <c r="AR72" s="261"/>
      <c r="AS72" s="261"/>
      <c r="AT72" s="261"/>
      <c r="AU72" s="261"/>
      <c r="AV72" s="261"/>
      <c r="AW72" s="261"/>
      <c r="AX72" s="261"/>
      <c r="AY72" s="261"/>
      <c r="AZ72" s="261"/>
      <c r="BA72" s="261"/>
      <c r="BB72" s="514"/>
      <c r="BC72" s="261"/>
      <c r="BD72" s="261"/>
      <c r="BE72" s="261"/>
      <c r="BF72" s="261"/>
      <c r="BG72" s="261"/>
      <c r="BH72" s="261"/>
      <c r="BI72" s="261"/>
      <c r="BJ72" s="261"/>
      <c r="BK72" s="261"/>
      <c r="BL72" s="261"/>
      <c r="BM72" s="261"/>
      <c r="BN72" s="514"/>
      <c r="BO72" s="261"/>
      <c r="BP72" s="261"/>
      <c r="BQ72" s="261"/>
      <c r="BR72" s="261"/>
      <c r="BS72" s="261"/>
      <c r="BT72" s="261"/>
      <c r="BU72" s="261"/>
      <c r="BV72" s="261"/>
      <c r="BW72" s="261"/>
      <c r="BX72" s="261"/>
      <c r="BY72" s="261"/>
      <c r="BZ72" s="514"/>
      <c r="CA72" s="261"/>
      <c r="CB72" s="261"/>
      <c r="CC72" s="261"/>
      <c r="CD72" s="261"/>
      <c r="CE72" s="261"/>
      <c r="CF72" s="261"/>
      <c r="CG72" s="261"/>
      <c r="CH72" s="261"/>
      <c r="CI72" s="261"/>
      <c r="CJ72" s="261"/>
      <c r="CK72" s="261"/>
      <c r="CL72" s="514"/>
    </row>
    <row r="73" spans="1:90" ht="16" x14ac:dyDescent="0.2">
      <c r="B73" s="294"/>
      <c r="C73" s="261"/>
      <c r="D73" s="261"/>
      <c r="E73" s="514"/>
      <c r="F73" s="514"/>
      <c r="G73" s="261"/>
      <c r="H73" s="261"/>
      <c r="I73" s="261"/>
      <c r="J73" s="261"/>
      <c r="K73" s="261"/>
      <c r="L73" s="261"/>
      <c r="M73" s="261"/>
      <c r="N73" s="261"/>
      <c r="O73" s="261"/>
      <c r="P73" s="261"/>
      <c r="Q73" s="261"/>
      <c r="R73" s="74"/>
      <c r="S73" s="261"/>
      <c r="T73" s="261"/>
      <c r="U73" s="261"/>
      <c r="V73" s="261"/>
      <c r="W73" s="261"/>
      <c r="X73" s="261"/>
      <c r="Y73" s="261"/>
      <c r="Z73" s="261"/>
      <c r="AA73" s="261"/>
      <c r="AB73" s="261"/>
      <c r="AC73" s="261"/>
      <c r="AD73" s="514"/>
      <c r="AE73" s="261"/>
      <c r="AF73" s="261"/>
      <c r="AG73" s="261"/>
      <c r="AH73" s="261"/>
      <c r="AI73" s="261"/>
      <c r="AJ73" s="261"/>
      <c r="AK73" s="261"/>
      <c r="AL73" s="261"/>
      <c r="AM73" s="261"/>
      <c r="AN73" s="261"/>
      <c r="AO73" s="261"/>
      <c r="AP73" s="514"/>
      <c r="AQ73" s="261"/>
      <c r="AR73" s="261"/>
      <c r="AS73" s="261"/>
      <c r="AT73" s="261"/>
      <c r="AU73" s="261"/>
      <c r="AV73" s="261"/>
      <c r="AW73" s="261"/>
      <c r="AX73" s="261"/>
      <c r="AY73" s="261"/>
      <c r="AZ73" s="261"/>
      <c r="BA73" s="261"/>
      <c r="BB73" s="514"/>
      <c r="BC73" s="261"/>
      <c r="BD73" s="261"/>
      <c r="BE73" s="261"/>
      <c r="BF73" s="261"/>
      <c r="BG73" s="261"/>
      <c r="BH73" s="261"/>
      <c r="BI73" s="261"/>
      <c r="BJ73" s="261"/>
      <c r="BK73" s="261"/>
      <c r="BL73" s="261"/>
      <c r="BM73" s="261"/>
      <c r="BN73" s="514"/>
      <c r="BO73" s="261"/>
      <c r="BP73" s="261"/>
      <c r="BQ73" s="261"/>
      <c r="BR73" s="261"/>
      <c r="BS73" s="261"/>
      <c r="BT73" s="261"/>
      <c r="BU73" s="261"/>
      <c r="BV73" s="261"/>
      <c r="BW73" s="261"/>
      <c r="BX73" s="261"/>
      <c r="BY73" s="261"/>
      <c r="BZ73" s="514"/>
      <c r="CA73" s="261"/>
      <c r="CB73" s="261"/>
      <c r="CC73" s="261"/>
      <c r="CD73" s="261"/>
      <c r="CE73" s="261"/>
      <c r="CF73" s="261"/>
      <c r="CG73" s="261"/>
      <c r="CH73" s="261"/>
      <c r="CI73" s="261"/>
      <c r="CJ73" s="261"/>
      <c r="CK73" s="261"/>
      <c r="CL73" s="514"/>
    </row>
    <row r="74" spans="1:90" ht="19" x14ac:dyDescent="0.25">
      <c r="B74" s="56" t="s">
        <v>62</v>
      </c>
      <c r="C74" s="56"/>
      <c r="D74" s="60">
        <v>180000</v>
      </c>
      <c r="E74" s="22"/>
      <c r="F74" s="22"/>
      <c r="G74" s="63"/>
      <c r="H74" s="63"/>
      <c r="I74" s="63"/>
      <c r="J74" s="63"/>
      <c r="K74" s="63"/>
      <c r="L74" s="63"/>
      <c r="M74" s="63"/>
      <c r="N74" s="63"/>
      <c r="O74" s="63">
        <v>0</v>
      </c>
      <c r="P74" s="63">
        <v>0</v>
      </c>
      <c r="Q74" s="63">
        <v>0</v>
      </c>
      <c r="R74" s="74">
        <v>0</v>
      </c>
      <c r="S74" s="63">
        <f t="shared" ref="S74:U74" si="206">($D74/12)*(1+$C$2)</f>
        <v>15750</v>
      </c>
      <c r="T74" s="63">
        <f t="shared" si="206"/>
        <v>15750</v>
      </c>
      <c r="U74" s="63">
        <f t="shared" si="206"/>
        <v>15750</v>
      </c>
      <c r="V74" s="63">
        <f t="shared" ref="V74" si="207">($D74/12)*(1+$C$2)</f>
        <v>15750</v>
      </c>
      <c r="W74" s="63"/>
      <c r="X74" s="63"/>
      <c r="Y74" s="63"/>
      <c r="Z74" s="63"/>
      <c r="AA74" s="63"/>
      <c r="AB74" s="63"/>
      <c r="AC74" s="63"/>
      <c r="AD74" s="74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74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74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74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74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74"/>
    </row>
    <row r="75" spans="1:90" ht="19" x14ac:dyDescent="0.25">
      <c r="B75" s="56" t="s">
        <v>65</v>
      </c>
      <c r="C75" s="56" t="s">
        <v>120</v>
      </c>
      <c r="D75" s="60">
        <v>175000</v>
      </c>
      <c r="E75" s="22"/>
      <c r="F75" s="22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74"/>
      <c r="S75" s="63">
        <f>D75/12</f>
        <v>14583.333333333334</v>
      </c>
      <c r="T75" s="63">
        <f>S75</f>
        <v>14583.333333333334</v>
      </c>
      <c r="U75" s="63">
        <f t="shared" ref="U75:V75" si="208">T75</f>
        <v>14583.333333333334</v>
      </c>
      <c r="V75" s="63">
        <f t="shared" si="208"/>
        <v>14583.333333333334</v>
      </c>
      <c r="W75" s="63"/>
      <c r="X75" s="63"/>
      <c r="Y75" s="63"/>
      <c r="Z75" s="63"/>
      <c r="AA75" s="63"/>
      <c r="AB75" s="63"/>
      <c r="AC75" s="63"/>
      <c r="AD75" s="74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74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74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74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74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74"/>
    </row>
    <row r="76" spans="1:90" ht="19" x14ac:dyDescent="0.25">
      <c r="B76" s="56" t="s">
        <v>123</v>
      </c>
      <c r="C76" s="56" t="s">
        <v>124</v>
      </c>
      <c r="D76" s="481">
        <v>80000</v>
      </c>
      <c r="E76" s="22"/>
      <c r="F76" s="22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74"/>
      <c r="S76" s="73">
        <f t="shared" ref="S76:U76" si="209">($D76/12)*(1+$C$2)</f>
        <v>7000.0000000000009</v>
      </c>
      <c r="T76" s="63">
        <f t="shared" si="209"/>
        <v>7000.0000000000009</v>
      </c>
      <c r="U76" s="63">
        <f t="shared" si="209"/>
        <v>7000.0000000000009</v>
      </c>
      <c r="V76" s="63"/>
      <c r="W76" s="63"/>
      <c r="X76" s="63"/>
      <c r="Y76" s="63"/>
      <c r="Z76" s="63"/>
      <c r="AA76" s="63"/>
      <c r="AB76" s="63"/>
      <c r="AC76" s="63"/>
      <c r="AD76" s="74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74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74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74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74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74"/>
    </row>
    <row r="77" spans="1:90" ht="19" x14ac:dyDescent="0.25">
      <c r="B77" s="56" t="s">
        <v>330</v>
      </c>
      <c r="C77" s="56" t="s">
        <v>224</v>
      </c>
      <c r="D77" s="481">
        <v>108000</v>
      </c>
      <c r="R77" s="74"/>
      <c r="S77" s="63">
        <v>0</v>
      </c>
      <c r="T77" s="63">
        <v>0</v>
      </c>
      <c r="U77" s="63">
        <v>0</v>
      </c>
      <c r="V77" s="63"/>
      <c r="W77" s="63"/>
      <c r="X77" s="63"/>
      <c r="Y77" s="663">
        <f t="shared" ref="Y77:AA77" si="210">863*4</f>
        <v>3452</v>
      </c>
      <c r="Z77" s="663">
        <f t="shared" si="210"/>
        <v>3452</v>
      </c>
      <c r="AA77" s="663">
        <f t="shared" si="210"/>
        <v>3452</v>
      </c>
      <c r="AB77" s="63"/>
      <c r="AC77" s="63"/>
      <c r="AD77" s="74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74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74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74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74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74"/>
    </row>
    <row r="78" spans="1:90" ht="19" x14ac:dyDescent="0.25">
      <c r="B78" s="56" t="s">
        <v>68</v>
      </c>
      <c r="C78" s="56" t="s">
        <v>225</v>
      </c>
      <c r="D78" s="481">
        <f>5000*12</f>
        <v>60000</v>
      </c>
      <c r="E78" s="22"/>
      <c r="F78" s="22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74">
        <v>0</v>
      </c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74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74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74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74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74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74"/>
    </row>
    <row r="79" spans="1:90" ht="19" x14ac:dyDescent="0.25">
      <c r="B79" s="56" t="s">
        <v>354</v>
      </c>
      <c r="C79" s="56"/>
      <c r="D79" s="481"/>
      <c r="E79" s="22"/>
      <c r="F79" s="22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74"/>
      <c r="S79" s="63"/>
      <c r="T79" s="63"/>
      <c r="U79" s="63">
        <v>7500</v>
      </c>
      <c r="V79" s="63">
        <v>7500</v>
      </c>
      <c r="W79" s="63">
        <v>7500</v>
      </c>
      <c r="X79" s="63">
        <v>7500</v>
      </c>
      <c r="Y79" s="63">
        <v>7500</v>
      </c>
      <c r="Z79" s="63">
        <v>7500</v>
      </c>
      <c r="AA79" s="63"/>
      <c r="AB79" s="63"/>
      <c r="AC79" s="63"/>
      <c r="AD79" s="74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74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74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74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74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3"/>
      <c r="CL79" s="74"/>
    </row>
    <row r="80" spans="1:90" ht="19" x14ac:dyDescent="0.25">
      <c r="B80" s="56" t="s">
        <v>201</v>
      </c>
      <c r="C80" s="261" t="s">
        <v>223</v>
      </c>
      <c r="D80" s="481">
        <f>250*200</f>
        <v>50000</v>
      </c>
      <c r="E80" s="521" t="s">
        <v>222</v>
      </c>
      <c r="F80" s="22"/>
      <c r="G80" s="63"/>
      <c r="H80" s="63"/>
      <c r="I80" s="63"/>
      <c r="J80" s="63"/>
      <c r="K80" s="63"/>
      <c r="L80" s="63"/>
      <c r="M80" s="63"/>
      <c r="N80" s="63"/>
      <c r="O80" s="63">
        <v>5000</v>
      </c>
      <c r="P80" s="63">
        <v>5000</v>
      </c>
      <c r="Q80" s="63">
        <v>5000</v>
      </c>
      <c r="R80" s="63">
        <v>10000</v>
      </c>
      <c r="S80" s="73"/>
      <c r="T80" s="63"/>
      <c r="U80" s="63"/>
      <c r="V80" s="63">
        <f>40000/12</f>
        <v>3333.3333333333335</v>
      </c>
      <c r="W80" s="63">
        <f t="shared" ref="W80:AB80" si="211">40000/12</f>
        <v>3333.3333333333335</v>
      </c>
      <c r="X80" s="63">
        <f t="shared" si="211"/>
        <v>3333.3333333333335</v>
      </c>
      <c r="Y80" s="63">
        <f t="shared" si="211"/>
        <v>3333.3333333333335</v>
      </c>
      <c r="Z80" s="63">
        <f t="shared" si="211"/>
        <v>3333.3333333333335</v>
      </c>
      <c r="AA80" s="63">
        <f t="shared" si="211"/>
        <v>3333.3333333333335</v>
      </c>
      <c r="AB80" s="63">
        <f t="shared" si="211"/>
        <v>3333.3333333333335</v>
      </c>
      <c r="AC80" s="663"/>
      <c r="AD80" s="664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74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74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74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74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74"/>
    </row>
    <row r="82" spans="2:90" ht="17" thickBot="1" x14ac:dyDescent="0.25">
      <c r="B82" s="294" t="s">
        <v>226</v>
      </c>
      <c r="S82" s="295">
        <f>SUM(S74:S81)</f>
        <v>37333.333333333336</v>
      </c>
      <c r="T82" s="295">
        <f t="shared" ref="T82:BB82" si="212">SUM(T74:T81)</f>
        <v>37333.333333333336</v>
      </c>
      <c r="U82" s="295">
        <f t="shared" si="212"/>
        <v>44833.333333333336</v>
      </c>
      <c r="V82" s="295">
        <f t="shared" si="212"/>
        <v>41166.666666666672</v>
      </c>
      <c r="W82" s="295">
        <f t="shared" si="212"/>
        <v>10833.333333333334</v>
      </c>
      <c r="X82" s="295">
        <f t="shared" si="212"/>
        <v>10833.333333333334</v>
      </c>
      <c r="Y82" s="295">
        <f t="shared" si="212"/>
        <v>14285.333333333334</v>
      </c>
      <c r="Z82" s="295">
        <f t="shared" si="212"/>
        <v>14285.333333333334</v>
      </c>
      <c r="AA82" s="295">
        <f t="shared" si="212"/>
        <v>6785.3333333333339</v>
      </c>
      <c r="AB82" s="295">
        <f t="shared" si="212"/>
        <v>3333.3333333333335</v>
      </c>
      <c r="AC82" s="295">
        <f t="shared" si="212"/>
        <v>0</v>
      </c>
      <c r="AD82" s="527">
        <f t="shared" si="212"/>
        <v>0</v>
      </c>
      <c r="AE82" s="295">
        <f t="shared" si="212"/>
        <v>0</v>
      </c>
      <c r="AF82" s="295">
        <f t="shared" si="212"/>
        <v>0</v>
      </c>
      <c r="AG82" s="295">
        <f t="shared" si="212"/>
        <v>0</v>
      </c>
      <c r="AH82" s="295">
        <f t="shared" si="212"/>
        <v>0</v>
      </c>
      <c r="AI82" s="295">
        <f t="shared" si="212"/>
        <v>0</v>
      </c>
      <c r="AJ82" s="295">
        <f t="shared" si="212"/>
        <v>0</v>
      </c>
      <c r="AK82" s="295">
        <f t="shared" si="212"/>
        <v>0</v>
      </c>
      <c r="AL82" s="295">
        <f t="shared" si="212"/>
        <v>0</v>
      </c>
      <c r="AM82" s="295">
        <f t="shared" si="212"/>
        <v>0</v>
      </c>
      <c r="AN82" s="295">
        <f t="shared" si="212"/>
        <v>0</v>
      </c>
      <c r="AO82" s="295">
        <f t="shared" si="212"/>
        <v>0</v>
      </c>
      <c r="AP82" s="527">
        <f t="shared" si="212"/>
        <v>0</v>
      </c>
      <c r="AQ82" s="295">
        <f t="shared" si="212"/>
        <v>0</v>
      </c>
      <c r="AR82" s="295">
        <f t="shared" si="212"/>
        <v>0</v>
      </c>
      <c r="AS82" s="295">
        <f t="shared" si="212"/>
        <v>0</v>
      </c>
      <c r="AT82" s="295">
        <f t="shared" si="212"/>
        <v>0</v>
      </c>
      <c r="AU82" s="295">
        <f t="shared" si="212"/>
        <v>0</v>
      </c>
      <c r="AV82" s="295">
        <f t="shared" si="212"/>
        <v>0</v>
      </c>
      <c r="AW82" s="295">
        <f t="shared" si="212"/>
        <v>0</v>
      </c>
      <c r="AX82" s="295">
        <f t="shared" si="212"/>
        <v>0</v>
      </c>
      <c r="AY82" s="295">
        <f t="shared" si="212"/>
        <v>0</v>
      </c>
      <c r="AZ82" s="295">
        <f t="shared" si="212"/>
        <v>0</v>
      </c>
      <c r="BA82" s="295">
        <f t="shared" si="212"/>
        <v>0</v>
      </c>
      <c r="BB82" s="527">
        <f t="shared" si="212"/>
        <v>0</v>
      </c>
      <c r="BC82" s="295">
        <f t="shared" ref="BC82:BN82" si="213">SUM(BC74:BC81)</f>
        <v>0</v>
      </c>
      <c r="BD82" s="295">
        <f t="shared" si="213"/>
        <v>0</v>
      </c>
      <c r="BE82" s="295">
        <f t="shared" si="213"/>
        <v>0</v>
      </c>
      <c r="BF82" s="295">
        <f t="shared" si="213"/>
        <v>0</v>
      </c>
      <c r="BG82" s="295">
        <f t="shared" si="213"/>
        <v>0</v>
      </c>
      <c r="BH82" s="295">
        <f t="shared" si="213"/>
        <v>0</v>
      </c>
      <c r="BI82" s="295">
        <f t="shared" si="213"/>
        <v>0</v>
      </c>
      <c r="BJ82" s="295">
        <f t="shared" si="213"/>
        <v>0</v>
      </c>
      <c r="BK82" s="295">
        <f t="shared" si="213"/>
        <v>0</v>
      </c>
      <c r="BL82" s="295">
        <f t="shared" si="213"/>
        <v>0</v>
      </c>
      <c r="BM82" s="295">
        <f t="shared" si="213"/>
        <v>0</v>
      </c>
      <c r="BN82" s="527">
        <f t="shared" si="213"/>
        <v>0</v>
      </c>
      <c r="BO82" s="295">
        <f t="shared" ref="BO82:BZ82" si="214">SUM(BO74:BO81)</f>
        <v>0</v>
      </c>
      <c r="BP82" s="295">
        <f t="shared" si="214"/>
        <v>0</v>
      </c>
      <c r="BQ82" s="295">
        <f t="shared" si="214"/>
        <v>0</v>
      </c>
      <c r="BR82" s="295">
        <f t="shared" si="214"/>
        <v>0</v>
      </c>
      <c r="BS82" s="295">
        <f t="shared" si="214"/>
        <v>0</v>
      </c>
      <c r="BT82" s="295">
        <f t="shared" si="214"/>
        <v>0</v>
      </c>
      <c r="BU82" s="295">
        <f t="shared" si="214"/>
        <v>0</v>
      </c>
      <c r="BV82" s="295">
        <f t="shared" si="214"/>
        <v>0</v>
      </c>
      <c r="BW82" s="295">
        <f t="shared" si="214"/>
        <v>0</v>
      </c>
      <c r="BX82" s="295">
        <f t="shared" si="214"/>
        <v>0</v>
      </c>
      <c r="BY82" s="295">
        <f t="shared" si="214"/>
        <v>0</v>
      </c>
      <c r="BZ82" s="527">
        <f t="shared" si="214"/>
        <v>0</v>
      </c>
      <c r="CA82" s="295">
        <f t="shared" ref="CA82:CL82" si="215">SUM(CA74:CA81)</f>
        <v>0</v>
      </c>
      <c r="CB82" s="295">
        <f t="shared" si="215"/>
        <v>0</v>
      </c>
      <c r="CC82" s="295">
        <f t="shared" si="215"/>
        <v>0</v>
      </c>
      <c r="CD82" s="295">
        <f t="shared" si="215"/>
        <v>0</v>
      </c>
      <c r="CE82" s="295">
        <f t="shared" si="215"/>
        <v>0</v>
      </c>
      <c r="CF82" s="295">
        <f t="shared" si="215"/>
        <v>0</v>
      </c>
      <c r="CG82" s="295">
        <f t="shared" si="215"/>
        <v>0</v>
      </c>
      <c r="CH82" s="295">
        <f t="shared" si="215"/>
        <v>0</v>
      </c>
      <c r="CI82" s="295">
        <f t="shared" si="215"/>
        <v>0</v>
      </c>
      <c r="CJ82" s="295">
        <f t="shared" si="215"/>
        <v>0</v>
      </c>
      <c r="CK82" s="295">
        <f t="shared" si="215"/>
        <v>0</v>
      </c>
      <c r="CL82" s="527">
        <f t="shared" si="215"/>
        <v>0</v>
      </c>
    </row>
    <row r="85" spans="2:90" ht="16" thickBot="1" x14ac:dyDescent="0.25">
      <c r="B85" s="297" t="s">
        <v>227</v>
      </c>
      <c r="S85" s="296">
        <f t="shared" ref="S85:BA85" si="216">+S71+S82</f>
        <v>43048.933333333334</v>
      </c>
      <c r="T85" s="296">
        <f t="shared" si="216"/>
        <v>47378.933333333334</v>
      </c>
      <c r="U85" s="296">
        <f t="shared" si="216"/>
        <v>69878.933333333334</v>
      </c>
      <c r="V85" s="296">
        <f t="shared" si="216"/>
        <v>51212.26666666667</v>
      </c>
      <c r="W85" s="296">
        <f t="shared" si="216"/>
        <v>10833.333333333334</v>
      </c>
      <c r="X85" s="296">
        <f t="shared" si="216"/>
        <v>10833.333333333334</v>
      </c>
      <c r="Y85" s="296">
        <f t="shared" si="216"/>
        <v>14285.333333333334</v>
      </c>
      <c r="Z85" s="296">
        <f t="shared" si="216"/>
        <v>14285.333333333334</v>
      </c>
      <c r="AA85" s="296">
        <f t="shared" si="216"/>
        <v>6785.3333333333339</v>
      </c>
      <c r="AB85" s="296">
        <f t="shared" si="216"/>
        <v>3333.3333333333335</v>
      </c>
      <c r="AC85" s="296">
        <f t="shared" si="216"/>
        <v>0</v>
      </c>
      <c r="AD85" s="528">
        <f t="shared" si="216"/>
        <v>0</v>
      </c>
      <c r="AE85" s="296">
        <f t="shared" si="216"/>
        <v>0</v>
      </c>
      <c r="AF85" s="296">
        <f t="shared" si="216"/>
        <v>0</v>
      </c>
      <c r="AG85" s="296">
        <f t="shared" si="216"/>
        <v>0</v>
      </c>
      <c r="AH85" s="296">
        <f t="shared" si="216"/>
        <v>0</v>
      </c>
      <c r="AI85" s="296">
        <f t="shared" si="216"/>
        <v>0</v>
      </c>
      <c r="AJ85" s="296">
        <f t="shared" si="216"/>
        <v>0</v>
      </c>
      <c r="AK85" s="296">
        <f t="shared" si="216"/>
        <v>0</v>
      </c>
      <c r="AL85" s="296">
        <f t="shared" si="216"/>
        <v>0</v>
      </c>
      <c r="AM85" s="296">
        <f t="shared" si="216"/>
        <v>0</v>
      </c>
      <c r="AN85" s="296">
        <f t="shared" si="216"/>
        <v>0</v>
      </c>
      <c r="AO85" s="296">
        <f t="shared" si="216"/>
        <v>0</v>
      </c>
      <c r="AP85" s="528">
        <f t="shared" si="216"/>
        <v>0</v>
      </c>
      <c r="AQ85" s="296">
        <f t="shared" si="216"/>
        <v>0</v>
      </c>
      <c r="AR85" s="296">
        <f t="shared" si="216"/>
        <v>0</v>
      </c>
      <c r="AS85" s="296">
        <f t="shared" si="216"/>
        <v>0</v>
      </c>
      <c r="AT85" s="296">
        <f t="shared" si="216"/>
        <v>0</v>
      </c>
      <c r="AU85" s="296">
        <f t="shared" si="216"/>
        <v>0</v>
      </c>
      <c r="AV85" s="296">
        <f t="shared" si="216"/>
        <v>0</v>
      </c>
      <c r="AW85" s="296">
        <f t="shared" si="216"/>
        <v>0</v>
      </c>
      <c r="AX85" s="296">
        <f t="shared" si="216"/>
        <v>0</v>
      </c>
      <c r="AY85" s="296">
        <f t="shared" si="216"/>
        <v>0</v>
      </c>
      <c r="AZ85" s="296">
        <f t="shared" si="216"/>
        <v>0</v>
      </c>
      <c r="BA85" s="296">
        <f t="shared" si="216"/>
        <v>0</v>
      </c>
      <c r="BB85" s="528">
        <f>+BB71+BB82</f>
        <v>0</v>
      </c>
      <c r="BC85" s="296">
        <f t="shared" ref="BC85:BM85" si="217">+BC71+BC82</f>
        <v>0</v>
      </c>
      <c r="BD85" s="296">
        <f t="shared" si="217"/>
        <v>0</v>
      </c>
      <c r="BE85" s="296">
        <f t="shared" si="217"/>
        <v>0</v>
      </c>
      <c r="BF85" s="296">
        <f t="shared" si="217"/>
        <v>0</v>
      </c>
      <c r="BG85" s="296">
        <f t="shared" si="217"/>
        <v>0</v>
      </c>
      <c r="BH85" s="296">
        <f t="shared" si="217"/>
        <v>0</v>
      </c>
      <c r="BI85" s="296">
        <f t="shared" si="217"/>
        <v>0</v>
      </c>
      <c r="BJ85" s="296">
        <f t="shared" si="217"/>
        <v>0</v>
      </c>
      <c r="BK85" s="296">
        <f t="shared" si="217"/>
        <v>0</v>
      </c>
      <c r="BL85" s="296">
        <f t="shared" si="217"/>
        <v>0</v>
      </c>
      <c r="BM85" s="296">
        <f t="shared" si="217"/>
        <v>0</v>
      </c>
      <c r="BN85" s="528">
        <f>+BN71+BN82</f>
        <v>0</v>
      </c>
      <c r="BO85" s="296">
        <f t="shared" ref="BO85:BY85" si="218">+BO71+BO82</f>
        <v>0</v>
      </c>
      <c r="BP85" s="296">
        <f t="shared" si="218"/>
        <v>0</v>
      </c>
      <c r="BQ85" s="296">
        <f t="shared" si="218"/>
        <v>0</v>
      </c>
      <c r="BR85" s="296">
        <f t="shared" si="218"/>
        <v>0</v>
      </c>
      <c r="BS85" s="296">
        <f t="shared" si="218"/>
        <v>0</v>
      </c>
      <c r="BT85" s="296">
        <f t="shared" si="218"/>
        <v>0</v>
      </c>
      <c r="BU85" s="296">
        <f t="shared" si="218"/>
        <v>0</v>
      </c>
      <c r="BV85" s="296">
        <f t="shared" si="218"/>
        <v>0</v>
      </c>
      <c r="BW85" s="296">
        <f t="shared" si="218"/>
        <v>0</v>
      </c>
      <c r="BX85" s="296">
        <f t="shared" si="218"/>
        <v>0</v>
      </c>
      <c r="BY85" s="296">
        <f t="shared" si="218"/>
        <v>0</v>
      </c>
      <c r="BZ85" s="528">
        <f>+BZ71+BZ82</f>
        <v>0</v>
      </c>
      <c r="CA85" s="296">
        <f t="shared" ref="CA85:CK85" si="219">+CA71+CA82</f>
        <v>0</v>
      </c>
      <c r="CB85" s="296">
        <f t="shared" si="219"/>
        <v>0</v>
      </c>
      <c r="CC85" s="296">
        <f t="shared" si="219"/>
        <v>0</v>
      </c>
      <c r="CD85" s="296">
        <f t="shared" si="219"/>
        <v>0</v>
      </c>
      <c r="CE85" s="296">
        <f t="shared" si="219"/>
        <v>0</v>
      </c>
      <c r="CF85" s="296">
        <f t="shared" si="219"/>
        <v>0</v>
      </c>
      <c r="CG85" s="296">
        <f t="shared" si="219"/>
        <v>0</v>
      </c>
      <c r="CH85" s="296">
        <f t="shared" si="219"/>
        <v>0</v>
      </c>
      <c r="CI85" s="296">
        <f t="shared" si="219"/>
        <v>0</v>
      </c>
      <c r="CJ85" s="296">
        <f t="shared" si="219"/>
        <v>0</v>
      </c>
      <c r="CK85" s="296">
        <f t="shared" si="219"/>
        <v>0</v>
      </c>
      <c r="CL85" s="528">
        <f>+CL71+CL82</f>
        <v>0</v>
      </c>
    </row>
    <row r="86" spans="2:90" ht="16" thickTop="1" x14ac:dyDescent="0.2"/>
  </sheetData>
  <mergeCells count="7">
    <mergeCell ref="BO4:BZ4"/>
    <mergeCell ref="CA4:CL4"/>
    <mergeCell ref="G4:R4"/>
    <mergeCell ref="S4:AD4"/>
    <mergeCell ref="AE4:AP4"/>
    <mergeCell ref="AQ4:BB4"/>
    <mergeCell ref="BC4:BN4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26C7-4B2E-6F4D-9DF7-D94633B14CE1}">
  <sheetPr>
    <tabColor theme="4" tint="-0.249977111117893"/>
  </sheetPr>
  <dimension ref="B2:CL58"/>
  <sheetViews>
    <sheetView zoomScale="80" zoomScaleNormal="80" workbookViewId="0">
      <pane xSplit="5" ySplit="4" topLeftCell="AS9" activePane="bottomRight" state="frozen"/>
      <selection activeCell="I11" sqref="I11"/>
      <selection pane="topRight" activeCell="I11" sqref="I11"/>
      <selection pane="bottomLeft" activeCell="I11" sqref="I11"/>
      <selection pane="bottomRight" activeCell="AV77" sqref="AV77"/>
    </sheetView>
  </sheetViews>
  <sheetFormatPr baseColWidth="10" defaultColWidth="4.6640625" defaultRowHeight="15" x14ac:dyDescent="0.2"/>
  <cols>
    <col min="1" max="1" width="4.6640625" style="52"/>
    <col min="2" max="2" width="47" style="52" customWidth="1"/>
    <col min="3" max="3" width="18.83203125" style="52" customWidth="1"/>
    <col min="4" max="4" width="50.5" style="52" bestFit="1" customWidth="1"/>
    <col min="5" max="5" width="25.5" style="509" bestFit="1" customWidth="1"/>
    <col min="6" max="6" width="4.6640625" style="52"/>
    <col min="7" max="7" width="5.6640625" style="52" hidden="1" customWidth="1"/>
    <col min="8" max="8" width="6" style="52" hidden="1" customWidth="1"/>
    <col min="9" max="9" width="6.33203125" style="52" hidden="1" customWidth="1"/>
    <col min="10" max="10" width="6" style="52" hidden="1" customWidth="1"/>
    <col min="11" max="11" width="6.5" style="52" hidden="1" customWidth="1"/>
    <col min="12" max="12" width="5.83203125" style="52" hidden="1" customWidth="1"/>
    <col min="13" max="13" width="5.1640625" style="52" hidden="1" customWidth="1"/>
    <col min="14" max="16" width="7.33203125" style="52" hidden="1" customWidth="1"/>
    <col min="17" max="29" width="16.1640625" style="52" customWidth="1"/>
    <col min="30" max="30" width="16.1640625" style="573" customWidth="1"/>
    <col min="31" max="41" width="16.1640625" style="52" customWidth="1"/>
    <col min="42" max="42" width="16.1640625" style="509" customWidth="1"/>
    <col min="43" max="53" width="16.1640625" style="52" customWidth="1"/>
    <col min="54" max="54" width="16.1640625" style="509" customWidth="1"/>
    <col min="55" max="65" width="16.1640625" style="52" customWidth="1"/>
    <col min="66" max="66" width="16.1640625" style="509" customWidth="1"/>
    <col min="67" max="77" width="16.1640625" style="52" customWidth="1"/>
    <col min="78" max="78" width="16.1640625" style="509" customWidth="1"/>
    <col min="79" max="89" width="16.1640625" style="52" customWidth="1"/>
    <col min="90" max="90" width="16.1640625" style="509" customWidth="1"/>
    <col min="91" max="16384" width="4.6640625" style="52"/>
  </cols>
  <sheetData>
    <row r="2" spans="2:90" ht="16" thickBot="1" x14ac:dyDescent="0.25"/>
    <row r="3" spans="2:90" customFormat="1" ht="26" x14ac:dyDescent="0.3">
      <c r="B3" s="82" t="s">
        <v>38</v>
      </c>
      <c r="C3" s="83"/>
      <c r="D3" s="84"/>
      <c r="E3" s="85"/>
      <c r="F3" s="85"/>
      <c r="G3" s="715">
        <v>2022</v>
      </c>
      <c r="H3" s="716"/>
      <c r="I3" s="716"/>
      <c r="J3" s="716"/>
      <c r="K3" s="716"/>
      <c r="L3" s="716"/>
      <c r="M3" s="716"/>
      <c r="N3" s="716"/>
      <c r="O3" s="716"/>
      <c r="P3" s="716"/>
      <c r="Q3" s="716"/>
      <c r="R3" s="717"/>
      <c r="S3" s="701">
        <v>2023</v>
      </c>
      <c r="T3" s="702"/>
      <c r="U3" s="702"/>
      <c r="V3" s="702"/>
      <c r="W3" s="702"/>
      <c r="X3" s="702"/>
      <c r="Y3" s="702"/>
      <c r="Z3" s="702"/>
      <c r="AA3" s="702"/>
      <c r="AB3" s="702"/>
      <c r="AC3" s="702"/>
      <c r="AD3" s="703"/>
      <c r="AE3" s="715">
        <v>2024</v>
      </c>
      <c r="AF3" s="716"/>
      <c r="AG3" s="716"/>
      <c r="AH3" s="716"/>
      <c r="AI3" s="716"/>
      <c r="AJ3" s="716"/>
      <c r="AK3" s="716"/>
      <c r="AL3" s="716"/>
      <c r="AM3" s="716"/>
      <c r="AN3" s="716"/>
      <c r="AO3" s="716"/>
      <c r="AP3" s="717"/>
      <c r="AQ3" s="701">
        <v>2025</v>
      </c>
      <c r="AR3" s="702"/>
      <c r="AS3" s="702"/>
      <c r="AT3" s="702"/>
      <c r="AU3" s="702"/>
      <c r="AV3" s="702"/>
      <c r="AW3" s="702"/>
      <c r="AX3" s="702"/>
      <c r="AY3" s="702"/>
      <c r="AZ3" s="702"/>
      <c r="BA3" s="702"/>
      <c r="BB3" s="703"/>
      <c r="BC3" s="701">
        <v>2026</v>
      </c>
      <c r="BD3" s="702"/>
      <c r="BE3" s="702"/>
      <c r="BF3" s="702"/>
      <c r="BG3" s="702"/>
      <c r="BH3" s="702"/>
      <c r="BI3" s="702"/>
      <c r="BJ3" s="702"/>
      <c r="BK3" s="702"/>
      <c r="BL3" s="702"/>
      <c r="BM3" s="702"/>
      <c r="BN3" s="703"/>
      <c r="BO3" s="701">
        <v>2027</v>
      </c>
      <c r="BP3" s="702"/>
      <c r="BQ3" s="702"/>
      <c r="BR3" s="702"/>
      <c r="BS3" s="702"/>
      <c r="BT3" s="702"/>
      <c r="BU3" s="702"/>
      <c r="BV3" s="702"/>
      <c r="BW3" s="702"/>
      <c r="BX3" s="702"/>
      <c r="BY3" s="702"/>
      <c r="BZ3" s="703"/>
      <c r="CA3" s="701">
        <v>2028</v>
      </c>
      <c r="CB3" s="702"/>
      <c r="CC3" s="702"/>
      <c r="CD3" s="702"/>
      <c r="CE3" s="702"/>
      <c r="CF3" s="702"/>
      <c r="CG3" s="702"/>
      <c r="CH3" s="702"/>
      <c r="CI3" s="702"/>
      <c r="CJ3" s="702"/>
      <c r="CK3" s="702"/>
      <c r="CL3" s="703"/>
    </row>
    <row r="4" spans="2:90" customFormat="1" ht="16" x14ac:dyDescent="0.2">
      <c r="B4" s="86"/>
      <c r="C4" s="4"/>
      <c r="D4" s="10"/>
      <c r="E4" s="87"/>
      <c r="F4" s="87"/>
      <c r="G4" s="251">
        <v>44562</v>
      </c>
      <c r="H4" s="251">
        <v>44593</v>
      </c>
      <c r="I4" s="251">
        <v>44621</v>
      </c>
      <c r="J4" s="251">
        <v>44652</v>
      </c>
      <c r="K4" s="251">
        <v>44682</v>
      </c>
      <c r="L4" s="251">
        <v>44713</v>
      </c>
      <c r="M4" s="251">
        <v>44743</v>
      </c>
      <c r="N4" s="251">
        <v>44774</v>
      </c>
      <c r="O4" s="251">
        <v>44805</v>
      </c>
      <c r="P4" s="251">
        <v>44835</v>
      </c>
      <c r="Q4" s="251">
        <v>44866</v>
      </c>
      <c r="R4" s="251">
        <v>44896</v>
      </c>
      <c r="S4" s="248">
        <v>44927</v>
      </c>
      <c r="T4" s="248">
        <v>44958</v>
      </c>
      <c r="U4" s="248">
        <v>44986</v>
      </c>
      <c r="V4" s="248">
        <v>45017</v>
      </c>
      <c r="W4" s="248">
        <v>45047</v>
      </c>
      <c r="X4" s="248">
        <v>45078</v>
      </c>
      <c r="Y4" s="248">
        <v>45108</v>
      </c>
      <c r="Z4" s="248">
        <v>45139</v>
      </c>
      <c r="AA4" s="248">
        <v>45170</v>
      </c>
      <c r="AB4" s="248">
        <v>45200</v>
      </c>
      <c r="AC4" s="248">
        <v>45231</v>
      </c>
      <c r="AD4" s="248">
        <v>45261</v>
      </c>
      <c r="AE4" s="506">
        <v>45292</v>
      </c>
      <c r="AF4" s="249">
        <v>45323</v>
      </c>
      <c r="AG4" s="249">
        <v>45352</v>
      </c>
      <c r="AH4" s="249">
        <v>45383</v>
      </c>
      <c r="AI4" s="249">
        <v>45413</v>
      </c>
      <c r="AJ4" s="249">
        <v>45444</v>
      </c>
      <c r="AK4" s="249">
        <v>45474</v>
      </c>
      <c r="AL4" s="249">
        <v>45505</v>
      </c>
      <c r="AM4" s="249">
        <v>45536</v>
      </c>
      <c r="AN4" s="249">
        <v>45566</v>
      </c>
      <c r="AO4" s="249">
        <v>45597</v>
      </c>
      <c r="AP4" s="529">
        <v>45627</v>
      </c>
      <c r="AQ4" s="507">
        <v>45658</v>
      </c>
      <c r="AR4" s="250">
        <v>45689</v>
      </c>
      <c r="AS4" s="250">
        <v>45717</v>
      </c>
      <c r="AT4" s="250">
        <v>45748</v>
      </c>
      <c r="AU4" s="250">
        <v>45778</v>
      </c>
      <c r="AV4" s="250">
        <v>45809</v>
      </c>
      <c r="AW4" s="250">
        <v>45839</v>
      </c>
      <c r="AX4" s="250">
        <v>45870</v>
      </c>
      <c r="AY4" s="250">
        <v>45901</v>
      </c>
      <c r="AZ4" s="250">
        <v>45931</v>
      </c>
      <c r="BA4" s="250">
        <v>45962</v>
      </c>
      <c r="BB4" s="530">
        <v>45992</v>
      </c>
      <c r="BC4" s="507">
        <v>45658</v>
      </c>
      <c r="BD4" s="250">
        <v>45689</v>
      </c>
      <c r="BE4" s="250">
        <v>45717</v>
      </c>
      <c r="BF4" s="250">
        <v>45748</v>
      </c>
      <c r="BG4" s="250">
        <v>45778</v>
      </c>
      <c r="BH4" s="250">
        <v>45809</v>
      </c>
      <c r="BI4" s="250">
        <v>45839</v>
      </c>
      <c r="BJ4" s="250">
        <v>45870</v>
      </c>
      <c r="BK4" s="250">
        <v>45901</v>
      </c>
      <c r="BL4" s="250">
        <v>45931</v>
      </c>
      <c r="BM4" s="250">
        <v>45962</v>
      </c>
      <c r="BN4" s="530">
        <v>45992</v>
      </c>
      <c r="BO4" s="507">
        <v>45658</v>
      </c>
      <c r="BP4" s="250">
        <v>45689</v>
      </c>
      <c r="BQ4" s="250">
        <v>45717</v>
      </c>
      <c r="BR4" s="250">
        <v>45748</v>
      </c>
      <c r="BS4" s="250">
        <v>45778</v>
      </c>
      <c r="BT4" s="250">
        <v>45809</v>
      </c>
      <c r="BU4" s="250">
        <v>45839</v>
      </c>
      <c r="BV4" s="250">
        <v>45870</v>
      </c>
      <c r="BW4" s="250">
        <v>45901</v>
      </c>
      <c r="BX4" s="250">
        <v>45931</v>
      </c>
      <c r="BY4" s="250">
        <v>45962</v>
      </c>
      <c r="BZ4" s="530">
        <v>45992</v>
      </c>
      <c r="CA4" s="507">
        <v>45658</v>
      </c>
      <c r="CB4" s="250">
        <v>45689</v>
      </c>
      <c r="CC4" s="250">
        <v>45717</v>
      </c>
      <c r="CD4" s="250">
        <v>45748</v>
      </c>
      <c r="CE4" s="250">
        <v>45778</v>
      </c>
      <c r="CF4" s="250">
        <v>45809</v>
      </c>
      <c r="CG4" s="250">
        <v>45839</v>
      </c>
      <c r="CH4" s="250">
        <v>45870</v>
      </c>
      <c r="CI4" s="250">
        <v>45901</v>
      </c>
      <c r="CJ4" s="250">
        <v>45931</v>
      </c>
      <c r="CK4" s="250">
        <v>45962</v>
      </c>
      <c r="CL4" s="530">
        <v>45992</v>
      </c>
    </row>
    <row r="5" spans="2:90" customFormat="1" ht="16" x14ac:dyDescent="0.2">
      <c r="B5" s="21"/>
      <c r="E5" s="22"/>
      <c r="F5" s="22"/>
      <c r="G5" s="21"/>
      <c r="R5" s="22"/>
      <c r="S5" s="767"/>
      <c r="T5" s="768"/>
      <c r="U5" s="768"/>
      <c r="V5" s="768"/>
      <c r="W5" s="768"/>
      <c r="X5" s="768"/>
      <c r="Y5" s="768"/>
      <c r="Z5" s="768"/>
      <c r="AA5" s="768"/>
      <c r="AB5" s="768"/>
      <c r="AC5" s="768"/>
      <c r="AD5" s="769"/>
      <c r="AP5" s="22"/>
      <c r="BB5" s="22"/>
      <c r="BN5" s="22"/>
      <c r="BZ5" s="22"/>
      <c r="CL5" s="22"/>
    </row>
    <row r="6" spans="2:90" customFormat="1" ht="16" x14ac:dyDescent="0.2">
      <c r="B6" s="21"/>
      <c r="E6" s="22"/>
      <c r="F6" s="22"/>
      <c r="G6" s="21"/>
      <c r="R6" s="22"/>
      <c r="S6" s="21"/>
      <c r="T6" s="762"/>
      <c r="U6" s="762"/>
      <c r="V6" s="762"/>
      <c r="W6" s="762"/>
      <c r="X6" s="762"/>
      <c r="Y6" s="762"/>
      <c r="Z6" s="762"/>
      <c r="AA6" s="762"/>
      <c r="AB6" s="762"/>
      <c r="AC6" s="762"/>
      <c r="AD6" s="557"/>
      <c r="AP6" s="22"/>
      <c r="BB6" s="22"/>
      <c r="BN6" s="22"/>
      <c r="BZ6" s="22"/>
      <c r="CL6" s="22"/>
    </row>
    <row r="7" spans="2:90" customFormat="1" ht="24" x14ac:dyDescent="0.3">
      <c r="B7" s="88" t="s">
        <v>36</v>
      </c>
      <c r="C7" s="61" t="s">
        <v>37</v>
      </c>
      <c r="D7" s="61" t="s">
        <v>22</v>
      </c>
      <c r="E7" s="535" t="s">
        <v>42</v>
      </c>
      <c r="F7" s="22"/>
      <c r="G7" s="21"/>
      <c r="R7" s="22"/>
      <c r="S7" s="762"/>
      <c r="T7" s="762"/>
      <c r="U7" s="762"/>
      <c r="V7" s="762"/>
      <c r="W7" s="762"/>
      <c r="X7" s="762"/>
      <c r="Y7" s="762"/>
      <c r="Z7" s="762"/>
      <c r="AA7" s="762"/>
      <c r="AB7" s="762"/>
      <c r="AC7" s="762"/>
      <c r="AD7" s="557"/>
      <c r="AE7" s="762"/>
      <c r="AF7" s="762"/>
      <c r="AG7" s="762"/>
      <c r="AH7" s="762"/>
      <c r="AI7" s="762"/>
      <c r="AJ7" s="762"/>
      <c r="AK7" s="762"/>
      <c r="AL7" s="762"/>
      <c r="AM7" s="762"/>
      <c r="AN7" s="762"/>
      <c r="AO7" s="762"/>
      <c r="AP7" s="22"/>
      <c r="BB7" s="22"/>
      <c r="BN7" s="22"/>
      <c r="BZ7" s="22"/>
      <c r="CL7" s="22"/>
    </row>
    <row r="8" spans="2:90" customFormat="1" ht="9" customHeight="1" x14ac:dyDescent="0.3">
      <c r="B8" s="89"/>
      <c r="C8" s="59"/>
      <c r="E8" s="22"/>
      <c r="F8" s="22"/>
      <c r="G8" s="21"/>
      <c r="R8" s="22"/>
      <c r="S8" s="762"/>
      <c r="T8" s="762"/>
      <c r="U8" s="762"/>
      <c r="V8" s="762"/>
      <c r="W8" s="762"/>
      <c r="X8" s="762"/>
      <c r="Y8" s="762"/>
      <c r="Z8" s="762"/>
      <c r="AA8" s="762"/>
      <c r="AB8" s="762"/>
      <c r="AC8" s="762"/>
      <c r="AD8" s="557"/>
      <c r="AE8" s="762"/>
      <c r="AF8" s="762"/>
      <c r="AG8" s="762"/>
      <c r="AH8" s="762"/>
      <c r="AI8" s="762"/>
      <c r="AJ8" s="762"/>
      <c r="AK8" s="762"/>
      <c r="AL8" s="762"/>
      <c r="AM8" s="762"/>
      <c r="AN8" s="762"/>
      <c r="AO8" s="762"/>
      <c r="AP8" s="22"/>
      <c r="BB8" s="22"/>
      <c r="BN8" s="22"/>
      <c r="BZ8" s="22"/>
      <c r="CL8" s="22"/>
    </row>
    <row r="9" spans="2:90" customFormat="1" ht="19" x14ac:dyDescent="0.25">
      <c r="B9" s="90" t="s">
        <v>127</v>
      </c>
      <c r="C9" s="91">
        <v>185000</v>
      </c>
      <c r="D9" s="92">
        <v>8.6999999999999994E-2</v>
      </c>
      <c r="E9" s="22">
        <v>60</v>
      </c>
      <c r="F9" s="22"/>
      <c r="G9" s="73"/>
      <c r="H9" s="63"/>
      <c r="I9" s="63"/>
      <c r="J9" s="63"/>
      <c r="K9" s="63"/>
      <c r="L9" s="63"/>
      <c r="M9" s="63"/>
      <c r="N9" s="63"/>
      <c r="O9" s="63"/>
      <c r="P9" s="63"/>
      <c r="Q9" s="63"/>
      <c r="R9" s="74"/>
      <c r="S9" s="763"/>
      <c r="T9" s="763"/>
      <c r="U9" s="763"/>
      <c r="V9" s="763"/>
      <c r="W9" s="763"/>
      <c r="X9" s="763"/>
      <c r="Y9" s="763"/>
      <c r="Z9" s="763"/>
      <c r="AA9" s="763"/>
      <c r="AB9" s="763"/>
      <c r="AC9" s="763"/>
      <c r="AD9" s="574"/>
      <c r="AE9" s="763"/>
      <c r="AF9" s="763"/>
      <c r="AG9" s="763"/>
      <c r="AH9" s="763"/>
      <c r="AI9" s="763"/>
      <c r="AJ9" s="763"/>
      <c r="AK9" s="763"/>
      <c r="AL9" s="763"/>
      <c r="AM9" s="763"/>
      <c r="AN9" s="763"/>
      <c r="AO9" s="763"/>
      <c r="AP9" s="74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74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74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74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74"/>
    </row>
    <row r="10" spans="2:90" customFormat="1" ht="19" x14ac:dyDescent="0.25">
      <c r="B10" s="90"/>
      <c r="C10" s="91"/>
      <c r="D10" s="92"/>
      <c r="E10" s="22" t="s">
        <v>238</v>
      </c>
      <c r="F10" s="22"/>
      <c r="G10" s="73"/>
      <c r="H10" s="63"/>
      <c r="I10" s="63"/>
      <c r="J10" s="63"/>
      <c r="K10" s="63"/>
      <c r="L10" s="63"/>
      <c r="M10" s="63"/>
      <c r="N10" s="63"/>
      <c r="O10" s="63"/>
      <c r="P10" s="63"/>
      <c r="Q10" s="63">
        <v>185000</v>
      </c>
      <c r="R10" s="74">
        <v>185000</v>
      </c>
      <c r="S10" s="763">
        <v>185000</v>
      </c>
      <c r="T10" s="763">
        <v>185000</v>
      </c>
      <c r="U10" s="763">
        <v>185000</v>
      </c>
      <c r="V10" s="763">
        <v>185000</v>
      </c>
      <c r="W10" s="763">
        <v>185000</v>
      </c>
      <c r="X10" s="763">
        <f>+W10+W11</f>
        <v>185000</v>
      </c>
      <c r="Y10" s="763">
        <f t="shared" ref="Y10:AA10" si="0">+X10+X11</f>
        <v>185000</v>
      </c>
      <c r="Z10" s="763">
        <f t="shared" si="0"/>
        <v>185000</v>
      </c>
      <c r="AA10" s="763">
        <f t="shared" si="0"/>
        <v>185000</v>
      </c>
      <c r="AB10" s="763">
        <f t="shared" ref="AB10:BB10" si="1">+AA10+AA11</f>
        <v>185000</v>
      </c>
      <c r="AC10" s="763">
        <f t="shared" si="1"/>
        <v>185000</v>
      </c>
      <c r="AD10" s="574">
        <f t="shared" si="1"/>
        <v>185000</v>
      </c>
      <c r="AE10" s="763">
        <f t="shared" si="1"/>
        <v>185000</v>
      </c>
      <c r="AF10" s="763">
        <f t="shared" si="1"/>
        <v>185000</v>
      </c>
      <c r="AG10" s="763">
        <f t="shared" si="1"/>
        <v>185000</v>
      </c>
      <c r="AH10" s="763">
        <f t="shared" si="1"/>
        <v>179800</v>
      </c>
      <c r="AI10" s="763">
        <f t="shared" si="1"/>
        <v>174600</v>
      </c>
      <c r="AJ10" s="763">
        <f t="shared" si="1"/>
        <v>169400</v>
      </c>
      <c r="AK10" s="763">
        <f t="shared" si="1"/>
        <v>164200</v>
      </c>
      <c r="AL10" s="763">
        <f t="shared" si="1"/>
        <v>159000</v>
      </c>
      <c r="AM10" s="763">
        <f t="shared" si="1"/>
        <v>153800</v>
      </c>
      <c r="AN10" s="763">
        <f t="shared" si="1"/>
        <v>148600</v>
      </c>
      <c r="AO10" s="763">
        <f t="shared" si="1"/>
        <v>143400</v>
      </c>
      <c r="AP10" s="74">
        <f t="shared" si="1"/>
        <v>138200</v>
      </c>
      <c r="AQ10" s="63">
        <f t="shared" si="1"/>
        <v>133000</v>
      </c>
      <c r="AR10" s="63">
        <f t="shared" si="1"/>
        <v>127800</v>
      </c>
      <c r="AS10" s="63">
        <f t="shared" si="1"/>
        <v>122600</v>
      </c>
      <c r="AT10" s="63">
        <f t="shared" si="1"/>
        <v>117400</v>
      </c>
      <c r="AU10" s="63">
        <f t="shared" si="1"/>
        <v>112200</v>
      </c>
      <c r="AV10" s="63">
        <f t="shared" si="1"/>
        <v>107000</v>
      </c>
      <c r="AW10" s="63">
        <f t="shared" si="1"/>
        <v>101800</v>
      </c>
      <c r="AX10" s="63">
        <f t="shared" si="1"/>
        <v>96600</v>
      </c>
      <c r="AY10" s="63">
        <f t="shared" si="1"/>
        <v>91400</v>
      </c>
      <c r="AZ10" s="63">
        <f t="shared" si="1"/>
        <v>86200</v>
      </c>
      <c r="BA10" s="63">
        <f t="shared" si="1"/>
        <v>81000</v>
      </c>
      <c r="BB10" s="74">
        <f t="shared" si="1"/>
        <v>75800</v>
      </c>
      <c r="BC10" s="63">
        <f t="shared" ref="BC10" si="2">+BB10+BB11</f>
        <v>70600</v>
      </c>
      <c r="BD10" s="63">
        <f t="shared" ref="BD10" si="3">+BC10+BC11</f>
        <v>65400</v>
      </c>
      <c r="BE10" s="63">
        <f t="shared" ref="BE10" si="4">+BD10+BD11</f>
        <v>60200</v>
      </c>
      <c r="BF10" s="63">
        <f t="shared" ref="BF10" si="5">+BE10+BE11</f>
        <v>55000</v>
      </c>
      <c r="BG10" s="63">
        <f t="shared" ref="BG10" si="6">+BF10+BF11</f>
        <v>49800</v>
      </c>
      <c r="BH10" s="63">
        <f t="shared" ref="BH10" si="7">+BG10+BG11</f>
        <v>44600</v>
      </c>
      <c r="BI10" s="63">
        <f t="shared" ref="BI10" si="8">+BH10+BH11</f>
        <v>39400</v>
      </c>
      <c r="BJ10" s="63">
        <f t="shared" ref="BJ10" si="9">+BI10+BI11</f>
        <v>34200</v>
      </c>
      <c r="BK10" s="63">
        <f t="shared" ref="BK10" si="10">+BJ10+BJ11</f>
        <v>29000</v>
      </c>
      <c r="BL10" s="63">
        <f t="shared" ref="BL10" si="11">+BK10+BK11</f>
        <v>23800</v>
      </c>
      <c r="BM10" s="63">
        <f t="shared" ref="BM10" si="12">+BL10+BL11</f>
        <v>18600</v>
      </c>
      <c r="BN10" s="74">
        <f t="shared" ref="BN10" si="13">+BM10+BM11</f>
        <v>13400</v>
      </c>
      <c r="BO10" s="63">
        <f t="shared" ref="BO10" si="14">+BN10+BN11</f>
        <v>8200</v>
      </c>
      <c r="BP10" s="63">
        <f t="shared" ref="BP10" si="15">+BO10+BO11</f>
        <v>3000</v>
      </c>
      <c r="BQ10" s="63"/>
      <c r="BR10" s="63"/>
      <c r="BS10" s="63"/>
      <c r="BT10" s="63"/>
      <c r="BU10" s="63"/>
      <c r="BV10" s="63"/>
      <c r="BW10" s="63"/>
      <c r="BX10" s="63"/>
      <c r="BY10" s="63"/>
      <c r="BZ10" s="74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74"/>
    </row>
    <row r="11" spans="2:90" customFormat="1" ht="19" x14ac:dyDescent="0.25">
      <c r="B11" s="90"/>
      <c r="C11" s="91"/>
      <c r="D11" s="92"/>
      <c r="E11" s="22" t="s">
        <v>236</v>
      </c>
      <c r="F11" s="22"/>
      <c r="G11" s="73"/>
      <c r="H11" s="63"/>
      <c r="I11" s="63"/>
      <c r="J11" s="63"/>
      <c r="K11" s="63"/>
      <c r="L11" s="63"/>
      <c r="M11" s="63"/>
      <c r="N11" s="63"/>
      <c r="O11" s="63"/>
      <c r="P11" s="63"/>
      <c r="Q11" s="487">
        <v>0</v>
      </c>
      <c r="R11" s="764">
        <v>0</v>
      </c>
      <c r="S11" s="770">
        <v>0</v>
      </c>
      <c r="T11" s="770">
        <v>0</v>
      </c>
      <c r="U11" s="770">
        <v>0</v>
      </c>
      <c r="V11" s="770">
        <v>0</v>
      </c>
      <c r="W11" s="771">
        <v>0</v>
      </c>
      <c r="X11" s="771">
        <f>W11</f>
        <v>0</v>
      </c>
      <c r="Y11" s="771">
        <f t="shared" ref="Y11:BB11" si="16">X11</f>
        <v>0</v>
      </c>
      <c r="Z11" s="771">
        <f t="shared" si="16"/>
        <v>0</v>
      </c>
      <c r="AA11" s="771">
        <f t="shared" si="16"/>
        <v>0</v>
      </c>
      <c r="AB11" s="771">
        <f t="shared" si="16"/>
        <v>0</v>
      </c>
      <c r="AC11" s="763">
        <f t="shared" si="16"/>
        <v>0</v>
      </c>
      <c r="AD11" s="574">
        <f t="shared" si="16"/>
        <v>0</v>
      </c>
      <c r="AE11" s="763">
        <f t="shared" si="16"/>
        <v>0</v>
      </c>
      <c r="AF11" s="763">
        <f t="shared" si="16"/>
        <v>0</v>
      </c>
      <c r="AG11" s="763">
        <v>-5200</v>
      </c>
      <c r="AH11" s="763">
        <f t="shared" si="16"/>
        <v>-5200</v>
      </c>
      <c r="AI11" s="763">
        <f t="shared" si="16"/>
        <v>-5200</v>
      </c>
      <c r="AJ11" s="763">
        <f t="shared" si="16"/>
        <v>-5200</v>
      </c>
      <c r="AK11" s="763">
        <f t="shared" si="16"/>
        <v>-5200</v>
      </c>
      <c r="AL11" s="763">
        <f t="shared" si="16"/>
        <v>-5200</v>
      </c>
      <c r="AM11" s="763">
        <f t="shared" si="16"/>
        <v>-5200</v>
      </c>
      <c r="AN11" s="763">
        <f t="shared" si="16"/>
        <v>-5200</v>
      </c>
      <c r="AO11" s="763">
        <f t="shared" si="16"/>
        <v>-5200</v>
      </c>
      <c r="AP11" s="74">
        <f t="shared" si="16"/>
        <v>-5200</v>
      </c>
      <c r="AQ11" s="63">
        <f t="shared" si="16"/>
        <v>-5200</v>
      </c>
      <c r="AR11" s="63">
        <f t="shared" si="16"/>
        <v>-5200</v>
      </c>
      <c r="AS11" s="63">
        <f t="shared" si="16"/>
        <v>-5200</v>
      </c>
      <c r="AT11" s="63">
        <f t="shared" si="16"/>
        <v>-5200</v>
      </c>
      <c r="AU11" s="63">
        <f t="shared" si="16"/>
        <v>-5200</v>
      </c>
      <c r="AV11" s="63">
        <f t="shared" si="16"/>
        <v>-5200</v>
      </c>
      <c r="AW11" s="63">
        <f t="shared" si="16"/>
        <v>-5200</v>
      </c>
      <c r="AX11" s="63">
        <f t="shared" si="16"/>
        <v>-5200</v>
      </c>
      <c r="AY11" s="63">
        <f t="shared" si="16"/>
        <v>-5200</v>
      </c>
      <c r="AZ11" s="63">
        <f t="shared" si="16"/>
        <v>-5200</v>
      </c>
      <c r="BA11" s="63">
        <f t="shared" si="16"/>
        <v>-5200</v>
      </c>
      <c r="BB11" s="74">
        <f t="shared" si="16"/>
        <v>-5200</v>
      </c>
      <c r="BC11" s="63">
        <f t="shared" ref="BC11" si="17">BB11</f>
        <v>-5200</v>
      </c>
      <c r="BD11" s="63">
        <f t="shared" ref="BD11" si="18">BC11</f>
        <v>-5200</v>
      </c>
      <c r="BE11" s="63">
        <f t="shared" ref="BE11" si="19">BD11</f>
        <v>-5200</v>
      </c>
      <c r="BF11" s="63">
        <f t="shared" ref="BF11" si="20">BE11</f>
        <v>-5200</v>
      </c>
      <c r="BG11" s="63">
        <f t="shared" ref="BG11" si="21">BF11</f>
        <v>-5200</v>
      </c>
      <c r="BH11" s="63">
        <f t="shared" ref="BH11" si="22">BG11</f>
        <v>-5200</v>
      </c>
      <c r="BI11" s="63">
        <f t="shared" ref="BI11" si="23">BH11</f>
        <v>-5200</v>
      </c>
      <c r="BJ11" s="63">
        <f t="shared" ref="BJ11" si="24">BI11</f>
        <v>-5200</v>
      </c>
      <c r="BK11" s="63">
        <f t="shared" ref="BK11" si="25">BJ11</f>
        <v>-5200</v>
      </c>
      <c r="BL11" s="63">
        <f t="shared" ref="BL11" si="26">BK11</f>
        <v>-5200</v>
      </c>
      <c r="BM11" s="63">
        <f t="shared" ref="BM11" si="27">BL11</f>
        <v>-5200</v>
      </c>
      <c r="BN11" s="74">
        <f t="shared" ref="BN11" si="28">BM11</f>
        <v>-5200</v>
      </c>
      <c r="BO11" s="63">
        <f t="shared" ref="BO11" si="29">BN11</f>
        <v>-5200</v>
      </c>
      <c r="BP11" s="63">
        <v>3000</v>
      </c>
      <c r="BQ11" s="63"/>
      <c r="BR11" s="63"/>
      <c r="BS11" s="63"/>
      <c r="BT11" s="63"/>
      <c r="BU11" s="63"/>
      <c r="BV11" s="63"/>
      <c r="BW11" s="63"/>
      <c r="BX11" s="63"/>
      <c r="BY11" s="63"/>
      <c r="BZ11" s="74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74"/>
    </row>
    <row r="12" spans="2:90" customFormat="1" ht="19" x14ac:dyDescent="0.25">
      <c r="B12" s="90"/>
      <c r="C12" s="91"/>
      <c r="D12" s="92"/>
      <c r="E12" s="22" t="s">
        <v>237</v>
      </c>
      <c r="F12" s="22"/>
      <c r="G12" s="73"/>
      <c r="H12" s="63"/>
      <c r="I12" s="63"/>
      <c r="J12" s="63"/>
      <c r="K12" s="63"/>
      <c r="L12" s="63"/>
      <c r="M12" s="63"/>
      <c r="N12" s="63"/>
      <c r="O12" s="63"/>
      <c r="P12" s="63"/>
      <c r="Q12" s="63">
        <v>-1560</v>
      </c>
      <c r="R12" s="74">
        <v>-1560</v>
      </c>
      <c r="S12" s="763">
        <v>-1560</v>
      </c>
      <c r="T12" s="763">
        <v>-1560</v>
      </c>
      <c r="U12" s="763">
        <v>-1560</v>
      </c>
      <c r="V12" s="763">
        <v>-1560</v>
      </c>
      <c r="W12" s="771">
        <f>-(W10+W11)*$D$9/12</f>
        <v>-1341.2499999999998</v>
      </c>
      <c r="X12" s="771">
        <f>-(X10+X11)*$D$9/12</f>
        <v>-1341.2499999999998</v>
      </c>
      <c r="Y12" s="771">
        <f t="shared" ref="Y12:AA12" si="30">-(Y10+Y11)*$D$9/12</f>
        <v>-1341.2499999999998</v>
      </c>
      <c r="Z12" s="771">
        <f t="shared" si="30"/>
        <v>-1341.2499999999998</v>
      </c>
      <c r="AA12" s="771">
        <f t="shared" si="30"/>
        <v>-1341.2499999999998</v>
      </c>
      <c r="AB12" s="771">
        <f t="shared" ref="AB12" si="31">-(AB10+AB11)*$D$9/12</f>
        <v>-1341.2499999999998</v>
      </c>
      <c r="AC12" s="763">
        <f t="shared" ref="AC12:AD12" si="32">-(AC10+AC11)*$D$9/12</f>
        <v>-1341.2499999999998</v>
      </c>
      <c r="AD12" s="574">
        <f t="shared" si="32"/>
        <v>-1341.2499999999998</v>
      </c>
      <c r="AE12" s="763">
        <f t="shared" ref="AE12" si="33">-(AE10+AE11)*$D$9/12</f>
        <v>-1341.2499999999998</v>
      </c>
      <c r="AF12" s="763">
        <f t="shared" ref="AF12:AG12" si="34">-(AF10+AF11)*$D$9/12</f>
        <v>-1341.2499999999998</v>
      </c>
      <c r="AG12" s="763">
        <f t="shared" si="34"/>
        <v>-1303.55</v>
      </c>
      <c r="AH12" s="763">
        <f t="shared" ref="AH12" si="35">-(AH10+AH11)*$D$9/12</f>
        <v>-1265.8499999999999</v>
      </c>
      <c r="AI12" s="763">
        <f t="shared" ref="AI12:AJ12" si="36">-(AI10+AI11)*$D$9/12</f>
        <v>-1228.1499999999999</v>
      </c>
      <c r="AJ12" s="763">
        <f t="shared" si="36"/>
        <v>-1190.45</v>
      </c>
      <c r="AK12" s="763">
        <f t="shared" ref="AK12" si="37">-(AK10+AK11)*$D$9/12</f>
        <v>-1152.7499999999998</v>
      </c>
      <c r="AL12" s="763">
        <f t="shared" ref="AL12:AM12" si="38">-(AL10+AL11)*$D$9/12</f>
        <v>-1115.05</v>
      </c>
      <c r="AM12" s="763">
        <f t="shared" si="38"/>
        <v>-1077.3499999999999</v>
      </c>
      <c r="AN12" s="763">
        <f t="shared" ref="AN12" si="39">-(AN10+AN11)*$D$9/12</f>
        <v>-1039.6499999999999</v>
      </c>
      <c r="AO12" s="763">
        <f t="shared" ref="AO12:AP12" si="40">-(AO10+AO11)*$D$9/12</f>
        <v>-1001.9499999999999</v>
      </c>
      <c r="AP12" s="74">
        <f t="shared" si="40"/>
        <v>-964.25</v>
      </c>
      <c r="AQ12" s="63">
        <f t="shared" ref="AQ12" si="41">-(AQ10+AQ11)*$D$9/12</f>
        <v>-926.54999999999984</v>
      </c>
      <c r="AR12" s="63">
        <f t="shared" ref="AR12:AS12" si="42">-(AR10+AR11)*$D$9/12</f>
        <v>-888.84999999999991</v>
      </c>
      <c r="AS12" s="63">
        <f t="shared" si="42"/>
        <v>-851.15</v>
      </c>
      <c r="AT12" s="63">
        <f t="shared" ref="AT12" si="43">-(AT10+AT11)*$D$9/12</f>
        <v>-813.44999999999993</v>
      </c>
      <c r="AU12" s="63">
        <f t="shared" ref="AU12:AV12" si="44">-(AU10+AU11)*$D$9/12</f>
        <v>-775.75</v>
      </c>
      <c r="AV12" s="63">
        <f t="shared" si="44"/>
        <v>-738.04999999999984</v>
      </c>
      <c r="AW12" s="63">
        <f t="shared" ref="AW12" si="45">-(AW10+AW11)*$D$9/12</f>
        <v>-700.34999999999991</v>
      </c>
      <c r="AX12" s="63">
        <f t="shared" ref="AX12:AY12" si="46">-(AX10+AX11)*$D$9/12</f>
        <v>-662.65</v>
      </c>
      <c r="AY12" s="63">
        <f t="shared" si="46"/>
        <v>-624.94999999999993</v>
      </c>
      <c r="AZ12" s="63">
        <f t="shared" ref="AZ12" si="47">-(AZ10+AZ11)*$D$9/12</f>
        <v>-587.24999999999989</v>
      </c>
      <c r="BA12" s="63">
        <f t="shared" ref="BA12:BL12" si="48">-(BA10+BA11)*$D$9/12</f>
        <v>-549.54999999999995</v>
      </c>
      <c r="BB12" s="74">
        <f t="shared" si="48"/>
        <v>-511.84999999999997</v>
      </c>
      <c r="BC12" s="63">
        <f t="shared" si="48"/>
        <v>-474.14999999999992</v>
      </c>
      <c r="BD12" s="63">
        <f t="shared" si="48"/>
        <v>-436.45</v>
      </c>
      <c r="BE12" s="63">
        <f t="shared" si="48"/>
        <v>-398.75</v>
      </c>
      <c r="BF12" s="63">
        <f t="shared" si="48"/>
        <v>-361.04999999999995</v>
      </c>
      <c r="BG12" s="63">
        <f t="shared" si="48"/>
        <v>-323.34999999999997</v>
      </c>
      <c r="BH12" s="63">
        <f t="shared" si="48"/>
        <v>-285.64999999999998</v>
      </c>
      <c r="BI12" s="63">
        <f t="shared" si="48"/>
        <v>-247.94999999999996</v>
      </c>
      <c r="BJ12" s="63">
        <f t="shared" si="48"/>
        <v>-210.25</v>
      </c>
      <c r="BK12" s="63">
        <f t="shared" si="48"/>
        <v>-172.54999999999998</v>
      </c>
      <c r="BL12" s="63">
        <f t="shared" si="48"/>
        <v>-134.85</v>
      </c>
      <c r="BM12" s="63">
        <f t="shared" ref="BM12:BX12" si="49">-(BM10+BM11)*$D$9/12</f>
        <v>-97.149999999999991</v>
      </c>
      <c r="BN12" s="74">
        <f t="shared" si="49"/>
        <v>-59.449999999999996</v>
      </c>
      <c r="BO12" s="63">
        <f t="shared" si="49"/>
        <v>-21.75</v>
      </c>
      <c r="BP12" s="63">
        <v>0</v>
      </c>
      <c r="BQ12" s="63"/>
      <c r="BR12" s="63"/>
      <c r="BS12" s="63"/>
      <c r="BT12" s="63"/>
      <c r="BU12" s="63"/>
      <c r="BV12" s="63"/>
      <c r="BW12" s="63"/>
      <c r="BX12" s="63"/>
      <c r="BY12" s="63"/>
      <c r="BZ12" s="74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74"/>
    </row>
    <row r="13" spans="2:90" customFormat="1" ht="19" x14ac:dyDescent="0.25">
      <c r="B13" s="90"/>
      <c r="C13" s="91"/>
      <c r="D13" s="92"/>
      <c r="E13" s="22"/>
      <c r="F13" s="22"/>
      <c r="G13" s="7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74"/>
      <c r="S13" s="763"/>
      <c r="T13" s="763"/>
      <c r="U13" s="763"/>
      <c r="V13" s="763"/>
      <c r="W13" s="771"/>
      <c r="X13" s="771"/>
      <c r="Y13" s="771"/>
      <c r="Z13" s="771"/>
      <c r="AA13" s="771"/>
      <c r="AB13" s="771"/>
      <c r="AC13" s="763"/>
      <c r="AD13" s="574"/>
      <c r="AE13" s="763"/>
      <c r="AF13" s="763"/>
      <c r="AG13" s="763"/>
      <c r="AH13" s="763"/>
      <c r="AI13" s="763"/>
      <c r="AJ13" s="763"/>
      <c r="AK13" s="763"/>
      <c r="AL13" s="763"/>
      <c r="AM13" s="763"/>
      <c r="AN13" s="763"/>
      <c r="AO13" s="763"/>
      <c r="AP13" s="74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74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74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74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74"/>
    </row>
    <row r="14" spans="2:90" customFormat="1" ht="19" x14ac:dyDescent="0.25">
      <c r="B14" s="90"/>
      <c r="C14" s="91"/>
      <c r="D14" s="92"/>
      <c r="E14" s="22"/>
      <c r="F14" s="22"/>
      <c r="G14" s="7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74"/>
      <c r="S14" s="763"/>
      <c r="T14" s="763"/>
      <c r="U14" s="763"/>
      <c r="V14" s="763"/>
      <c r="W14" s="771"/>
      <c r="X14" s="771"/>
      <c r="Y14" s="771"/>
      <c r="Z14" s="771"/>
      <c r="AA14" s="771"/>
      <c r="AB14" s="771"/>
      <c r="AC14" s="763"/>
      <c r="AD14" s="574"/>
      <c r="AE14" s="763"/>
      <c r="AF14" s="763"/>
      <c r="AG14" s="763"/>
      <c r="AH14" s="763"/>
      <c r="AI14" s="763"/>
      <c r="AJ14" s="763"/>
      <c r="AK14" s="763"/>
      <c r="AL14" s="763"/>
      <c r="AM14" s="763"/>
      <c r="AN14" s="763"/>
      <c r="AO14" s="763"/>
      <c r="AP14" s="74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74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74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74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74"/>
    </row>
    <row r="15" spans="2:90" customFormat="1" ht="19" x14ac:dyDescent="0.25">
      <c r="B15" s="90" t="s">
        <v>128</v>
      </c>
      <c r="C15" s="306">
        <v>216000</v>
      </c>
      <c r="D15" s="92">
        <v>0.09</v>
      </c>
      <c r="E15" s="22">
        <v>48</v>
      </c>
      <c r="F15" s="22"/>
      <c r="G15" s="7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74"/>
      <c r="S15" s="763"/>
      <c r="T15" s="763"/>
      <c r="U15" s="763"/>
      <c r="V15" s="763"/>
      <c r="W15" s="771"/>
      <c r="X15" s="771"/>
      <c r="Y15" s="771"/>
      <c r="Z15" s="771"/>
      <c r="AA15" s="771"/>
      <c r="AB15" s="771"/>
      <c r="AC15" s="763"/>
      <c r="AD15" s="574"/>
      <c r="AE15" s="763"/>
      <c r="AF15" s="763"/>
      <c r="AG15" s="763"/>
      <c r="AH15" s="763"/>
      <c r="AI15" s="763"/>
      <c r="AJ15" s="763"/>
      <c r="AK15" s="763"/>
      <c r="AL15" s="763"/>
      <c r="AM15" s="763"/>
      <c r="AN15" s="763"/>
      <c r="AO15" s="763"/>
      <c r="AP15" s="74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74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74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74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74"/>
    </row>
    <row r="16" spans="2:90" customFormat="1" ht="19" x14ac:dyDescent="0.25">
      <c r="B16" s="90"/>
      <c r="C16" s="91" t="s">
        <v>339</v>
      </c>
      <c r="D16" s="92"/>
      <c r="E16" s="22" t="s">
        <v>238</v>
      </c>
      <c r="F16" s="22"/>
      <c r="G16" s="73"/>
      <c r="H16" s="63"/>
      <c r="I16" s="63"/>
      <c r="J16" s="63"/>
      <c r="K16" s="63"/>
      <c r="L16" s="63"/>
      <c r="M16" s="63"/>
      <c r="N16" s="63"/>
      <c r="O16" s="63"/>
      <c r="P16" s="63"/>
      <c r="Q16" s="63">
        <v>236000</v>
      </c>
      <c r="R16" s="74">
        <v>236000</v>
      </c>
      <c r="S16" s="763">
        <v>236000</v>
      </c>
      <c r="T16" s="763">
        <v>236000</v>
      </c>
      <c r="U16" s="763">
        <v>236000</v>
      </c>
      <c r="V16" s="763">
        <v>236000</v>
      </c>
      <c r="W16" s="771">
        <v>236000</v>
      </c>
      <c r="X16" s="771">
        <f>+W16+W17</f>
        <v>230800</v>
      </c>
      <c r="Y16" s="771">
        <f t="shared" ref="Y16" si="50">+X16+X17</f>
        <v>225600</v>
      </c>
      <c r="Z16" s="771">
        <f t="shared" ref="Z16" si="51">+Y16+Y17</f>
        <v>220400</v>
      </c>
      <c r="AA16" s="771">
        <f t="shared" ref="AA16" si="52">+Z16+Z17</f>
        <v>215200</v>
      </c>
      <c r="AB16" s="771">
        <f t="shared" ref="AB16" si="53">+AA16+AA17</f>
        <v>210000</v>
      </c>
      <c r="AC16" s="763">
        <f t="shared" ref="AC16" si="54">+AB16+AB17</f>
        <v>204800</v>
      </c>
      <c r="AD16" s="574">
        <f t="shared" ref="AD16" si="55">+AC16+AC17</f>
        <v>199600</v>
      </c>
      <c r="AE16" s="763">
        <f t="shared" ref="AE16" si="56">+AD16+AD17</f>
        <v>194400</v>
      </c>
      <c r="AF16" s="763">
        <f t="shared" ref="AF16" si="57">+AE16+AE17</f>
        <v>189200</v>
      </c>
      <c r="AG16" s="763">
        <f t="shared" ref="AG16" si="58">+AF16+AF17</f>
        <v>184000</v>
      </c>
      <c r="AH16" s="763">
        <f t="shared" ref="AH16" si="59">+AG16+AG17</f>
        <v>178800</v>
      </c>
      <c r="AI16" s="763">
        <f t="shared" ref="AI16" si="60">+AH16+AH17</f>
        <v>173600</v>
      </c>
      <c r="AJ16" s="763">
        <f t="shared" ref="AJ16" si="61">+AI16+AI17</f>
        <v>168400</v>
      </c>
      <c r="AK16" s="763">
        <f t="shared" ref="AK16" si="62">+AJ16+AJ17</f>
        <v>163200</v>
      </c>
      <c r="AL16" s="763">
        <f t="shared" ref="AL16" si="63">+AK16+AK17</f>
        <v>158000</v>
      </c>
      <c r="AM16" s="763">
        <f t="shared" ref="AM16" si="64">+AL16+AL17</f>
        <v>152800</v>
      </c>
      <c r="AN16" s="763">
        <f t="shared" ref="AN16" si="65">+AM16+AM17</f>
        <v>147600</v>
      </c>
      <c r="AO16" s="763">
        <f t="shared" ref="AO16" si="66">+AN16+AN17</f>
        <v>142400</v>
      </c>
      <c r="AP16" s="74">
        <f t="shared" ref="AP16" si="67">+AO16+AO17</f>
        <v>137200</v>
      </c>
      <c r="AQ16" s="63">
        <f t="shared" ref="AQ16" si="68">+AP16+AP17</f>
        <v>132000</v>
      </c>
      <c r="AR16" s="63">
        <f t="shared" ref="AR16" si="69">+AQ16+AQ17</f>
        <v>126800</v>
      </c>
      <c r="AS16" s="63">
        <f t="shared" ref="AS16" si="70">+AR16+AR17</f>
        <v>121600</v>
      </c>
      <c r="AT16" s="63">
        <f t="shared" ref="AT16" si="71">+AS16+AS17</f>
        <v>116400</v>
      </c>
      <c r="AU16" s="63">
        <f t="shared" ref="AU16" si="72">+AT16+AT17</f>
        <v>111200</v>
      </c>
      <c r="AV16" s="63">
        <f t="shared" ref="AV16" si="73">+AU16+AU17</f>
        <v>106000</v>
      </c>
      <c r="AW16" s="63">
        <f t="shared" ref="AW16" si="74">+AV16+AV17</f>
        <v>100800</v>
      </c>
      <c r="AX16" s="63">
        <f t="shared" ref="AX16" si="75">+AW16+AW17</f>
        <v>95600</v>
      </c>
      <c r="AY16" s="63">
        <f t="shared" ref="AY16" si="76">+AX16+AX17</f>
        <v>90400</v>
      </c>
      <c r="AZ16" s="63">
        <f t="shared" ref="AZ16" si="77">+AY16+AY17</f>
        <v>85200</v>
      </c>
      <c r="BA16" s="63">
        <f t="shared" ref="BA16" si="78">+AZ16+AZ17</f>
        <v>80000</v>
      </c>
      <c r="BB16" s="74">
        <f t="shared" ref="BB16" si="79">+BA16+BA17</f>
        <v>74800</v>
      </c>
      <c r="BC16" s="63">
        <f t="shared" ref="BC16" si="80">+BB16+BB17</f>
        <v>69600</v>
      </c>
      <c r="BD16" s="63">
        <f t="shared" ref="BD16" si="81">+BC16+BC17</f>
        <v>64400</v>
      </c>
      <c r="BE16" s="63">
        <f t="shared" ref="BE16" si="82">+BD16+BD17</f>
        <v>59200</v>
      </c>
      <c r="BF16" s="63">
        <f t="shared" ref="BF16" si="83">+BE16+BE17</f>
        <v>54000</v>
      </c>
      <c r="BG16" s="63">
        <f t="shared" ref="BG16" si="84">+BF16+BF17</f>
        <v>48800</v>
      </c>
      <c r="BH16" s="63">
        <f t="shared" ref="BH16" si="85">+BG16+BG17</f>
        <v>43600</v>
      </c>
      <c r="BI16" s="63">
        <f t="shared" ref="BI16" si="86">+BH16+BH17</f>
        <v>38400</v>
      </c>
      <c r="BJ16" s="63">
        <f t="shared" ref="BJ16" si="87">+BI16+BI17</f>
        <v>33200</v>
      </c>
      <c r="BK16" s="63">
        <f t="shared" ref="BK16" si="88">+BJ16+BJ17</f>
        <v>28000</v>
      </c>
      <c r="BL16" s="63">
        <f t="shared" ref="BL16" si="89">+BK16+BK17</f>
        <v>22800</v>
      </c>
      <c r="BM16" s="63">
        <f t="shared" ref="BM16" si="90">+BL16+BL17</f>
        <v>17600</v>
      </c>
      <c r="BN16" s="74">
        <f t="shared" ref="BN16" si="91">+BM16+BM17</f>
        <v>12400</v>
      </c>
      <c r="BO16" s="63">
        <f t="shared" ref="BO16" si="92">+BN16+BN17</f>
        <v>7200</v>
      </c>
      <c r="BP16" s="63">
        <f t="shared" ref="BP16" si="93">+BO16+BO17</f>
        <v>2000</v>
      </c>
      <c r="BQ16" s="63"/>
      <c r="BR16" s="63"/>
      <c r="BS16" s="63"/>
      <c r="BT16" s="63"/>
      <c r="BU16" s="63"/>
      <c r="BV16" s="63"/>
      <c r="BW16" s="63"/>
      <c r="BX16" s="63"/>
      <c r="BY16" s="63"/>
      <c r="BZ16" s="74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74"/>
    </row>
    <row r="17" spans="2:90" customFormat="1" ht="19" x14ac:dyDescent="0.25">
      <c r="B17" s="90"/>
      <c r="C17" s="91"/>
      <c r="D17" s="92"/>
      <c r="E17" s="22" t="s">
        <v>236</v>
      </c>
      <c r="F17" s="22"/>
      <c r="G17" s="73"/>
      <c r="H17" s="63"/>
      <c r="I17" s="63"/>
      <c r="J17" s="63"/>
      <c r="K17" s="63"/>
      <c r="L17" s="63"/>
      <c r="M17" s="63"/>
      <c r="N17" s="63"/>
      <c r="O17" s="63"/>
      <c r="P17" s="63"/>
      <c r="Q17" s="487">
        <v>0</v>
      </c>
      <c r="R17" s="764">
        <v>0</v>
      </c>
      <c r="S17" s="770">
        <v>0</v>
      </c>
      <c r="T17" s="770">
        <v>0</v>
      </c>
      <c r="U17" s="770">
        <v>0</v>
      </c>
      <c r="V17" s="770">
        <v>0</v>
      </c>
      <c r="W17" s="771">
        <v>-5200</v>
      </c>
      <c r="X17" s="771">
        <f>W17</f>
        <v>-5200</v>
      </c>
      <c r="Y17" s="771">
        <f t="shared" ref="Y17" si="94">X17</f>
        <v>-5200</v>
      </c>
      <c r="Z17" s="771">
        <f t="shared" ref="Z17" si="95">Y17</f>
        <v>-5200</v>
      </c>
      <c r="AA17" s="771">
        <f t="shared" ref="AA17" si="96">Z17</f>
        <v>-5200</v>
      </c>
      <c r="AB17" s="771">
        <f t="shared" ref="AB17" si="97">AA17</f>
        <v>-5200</v>
      </c>
      <c r="AC17" s="763">
        <f t="shared" ref="AC17" si="98">AB17</f>
        <v>-5200</v>
      </c>
      <c r="AD17" s="574">
        <f t="shared" ref="AD17" si="99">AC17</f>
        <v>-5200</v>
      </c>
      <c r="AE17" s="763">
        <f t="shared" ref="AE17" si="100">AD17</f>
        <v>-5200</v>
      </c>
      <c r="AF17" s="763">
        <f t="shared" ref="AF17" si="101">AE17</f>
        <v>-5200</v>
      </c>
      <c r="AG17" s="763">
        <f t="shared" ref="AG17" si="102">AF17</f>
        <v>-5200</v>
      </c>
      <c r="AH17" s="763">
        <f t="shared" ref="AH17" si="103">AG17</f>
        <v>-5200</v>
      </c>
      <c r="AI17" s="763">
        <f t="shared" ref="AI17" si="104">AH17</f>
        <v>-5200</v>
      </c>
      <c r="AJ17" s="763">
        <f t="shared" ref="AJ17" si="105">AI17</f>
        <v>-5200</v>
      </c>
      <c r="AK17" s="763">
        <f t="shared" ref="AK17" si="106">AJ17</f>
        <v>-5200</v>
      </c>
      <c r="AL17" s="763">
        <f t="shared" ref="AL17" si="107">AK17</f>
        <v>-5200</v>
      </c>
      <c r="AM17" s="763">
        <f t="shared" ref="AM17" si="108">AL17</f>
        <v>-5200</v>
      </c>
      <c r="AN17" s="763">
        <f t="shared" ref="AN17" si="109">AM17</f>
        <v>-5200</v>
      </c>
      <c r="AO17" s="763">
        <f t="shared" ref="AO17" si="110">AN17</f>
        <v>-5200</v>
      </c>
      <c r="AP17" s="74">
        <f t="shared" ref="AP17" si="111">AO17</f>
        <v>-5200</v>
      </c>
      <c r="AQ17" s="63">
        <f t="shared" ref="AQ17" si="112">AP17</f>
        <v>-5200</v>
      </c>
      <c r="AR17" s="63">
        <f t="shared" ref="AR17" si="113">AQ17</f>
        <v>-5200</v>
      </c>
      <c r="AS17" s="63">
        <f t="shared" ref="AS17" si="114">AR17</f>
        <v>-5200</v>
      </c>
      <c r="AT17" s="63">
        <f t="shared" ref="AT17" si="115">AS17</f>
        <v>-5200</v>
      </c>
      <c r="AU17" s="63">
        <f t="shared" ref="AU17" si="116">AT17</f>
        <v>-5200</v>
      </c>
      <c r="AV17" s="63">
        <f t="shared" ref="AV17" si="117">AU17</f>
        <v>-5200</v>
      </c>
      <c r="AW17" s="63">
        <f t="shared" ref="AW17" si="118">AV17</f>
        <v>-5200</v>
      </c>
      <c r="AX17" s="63">
        <f t="shared" ref="AX17" si="119">AW17</f>
        <v>-5200</v>
      </c>
      <c r="AY17" s="63">
        <f t="shared" ref="AY17" si="120">AX17</f>
        <v>-5200</v>
      </c>
      <c r="AZ17" s="63">
        <f t="shared" ref="AZ17" si="121">AY17</f>
        <v>-5200</v>
      </c>
      <c r="BA17" s="63">
        <f t="shared" ref="BA17" si="122">AZ17</f>
        <v>-5200</v>
      </c>
      <c r="BB17" s="74">
        <f t="shared" ref="BB17" si="123">BA17</f>
        <v>-5200</v>
      </c>
      <c r="BC17" s="63">
        <f t="shared" ref="BC17" si="124">BB17</f>
        <v>-5200</v>
      </c>
      <c r="BD17" s="63">
        <f t="shared" ref="BD17" si="125">BC17</f>
        <v>-5200</v>
      </c>
      <c r="BE17" s="63">
        <f t="shared" ref="BE17" si="126">BD17</f>
        <v>-5200</v>
      </c>
      <c r="BF17" s="63">
        <f t="shared" ref="BF17" si="127">BE17</f>
        <v>-5200</v>
      </c>
      <c r="BG17" s="63">
        <f t="shared" ref="BG17" si="128">BF17</f>
        <v>-5200</v>
      </c>
      <c r="BH17" s="63">
        <f t="shared" ref="BH17" si="129">BG17</f>
        <v>-5200</v>
      </c>
      <c r="BI17" s="63">
        <f t="shared" ref="BI17" si="130">BH17</f>
        <v>-5200</v>
      </c>
      <c r="BJ17" s="63">
        <f t="shared" ref="BJ17" si="131">BI17</f>
        <v>-5200</v>
      </c>
      <c r="BK17" s="63">
        <f t="shared" ref="BK17" si="132">BJ17</f>
        <v>-5200</v>
      </c>
      <c r="BL17" s="63">
        <f t="shared" ref="BL17" si="133">BK17</f>
        <v>-5200</v>
      </c>
      <c r="BM17" s="63">
        <f t="shared" ref="BM17" si="134">BL17</f>
        <v>-5200</v>
      </c>
      <c r="BN17" s="74">
        <f t="shared" ref="BN17" si="135">BM17</f>
        <v>-5200</v>
      </c>
      <c r="BO17" s="63">
        <f t="shared" ref="BO17" si="136">BN17</f>
        <v>-5200</v>
      </c>
      <c r="BP17" s="63">
        <v>2000</v>
      </c>
      <c r="BQ17" s="63"/>
      <c r="BR17" s="63"/>
      <c r="BS17" s="63"/>
      <c r="BT17" s="63"/>
      <c r="BU17" s="63"/>
      <c r="BV17" s="63"/>
      <c r="BW17" s="63"/>
      <c r="BX17" s="63"/>
      <c r="BY17" s="63"/>
      <c r="BZ17" s="74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74"/>
    </row>
    <row r="18" spans="2:90" customFormat="1" ht="19" x14ac:dyDescent="0.25">
      <c r="B18" s="90"/>
      <c r="C18" s="91"/>
      <c r="D18" s="92"/>
      <c r="E18" s="22" t="s">
        <v>237</v>
      </c>
      <c r="F18" s="22"/>
      <c r="G18" s="73"/>
      <c r="H18" s="63"/>
      <c r="I18" s="63"/>
      <c r="J18" s="63"/>
      <c r="K18" s="63"/>
      <c r="L18" s="63"/>
      <c r="M18" s="63"/>
      <c r="N18" s="63"/>
      <c r="O18" s="63"/>
      <c r="P18" s="63"/>
      <c r="Q18" s="63">
        <f>Q16*$D15/12</f>
        <v>1770</v>
      </c>
      <c r="R18" s="74">
        <v>-1560</v>
      </c>
      <c r="S18" s="763">
        <v>-1560</v>
      </c>
      <c r="T18" s="763">
        <v>-1560</v>
      </c>
      <c r="U18" s="763">
        <v>-1560</v>
      </c>
      <c r="V18" s="763">
        <v>-1560</v>
      </c>
      <c r="W18" s="763">
        <f>-(W16+W17)*$D$15/12</f>
        <v>-1731</v>
      </c>
      <c r="X18" s="763">
        <f t="shared" ref="X18:CI18" si="137">-(X16+X17)*$D$15/12</f>
        <v>-1692</v>
      </c>
      <c r="Y18" s="763">
        <f t="shared" si="137"/>
        <v>-1653</v>
      </c>
      <c r="Z18" s="763">
        <f t="shared" si="137"/>
        <v>-1614</v>
      </c>
      <c r="AA18" s="763">
        <f t="shared" si="137"/>
        <v>-1575</v>
      </c>
      <c r="AB18" s="763">
        <f t="shared" si="137"/>
        <v>-1536</v>
      </c>
      <c r="AC18" s="763">
        <f t="shared" si="137"/>
        <v>-1497</v>
      </c>
      <c r="AD18" s="574">
        <f t="shared" si="137"/>
        <v>-1458</v>
      </c>
      <c r="AE18" s="763">
        <f t="shared" si="137"/>
        <v>-1419</v>
      </c>
      <c r="AF18" s="763">
        <f t="shared" si="137"/>
        <v>-1380</v>
      </c>
      <c r="AG18" s="763">
        <f t="shared" si="137"/>
        <v>-1341</v>
      </c>
      <c r="AH18" s="763">
        <f t="shared" si="137"/>
        <v>-1302</v>
      </c>
      <c r="AI18" s="763">
        <f t="shared" si="137"/>
        <v>-1263</v>
      </c>
      <c r="AJ18" s="763">
        <f t="shared" si="137"/>
        <v>-1224</v>
      </c>
      <c r="AK18" s="763">
        <f t="shared" si="137"/>
        <v>-1185</v>
      </c>
      <c r="AL18" s="763">
        <f t="shared" si="137"/>
        <v>-1146</v>
      </c>
      <c r="AM18" s="763">
        <f t="shared" si="137"/>
        <v>-1107</v>
      </c>
      <c r="AN18" s="763">
        <f t="shared" si="137"/>
        <v>-1068</v>
      </c>
      <c r="AO18" s="763">
        <f t="shared" si="137"/>
        <v>-1029</v>
      </c>
      <c r="AP18" s="74">
        <f t="shared" si="137"/>
        <v>-990</v>
      </c>
      <c r="AQ18" s="63">
        <f t="shared" si="137"/>
        <v>-951</v>
      </c>
      <c r="AR18" s="63">
        <f t="shared" si="137"/>
        <v>-912</v>
      </c>
      <c r="AS18" s="63">
        <f t="shared" si="137"/>
        <v>-873</v>
      </c>
      <c r="AT18" s="63">
        <f t="shared" si="137"/>
        <v>-834</v>
      </c>
      <c r="AU18" s="63">
        <f t="shared" si="137"/>
        <v>-795</v>
      </c>
      <c r="AV18" s="63">
        <f t="shared" si="137"/>
        <v>-756</v>
      </c>
      <c r="AW18" s="63">
        <f t="shared" si="137"/>
        <v>-717</v>
      </c>
      <c r="AX18" s="63">
        <f t="shared" si="137"/>
        <v>-678</v>
      </c>
      <c r="AY18" s="63">
        <f t="shared" si="137"/>
        <v>-639</v>
      </c>
      <c r="AZ18" s="63">
        <f t="shared" si="137"/>
        <v>-600</v>
      </c>
      <c r="BA18" s="63">
        <f t="shared" si="137"/>
        <v>-561</v>
      </c>
      <c r="BB18" s="63">
        <f t="shared" si="137"/>
        <v>-522</v>
      </c>
      <c r="BC18" s="63">
        <f t="shared" si="137"/>
        <v>-483</v>
      </c>
      <c r="BD18" s="63">
        <f t="shared" si="137"/>
        <v>-444</v>
      </c>
      <c r="BE18" s="63">
        <f t="shared" si="137"/>
        <v>-405</v>
      </c>
      <c r="BF18" s="63">
        <f t="shared" si="137"/>
        <v>-366</v>
      </c>
      <c r="BG18" s="63">
        <f t="shared" si="137"/>
        <v>-327</v>
      </c>
      <c r="BH18" s="63">
        <f t="shared" si="137"/>
        <v>-288</v>
      </c>
      <c r="BI18" s="63">
        <f t="shared" si="137"/>
        <v>-249</v>
      </c>
      <c r="BJ18" s="63">
        <f t="shared" si="137"/>
        <v>-210</v>
      </c>
      <c r="BK18" s="63">
        <f t="shared" si="137"/>
        <v>-171</v>
      </c>
      <c r="BL18" s="63">
        <f t="shared" si="137"/>
        <v>-132</v>
      </c>
      <c r="BM18" s="63">
        <f t="shared" si="137"/>
        <v>-93</v>
      </c>
      <c r="BN18" s="63">
        <f t="shared" si="137"/>
        <v>-54</v>
      </c>
      <c r="BO18" s="63">
        <f t="shared" si="137"/>
        <v>-15</v>
      </c>
      <c r="BP18" s="63">
        <v>0</v>
      </c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</row>
    <row r="19" spans="2:90" customFormat="1" ht="19" x14ac:dyDescent="0.25">
      <c r="B19" s="90"/>
      <c r="C19" s="91"/>
      <c r="D19" s="92"/>
      <c r="E19" s="22"/>
      <c r="F19" s="22"/>
      <c r="G19" s="7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74"/>
      <c r="S19" s="763"/>
      <c r="T19" s="763"/>
      <c r="U19" s="763"/>
      <c r="V19" s="763"/>
      <c r="W19" s="763"/>
      <c r="X19" s="763"/>
      <c r="Y19" s="763"/>
      <c r="Z19" s="763"/>
      <c r="AA19" s="763"/>
      <c r="AB19" s="763"/>
      <c r="AC19" s="763"/>
      <c r="AD19" s="574"/>
      <c r="AE19" s="763"/>
      <c r="AF19" s="763"/>
      <c r="AG19" s="763"/>
      <c r="AH19" s="763"/>
      <c r="AI19" s="763"/>
      <c r="AJ19" s="763"/>
      <c r="AK19" s="763"/>
      <c r="AL19" s="763"/>
      <c r="AM19" s="763"/>
      <c r="AN19" s="763"/>
      <c r="AO19" s="763"/>
      <c r="AP19" s="74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74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74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74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74"/>
    </row>
    <row r="20" spans="2:90" customFormat="1" ht="19" x14ac:dyDescent="0.25">
      <c r="B20" s="668" t="s">
        <v>54</v>
      </c>
      <c r="C20" s="669">
        <v>0</v>
      </c>
      <c r="D20" s="670">
        <v>0.12</v>
      </c>
      <c r="E20" s="22">
        <v>60</v>
      </c>
      <c r="F20" s="22"/>
      <c r="G20" s="7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74"/>
      <c r="S20" s="763"/>
      <c r="T20" s="763"/>
      <c r="U20" s="763"/>
      <c r="V20" s="763"/>
      <c r="W20" s="763"/>
      <c r="X20" s="763"/>
      <c r="Y20" s="763"/>
      <c r="Z20" s="763"/>
      <c r="AA20" s="763"/>
      <c r="AB20" s="763"/>
      <c r="AC20" s="763"/>
      <c r="AD20" s="574"/>
      <c r="AE20" s="763"/>
      <c r="AF20" s="763"/>
      <c r="AG20" s="763"/>
      <c r="AH20" s="763"/>
      <c r="AI20" s="763"/>
      <c r="AJ20" s="763"/>
      <c r="AK20" s="763"/>
      <c r="AL20" s="763"/>
      <c r="AM20" s="763"/>
      <c r="AN20" s="763"/>
      <c r="AO20" s="763"/>
      <c r="AP20" s="74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74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74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74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74"/>
    </row>
    <row r="21" spans="2:90" customFormat="1" ht="19" x14ac:dyDescent="0.25">
      <c r="B21" s="90"/>
      <c r="C21" s="306"/>
      <c r="D21" s="92"/>
      <c r="E21" s="22" t="s">
        <v>238</v>
      </c>
      <c r="F21" s="22"/>
      <c r="G21" s="7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74"/>
      <c r="S21" s="763"/>
      <c r="T21" s="763"/>
      <c r="U21" s="763"/>
      <c r="V21" s="763"/>
      <c r="W21" s="770"/>
      <c r="X21" s="770"/>
      <c r="Y21" s="770"/>
      <c r="Z21" s="770"/>
      <c r="AA21" s="770"/>
      <c r="AB21" s="770"/>
      <c r="AC21" s="770"/>
      <c r="AD21" s="667"/>
      <c r="AE21" s="763"/>
      <c r="AF21" s="763"/>
      <c r="AG21" s="763"/>
      <c r="AH21" s="763"/>
      <c r="AI21" s="763"/>
      <c r="AJ21" s="763"/>
      <c r="AK21" s="763"/>
      <c r="AL21" s="763"/>
      <c r="AM21" s="763"/>
      <c r="AN21" s="763"/>
      <c r="AO21" s="763"/>
      <c r="AP21" s="74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74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74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74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74"/>
    </row>
    <row r="22" spans="2:90" customFormat="1" ht="19" x14ac:dyDescent="0.25">
      <c r="B22" s="90"/>
      <c r="C22" s="306"/>
      <c r="D22" s="92"/>
      <c r="E22" s="22" t="s">
        <v>236</v>
      </c>
      <c r="F22" s="22"/>
      <c r="G22" s="7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74"/>
      <c r="S22" s="763"/>
      <c r="T22" s="763"/>
      <c r="U22" s="763"/>
      <c r="V22" s="763"/>
      <c r="W22" s="770"/>
      <c r="X22" s="770"/>
      <c r="Y22" s="770"/>
      <c r="Z22" s="770"/>
      <c r="AA22" s="770"/>
      <c r="AB22" s="770"/>
      <c r="AC22" s="770"/>
      <c r="AD22" s="667"/>
      <c r="AE22" s="763"/>
      <c r="AF22" s="763"/>
      <c r="AG22" s="763"/>
      <c r="AH22" s="763"/>
      <c r="AI22" s="763"/>
      <c r="AJ22" s="763"/>
      <c r="AK22" s="763"/>
      <c r="AL22" s="763"/>
      <c r="AM22" s="763"/>
      <c r="AN22" s="763"/>
      <c r="AO22" s="763"/>
      <c r="AP22" s="74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74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74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74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74"/>
    </row>
    <row r="23" spans="2:90" customFormat="1" ht="19" x14ac:dyDescent="0.25">
      <c r="B23" s="90"/>
      <c r="C23" s="306"/>
      <c r="D23" s="92"/>
      <c r="E23" s="22" t="s">
        <v>237</v>
      </c>
      <c r="F23" s="22"/>
      <c r="G23" s="7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74"/>
      <c r="S23" s="763"/>
      <c r="T23" s="763"/>
      <c r="U23" s="763"/>
      <c r="V23" s="763"/>
      <c r="W23" s="770"/>
      <c r="X23" s="770"/>
      <c r="Y23" s="770"/>
      <c r="Z23" s="770"/>
      <c r="AA23" s="770"/>
      <c r="AB23" s="770"/>
      <c r="AC23" s="770"/>
      <c r="AD23" s="667"/>
      <c r="AE23" s="763"/>
      <c r="AF23" s="763"/>
      <c r="AG23" s="763"/>
      <c r="AH23" s="763"/>
      <c r="AI23" s="763"/>
      <c r="AJ23" s="763"/>
      <c r="AK23" s="763"/>
      <c r="AL23" s="763"/>
      <c r="AM23" s="763"/>
      <c r="AN23" s="763"/>
      <c r="AO23" s="763"/>
      <c r="AP23" s="74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</row>
    <row r="24" spans="2:90" customFormat="1" ht="19" x14ac:dyDescent="0.25">
      <c r="B24" s="90"/>
      <c r="C24" s="306"/>
      <c r="D24" s="92"/>
      <c r="E24" s="22"/>
      <c r="F24" s="22"/>
      <c r="G24" s="7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74"/>
      <c r="S24" s="763"/>
      <c r="T24" s="763"/>
      <c r="U24" s="763"/>
      <c r="V24" s="763"/>
      <c r="W24" s="770"/>
      <c r="X24" s="770"/>
      <c r="Y24" s="770"/>
      <c r="Z24" s="770"/>
      <c r="AA24" s="770"/>
      <c r="AB24" s="770"/>
      <c r="AC24" s="770"/>
      <c r="AD24" s="667"/>
      <c r="AE24" s="763"/>
      <c r="AF24" s="763"/>
      <c r="AG24" s="763"/>
      <c r="AH24" s="763"/>
      <c r="AI24" s="763"/>
      <c r="AJ24" s="763"/>
      <c r="AK24" s="763"/>
      <c r="AL24" s="763"/>
      <c r="AM24" s="763"/>
      <c r="AN24" s="763"/>
      <c r="AO24" s="763"/>
      <c r="AP24" s="74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74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74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74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74"/>
    </row>
    <row r="25" spans="2:90" customFormat="1" ht="19" x14ac:dyDescent="0.25">
      <c r="B25" s="90"/>
      <c r="C25" s="56"/>
      <c r="D25" s="91"/>
      <c r="E25" s="22"/>
      <c r="F25" s="22"/>
      <c r="G25" s="7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74"/>
      <c r="S25" s="763"/>
      <c r="T25" s="763"/>
      <c r="U25" s="763"/>
      <c r="V25" s="763"/>
      <c r="W25" s="770"/>
      <c r="X25" s="770"/>
      <c r="Y25" s="770"/>
      <c r="Z25" s="770"/>
      <c r="AA25" s="770"/>
      <c r="AB25" s="770"/>
      <c r="AC25" s="770"/>
      <c r="AD25" s="667"/>
      <c r="AE25" s="763"/>
      <c r="AF25" s="763"/>
      <c r="AG25" s="763"/>
      <c r="AH25" s="763"/>
      <c r="AI25" s="763"/>
      <c r="AJ25" s="763"/>
      <c r="AK25" s="763"/>
      <c r="AL25" s="763"/>
      <c r="AM25" s="763"/>
      <c r="AN25" s="763"/>
      <c r="AO25" s="763"/>
      <c r="AP25" s="74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74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74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74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74"/>
    </row>
    <row r="26" spans="2:90" customFormat="1" ht="19" x14ac:dyDescent="0.25">
      <c r="B26" s="90"/>
      <c r="C26" s="56"/>
      <c r="D26" s="91"/>
      <c r="E26" s="22"/>
      <c r="F26" s="22"/>
      <c r="G26" s="7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74"/>
      <c r="S26" s="763"/>
      <c r="T26" s="763"/>
      <c r="U26" s="763"/>
      <c r="V26" s="763"/>
      <c r="W26" s="770"/>
      <c r="X26" s="770"/>
      <c r="Y26" s="770"/>
      <c r="Z26" s="770"/>
      <c r="AA26" s="770"/>
      <c r="AB26" s="770"/>
      <c r="AC26" s="770"/>
      <c r="AD26" s="667"/>
      <c r="AE26" s="763"/>
      <c r="AF26" s="763"/>
      <c r="AG26" s="763"/>
      <c r="AH26" s="763"/>
      <c r="AI26" s="763"/>
      <c r="AJ26" s="763"/>
      <c r="AK26" s="763"/>
      <c r="AL26" s="763"/>
      <c r="AM26" s="763"/>
      <c r="AN26" s="763"/>
      <c r="AO26" s="763"/>
      <c r="AP26" s="74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74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74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74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74"/>
    </row>
    <row r="27" spans="2:90" customFormat="1" ht="19" x14ac:dyDescent="0.25">
      <c r="B27" s="90"/>
      <c r="C27" s="56"/>
      <c r="D27" s="91"/>
      <c r="E27" s="22" t="s">
        <v>241</v>
      </c>
      <c r="F27" s="22"/>
      <c r="G27" s="73"/>
      <c r="H27" s="63"/>
      <c r="I27" s="63"/>
      <c r="J27" s="63"/>
      <c r="K27" s="63"/>
      <c r="L27" s="63"/>
      <c r="M27" s="63"/>
      <c r="N27" s="63"/>
      <c r="O27" s="63"/>
      <c r="P27" s="63"/>
      <c r="Q27" s="73">
        <f t="shared" ref="Q27:R27" si="138">+Q10+Q16+Q21</f>
        <v>421000</v>
      </c>
      <c r="R27" s="74">
        <f t="shared" si="138"/>
        <v>421000</v>
      </c>
      <c r="S27" s="763">
        <f t="shared" ref="S27:BB27" si="139">+S10+S16+S21</f>
        <v>421000</v>
      </c>
      <c r="T27" s="763">
        <f t="shared" si="139"/>
        <v>421000</v>
      </c>
      <c r="U27" s="763">
        <f t="shared" si="139"/>
        <v>421000</v>
      </c>
      <c r="V27" s="763">
        <f t="shared" si="139"/>
        <v>421000</v>
      </c>
      <c r="W27" s="770">
        <f t="shared" si="139"/>
        <v>421000</v>
      </c>
      <c r="X27" s="770">
        <f t="shared" si="139"/>
        <v>415800</v>
      </c>
      <c r="Y27" s="770">
        <f t="shared" si="139"/>
        <v>410600</v>
      </c>
      <c r="Z27" s="770">
        <f t="shared" si="139"/>
        <v>405400</v>
      </c>
      <c r="AA27" s="770">
        <f t="shared" si="139"/>
        <v>400200</v>
      </c>
      <c r="AB27" s="770">
        <f t="shared" si="139"/>
        <v>395000</v>
      </c>
      <c r="AC27" s="770">
        <f t="shared" si="139"/>
        <v>389800</v>
      </c>
      <c r="AD27" s="667">
        <f t="shared" si="139"/>
        <v>384600</v>
      </c>
      <c r="AE27" s="763">
        <f t="shared" si="139"/>
        <v>379400</v>
      </c>
      <c r="AF27" s="763">
        <f t="shared" si="139"/>
        <v>374200</v>
      </c>
      <c r="AG27" s="763">
        <f t="shared" si="139"/>
        <v>369000</v>
      </c>
      <c r="AH27" s="763">
        <f t="shared" si="139"/>
        <v>358600</v>
      </c>
      <c r="AI27" s="763">
        <f t="shared" si="139"/>
        <v>348200</v>
      </c>
      <c r="AJ27" s="763">
        <f t="shared" si="139"/>
        <v>337800</v>
      </c>
      <c r="AK27" s="763">
        <f t="shared" si="139"/>
        <v>327400</v>
      </c>
      <c r="AL27" s="763">
        <f t="shared" si="139"/>
        <v>317000</v>
      </c>
      <c r="AM27" s="763">
        <f t="shared" si="139"/>
        <v>306600</v>
      </c>
      <c r="AN27" s="763">
        <f t="shared" si="139"/>
        <v>296200</v>
      </c>
      <c r="AO27" s="763">
        <f t="shared" si="139"/>
        <v>285800</v>
      </c>
      <c r="AP27" s="74">
        <f t="shared" si="139"/>
        <v>275400</v>
      </c>
      <c r="AQ27" s="63">
        <f t="shared" si="139"/>
        <v>265000</v>
      </c>
      <c r="AR27" s="63">
        <f t="shared" si="139"/>
        <v>254600</v>
      </c>
      <c r="AS27" s="63">
        <f t="shared" si="139"/>
        <v>244200</v>
      </c>
      <c r="AT27" s="63">
        <f t="shared" si="139"/>
        <v>233800</v>
      </c>
      <c r="AU27" s="63">
        <f t="shared" si="139"/>
        <v>223400</v>
      </c>
      <c r="AV27" s="63">
        <f t="shared" si="139"/>
        <v>213000</v>
      </c>
      <c r="AW27" s="63">
        <f t="shared" si="139"/>
        <v>202600</v>
      </c>
      <c r="AX27" s="63">
        <f t="shared" si="139"/>
        <v>192200</v>
      </c>
      <c r="AY27" s="63">
        <f t="shared" si="139"/>
        <v>181800</v>
      </c>
      <c r="AZ27" s="63">
        <f t="shared" si="139"/>
        <v>171400</v>
      </c>
      <c r="BA27" s="63">
        <f t="shared" si="139"/>
        <v>161000</v>
      </c>
      <c r="BB27" s="74">
        <f t="shared" si="139"/>
        <v>150600</v>
      </c>
      <c r="BC27" s="63">
        <f t="shared" ref="BC27:BN27" si="140">+BC10+BC16+BC21</f>
        <v>140200</v>
      </c>
      <c r="BD27" s="63">
        <f t="shared" si="140"/>
        <v>129800</v>
      </c>
      <c r="BE27" s="63">
        <f t="shared" si="140"/>
        <v>119400</v>
      </c>
      <c r="BF27" s="63">
        <f t="shared" si="140"/>
        <v>109000</v>
      </c>
      <c r="BG27" s="63">
        <f t="shared" si="140"/>
        <v>98600</v>
      </c>
      <c r="BH27" s="63">
        <f t="shared" si="140"/>
        <v>88200</v>
      </c>
      <c r="BI27" s="63">
        <f t="shared" si="140"/>
        <v>77800</v>
      </c>
      <c r="BJ27" s="63">
        <f t="shared" si="140"/>
        <v>67400</v>
      </c>
      <c r="BK27" s="63">
        <f t="shared" si="140"/>
        <v>57000</v>
      </c>
      <c r="BL27" s="63">
        <f t="shared" si="140"/>
        <v>46600</v>
      </c>
      <c r="BM27" s="63">
        <f t="shared" si="140"/>
        <v>36200</v>
      </c>
      <c r="BN27" s="74">
        <f t="shared" si="140"/>
        <v>25800</v>
      </c>
      <c r="BO27" s="63">
        <f t="shared" ref="BO27:BZ27" si="141">+BO10+BO16+BO21</f>
        <v>15400</v>
      </c>
      <c r="BP27" s="63">
        <f t="shared" si="141"/>
        <v>5000</v>
      </c>
      <c r="BQ27" s="63">
        <f t="shared" si="141"/>
        <v>0</v>
      </c>
      <c r="BR27" s="63">
        <f t="shared" si="141"/>
        <v>0</v>
      </c>
      <c r="BS27" s="63">
        <f t="shared" si="141"/>
        <v>0</v>
      </c>
      <c r="BT27" s="63">
        <f t="shared" si="141"/>
        <v>0</v>
      </c>
      <c r="BU27" s="63">
        <f t="shared" si="141"/>
        <v>0</v>
      </c>
      <c r="BV27" s="63">
        <f t="shared" si="141"/>
        <v>0</v>
      </c>
      <c r="BW27" s="63">
        <f t="shared" si="141"/>
        <v>0</v>
      </c>
      <c r="BX27" s="63">
        <f t="shared" si="141"/>
        <v>0</v>
      </c>
      <c r="BY27" s="63">
        <f t="shared" si="141"/>
        <v>0</v>
      </c>
      <c r="BZ27" s="74">
        <f t="shared" si="141"/>
        <v>0</v>
      </c>
      <c r="CA27" s="63">
        <f t="shared" ref="CA27:CL27" si="142">+CA10+CA16+CA21</f>
        <v>0</v>
      </c>
      <c r="CB27" s="63">
        <f t="shared" si="142"/>
        <v>0</v>
      </c>
      <c r="CC27" s="63">
        <f t="shared" si="142"/>
        <v>0</v>
      </c>
      <c r="CD27" s="63">
        <f t="shared" si="142"/>
        <v>0</v>
      </c>
      <c r="CE27" s="63">
        <f t="shared" si="142"/>
        <v>0</v>
      </c>
      <c r="CF27" s="63">
        <f t="shared" si="142"/>
        <v>0</v>
      </c>
      <c r="CG27" s="63">
        <f t="shared" si="142"/>
        <v>0</v>
      </c>
      <c r="CH27" s="63">
        <f t="shared" si="142"/>
        <v>0</v>
      </c>
      <c r="CI27" s="63">
        <f t="shared" si="142"/>
        <v>0</v>
      </c>
      <c r="CJ27" s="63">
        <f t="shared" si="142"/>
        <v>0</v>
      </c>
      <c r="CK27" s="63">
        <f t="shared" si="142"/>
        <v>0</v>
      </c>
      <c r="CL27" s="74">
        <f t="shared" si="142"/>
        <v>0</v>
      </c>
    </row>
    <row r="28" spans="2:90" customFormat="1" ht="19" x14ac:dyDescent="0.25">
      <c r="B28" s="90"/>
      <c r="C28" s="56"/>
      <c r="D28" s="91"/>
      <c r="E28" s="22" t="s">
        <v>239</v>
      </c>
      <c r="F28" s="22"/>
      <c r="G28" s="73"/>
      <c r="H28" s="63"/>
      <c r="I28" s="63"/>
      <c r="J28" s="63"/>
      <c r="K28" s="63"/>
      <c r="L28" s="63"/>
      <c r="M28" s="63"/>
      <c r="N28" s="63"/>
      <c r="O28" s="63"/>
      <c r="P28" s="63"/>
      <c r="Q28" s="73">
        <f t="shared" ref="Q28:R28" si="143">+Q11+Q17+Q22</f>
        <v>0</v>
      </c>
      <c r="R28" s="74">
        <f t="shared" si="143"/>
        <v>0</v>
      </c>
      <c r="S28" s="763">
        <f t="shared" ref="S28:BB29" si="144">+S11+S17+S22</f>
        <v>0</v>
      </c>
      <c r="T28" s="763">
        <f t="shared" si="144"/>
        <v>0</v>
      </c>
      <c r="U28" s="763">
        <f t="shared" si="144"/>
        <v>0</v>
      </c>
      <c r="V28" s="763">
        <f t="shared" si="144"/>
        <v>0</v>
      </c>
      <c r="W28" s="770">
        <f t="shared" si="144"/>
        <v>-5200</v>
      </c>
      <c r="X28" s="770">
        <f t="shared" si="144"/>
        <v>-5200</v>
      </c>
      <c r="Y28" s="770">
        <f t="shared" si="144"/>
        <v>-5200</v>
      </c>
      <c r="Z28" s="770">
        <f t="shared" si="144"/>
        <v>-5200</v>
      </c>
      <c r="AA28" s="770">
        <f t="shared" si="144"/>
        <v>-5200</v>
      </c>
      <c r="AB28" s="770">
        <f t="shared" si="144"/>
        <v>-5200</v>
      </c>
      <c r="AC28" s="770">
        <f t="shared" si="144"/>
        <v>-5200</v>
      </c>
      <c r="AD28" s="667">
        <f t="shared" si="144"/>
        <v>-5200</v>
      </c>
      <c r="AE28" s="763">
        <f t="shared" si="144"/>
        <v>-5200</v>
      </c>
      <c r="AF28" s="763">
        <f t="shared" si="144"/>
        <v>-5200</v>
      </c>
      <c r="AG28" s="763">
        <f t="shared" si="144"/>
        <v>-10400</v>
      </c>
      <c r="AH28" s="763">
        <f t="shared" si="144"/>
        <v>-10400</v>
      </c>
      <c r="AI28" s="763">
        <f>+AI11+AI17+AI22</f>
        <v>-10400</v>
      </c>
      <c r="AJ28" s="763">
        <f t="shared" si="144"/>
        <v>-10400</v>
      </c>
      <c r="AK28" s="763">
        <f t="shared" si="144"/>
        <v>-10400</v>
      </c>
      <c r="AL28" s="763">
        <f t="shared" si="144"/>
        <v>-10400</v>
      </c>
      <c r="AM28" s="763">
        <f t="shared" si="144"/>
        <v>-10400</v>
      </c>
      <c r="AN28" s="763">
        <f>+AN11+AN17+AN22</f>
        <v>-10400</v>
      </c>
      <c r="AO28" s="763">
        <f t="shared" si="144"/>
        <v>-10400</v>
      </c>
      <c r="AP28" s="74">
        <f t="shared" si="144"/>
        <v>-10400</v>
      </c>
      <c r="AQ28" s="63">
        <f>+AQ11+AQ17+AQ22</f>
        <v>-10400</v>
      </c>
      <c r="AR28" s="63">
        <f t="shared" si="144"/>
        <v>-10400</v>
      </c>
      <c r="AS28" s="63">
        <f t="shared" si="144"/>
        <v>-10400</v>
      </c>
      <c r="AT28" s="63">
        <f t="shared" si="144"/>
        <v>-10400</v>
      </c>
      <c r="AU28" s="63">
        <f t="shared" si="144"/>
        <v>-10400</v>
      </c>
      <c r="AV28" s="63">
        <f t="shared" si="144"/>
        <v>-10400</v>
      </c>
      <c r="AW28" s="63">
        <f t="shared" si="144"/>
        <v>-10400</v>
      </c>
      <c r="AX28" s="63">
        <f t="shared" si="144"/>
        <v>-10400</v>
      </c>
      <c r="AY28" s="63">
        <f t="shared" si="144"/>
        <v>-10400</v>
      </c>
      <c r="AZ28" s="63">
        <f t="shared" si="144"/>
        <v>-10400</v>
      </c>
      <c r="BA28" s="63">
        <f t="shared" si="144"/>
        <v>-10400</v>
      </c>
      <c r="BB28" s="74">
        <f t="shared" si="144"/>
        <v>-10400</v>
      </c>
      <c r="BC28" s="63">
        <f>+BC11+BC17+BC22</f>
        <v>-10400</v>
      </c>
      <c r="BD28" s="63">
        <f t="shared" ref="BD28:BN28" si="145">+BD11+BD17+BD22</f>
        <v>-10400</v>
      </c>
      <c r="BE28" s="63">
        <f t="shared" si="145"/>
        <v>-10400</v>
      </c>
      <c r="BF28" s="63">
        <f t="shared" si="145"/>
        <v>-10400</v>
      </c>
      <c r="BG28" s="63">
        <f t="shared" si="145"/>
        <v>-10400</v>
      </c>
      <c r="BH28" s="63">
        <f t="shared" si="145"/>
        <v>-10400</v>
      </c>
      <c r="BI28" s="63">
        <f t="shared" si="145"/>
        <v>-10400</v>
      </c>
      <c r="BJ28" s="63">
        <f t="shared" si="145"/>
        <v>-10400</v>
      </c>
      <c r="BK28" s="63">
        <f t="shared" si="145"/>
        <v>-10400</v>
      </c>
      <c r="BL28" s="63">
        <f t="shared" si="145"/>
        <v>-10400</v>
      </c>
      <c r="BM28" s="63">
        <f t="shared" si="145"/>
        <v>-10400</v>
      </c>
      <c r="BN28" s="74">
        <f t="shared" si="145"/>
        <v>-10400</v>
      </c>
      <c r="BO28" s="63">
        <f>+BO11+BO17+BO22</f>
        <v>-10400</v>
      </c>
      <c r="BP28" s="63">
        <f t="shared" ref="BP28:BZ28" si="146">+BP11+BP17+BP22</f>
        <v>5000</v>
      </c>
      <c r="BQ28" s="63">
        <f t="shared" si="146"/>
        <v>0</v>
      </c>
      <c r="BR28" s="63">
        <f t="shared" si="146"/>
        <v>0</v>
      </c>
      <c r="BS28" s="63">
        <f t="shared" si="146"/>
        <v>0</v>
      </c>
      <c r="BT28" s="63">
        <f t="shared" si="146"/>
        <v>0</v>
      </c>
      <c r="BU28" s="63">
        <f t="shared" si="146"/>
        <v>0</v>
      </c>
      <c r="BV28" s="63">
        <f t="shared" si="146"/>
        <v>0</v>
      </c>
      <c r="BW28" s="63">
        <f t="shared" si="146"/>
        <v>0</v>
      </c>
      <c r="BX28" s="63">
        <f t="shared" si="146"/>
        <v>0</v>
      </c>
      <c r="BY28" s="63">
        <f t="shared" si="146"/>
        <v>0</v>
      </c>
      <c r="BZ28" s="74">
        <f t="shared" si="146"/>
        <v>0</v>
      </c>
      <c r="CA28" s="63">
        <f>+CA11+CA17+CA22</f>
        <v>0</v>
      </c>
      <c r="CB28" s="63">
        <f t="shared" ref="CB28:CL28" si="147">+CB11+CB17+CB22</f>
        <v>0</v>
      </c>
      <c r="CC28" s="63">
        <f t="shared" si="147"/>
        <v>0</v>
      </c>
      <c r="CD28" s="63">
        <f t="shared" si="147"/>
        <v>0</v>
      </c>
      <c r="CE28" s="63">
        <f t="shared" si="147"/>
        <v>0</v>
      </c>
      <c r="CF28" s="63">
        <f t="shared" si="147"/>
        <v>0</v>
      </c>
      <c r="CG28" s="63">
        <f t="shared" si="147"/>
        <v>0</v>
      </c>
      <c r="CH28" s="63">
        <f t="shared" si="147"/>
        <v>0</v>
      </c>
      <c r="CI28" s="63">
        <f t="shared" si="147"/>
        <v>0</v>
      </c>
      <c r="CJ28" s="63">
        <f t="shared" si="147"/>
        <v>0</v>
      </c>
      <c r="CK28" s="63">
        <f t="shared" si="147"/>
        <v>0</v>
      </c>
      <c r="CL28" s="74">
        <f t="shared" si="147"/>
        <v>0</v>
      </c>
    </row>
    <row r="29" spans="2:90" customFormat="1" ht="19" x14ac:dyDescent="0.25">
      <c r="B29" s="90"/>
      <c r="C29" s="56"/>
      <c r="D29" s="91"/>
      <c r="E29" s="22" t="s">
        <v>240</v>
      </c>
      <c r="F29" s="22"/>
      <c r="G29" s="73"/>
      <c r="H29" s="63"/>
      <c r="I29" s="63"/>
      <c r="J29" s="63"/>
      <c r="K29" s="63"/>
      <c r="L29" s="63"/>
      <c r="M29" s="63"/>
      <c r="N29" s="63"/>
      <c r="O29" s="63"/>
      <c r="P29" s="63"/>
      <c r="Q29" s="73">
        <f t="shared" ref="Q29:R29" si="148">+Q12+Q18+Q23</f>
        <v>210</v>
      </c>
      <c r="R29" s="74">
        <f t="shared" si="148"/>
        <v>-3120</v>
      </c>
      <c r="S29" s="763">
        <f t="shared" ref="S29:BC29" si="149">+S12+S18+S23</f>
        <v>-3120</v>
      </c>
      <c r="T29" s="763">
        <f t="shared" si="149"/>
        <v>-3120</v>
      </c>
      <c r="U29" s="763">
        <f t="shared" si="149"/>
        <v>-3120</v>
      </c>
      <c r="V29" s="763">
        <f>+V12+V18+V23</f>
        <v>-3120</v>
      </c>
      <c r="W29" s="770">
        <f t="shared" si="149"/>
        <v>-3072.25</v>
      </c>
      <c r="X29" s="770">
        <f t="shared" si="149"/>
        <v>-3033.25</v>
      </c>
      <c r="Y29" s="770">
        <f t="shared" si="149"/>
        <v>-2994.25</v>
      </c>
      <c r="Z29" s="770">
        <f t="shared" si="149"/>
        <v>-2955.25</v>
      </c>
      <c r="AA29" s="770">
        <f t="shared" si="149"/>
        <v>-2916.25</v>
      </c>
      <c r="AB29" s="770">
        <f t="shared" si="149"/>
        <v>-2877.25</v>
      </c>
      <c r="AC29" s="770">
        <f t="shared" si="149"/>
        <v>-2838.25</v>
      </c>
      <c r="AD29" s="667">
        <f t="shared" si="149"/>
        <v>-2799.25</v>
      </c>
      <c r="AE29" s="763">
        <f t="shared" si="149"/>
        <v>-2760.25</v>
      </c>
      <c r="AF29" s="763">
        <f t="shared" si="149"/>
        <v>-2721.25</v>
      </c>
      <c r="AG29" s="763">
        <f t="shared" si="149"/>
        <v>-2644.55</v>
      </c>
      <c r="AH29" s="763">
        <f t="shared" si="149"/>
        <v>-2567.85</v>
      </c>
      <c r="AI29" s="763">
        <f t="shared" si="149"/>
        <v>-2491.1499999999996</v>
      </c>
      <c r="AJ29" s="763">
        <f t="shared" si="149"/>
        <v>-2414.4499999999998</v>
      </c>
      <c r="AK29" s="763">
        <f t="shared" si="149"/>
        <v>-2337.75</v>
      </c>
      <c r="AL29" s="763">
        <f t="shared" si="149"/>
        <v>-2261.0500000000002</v>
      </c>
      <c r="AM29" s="763">
        <f t="shared" si="149"/>
        <v>-2184.35</v>
      </c>
      <c r="AN29" s="763">
        <f t="shared" si="149"/>
        <v>-2107.6499999999996</v>
      </c>
      <c r="AO29" s="763">
        <f t="shared" si="149"/>
        <v>-2030.9499999999998</v>
      </c>
      <c r="AP29" s="74">
        <f t="shared" si="149"/>
        <v>-1954.25</v>
      </c>
      <c r="AQ29" s="63">
        <f t="shared" si="144"/>
        <v>-1877.5499999999997</v>
      </c>
      <c r="AR29" s="63">
        <f t="shared" si="149"/>
        <v>-1800.85</v>
      </c>
      <c r="AS29" s="63">
        <f t="shared" si="149"/>
        <v>-1724.15</v>
      </c>
      <c r="AT29" s="63">
        <f t="shared" si="149"/>
        <v>-1647.4499999999998</v>
      </c>
      <c r="AU29" s="63">
        <f t="shared" si="149"/>
        <v>-1570.75</v>
      </c>
      <c r="AV29" s="63">
        <f t="shared" si="149"/>
        <v>-1494.0499999999997</v>
      </c>
      <c r="AW29" s="63">
        <f t="shared" si="149"/>
        <v>-1417.35</v>
      </c>
      <c r="AX29" s="63">
        <f t="shared" si="149"/>
        <v>-1340.65</v>
      </c>
      <c r="AY29" s="63">
        <f t="shared" si="149"/>
        <v>-1263.9499999999998</v>
      </c>
      <c r="AZ29" s="63">
        <f t="shared" si="149"/>
        <v>-1187.25</v>
      </c>
      <c r="BA29" s="63">
        <f t="shared" si="149"/>
        <v>-1110.55</v>
      </c>
      <c r="BB29" s="74">
        <f t="shared" si="149"/>
        <v>-1033.8499999999999</v>
      </c>
      <c r="BC29" s="63">
        <f t="shared" si="149"/>
        <v>-957.14999999999986</v>
      </c>
      <c r="BD29" s="63">
        <f t="shared" ref="BD29:BO29" si="150">+BD12+BD18+BD23</f>
        <v>-880.45</v>
      </c>
      <c r="BE29" s="63">
        <f t="shared" si="150"/>
        <v>-803.75</v>
      </c>
      <c r="BF29" s="63">
        <f t="shared" si="150"/>
        <v>-727.05</v>
      </c>
      <c r="BG29" s="63">
        <f t="shared" si="150"/>
        <v>-650.34999999999991</v>
      </c>
      <c r="BH29" s="63">
        <f t="shared" si="150"/>
        <v>-573.65</v>
      </c>
      <c r="BI29" s="63">
        <f t="shared" si="150"/>
        <v>-496.94999999999993</v>
      </c>
      <c r="BJ29" s="63">
        <f t="shared" si="150"/>
        <v>-420.25</v>
      </c>
      <c r="BK29" s="63">
        <f t="shared" si="150"/>
        <v>-343.54999999999995</v>
      </c>
      <c r="BL29" s="63">
        <f t="shared" si="150"/>
        <v>-266.85000000000002</v>
      </c>
      <c r="BM29" s="63">
        <f t="shared" si="150"/>
        <v>-190.14999999999998</v>
      </c>
      <c r="BN29" s="74">
        <f t="shared" si="150"/>
        <v>-113.44999999999999</v>
      </c>
      <c r="BO29" s="63">
        <f t="shared" si="150"/>
        <v>-36.75</v>
      </c>
      <c r="BP29" s="63">
        <f t="shared" ref="BP29:CA29" si="151">+BP12+BP18+BP23</f>
        <v>0</v>
      </c>
      <c r="BQ29" s="63">
        <f t="shared" si="151"/>
        <v>0</v>
      </c>
      <c r="BR29" s="63">
        <f t="shared" si="151"/>
        <v>0</v>
      </c>
      <c r="BS29" s="63">
        <f t="shared" si="151"/>
        <v>0</v>
      </c>
      <c r="BT29" s="63">
        <f t="shared" si="151"/>
        <v>0</v>
      </c>
      <c r="BU29" s="63">
        <f t="shared" si="151"/>
        <v>0</v>
      </c>
      <c r="BV29" s="63">
        <f t="shared" si="151"/>
        <v>0</v>
      </c>
      <c r="BW29" s="63">
        <f t="shared" si="151"/>
        <v>0</v>
      </c>
      <c r="BX29" s="63">
        <f t="shared" si="151"/>
        <v>0</v>
      </c>
      <c r="BY29" s="63">
        <f t="shared" si="151"/>
        <v>0</v>
      </c>
      <c r="BZ29" s="74">
        <f t="shared" si="151"/>
        <v>0</v>
      </c>
      <c r="CA29" s="63">
        <f t="shared" si="151"/>
        <v>0</v>
      </c>
      <c r="CB29" s="63">
        <f t="shared" ref="CB29:CL29" si="152">+CB12+CB18+CB23</f>
        <v>0</v>
      </c>
      <c r="CC29" s="63">
        <f t="shared" si="152"/>
        <v>0</v>
      </c>
      <c r="CD29" s="63">
        <f t="shared" si="152"/>
        <v>0</v>
      </c>
      <c r="CE29" s="63">
        <f t="shared" si="152"/>
        <v>0</v>
      </c>
      <c r="CF29" s="63">
        <f t="shared" si="152"/>
        <v>0</v>
      </c>
      <c r="CG29" s="63">
        <f t="shared" si="152"/>
        <v>0</v>
      </c>
      <c r="CH29" s="63">
        <f t="shared" si="152"/>
        <v>0</v>
      </c>
      <c r="CI29" s="63">
        <f t="shared" si="152"/>
        <v>0</v>
      </c>
      <c r="CJ29" s="63">
        <f t="shared" si="152"/>
        <v>0</v>
      </c>
      <c r="CK29" s="63">
        <f t="shared" si="152"/>
        <v>0</v>
      </c>
      <c r="CL29" s="74">
        <f t="shared" si="152"/>
        <v>0</v>
      </c>
    </row>
    <row r="30" spans="2:90" customFormat="1" ht="19" x14ac:dyDescent="0.25">
      <c r="B30" s="90"/>
      <c r="C30" s="56"/>
      <c r="D30" s="91"/>
      <c r="E30" s="22"/>
      <c r="F30" s="22"/>
      <c r="G30" s="7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74"/>
      <c r="S30" s="73"/>
      <c r="T30" s="763"/>
      <c r="U30" s="763"/>
      <c r="V30" s="763"/>
      <c r="W30" s="763"/>
      <c r="X30" s="763"/>
      <c r="Y30" s="763"/>
      <c r="Z30" s="763"/>
      <c r="AA30" s="763"/>
      <c r="AB30" s="763"/>
      <c r="AC30" s="763"/>
      <c r="AD30" s="574"/>
      <c r="AE30" s="763"/>
      <c r="AF30" s="763"/>
      <c r="AG30" s="763"/>
      <c r="AH30" s="763"/>
      <c r="AI30" s="763"/>
      <c r="AJ30" s="763"/>
      <c r="AK30" s="763"/>
      <c r="AL30" s="763"/>
      <c r="AM30" s="763"/>
      <c r="AN30" s="763"/>
      <c r="AO30" s="763"/>
      <c r="AP30" s="74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74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74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74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74"/>
    </row>
    <row r="31" spans="2:90" s="19" customFormat="1" ht="22" thickBot="1" x14ac:dyDescent="0.3">
      <c r="B31" s="93" t="s">
        <v>0</v>
      </c>
      <c r="C31" s="68"/>
      <c r="D31" s="69"/>
      <c r="E31" s="94"/>
      <c r="F31" s="94"/>
      <c r="G31" s="75"/>
      <c r="H31" s="71"/>
      <c r="I31" s="71"/>
      <c r="J31" s="71"/>
      <c r="K31" s="71"/>
      <c r="L31" s="71"/>
      <c r="M31" s="71"/>
      <c r="N31" s="71">
        <f t="shared" ref="N31:BB31" si="153">SUM(N9:N24)</f>
        <v>0</v>
      </c>
      <c r="O31" s="71">
        <f t="shared" si="153"/>
        <v>0</v>
      </c>
      <c r="P31" s="71">
        <f t="shared" si="153"/>
        <v>0</v>
      </c>
      <c r="Q31" s="71">
        <f t="shared" si="153"/>
        <v>421210</v>
      </c>
      <c r="R31" s="76">
        <f t="shared" si="153"/>
        <v>417880</v>
      </c>
      <c r="S31" s="75">
        <f t="shared" si="153"/>
        <v>417880</v>
      </c>
      <c r="T31" s="71">
        <f t="shared" si="153"/>
        <v>417880</v>
      </c>
      <c r="U31" s="71">
        <f t="shared" si="153"/>
        <v>417880</v>
      </c>
      <c r="V31" s="71">
        <f t="shared" si="153"/>
        <v>417880</v>
      </c>
      <c r="W31" s="71">
        <f t="shared" si="153"/>
        <v>412727.75</v>
      </c>
      <c r="X31" s="71">
        <f t="shared" si="153"/>
        <v>407566.75</v>
      </c>
      <c r="Y31" s="71">
        <f t="shared" si="153"/>
        <v>402405.75</v>
      </c>
      <c r="Z31" s="71">
        <f t="shared" si="153"/>
        <v>397244.75</v>
      </c>
      <c r="AA31" s="71">
        <f t="shared" si="153"/>
        <v>392083.75</v>
      </c>
      <c r="AB31" s="71">
        <f t="shared" si="153"/>
        <v>386922.75</v>
      </c>
      <c r="AC31" s="71">
        <f t="shared" si="153"/>
        <v>381761.75</v>
      </c>
      <c r="AD31" s="575">
        <f t="shared" si="153"/>
        <v>376600.75</v>
      </c>
      <c r="AE31" s="71">
        <f t="shared" si="153"/>
        <v>371439.75</v>
      </c>
      <c r="AF31" s="71">
        <f t="shared" si="153"/>
        <v>366278.75</v>
      </c>
      <c r="AG31" s="71">
        <f t="shared" si="153"/>
        <v>355955.45</v>
      </c>
      <c r="AH31" s="71">
        <f t="shared" si="153"/>
        <v>345632.15</v>
      </c>
      <c r="AI31" s="71">
        <f t="shared" si="153"/>
        <v>335308.84999999998</v>
      </c>
      <c r="AJ31" s="71">
        <f t="shared" si="153"/>
        <v>324985.55</v>
      </c>
      <c r="AK31" s="71">
        <f t="shared" si="153"/>
        <v>314662.25</v>
      </c>
      <c r="AL31" s="71">
        <f t="shared" si="153"/>
        <v>304338.95</v>
      </c>
      <c r="AM31" s="71">
        <f t="shared" si="153"/>
        <v>294015.65000000002</v>
      </c>
      <c r="AN31" s="71">
        <f t="shared" si="153"/>
        <v>283692.34999999998</v>
      </c>
      <c r="AO31" s="71">
        <f t="shared" si="153"/>
        <v>273369.05</v>
      </c>
      <c r="AP31" s="76">
        <f t="shared" si="153"/>
        <v>263045.75</v>
      </c>
      <c r="AQ31" s="71">
        <f t="shared" si="153"/>
        <v>252722.45</v>
      </c>
      <c r="AR31" s="71">
        <f t="shared" si="153"/>
        <v>242399.15</v>
      </c>
      <c r="AS31" s="71">
        <f t="shared" si="153"/>
        <v>232075.85</v>
      </c>
      <c r="AT31" s="71">
        <f t="shared" si="153"/>
        <v>221752.55</v>
      </c>
      <c r="AU31" s="71">
        <f t="shared" si="153"/>
        <v>211429.25</v>
      </c>
      <c r="AV31" s="71">
        <f t="shared" si="153"/>
        <v>201105.95</v>
      </c>
      <c r="AW31" s="71">
        <f t="shared" si="153"/>
        <v>190782.65</v>
      </c>
      <c r="AX31" s="71">
        <f t="shared" si="153"/>
        <v>180459.35</v>
      </c>
      <c r="AY31" s="71">
        <f t="shared" si="153"/>
        <v>170136.05</v>
      </c>
      <c r="AZ31" s="71">
        <f t="shared" si="153"/>
        <v>159812.75</v>
      </c>
      <c r="BA31" s="71">
        <f t="shared" si="153"/>
        <v>149489.45000000001</v>
      </c>
      <c r="BB31" s="76">
        <f t="shared" si="153"/>
        <v>139166.15</v>
      </c>
      <c r="BC31" s="71">
        <f t="shared" ref="BC31:BN31" si="154">SUM(BC9:BC24)</f>
        <v>128842.85</v>
      </c>
      <c r="BD31" s="71">
        <f t="shared" si="154"/>
        <v>118519.55</v>
      </c>
      <c r="BE31" s="71">
        <f t="shared" si="154"/>
        <v>108196.25</v>
      </c>
      <c r="BF31" s="71">
        <f t="shared" si="154"/>
        <v>97872.95</v>
      </c>
      <c r="BG31" s="71">
        <f t="shared" si="154"/>
        <v>87549.65</v>
      </c>
      <c r="BH31" s="71">
        <f t="shared" si="154"/>
        <v>77226.350000000006</v>
      </c>
      <c r="BI31" s="71">
        <f t="shared" si="154"/>
        <v>66903.05</v>
      </c>
      <c r="BJ31" s="71">
        <f t="shared" si="154"/>
        <v>56579.75</v>
      </c>
      <c r="BK31" s="71">
        <f t="shared" si="154"/>
        <v>46256.45</v>
      </c>
      <c r="BL31" s="71">
        <f t="shared" si="154"/>
        <v>35933.15</v>
      </c>
      <c r="BM31" s="71">
        <f t="shared" si="154"/>
        <v>25609.85</v>
      </c>
      <c r="BN31" s="76">
        <f t="shared" si="154"/>
        <v>15286.55</v>
      </c>
      <c r="BO31" s="71">
        <f t="shared" ref="BO31:BZ31" si="155">SUM(BO9:BO24)</f>
        <v>4963.25</v>
      </c>
      <c r="BP31" s="71">
        <f t="shared" si="155"/>
        <v>10000</v>
      </c>
      <c r="BQ31" s="71">
        <f t="shared" si="155"/>
        <v>0</v>
      </c>
      <c r="BR31" s="71">
        <f t="shared" si="155"/>
        <v>0</v>
      </c>
      <c r="BS31" s="71">
        <f t="shared" si="155"/>
        <v>0</v>
      </c>
      <c r="BT31" s="71">
        <f t="shared" si="155"/>
        <v>0</v>
      </c>
      <c r="BU31" s="71">
        <f t="shared" si="155"/>
        <v>0</v>
      </c>
      <c r="BV31" s="71">
        <f t="shared" si="155"/>
        <v>0</v>
      </c>
      <c r="BW31" s="71">
        <f t="shared" si="155"/>
        <v>0</v>
      </c>
      <c r="BX31" s="71">
        <f t="shared" si="155"/>
        <v>0</v>
      </c>
      <c r="BY31" s="71">
        <f t="shared" si="155"/>
        <v>0</v>
      </c>
      <c r="BZ31" s="76">
        <f t="shared" si="155"/>
        <v>0</v>
      </c>
      <c r="CA31" s="71">
        <f t="shared" ref="CA31:CL31" si="156">SUM(CA9:CA24)</f>
        <v>0</v>
      </c>
      <c r="CB31" s="71">
        <f t="shared" si="156"/>
        <v>0</v>
      </c>
      <c r="CC31" s="71">
        <f t="shared" si="156"/>
        <v>0</v>
      </c>
      <c r="CD31" s="71">
        <f t="shared" si="156"/>
        <v>0</v>
      </c>
      <c r="CE31" s="71">
        <f t="shared" si="156"/>
        <v>0</v>
      </c>
      <c r="CF31" s="71">
        <f t="shared" si="156"/>
        <v>0</v>
      </c>
      <c r="CG31" s="71">
        <f t="shared" si="156"/>
        <v>0</v>
      </c>
      <c r="CH31" s="71">
        <f t="shared" si="156"/>
        <v>0</v>
      </c>
      <c r="CI31" s="71">
        <f t="shared" si="156"/>
        <v>0</v>
      </c>
      <c r="CJ31" s="71">
        <f t="shared" si="156"/>
        <v>0</v>
      </c>
      <c r="CK31" s="71">
        <f t="shared" si="156"/>
        <v>0</v>
      </c>
      <c r="CL31" s="76">
        <f t="shared" si="156"/>
        <v>0</v>
      </c>
    </row>
    <row r="32" spans="2:90" x14ac:dyDescent="0.2">
      <c r="S32" s="765"/>
      <c r="T32" s="765"/>
      <c r="U32" s="765"/>
      <c r="V32" s="765"/>
      <c r="W32" s="765"/>
      <c r="X32" s="765"/>
      <c r="Y32" s="765"/>
      <c r="Z32" s="765"/>
      <c r="AA32" s="765"/>
      <c r="AB32" s="765"/>
      <c r="AC32" s="765"/>
      <c r="AE32" s="765"/>
      <c r="AF32" s="765"/>
      <c r="AG32" s="765"/>
      <c r="AH32" s="765"/>
      <c r="AI32" s="765"/>
      <c r="AJ32" s="765"/>
      <c r="AK32" s="765"/>
      <c r="AL32" s="765"/>
      <c r="AM32" s="765"/>
      <c r="AN32" s="765"/>
      <c r="AO32" s="765"/>
    </row>
    <row r="33" spans="2:90" ht="16" thickBot="1" x14ac:dyDescent="0.25">
      <c r="S33" s="765"/>
      <c r="T33" s="765"/>
      <c r="U33" s="765"/>
      <c r="V33" s="765"/>
      <c r="W33" s="765"/>
      <c r="X33" s="765"/>
      <c r="Y33" s="765"/>
      <c r="Z33" s="765"/>
      <c r="AA33" s="765"/>
      <c r="AB33" s="765"/>
      <c r="AC33" s="765"/>
      <c r="AE33" s="765"/>
      <c r="AF33" s="765"/>
      <c r="AG33" s="765"/>
      <c r="AH33" s="765"/>
      <c r="AI33" s="765"/>
      <c r="AJ33" s="765"/>
      <c r="AK33" s="765"/>
      <c r="AL33" s="765"/>
      <c r="AM33" s="765"/>
      <c r="AN33" s="765"/>
      <c r="AO33" s="765"/>
    </row>
    <row r="34" spans="2:90" customFormat="1" ht="26" x14ac:dyDescent="0.3">
      <c r="B34" s="82" t="s">
        <v>7</v>
      </c>
      <c r="C34" s="83"/>
      <c r="D34" s="84"/>
      <c r="E34" s="85"/>
      <c r="F34" s="85"/>
      <c r="G34" s="715">
        <v>2022</v>
      </c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7"/>
      <c r="S34" s="701">
        <v>2023</v>
      </c>
      <c r="T34" s="702"/>
      <c r="U34" s="702"/>
      <c r="V34" s="702"/>
      <c r="W34" s="702"/>
      <c r="X34" s="702"/>
      <c r="Y34" s="702"/>
      <c r="Z34" s="702"/>
      <c r="AA34" s="702"/>
      <c r="AB34" s="702"/>
      <c r="AC34" s="702"/>
      <c r="AD34" s="702"/>
      <c r="AE34" s="766">
        <v>2024</v>
      </c>
      <c r="AF34" s="716"/>
      <c r="AG34" s="716"/>
      <c r="AH34" s="716"/>
      <c r="AI34" s="716"/>
      <c r="AJ34" s="716"/>
      <c r="AK34" s="716"/>
      <c r="AL34" s="716"/>
      <c r="AM34" s="716"/>
      <c r="AN34" s="716"/>
      <c r="AO34" s="716"/>
      <c r="AP34" s="717"/>
      <c r="AQ34" s="752">
        <v>2025</v>
      </c>
      <c r="AR34" s="702"/>
      <c r="AS34" s="702"/>
      <c r="AT34" s="702"/>
      <c r="AU34" s="702"/>
      <c r="AV34" s="702"/>
      <c r="AW34" s="702"/>
      <c r="AX34" s="702"/>
      <c r="AY34" s="702"/>
      <c r="AZ34" s="702"/>
      <c r="BA34" s="702"/>
      <c r="BB34" s="703"/>
      <c r="BC34" s="701">
        <v>2026</v>
      </c>
      <c r="BD34" s="702"/>
      <c r="BE34" s="702"/>
      <c r="BF34" s="702"/>
      <c r="BG34" s="702"/>
      <c r="BH34" s="702"/>
      <c r="BI34" s="702"/>
      <c r="BJ34" s="702"/>
      <c r="BK34" s="702"/>
      <c r="BL34" s="702"/>
      <c r="BM34" s="702"/>
      <c r="BN34" s="703"/>
      <c r="BO34" s="701">
        <v>2027</v>
      </c>
      <c r="BP34" s="702"/>
      <c r="BQ34" s="702"/>
      <c r="BR34" s="702"/>
      <c r="BS34" s="702"/>
      <c r="BT34" s="702"/>
      <c r="BU34" s="702"/>
      <c r="BV34" s="702"/>
      <c r="BW34" s="702"/>
      <c r="BX34" s="702"/>
      <c r="BY34" s="702"/>
      <c r="BZ34" s="703"/>
      <c r="CA34" s="701">
        <v>2028</v>
      </c>
      <c r="CB34" s="702"/>
      <c r="CC34" s="702"/>
      <c r="CD34" s="702"/>
      <c r="CE34" s="702"/>
      <c r="CF34" s="702"/>
      <c r="CG34" s="702"/>
      <c r="CH34" s="702"/>
      <c r="CI34" s="702"/>
      <c r="CJ34" s="702"/>
      <c r="CK34" s="702"/>
      <c r="CL34" s="703"/>
    </row>
    <row r="35" spans="2:90" customFormat="1" ht="16" x14ac:dyDescent="0.2">
      <c r="B35" s="86"/>
      <c r="C35" s="4"/>
      <c r="D35" s="10"/>
      <c r="E35" s="87"/>
      <c r="F35" s="87"/>
      <c r="G35" s="251">
        <v>44562</v>
      </c>
      <c r="H35" s="251">
        <v>44593</v>
      </c>
      <c r="I35" s="251">
        <v>44621</v>
      </c>
      <c r="J35" s="251">
        <v>44652</v>
      </c>
      <c r="K35" s="251">
        <v>44682</v>
      </c>
      <c r="L35" s="251">
        <v>44713</v>
      </c>
      <c r="M35" s="251">
        <v>44743</v>
      </c>
      <c r="N35" s="251">
        <v>44774</v>
      </c>
      <c r="O35" s="251">
        <v>44805</v>
      </c>
      <c r="P35" s="251">
        <v>44835</v>
      </c>
      <c r="Q35" s="251">
        <v>44866</v>
      </c>
      <c r="R35" s="251">
        <v>44896</v>
      </c>
      <c r="S35" s="248">
        <v>44927</v>
      </c>
      <c r="T35" s="248">
        <v>44958</v>
      </c>
      <c r="U35" s="248">
        <v>44986</v>
      </c>
      <c r="V35" s="248">
        <v>45017</v>
      </c>
      <c r="W35" s="248">
        <v>45047</v>
      </c>
      <c r="X35" s="248">
        <v>45078</v>
      </c>
      <c r="Y35" s="248">
        <v>45108</v>
      </c>
      <c r="Z35" s="248">
        <v>45139</v>
      </c>
      <c r="AA35" s="248">
        <v>45170</v>
      </c>
      <c r="AB35" s="248">
        <v>45200</v>
      </c>
      <c r="AC35" s="248">
        <v>45231</v>
      </c>
      <c r="AD35" s="248">
        <v>45261</v>
      </c>
      <c r="AE35" s="506">
        <v>45292</v>
      </c>
      <c r="AF35" s="249">
        <v>45323</v>
      </c>
      <c r="AG35" s="249">
        <v>45352</v>
      </c>
      <c r="AH35" s="249">
        <v>45383</v>
      </c>
      <c r="AI35" s="249">
        <v>45413</v>
      </c>
      <c r="AJ35" s="249">
        <v>45444</v>
      </c>
      <c r="AK35" s="249">
        <v>45474</v>
      </c>
      <c r="AL35" s="249">
        <v>45505</v>
      </c>
      <c r="AM35" s="249">
        <v>45536</v>
      </c>
      <c r="AN35" s="249">
        <v>45566</v>
      </c>
      <c r="AO35" s="249">
        <v>45597</v>
      </c>
      <c r="AP35" s="529">
        <v>45627</v>
      </c>
      <c r="AQ35" s="507">
        <v>45658</v>
      </c>
      <c r="AR35" s="250">
        <v>45689</v>
      </c>
      <c r="AS35" s="250">
        <v>45717</v>
      </c>
      <c r="AT35" s="250">
        <v>45748</v>
      </c>
      <c r="AU35" s="250">
        <v>45778</v>
      </c>
      <c r="AV35" s="250">
        <v>45809</v>
      </c>
      <c r="AW35" s="250">
        <v>45839</v>
      </c>
      <c r="AX35" s="250">
        <v>45870</v>
      </c>
      <c r="AY35" s="250">
        <v>45901</v>
      </c>
      <c r="AZ35" s="250">
        <v>45931</v>
      </c>
      <c r="BA35" s="250">
        <v>45962</v>
      </c>
      <c r="BB35" s="530">
        <v>45992</v>
      </c>
      <c r="BC35" s="507">
        <v>45658</v>
      </c>
      <c r="BD35" s="250">
        <v>45689</v>
      </c>
      <c r="BE35" s="250">
        <v>45717</v>
      </c>
      <c r="BF35" s="250">
        <v>45748</v>
      </c>
      <c r="BG35" s="250">
        <v>45778</v>
      </c>
      <c r="BH35" s="250">
        <v>45809</v>
      </c>
      <c r="BI35" s="250">
        <v>45839</v>
      </c>
      <c r="BJ35" s="250">
        <v>45870</v>
      </c>
      <c r="BK35" s="250">
        <v>45901</v>
      </c>
      <c r="BL35" s="250">
        <v>45931</v>
      </c>
      <c r="BM35" s="250">
        <v>45962</v>
      </c>
      <c r="BN35" s="530">
        <v>45992</v>
      </c>
      <c r="BO35" s="507">
        <v>45658</v>
      </c>
      <c r="BP35" s="250">
        <v>45689</v>
      </c>
      <c r="BQ35" s="250">
        <v>45717</v>
      </c>
      <c r="BR35" s="250">
        <v>45748</v>
      </c>
      <c r="BS35" s="250">
        <v>45778</v>
      </c>
      <c r="BT35" s="250">
        <v>45809</v>
      </c>
      <c r="BU35" s="250">
        <v>45839</v>
      </c>
      <c r="BV35" s="250">
        <v>45870</v>
      </c>
      <c r="BW35" s="250">
        <v>45901</v>
      </c>
      <c r="BX35" s="250">
        <v>45931</v>
      </c>
      <c r="BY35" s="250">
        <v>45962</v>
      </c>
      <c r="BZ35" s="530">
        <v>45992</v>
      </c>
      <c r="CA35" s="507">
        <v>45658</v>
      </c>
      <c r="CB35" s="250">
        <v>45689</v>
      </c>
      <c r="CC35" s="250">
        <v>45717</v>
      </c>
      <c r="CD35" s="250">
        <v>45748</v>
      </c>
      <c r="CE35" s="250">
        <v>45778</v>
      </c>
      <c r="CF35" s="250">
        <v>45809</v>
      </c>
      <c r="CG35" s="250">
        <v>45839</v>
      </c>
      <c r="CH35" s="250">
        <v>45870</v>
      </c>
      <c r="CI35" s="250">
        <v>45901</v>
      </c>
      <c r="CJ35" s="250">
        <v>45931</v>
      </c>
      <c r="CK35" s="250">
        <v>45962</v>
      </c>
      <c r="CL35" s="530">
        <v>45992</v>
      </c>
    </row>
    <row r="36" spans="2:90" customFormat="1" ht="16" x14ac:dyDescent="0.2">
      <c r="B36" s="21"/>
      <c r="E36" s="22"/>
      <c r="F36" s="22"/>
      <c r="G36" s="21"/>
      <c r="R36" s="22"/>
      <c r="S36" s="21"/>
      <c r="T36" s="762"/>
      <c r="U36" s="762"/>
      <c r="V36" s="762"/>
      <c r="W36" s="762"/>
      <c r="X36" s="762"/>
      <c r="Y36" s="762"/>
      <c r="Z36" s="762"/>
      <c r="AA36" s="762"/>
      <c r="AB36" s="762"/>
      <c r="AC36" s="762"/>
      <c r="AD36" s="557"/>
      <c r="AE36" s="762"/>
      <c r="AF36" s="762"/>
      <c r="AG36" s="762"/>
      <c r="AH36" s="762"/>
      <c r="AI36" s="762"/>
      <c r="AJ36" s="762"/>
      <c r="AK36" s="762"/>
      <c r="AL36" s="762"/>
      <c r="AM36" s="762"/>
      <c r="AN36" s="762"/>
      <c r="AO36" s="762"/>
      <c r="AP36" s="22"/>
      <c r="BB36" s="22"/>
      <c r="BN36" s="22"/>
      <c r="BZ36" s="22"/>
      <c r="CL36" s="22"/>
    </row>
    <row r="37" spans="2:90" customFormat="1" ht="16" x14ac:dyDescent="0.2">
      <c r="B37" s="21"/>
      <c r="E37" s="22"/>
      <c r="F37" s="22"/>
      <c r="G37" s="21"/>
      <c r="R37" s="22"/>
      <c r="S37" s="21"/>
      <c r="T37" s="762"/>
      <c r="U37" s="762"/>
      <c r="V37" s="762"/>
      <c r="W37" s="762"/>
      <c r="X37" s="762"/>
      <c r="Y37" s="762"/>
      <c r="Z37" s="762"/>
      <c r="AA37" s="762"/>
      <c r="AB37" s="762"/>
      <c r="AC37" s="762"/>
      <c r="AD37" s="557"/>
      <c r="AE37" s="762"/>
      <c r="AF37" s="762"/>
      <c r="AG37" s="762"/>
      <c r="AH37" s="762"/>
      <c r="AI37" s="762"/>
      <c r="AJ37" s="762"/>
      <c r="AK37" s="762"/>
      <c r="AL37" s="762"/>
      <c r="AM37" s="762"/>
      <c r="AN37" s="762"/>
      <c r="AO37" s="762"/>
      <c r="AP37" s="22"/>
      <c r="BB37" s="22"/>
      <c r="BN37" s="22"/>
      <c r="BZ37" s="22"/>
      <c r="CL37" s="22"/>
    </row>
    <row r="38" spans="2:90" customFormat="1" ht="24" x14ac:dyDescent="0.3">
      <c r="B38" s="88" t="s">
        <v>39</v>
      </c>
      <c r="C38" s="61" t="s">
        <v>37</v>
      </c>
      <c r="D38" s="61"/>
      <c r="E38" s="22"/>
      <c r="F38" s="22"/>
      <c r="G38" s="21"/>
      <c r="R38" s="22"/>
      <c r="S38" s="21"/>
      <c r="T38" s="762"/>
      <c r="U38" s="762"/>
      <c r="V38" s="762"/>
      <c r="W38" s="762"/>
      <c r="X38" s="762"/>
      <c r="Y38" s="762"/>
      <c r="Z38" s="762"/>
      <c r="AA38" s="762"/>
      <c r="AB38" s="762"/>
      <c r="AC38" s="762"/>
      <c r="AD38" s="557"/>
      <c r="AE38" s="762"/>
      <c r="AF38" s="762"/>
      <c r="AG38" s="762"/>
      <c r="AH38" s="762"/>
      <c r="AI38" s="762"/>
      <c r="AJ38" s="762"/>
      <c r="AK38" s="762"/>
      <c r="AL38" s="762"/>
      <c r="AM38" s="762"/>
      <c r="AN38" s="762"/>
      <c r="AO38" s="762"/>
      <c r="AP38" s="22"/>
      <c r="BB38" s="22"/>
      <c r="BN38" s="22"/>
      <c r="BZ38" s="22"/>
      <c r="CL38" s="22"/>
    </row>
    <row r="39" spans="2:90" customFormat="1" ht="9" customHeight="1" x14ac:dyDescent="0.3">
      <c r="B39" s="89"/>
      <c r="C39" s="59"/>
      <c r="E39" s="22"/>
      <c r="F39" s="22"/>
      <c r="G39" s="21"/>
      <c r="R39" s="22"/>
      <c r="S39" s="21"/>
      <c r="T39" s="762"/>
      <c r="U39" s="762"/>
      <c r="V39" s="762"/>
      <c r="W39" s="762"/>
      <c r="X39" s="762"/>
      <c r="Y39" s="762"/>
      <c r="Z39" s="762"/>
      <c r="AA39" s="762"/>
      <c r="AB39" s="762"/>
      <c r="AC39" s="762"/>
      <c r="AD39" s="557"/>
      <c r="AE39" s="762"/>
      <c r="AF39" s="762"/>
      <c r="AG39" s="762"/>
      <c r="AH39" s="762"/>
      <c r="AI39" s="762"/>
      <c r="AJ39" s="762"/>
      <c r="AK39" s="762"/>
      <c r="AL39" s="762"/>
      <c r="AM39" s="762"/>
      <c r="AN39" s="762"/>
      <c r="AO39" s="762"/>
      <c r="AP39" s="22"/>
      <c r="BB39" s="22"/>
      <c r="BN39" s="22"/>
      <c r="BZ39" s="22"/>
      <c r="CL39" s="22"/>
    </row>
    <row r="40" spans="2:90" customFormat="1" ht="19" x14ac:dyDescent="0.25">
      <c r="B40" s="90" t="s">
        <v>350</v>
      </c>
      <c r="C40" s="95">
        <v>150000</v>
      </c>
      <c r="D40" s="92" t="s">
        <v>131</v>
      </c>
      <c r="E40" s="22"/>
      <c r="F40" s="22"/>
      <c r="G40" s="7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74"/>
      <c r="S40" s="73"/>
      <c r="T40" s="763"/>
      <c r="U40" s="763"/>
      <c r="V40" s="763"/>
      <c r="W40" s="763"/>
      <c r="X40" s="763"/>
      <c r="Y40" s="763"/>
      <c r="Z40" s="763"/>
      <c r="AA40" s="763"/>
      <c r="AB40" s="763"/>
      <c r="AC40" s="763"/>
      <c r="AD40" s="574"/>
      <c r="AE40" s="763"/>
      <c r="AF40" s="763"/>
      <c r="AG40" s="763"/>
      <c r="AH40" s="763"/>
      <c r="AI40" s="763"/>
      <c r="AJ40" s="763"/>
      <c r="AK40" s="763"/>
      <c r="AL40" s="763"/>
      <c r="AM40" s="763"/>
      <c r="AN40" s="763"/>
      <c r="AO40" s="763"/>
      <c r="AP40" s="74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74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74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74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74"/>
    </row>
    <row r="41" spans="2:90" customFormat="1" ht="19" x14ac:dyDescent="0.25">
      <c r="B41" s="90" t="s">
        <v>291</v>
      </c>
      <c r="C41" s="95">
        <v>0</v>
      </c>
      <c r="D41" s="180" t="s">
        <v>373</v>
      </c>
      <c r="E41" s="22"/>
      <c r="F41" s="22"/>
      <c r="G41" s="7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74"/>
      <c r="S41" s="73">
        <v>37000</v>
      </c>
      <c r="T41" s="763"/>
      <c r="U41" s="763"/>
      <c r="V41" s="763"/>
      <c r="W41" s="763"/>
      <c r="X41" s="772">
        <v>70169</v>
      </c>
      <c r="Y41" s="763"/>
      <c r="Z41" s="763"/>
      <c r="AA41" s="763"/>
      <c r="AB41" s="763"/>
      <c r="AC41" s="763"/>
      <c r="AD41" s="574"/>
      <c r="AE41" s="763"/>
      <c r="AF41" s="763"/>
      <c r="AG41" s="763"/>
      <c r="AH41" s="761">
        <f>'RSDE-CDAE Estimation'!D104</f>
        <v>185033.1875</v>
      </c>
      <c r="AI41" s="763"/>
      <c r="AJ41" s="763"/>
      <c r="AK41" s="763"/>
      <c r="AL41" s="763"/>
      <c r="AM41" s="763"/>
      <c r="AN41" s="763"/>
      <c r="AO41" s="763"/>
      <c r="AP41" s="74"/>
      <c r="AQ41" s="63"/>
      <c r="AR41" s="63"/>
      <c r="AS41" s="63"/>
      <c r="AT41" s="63">
        <f>AH41</f>
        <v>185033.1875</v>
      </c>
      <c r="AU41" s="63"/>
      <c r="AV41" s="63"/>
      <c r="AW41" s="63"/>
      <c r="AX41" s="63"/>
      <c r="AY41" s="63"/>
      <c r="AZ41" s="63"/>
      <c r="BA41" s="63"/>
      <c r="BB41" s="74"/>
      <c r="BC41" s="63"/>
      <c r="BD41" s="63"/>
      <c r="BE41" s="63"/>
      <c r="BF41" s="63">
        <f>AT41</f>
        <v>185033.1875</v>
      </c>
      <c r="BG41" s="63"/>
      <c r="BH41" s="63"/>
      <c r="BI41" s="63"/>
      <c r="BJ41" s="63"/>
      <c r="BK41" s="63"/>
      <c r="BL41" s="63"/>
      <c r="BM41" s="63"/>
      <c r="BN41" s="74"/>
      <c r="BO41" s="63"/>
      <c r="BP41" s="63"/>
      <c r="BQ41" s="63"/>
      <c r="BR41" s="63">
        <f>BF41</f>
        <v>185033.1875</v>
      </c>
      <c r="BS41" s="63"/>
      <c r="BT41" s="63"/>
      <c r="BU41" s="63"/>
      <c r="BV41" s="63"/>
      <c r="BW41" s="63"/>
      <c r="BX41" s="63"/>
      <c r="BY41" s="63"/>
      <c r="BZ41" s="74"/>
      <c r="CA41" s="63"/>
      <c r="CB41" s="63"/>
      <c r="CC41" s="63"/>
      <c r="CD41" s="63">
        <f>BR41</f>
        <v>185033.1875</v>
      </c>
      <c r="CE41" s="63"/>
      <c r="CF41" s="63"/>
      <c r="CG41" s="63"/>
      <c r="CH41" s="63"/>
      <c r="CI41" s="63"/>
      <c r="CJ41" s="63"/>
      <c r="CK41" s="63"/>
      <c r="CL41" s="74"/>
    </row>
    <row r="42" spans="2:90" customFormat="1" ht="19" x14ac:dyDescent="0.25">
      <c r="B42" s="90" t="s">
        <v>292</v>
      </c>
      <c r="C42" s="95">
        <v>0</v>
      </c>
      <c r="D42" s="180" t="s">
        <v>373</v>
      </c>
      <c r="E42" s="22"/>
      <c r="F42" s="22"/>
      <c r="G42" s="7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74"/>
      <c r="S42" s="73"/>
      <c r="T42" s="763"/>
      <c r="U42" s="763"/>
      <c r="V42" s="763"/>
      <c r="W42" s="763"/>
      <c r="X42" s="763"/>
      <c r="Y42" s="763"/>
      <c r="Z42" s="763"/>
      <c r="AA42" s="763"/>
      <c r="AB42" s="763"/>
      <c r="AC42" s="763"/>
      <c r="AD42" s="574"/>
      <c r="AE42" s="763"/>
      <c r="AF42" s="763"/>
      <c r="AG42" s="763"/>
      <c r="AH42" s="763"/>
      <c r="AI42" s="763"/>
      <c r="AJ42" s="763"/>
      <c r="AK42" s="763">
        <f>'RSDE-CDAE Estimation'!D105</f>
        <v>230699.4</v>
      </c>
      <c r="AL42" s="763"/>
      <c r="AM42" s="763"/>
      <c r="AN42" s="763"/>
      <c r="AO42" s="763"/>
      <c r="AP42" s="74"/>
      <c r="AQ42" s="63"/>
      <c r="AR42" s="63"/>
      <c r="AS42" s="63"/>
      <c r="AT42" s="63"/>
      <c r="AU42" s="63"/>
      <c r="AV42" s="63"/>
      <c r="AW42" s="63">
        <f>'RSDE-CDAE Estimation'!D105</f>
        <v>230699.4</v>
      </c>
      <c r="AX42" s="63"/>
      <c r="AY42" s="63"/>
      <c r="AZ42" s="63"/>
      <c r="BA42" s="63"/>
      <c r="BB42" s="74"/>
      <c r="BC42" s="63"/>
      <c r="BD42" s="63"/>
      <c r="BE42" s="63"/>
      <c r="BF42" s="63"/>
      <c r="BG42" s="63"/>
      <c r="BH42" s="63"/>
      <c r="BI42" s="63">
        <f>'RSDE-CDAE Estimation'!D105</f>
        <v>230699.4</v>
      </c>
      <c r="BJ42" s="63"/>
      <c r="BK42" s="63"/>
      <c r="BL42" s="63"/>
      <c r="BM42" s="63"/>
      <c r="BN42" s="74"/>
      <c r="BO42" s="63"/>
      <c r="BP42" s="63"/>
      <c r="BQ42" s="63"/>
      <c r="BR42" s="63">
        <f>BF42</f>
        <v>0</v>
      </c>
      <c r="BS42" s="63"/>
      <c r="BT42" s="63"/>
      <c r="BU42" s="63"/>
      <c r="BV42" s="63"/>
      <c r="BW42" s="63"/>
      <c r="BX42" s="63"/>
      <c r="BY42" s="63"/>
      <c r="BZ42" s="74"/>
      <c r="CA42" s="63"/>
      <c r="CB42" s="63"/>
      <c r="CC42" s="63"/>
      <c r="CD42" s="63">
        <f>BR42</f>
        <v>0</v>
      </c>
      <c r="CE42" s="63"/>
      <c r="CF42" s="63"/>
      <c r="CG42" s="63"/>
      <c r="CH42" s="63"/>
      <c r="CI42" s="63"/>
      <c r="CJ42" s="63"/>
      <c r="CK42" s="63"/>
      <c r="CL42" s="74"/>
    </row>
    <row r="43" spans="2:90" customFormat="1" ht="19" x14ac:dyDescent="0.25">
      <c r="B43" s="90" t="s">
        <v>101</v>
      </c>
      <c r="C43" s="95">
        <v>150000</v>
      </c>
      <c r="D43" s="92" t="s">
        <v>130</v>
      </c>
      <c r="E43" s="22"/>
      <c r="F43" s="22"/>
      <c r="G43" s="73"/>
      <c r="H43" s="63"/>
      <c r="I43" s="63"/>
      <c r="J43" s="63"/>
      <c r="K43" s="63"/>
      <c r="L43" s="63"/>
      <c r="M43" s="63"/>
      <c r="N43" s="63"/>
      <c r="O43" s="63"/>
      <c r="P43" s="63"/>
      <c r="Q43" s="63">
        <v>105000</v>
      </c>
      <c r="R43" s="74"/>
      <c r="S43" s="73"/>
      <c r="T43" s="763"/>
      <c r="U43" s="763"/>
      <c r="V43" s="763"/>
      <c r="W43" s="763"/>
      <c r="X43" s="763"/>
      <c r="Y43" s="763"/>
      <c r="Z43" s="763"/>
      <c r="AA43" s="763"/>
      <c r="AB43" s="763"/>
      <c r="AC43" s="763"/>
      <c r="AD43" s="760"/>
      <c r="AE43" s="763"/>
      <c r="AF43" s="763"/>
      <c r="AG43" s="761">
        <v>45000</v>
      </c>
      <c r="AH43" s="763"/>
      <c r="AI43" s="763"/>
      <c r="AJ43" s="763"/>
      <c r="AK43" s="763"/>
      <c r="AL43" s="763"/>
      <c r="AM43" s="763"/>
      <c r="AN43" s="763"/>
      <c r="AO43" s="763"/>
      <c r="AP43" s="74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74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74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74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74"/>
    </row>
    <row r="44" spans="2:90" customFormat="1" ht="19" x14ac:dyDescent="0.25">
      <c r="B44" s="656" t="s">
        <v>374</v>
      </c>
      <c r="C44" s="95">
        <v>500000</v>
      </c>
      <c r="D44" s="92" t="s">
        <v>129</v>
      </c>
      <c r="E44" s="22"/>
      <c r="F44" s="22"/>
      <c r="G44" s="7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74"/>
      <c r="S44" s="73"/>
      <c r="T44" s="763"/>
      <c r="U44" s="763"/>
      <c r="V44" s="763"/>
      <c r="W44" s="763"/>
      <c r="X44" s="763"/>
      <c r="Y44" s="763"/>
      <c r="Z44" s="763"/>
      <c r="AA44" s="763"/>
      <c r="AB44" s="763"/>
      <c r="AC44" s="763"/>
      <c r="AD44" s="574"/>
      <c r="AE44" s="763"/>
      <c r="AF44" s="763"/>
      <c r="AG44" s="763"/>
      <c r="AH44" s="763"/>
      <c r="AI44" s="763"/>
      <c r="AJ44" s="763"/>
      <c r="AK44" s="763"/>
      <c r="AL44" s="763"/>
      <c r="AM44" s="52"/>
      <c r="AN44" s="763"/>
      <c r="AO44" s="763">
        <v>250000</v>
      </c>
      <c r="AP44" s="74"/>
      <c r="AQ44" s="63"/>
      <c r="AR44" s="63"/>
      <c r="AS44" s="63"/>
      <c r="AT44" s="63"/>
      <c r="AU44" s="63">
        <v>250000</v>
      </c>
      <c r="AV44" s="63"/>
      <c r="AW44" s="63"/>
      <c r="AX44" s="63"/>
      <c r="AY44" s="63"/>
      <c r="AZ44" s="63"/>
      <c r="BA44" s="63"/>
      <c r="BB44" s="74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74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74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74"/>
    </row>
    <row r="45" spans="2:90" customFormat="1" ht="19" x14ac:dyDescent="0.25">
      <c r="B45" s="656" t="s">
        <v>375</v>
      </c>
      <c r="C45" s="95">
        <v>350000</v>
      </c>
      <c r="D45" s="92" t="s">
        <v>131</v>
      </c>
      <c r="E45" s="22"/>
      <c r="F45" s="22"/>
      <c r="G45" s="7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74"/>
      <c r="S45" s="73"/>
      <c r="T45" s="763"/>
      <c r="U45" s="763"/>
      <c r="V45" s="763"/>
      <c r="W45" s="763"/>
      <c r="X45" s="763"/>
      <c r="Y45" s="763"/>
      <c r="Z45" s="763"/>
      <c r="AA45" s="763"/>
      <c r="AB45" s="763"/>
      <c r="AC45" s="763"/>
      <c r="AD45" s="574"/>
      <c r="AE45" s="763"/>
      <c r="AF45" s="763"/>
      <c r="AG45" s="763"/>
      <c r="AH45" s="763"/>
      <c r="AI45" s="763"/>
      <c r="AJ45" s="763"/>
      <c r="AK45" s="763"/>
      <c r="AL45" s="763"/>
      <c r="AM45" s="763"/>
      <c r="AN45" s="763"/>
      <c r="AO45" s="763"/>
      <c r="AP45" s="74"/>
      <c r="AQ45" s="63"/>
      <c r="AR45" s="63"/>
      <c r="AS45" s="63"/>
      <c r="AT45" s="63"/>
      <c r="AU45" s="63">
        <v>175000</v>
      </c>
      <c r="AV45" s="63"/>
      <c r="AW45" s="63"/>
      <c r="AX45" s="63"/>
      <c r="AY45" s="63"/>
      <c r="AZ45" s="63"/>
      <c r="BA45" s="63">
        <v>175000</v>
      </c>
      <c r="BB45" s="74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74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74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74"/>
    </row>
    <row r="46" spans="2:90" customFormat="1" ht="19" x14ac:dyDescent="0.25">
      <c r="B46" s="656" t="s">
        <v>351</v>
      </c>
      <c r="C46" s="95">
        <v>250000</v>
      </c>
      <c r="D46" s="92" t="s">
        <v>376</v>
      </c>
      <c r="E46" s="22"/>
      <c r="F46" s="22"/>
      <c r="G46" s="7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74"/>
      <c r="S46" s="73"/>
      <c r="T46" s="763"/>
      <c r="U46" s="763"/>
      <c r="V46" s="763"/>
      <c r="W46" s="763"/>
      <c r="X46" s="763"/>
      <c r="Y46" s="763"/>
      <c r="Z46" s="763"/>
      <c r="AA46" s="763"/>
      <c r="AB46" s="763"/>
      <c r="AC46" s="763"/>
      <c r="AD46" s="574"/>
      <c r="AE46" s="763"/>
      <c r="AF46" s="763"/>
      <c r="AG46" s="763"/>
      <c r="AH46" s="763"/>
      <c r="AI46" s="763"/>
      <c r="AJ46" s="763">
        <v>25000</v>
      </c>
      <c r="AK46" s="763">
        <v>25000</v>
      </c>
      <c r="AL46" s="763">
        <v>25000</v>
      </c>
      <c r="AM46" s="763">
        <v>25000</v>
      </c>
      <c r="AN46" s="763">
        <v>25000</v>
      </c>
      <c r="AO46" s="763">
        <v>25000</v>
      </c>
      <c r="AP46" s="74">
        <v>25000</v>
      </c>
      <c r="AQ46" s="63">
        <v>25000</v>
      </c>
      <c r="AR46" s="63">
        <v>25000</v>
      </c>
      <c r="AS46" s="63">
        <v>25000</v>
      </c>
      <c r="AT46" s="63">
        <v>25000</v>
      </c>
      <c r="AU46" s="63"/>
      <c r="AV46" s="63"/>
      <c r="AW46" s="63"/>
      <c r="AX46" s="63"/>
      <c r="AY46" s="63"/>
      <c r="AZ46" s="63"/>
      <c r="BA46" s="63"/>
      <c r="BB46" s="74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74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74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74"/>
    </row>
    <row r="47" spans="2:90" customFormat="1" ht="19" x14ac:dyDescent="0.25">
      <c r="B47" s="656" t="s">
        <v>372</v>
      </c>
      <c r="C47" s="95">
        <v>100000</v>
      </c>
      <c r="D47" s="92" t="s">
        <v>377</v>
      </c>
      <c r="E47" s="22"/>
      <c r="F47" s="22"/>
      <c r="G47" s="7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74"/>
      <c r="S47" s="73"/>
      <c r="T47" s="763"/>
      <c r="U47" s="763"/>
      <c r="V47" s="763"/>
      <c r="W47" s="763"/>
      <c r="X47" s="763"/>
      <c r="Y47" s="763"/>
      <c r="Z47" s="763"/>
      <c r="AA47" s="763"/>
      <c r="AB47" s="763"/>
      <c r="AC47" s="763"/>
      <c r="AD47" s="574"/>
      <c r="AE47" s="763"/>
      <c r="AF47" s="763"/>
      <c r="AG47" s="763"/>
      <c r="AH47" s="763"/>
      <c r="AI47" s="763"/>
      <c r="AJ47" s="763">
        <v>100000</v>
      </c>
      <c r="AK47" s="763"/>
      <c r="AL47" s="763"/>
      <c r="AM47" s="763"/>
      <c r="AN47" s="763"/>
      <c r="AO47" s="763"/>
      <c r="AP47" s="74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74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74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74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74"/>
    </row>
    <row r="48" spans="2:90" customFormat="1" ht="19" x14ac:dyDescent="0.25">
      <c r="B48" s="90" t="s">
        <v>290</v>
      </c>
      <c r="C48" s="95">
        <v>500000</v>
      </c>
      <c r="D48" s="92" t="s">
        <v>378</v>
      </c>
      <c r="E48" s="22"/>
      <c r="F48" s="22"/>
      <c r="G48" s="7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74"/>
      <c r="S48" s="73"/>
      <c r="T48" s="763"/>
      <c r="U48" s="763"/>
      <c r="V48" s="763"/>
      <c r="W48" s="763"/>
      <c r="X48" s="763"/>
      <c r="Y48" s="763"/>
      <c r="Z48" s="763"/>
      <c r="AA48" s="763"/>
      <c r="AB48" s="763"/>
      <c r="AC48" s="763"/>
      <c r="AD48" s="574"/>
      <c r="AE48" s="763"/>
      <c r="AF48" s="763"/>
      <c r="AG48" s="763"/>
      <c r="AH48" s="763"/>
      <c r="AI48" s="763"/>
      <c r="AJ48" s="763"/>
      <c r="AK48" s="763"/>
      <c r="AL48" s="763">
        <v>150000</v>
      </c>
      <c r="AM48" s="763"/>
      <c r="AN48" s="763"/>
      <c r="AO48" s="763"/>
      <c r="AP48" s="74"/>
      <c r="AQ48" s="63"/>
      <c r="AR48" s="63">
        <v>150000</v>
      </c>
      <c r="AS48" s="63"/>
      <c r="AT48" s="63"/>
      <c r="AU48" s="63"/>
      <c r="AV48" s="63"/>
      <c r="AW48" s="63"/>
      <c r="AX48" s="63"/>
      <c r="AY48" s="63"/>
      <c r="AZ48" s="63"/>
      <c r="BA48" s="63"/>
      <c r="BB48" s="74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74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74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74"/>
    </row>
    <row r="49" spans="2:90" customFormat="1" ht="19" x14ac:dyDescent="0.25">
      <c r="B49" s="90"/>
      <c r="C49" s="56"/>
      <c r="D49" s="91"/>
      <c r="E49" s="22"/>
      <c r="F49" s="22"/>
      <c r="G49" s="7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74"/>
      <c r="S49" s="73"/>
      <c r="T49" s="763"/>
      <c r="U49" s="763"/>
      <c r="V49" s="763"/>
      <c r="W49" s="763"/>
      <c r="X49" s="763"/>
      <c r="Y49" s="763"/>
      <c r="Z49" s="763"/>
      <c r="AA49" s="763"/>
      <c r="AB49" s="763"/>
      <c r="AC49" s="763"/>
      <c r="AD49" s="574"/>
      <c r="AE49" s="763"/>
      <c r="AF49" s="763"/>
      <c r="AG49" s="763"/>
      <c r="AH49" s="763"/>
      <c r="AI49" s="763"/>
      <c r="AJ49" s="763"/>
      <c r="AK49" s="763"/>
      <c r="AL49" s="763"/>
      <c r="AM49" s="763"/>
      <c r="AN49" s="763"/>
      <c r="AO49" s="763"/>
      <c r="AP49" s="74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74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74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74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74"/>
    </row>
    <row r="50" spans="2:90" s="19" customFormat="1" ht="22" thickBot="1" x14ac:dyDescent="0.3">
      <c r="B50" s="93" t="s">
        <v>0</v>
      </c>
      <c r="C50" s="79">
        <f>SUM(C40:C45)</f>
        <v>1150000</v>
      </c>
      <c r="D50" s="69"/>
      <c r="E50" s="94"/>
      <c r="F50" s="94"/>
      <c r="G50" s="75"/>
      <c r="H50" s="71"/>
      <c r="I50" s="71"/>
      <c r="J50" s="71"/>
      <c r="K50" s="71"/>
      <c r="L50" s="71"/>
      <c r="M50" s="71"/>
      <c r="N50" s="71">
        <f>SUM(N40:N48)</f>
        <v>0</v>
      </c>
      <c r="O50" s="71">
        <f t="shared" ref="O50:BB50" si="157">SUM(O40:O48)</f>
        <v>0</v>
      </c>
      <c r="P50" s="71">
        <f t="shared" si="157"/>
        <v>0</v>
      </c>
      <c r="Q50" s="71">
        <f t="shared" si="157"/>
        <v>105000</v>
      </c>
      <c r="R50" s="76">
        <f t="shared" si="157"/>
        <v>0</v>
      </c>
      <c r="S50" s="75">
        <f t="shared" si="157"/>
        <v>37000</v>
      </c>
      <c r="T50" s="71">
        <f t="shared" si="157"/>
        <v>0</v>
      </c>
      <c r="U50" s="71">
        <f t="shared" si="157"/>
        <v>0</v>
      </c>
      <c r="V50" s="71">
        <f t="shared" si="157"/>
        <v>0</v>
      </c>
      <c r="W50" s="71">
        <f t="shared" si="157"/>
        <v>0</v>
      </c>
      <c r="X50" s="71">
        <f t="shared" si="157"/>
        <v>70169</v>
      </c>
      <c r="Y50" s="71">
        <f t="shared" si="157"/>
        <v>0</v>
      </c>
      <c r="Z50" s="71">
        <f t="shared" si="157"/>
        <v>0</v>
      </c>
      <c r="AA50" s="71">
        <f t="shared" si="157"/>
        <v>0</v>
      </c>
      <c r="AB50" s="71">
        <f t="shared" si="157"/>
        <v>0</v>
      </c>
      <c r="AC50" s="71">
        <f t="shared" si="157"/>
        <v>0</v>
      </c>
      <c r="AD50" s="575">
        <f t="shared" si="157"/>
        <v>0</v>
      </c>
      <c r="AE50" s="71">
        <f t="shared" si="157"/>
        <v>0</v>
      </c>
      <c r="AF50" s="71">
        <f t="shared" si="157"/>
        <v>0</v>
      </c>
      <c r="AG50" s="71">
        <f t="shared" si="157"/>
        <v>45000</v>
      </c>
      <c r="AH50" s="71">
        <f t="shared" si="157"/>
        <v>185033.1875</v>
      </c>
      <c r="AI50" s="71">
        <f t="shared" si="157"/>
        <v>0</v>
      </c>
      <c r="AJ50" s="71">
        <f t="shared" si="157"/>
        <v>125000</v>
      </c>
      <c r="AK50" s="71">
        <f t="shared" si="157"/>
        <v>255699.4</v>
      </c>
      <c r="AL50" s="71">
        <f t="shared" si="157"/>
        <v>175000</v>
      </c>
      <c r="AM50" s="71">
        <f t="shared" si="157"/>
        <v>25000</v>
      </c>
      <c r="AN50" s="71">
        <f t="shared" si="157"/>
        <v>25000</v>
      </c>
      <c r="AO50" s="71">
        <f t="shared" si="157"/>
        <v>275000</v>
      </c>
      <c r="AP50" s="76">
        <f t="shared" si="157"/>
        <v>25000</v>
      </c>
      <c r="AQ50" s="71">
        <f t="shared" si="157"/>
        <v>25000</v>
      </c>
      <c r="AR50" s="71">
        <f t="shared" si="157"/>
        <v>175000</v>
      </c>
      <c r="AS50" s="71">
        <f t="shared" si="157"/>
        <v>25000</v>
      </c>
      <c r="AT50" s="71">
        <f t="shared" si="157"/>
        <v>210033.1875</v>
      </c>
      <c r="AU50" s="71">
        <f t="shared" si="157"/>
        <v>425000</v>
      </c>
      <c r="AV50" s="71">
        <f t="shared" si="157"/>
        <v>0</v>
      </c>
      <c r="AW50" s="71">
        <f t="shared" si="157"/>
        <v>230699.4</v>
      </c>
      <c r="AX50" s="71">
        <f t="shared" si="157"/>
        <v>0</v>
      </c>
      <c r="AY50" s="71">
        <f t="shared" si="157"/>
        <v>0</v>
      </c>
      <c r="AZ50" s="71">
        <f t="shared" si="157"/>
        <v>0</v>
      </c>
      <c r="BA50" s="71">
        <f t="shared" si="157"/>
        <v>175000</v>
      </c>
      <c r="BB50" s="76">
        <f t="shared" si="157"/>
        <v>0</v>
      </c>
      <c r="BC50" s="71">
        <f t="shared" ref="BC50:BN50" si="158">SUM(BC40:BC48)</f>
        <v>0</v>
      </c>
      <c r="BD50" s="71">
        <f t="shared" si="158"/>
        <v>0</v>
      </c>
      <c r="BE50" s="71">
        <f t="shared" si="158"/>
        <v>0</v>
      </c>
      <c r="BF50" s="71">
        <f t="shared" si="158"/>
        <v>185033.1875</v>
      </c>
      <c r="BG50" s="71">
        <f t="shared" si="158"/>
        <v>0</v>
      </c>
      <c r="BH50" s="71">
        <f t="shared" si="158"/>
        <v>0</v>
      </c>
      <c r="BI50" s="71">
        <f t="shared" si="158"/>
        <v>230699.4</v>
      </c>
      <c r="BJ50" s="71">
        <f t="shared" si="158"/>
        <v>0</v>
      </c>
      <c r="BK50" s="71">
        <f t="shared" si="158"/>
        <v>0</v>
      </c>
      <c r="BL50" s="71">
        <f t="shared" si="158"/>
        <v>0</v>
      </c>
      <c r="BM50" s="71">
        <f t="shared" si="158"/>
        <v>0</v>
      </c>
      <c r="BN50" s="76">
        <f t="shared" si="158"/>
        <v>0</v>
      </c>
      <c r="BO50" s="71">
        <f t="shared" ref="BO50:BZ50" si="159">SUM(BO40:BO48)</f>
        <v>0</v>
      </c>
      <c r="BP50" s="71">
        <f t="shared" si="159"/>
        <v>0</v>
      </c>
      <c r="BQ50" s="71">
        <f t="shared" si="159"/>
        <v>0</v>
      </c>
      <c r="BR50" s="71">
        <f t="shared" si="159"/>
        <v>185033.1875</v>
      </c>
      <c r="BS50" s="71">
        <f t="shared" si="159"/>
        <v>0</v>
      </c>
      <c r="BT50" s="71">
        <f t="shared" si="159"/>
        <v>0</v>
      </c>
      <c r="BU50" s="71">
        <f t="shared" si="159"/>
        <v>0</v>
      </c>
      <c r="BV50" s="71">
        <f t="shared" si="159"/>
        <v>0</v>
      </c>
      <c r="BW50" s="71">
        <f t="shared" si="159"/>
        <v>0</v>
      </c>
      <c r="BX50" s="71">
        <f t="shared" si="159"/>
        <v>0</v>
      </c>
      <c r="BY50" s="71">
        <f t="shared" si="159"/>
        <v>0</v>
      </c>
      <c r="BZ50" s="76">
        <f t="shared" si="159"/>
        <v>0</v>
      </c>
      <c r="CA50" s="71">
        <f t="shared" ref="CA50:CL50" si="160">SUM(CA40:CA48)</f>
        <v>0</v>
      </c>
      <c r="CB50" s="71">
        <f t="shared" si="160"/>
        <v>0</v>
      </c>
      <c r="CC50" s="71">
        <f t="shared" si="160"/>
        <v>0</v>
      </c>
      <c r="CD50" s="71">
        <f t="shared" si="160"/>
        <v>185033.1875</v>
      </c>
      <c r="CE50" s="71">
        <f t="shared" si="160"/>
        <v>0</v>
      </c>
      <c r="CF50" s="71">
        <f t="shared" si="160"/>
        <v>0</v>
      </c>
      <c r="CG50" s="71">
        <f t="shared" si="160"/>
        <v>0</v>
      </c>
      <c r="CH50" s="71">
        <f t="shared" si="160"/>
        <v>0</v>
      </c>
      <c r="CI50" s="71">
        <f t="shared" si="160"/>
        <v>0</v>
      </c>
      <c r="CJ50" s="71">
        <f t="shared" si="160"/>
        <v>0</v>
      </c>
      <c r="CK50" s="71">
        <f t="shared" si="160"/>
        <v>0</v>
      </c>
      <c r="CL50" s="76">
        <f t="shared" si="160"/>
        <v>0</v>
      </c>
    </row>
    <row r="58" spans="2:90" x14ac:dyDescent="0.2">
      <c r="AI58" s="687" t="s">
        <v>284</v>
      </c>
    </row>
  </sheetData>
  <mergeCells count="14">
    <mergeCell ref="AQ3:BB3"/>
    <mergeCell ref="G34:R34"/>
    <mergeCell ref="S34:AD34"/>
    <mergeCell ref="AE34:AP34"/>
    <mergeCell ref="AQ34:BB34"/>
    <mergeCell ref="G3:R3"/>
    <mergeCell ref="S3:AD3"/>
    <mergeCell ref="AE3:AP3"/>
    <mergeCell ref="BO3:BZ3"/>
    <mergeCell ref="BO34:BZ34"/>
    <mergeCell ref="CA3:CL3"/>
    <mergeCell ref="CA34:CL34"/>
    <mergeCell ref="BC3:BN3"/>
    <mergeCell ref="BC34:BN3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F03F-D4F0-4A37-B078-2AA9AD3B8689}">
  <sheetPr>
    <tabColor theme="4" tint="-0.249977111117893"/>
  </sheetPr>
  <dimension ref="A1:U1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06" sqref="D106"/>
    </sheetView>
  </sheetViews>
  <sheetFormatPr baseColWidth="10" defaultColWidth="10.83203125" defaultRowHeight="15" x14ac:dyDescent="0.2"/>
  <cols>
    <col min="1" max="1" width="4.6640625" style="309" customWidth="1"/>
    <col min="2" max="2" width="37.83203125" style="307" bestFit="1" customWidth="1"/>
    <col min="3" max="3" width="11.1640625" style="307" customWidth="1"/>
    <col min="4" max="4" width="35.1640625" style="307" bestFit="1" customWidth="1"/>
    <col min="5" max="5" width="35.1640625" style="307" customWidth="1"/>
    <col min="6" max="6" width="14.5" style="307" customWidth="1"/>
    <col min="7" max="10" width="17.1640625" style="307" customWidth="1"/>
    <col min="11" max="11" width="17.83203125" style="307" customWidth="1"/>
    <col min="12" max="13" width="17.83203125" style="307" hidden="1" customWidth="1"/>
    <col min="14" max="14" width="17.83203125" style="307" customWidth="1"/>
    <col min="15" max="15" width="17.1640625" style="307" customWidth="1"/>
    <col min="16" max="16" width="16" style="308" hidden="1" customWidth="1"/>
    <col min="17" max="18" width="17.5" style="307" customWidth="1"/>
    <col min="19" max="20" width="20.33203125" style="307" customWidth="1"/>
    <col min="21" max="16384" width="10.83203125" style="307"/>
  </cols>
  <sheetData>
    <row r="1" spans="1:21" ht="4.5" customHeight="1" x14ac:dyDescent="0.2">
      <c r="A1" s="309" t="s">
        <v>284</v>
      </c>
      <c r="B1" s="360"/>
    </row>
    <row r="2" spans="1:21" ht="24" customHeight="1" x14ac:dyDescent="0.25">
      <c r="B2" s="359" t="s">
        <v>283</v>
      </c>
      <c r="C2" s="358"/>
      <c r="R2" s="309"/>
      <c r="S2" s="309"/>
      <c r="T2" s="309"/>
      <c r="U2" s="309"/>
    </row>
    <row r="3" spans="1:21" ht="21" x14ac:dyDescent="0.2">
      <c r="B3" s="738" t="s">
        <v>282</v>
      </c>
      <c r="C3" s="739"/>
      <c r="D3" s="739"/>
      <c r="E3" s="739"/>
      <c r="F3" s="739"/>
      <c r="G3" s="357"/>
      <c r="H3" s="357"/>
      <c r="I3" s="357"/>
      <c r="J3" s="357"/>
      <c r="R3" s="309"/>
      <c r="S3" s="309"/>
      <c r="T3" s="309"/>
      <c r="U3" s="309"/>
    </row>
    <row r="4" spans="1:21" ht="21" x14ac:dyDescent="0.2">
      <c r="B4" s="740" t="s">
        <v>285</v>
      </c>
      <c r="C4" s="741"/>
      <c r="D4" s="741"/>
      <c r="E4" s="741"/>
      <c r="F4" s="741"/>
      <c r="G4" s="741"/>
      <c r="H4" s="741"/>
      <c r="I4" s="741"/>
      <c r="J4" s="741"/>
      <c r="K4" s="310"/>
      <c r="L4" s="310"/>
      <c r="M4" s="310"/>
      <c r="N4" s="310"/>
      <c r="O4" s="310"/>
      <c r="P4" s="356"/>
      <c r="Q4" s="310"/>
      <c r="R4" s="355"/>
      <c r="S4" s="355"/>
      <c r="T4" s="355"/>
      <c r="U4" s="309"/>
    </row>
    <row r="5" spans="1:21" x14ac:dyDescent="0.2">
      <c r="A5" s="307"/>
    </row>
    <row r="6" spans="1:21" x14ac:dyDescent="0.2">
      <c r="A6" s="307"/>
      <c r="B6" s="313"/>
      <c r="C6" s="313"/>
    </row>
    <row r="7" spans="1:21" ht="28.5" customHeight="1" x14ac:dyDescent="0.2">
      <c r="J7" s="736" t="s">
        <v>281</v>
      </c>
      <c r="K7" s="736"/>
      <c r="L7" s="736"/>
      <c r="M7" s="736"/>
      <c r="N7" s="736"/>
      <c r="O7" s="736"/>
      <c r="P7" s="736"/>
      <c r="Q7" s="736" t="s">
        <v>280</v>
      </c>
      <c r="R7" s="736"/>
      <c r="S7" s="736" t="s">
        <v>279</v>
      </c>
      <c r="T7" s="736"/>
    </row>
    <row r="8" spans="1:21" ht="42.75" customHeight="1" x14ac:dyDescent="0.2">
      <c r="A8" s="354" t="s">
        <v>278</v>
      </c>
      <c r="B8" s="354" t="s">
        <v>277</v>
      </c>
      <c r="C8" s="354" t="s">
        <v>276</v>
      </c>
      <c r="D8" s="354" t="s">
        <v>275</v>
      </c>
      <c r="E8" s="354"/>
      <c r="F8" s="354" t="s">
        <v>274</v>
      </c>
      <c r="G8" s="354" t="s">
        <v>273</v>
      </c>
      <c r="H8" s="354" t="s">
        <v>272</v>
      </c>
      <c r="I8" s="354" t="s">
        <v>271</v>
      </c>
      <c r="J8" s="354" t="s">
        <v>270</v>
      </c>
      <c r="K8" s="354" t="s">
        <v>269</v>
      </c>
      <c r="L8" s="354" t="s">
        <v>268</v>
      </c>
      <c r="M8" s="354" t="s">
        <v>267</v>
      </c>
      <c r="N8" s="354" t="s">
        <v>266</v>
      </c>
      <c r="O8" s="354" t="s">
        <v>265</v>
      </c>
      <c r="P8" s="354" t="s">
        <v>264</v>
      </c>
      <c r="Q8" s="354" t="s">
        <v>263</v>
      </c>
      <c r="R8" s="354" t="s">
        <v>262</v>
      </c>
      <c r="S8" s="354" t="s">
        <v>261</v>
      </c>
      <c r="T8" s="354" t="s">
        <v>260</v>
      </c>
    </row>
    <row r="9" spans="1:21" ht="21" customHeight="1" x14ac:dyDescent="0.2">
      <c r="A9" s="348">
        <v>1</v>
      </c>
      <c r="B9" s="353" t="s">
        <v>259</v>
      </c>
      <c r="C9" s="353" t="s">
        <v>258</v>
      </c>
      <c r="D9" s="353" t="s">
        <v>257</v>
      </c>
      <c r="E9" s="353"/>
      <c r="F9" s="352" t="s">
        <v>256</v>
      </c>
      <c r="G9" s="351">
        <v>44866</v>
      </c>
      <c r="H9" s="351">
        <v>45230</v>
      </c>
      <c r="I9" s="349" t="s">
        <v>255</v>
      </c>
      <c r="J9" s="348">
        <f t="shared" ref="J9:J20" si="0">IF(F9="",0,(H9-G9+1))</f>
        <v>365</v>
      </c>
      <c r="K9" s="347">
        <v>175000</v>
      </c>
      <c r="L9" s="347"/>
      <c r="M9" s="347"/>
      <c r="N9" s="342">
        <f t="shared" ref="N9:N20" si="1">+K9+L9+M9</f>
        <v>175000</v>
      </c>
      <c r="O9" s="346"/>
      <c r="P9" s="345"/>
      <c r="Q9" s="344">
        <v>0.35</v>
      </c>
      <c r="R9" s="343">
        <f t="shared" ref="R9:R20" si="2">Q9*N9</f>
        <v>61249.999999999993</v>
      </c>
      <c r="S9" s="343">
        <f t="shared" ref="S9:S20" si="3">((J9/365)*83333)</f>
        <v>83333</v>
      </c>
      <c r="T9" s="342">
        <f t="shared" ref="T9:T20" si="4">MIN(S9,N9-P9)</f>
        <v>83333</v>
      </c>
    </row>
    <row r="10" spans="1:21" ht="21" customHeight="1" x14ac:dyDescent="0.2">
      <c r="A10" s="348">
        <v>1</v>
      </c>
      <c r="B10" s="353"/>
      <c r="C10" s="353"/>
      <c r="D10" s="353"/>
      <c r="E10" s="353"/>
      <c r="F10" s="352" t="s">
        <v>256</v>
      </c>
      <c r="G10" s="351">
        <v>44866</v>
      </c>
      <c r="H10" s="351">
        <v>45230</v>
      </c>
      <c r="I10" s="349" t="s">
        <v>255</v>
      </c>
      <c r="J10" s="348">
        <f t="shared" si="0"/>
        <v>365</v>
      </c>
      <c r="K10" s="347">
        <v>145000</v>
      </c>
      <c r="L10" s="347"/>
      <c r="M10" s="347"/>
      <c r="N10" s="342">
        <f t="shared" si="1"/>
        <v>145000</v>
      </c>
      <c r="O10" s="346"/>
      <c r="P10" s="345"/>
      <c r="Q10" s="344">
        <v>0.35</v>
      </c>
      <c r="R10" s="343">
        <f t="shared" si="2"/>
        <v>50750</v>
      </c>
      <c r="S10" s="343">
        <f t="shared" si="3"/>
        <v>83333</v>
      </c>
      <c r="T10" s="342">
        <f t="shared" si="4"/>
        <v>83333</v>
      </c>
    </row>
    <row r="11" spans="1:21" ht="21" customHeight="1" x14ac:dyDescent="0.2">
      <c r="A11" s="348">
        <v>2</v>
      </c>
      <c r="B11" s="353"/>
      <c r="C11" s="353"/>
      <c r="D11" s="353"/>
      <c r="E11" s="353"/>
      <c r="F11" s="352" t="s">
        <v>256</v>
      </c>
      <c r="G11" s="351">
        <v>44866</v>
      </c>
      <c r="H11" s="351">
        <v>45230</v>
      </c>
      <c r="I11" s="349" t="s">
        <v>255</v>
      </c>
      <c r="J11" s="348">
        <f t="shared" si="0"/>
        <v>365</v>
      </c>
      <c r="K11" s="347">
        <v>118000</v>
      </c>
      <c r="L11" s="347"/>
      <c r="M11" s="347"/>
      <c r="N11" s="342">
        <f t="shared" si="1"/>
        <v>118000</v>
      </c>
      <c r="O11" s="346"/>
      <c r="P11" s="345"/>
      <c r="Q11" s="344">
        <v>0.35</v>
      </c>
      <c r="R11" s="343">
        <f t="shared" si="2"/>
        <v>41300</v>
      </c>
      <c r="S11" s="343">
        <f t="shared" si="3"/>
        <v>83333</v>
      </c>
      <c r="T11" s="342">
        <f t="shared" si="4"/>
        <v>83333</v>
      </c>
    </row>
    <row r="12" spans="1:21" ht="21" customHeight="1" x14ac:dyDescent="0.2">
      <c r="A12" s="348">
        <v>3</v>
      </c>
      <c r="B12" s="353"/>
      <c r="C12" s="353"/>
      <c r="D12" s="353"/>
      <c r="E12" s="353"/>
      <c r="F12" s="352" t="s">
        <v>256</v>
      </c>
      <c r="G12" s="351">
        <v>44866</v>
      </c>
      <c r="H12" s="351">
        <v>45230</v>
      </c>
      <c r="I12" s="349" t="s">
        <v>255</v>
      </c>
      <c r="J12" s="348">
        <f t="shared" si="0"/>
        <v>365</v>
      </c>
      <c r="K12" s="347">
        <v>117500</v>
      </c>
      <c r="L12" s="347"/>
      <c r="M12" s="347"/>
      <c r="N12" s="342">
        <f t="shared" si="1"/>
        <v>117500</v>
      </c>
      <c r="O12" s="346"/>
      <c r="P12" s="345"/>
      <c r="Q12" s="344">
        <v>0.35</v>
      </c>
      <c r="R12" s="343">
        <f t="shared" si="2"/>
        <v>41125</v>
      </c>
      <c r="S12" s="343">
        <f t="shared" si="3"/>
        <v>83333</v>
      </c>
      <c r="T12" s="342">
        <f t="shared" si="4"/>
        <v>83333</v>
      </c>
    </row>
    <row r="13" spans="1:21" ht="21" customHeight="1" x14ac:dyDescent="0.2">
      <c r="A13" s="348">
        <v>4</v>
      </c>
      <c r="B13" s="353"/>
      <c r="C13" s="353"/>
      <c r="D13" s="353"/>
      <c r="E13" s="353"/>
      <c r="F13" s="352" t="s">
        <v>256</v>
      </c>
      <c r="G13" s="351">
        <v>44866</v>
      </c>
      <c r="H13" s="351">
        <v>45230</v>
      </c>
      <c r="I13" s="349" t="s">
        <v>255</v>
      </c>
      <c r="J13" s="348">
        <f t="shared" si="0"/>
        <v>365</v>
      </c>
      <c r="K13" s="347">
        <v>110000</v>
      </c>
      <c r="L13" s="347"/>
      <c r="M13" s="347"/>
      <c r="N13" s="342">
        <f t="shared" si="1"/>
        <v>110000</v>
      </c>
      <c r="O13" s="346"/>
      <c r="P13" s="345"/>
      <c r="Q13" s="344">
        <v>0.35</v>
      </c>
      <c r="R13" s="343">
        <f t="shared" si="2"/>
        <v>38500</v>
      </c>
      <c r="S13" s="343">
        <f t="shared" si="3"/>
        <v>83333</v>
      </c>
      <c r="T13" s="342">
        <f t="shared" si="4"/>
        <v>83333</v>
      </c>
    </row>
    <row r="14" spans="1:21" ht="21" customHeight="1" x14ac:dyDescent="0.2">
      <c r="A14" s="348">
        <v>5</v>
      </c>
      <c r="B14" s="353"/>
      <c r="C14" s="353"/>
      <c r="D14" s="353"/>
      <c r="E14" s="353"/>
      <c r="F14" s="352" t="s">
        <v>256</v>
      </c>
      <c r="G14" s="351">
        <v>44866</v>
      </c>
      <c r="H14" s="351">
        <v>45230</v>
      </c>
      <c r="I14" s="349" t="s">
        <v>255</v>
      </c>
      <c r="J14" s="348">
        <f t="shared" si="0"/>
        <v>365</v>
      </c>
      <c r="K14" s="347">
        <v>100000</v>
      </c>
      <c r="L14" s="347"/>
      <c r="M14" s="347"/>
      <c r="N14" s="342">
        <f t="shared" si="1"/>
        <v>100000</v>
      </c>
      <c r="O14" s="346"/>
      <c r="P14" s="345"/>
      <c r="Q14" s="344">
        <v>0.35</v>
      </c>
      <c r="R14" s="343">
        <f t="shared" si="2"/>
        <v>35000</v>
      </c>
      <c r="S14" s="343">
        <f t="shared" si="3"/>
        <v>83333</v>
      </c>
      <c r="T14" s="342">
        <f t="shared" si="4"/>
        <v>83333</v>
      </c>
    </row>
    <row r="15" spans="1:21" ht="21" customHeight="1" x14ac:dyDescent="0.2">
      <c r="A15" s="348">
        <v>6</v>
      </c>
      <c r="B15" s="353"/>
      <c r="C15" s="353"/>
      <c r="D15" s="353"/>
      <c r="E15" s="353"/>
      <c r="F15" s="352" t="s">
        <v>256</v>
      </c>
      <c r="G15" s="351">
        <v>44866</v>
      </c>
      <c r="H15" s="351">
        <v>45230</v>
      </c>
      <c r="I15" s="349" t="s">
        <v>255</v>
      </c>
      <c r="J15" s="348">
        <f t="shared" si="0"/>
        <v>365</v>
      </c>
      <c r="K15" s="347">
        <v>81000</v>
      </c>
      <c r="L15" s="347"/>
      <c r="M15" s="347"/>
      <c r="N15" s="342">
        <f t="shared" si="1"/>
        <v>81000</v>
      </c>
      <c r="O15" s="346"/>
      <c r="P15" s="345"/>
      <c r="Q15" s="344">
        <v>0.35</v>
      </c>
      <c r="R15" s="343">
        <f t="shared" si="2"/>
        <v>28350</v>
      </c>
      <c r="S15" s="343">
        <f t="shared" si="3"/>
        <v>83333</v>
      </c>
      <c r="T15" s="342">
        <f t="shared" si="4"/>
        <v>81000</v>
      </c>
    </row>
    <row r="16" spans="1:21" ht="21" customHeight="1" x14ac:dyDescent="0.2">
      <c r="A16" s="348">
        <v>7</v>
      </c>
      <c r="B16" s="353"/>
      <c r="C16" s="353"/>
      <c r="D16" s="353"/>
      <c r="E16" s="353"/>
      <c r="F16" s="352" t="s">
        <v>256</v>
      </c>
      <c r="G16" s="351">
        <v>44866</v>
      </c>
      <c r="H16" s="351">
        <v>45230</v>
      </c>
      <c r="I16" s="349" t="s">
        <v>255</v>
      </c>
      <c r="J16" s="348">
        <f t="shared" si="0"/>
        <v>365</v>
      </c>
      <c r="K16" s="347">
        <v>58000</v>
      </c>
      <c r="L16" s="347"/>
      <c r="M16" s="347"/>
      <c r="N16" s="342">
        <f t="shared" si="1"/>
        <v>58000</v>
      </c>
      <c r="O16" s="346"/>
      <c r="P16" s="345"/>
      <c r="Q16" s="344">
        <v>0.35</v>
      </c>
      <c r="R16" s="343">
        <f t="shared" si="2"/>
        <v>20300</v>
      </c>
      <c r="S16" s="343">
        <f t="shared" si="3"/>
        <v>83333</v>
      </c>
      <c r="T16" s="342">
        <f t="shared" si="4"/>
        <v>58000</v>
      </c>
    </row>
    <row r="17" spans="1:20" ht="21" customHeight="1" x14ac:dyDescent="0.2">
      <c r="A17" s="348">
        <v>8</v>
      </c>
      <c r="B17" s="353"/>
      <c r="C17" s="353"/>
      <c r="D17" s="353"/>
      <c r="E17" s="353"/>
      <c r="F17" s="352" t="s">
        <v>256</v>
      </c>
      <c r="G17" s="351">
        <v>44866</v>
      </c>
      <c r="H17" s="351">
        <v>45230</v>
      </c>
      <c r="I17" s="349" t="s">
        <v>255</v>
      </c>
      <c r="J17" s="348">
        <f t="shared" si="0"/>
        <v>365</v>
      </c>
      <c r="K17" s="347">
        <v>70000</v>
      </c>
      <c r="L17" s="347"/>
      <c r="M17" s="347"/>
      <c r="N17" s="342">
        <f t="shared" si="1"/>
        <v>70000</v>
      </c>
      <c r="O17" s="346"/>
      <c r="P17" s="345"/>
      <c r="Q17" s="344">
        <v>0.35</v>
      </c>
      <c r="R17" s="343">
        <f t="shared" si="2"/>
        <v>24500</v>
      </c>
      <c r="S17" s="343">
        <f t="shared" si="3"/>
        <v>83333</v>
      </c>
      <c r="T17" s="342">
        <f t="shared" si="4"/>
        <v>70000</v>
      </c>
    </row>
    <row r="18" spans="1:20" ht="21" customHeight="1" x14ac:dyDescent="0.2">
      <c r="A18" s="348">
        <v>9</v>
      </c>
      <c r="B18" s="353"/>
      <c r="C18" s="353"/>
      <c r="D18" s="353"/>
      <c r="E18" s="353"/>
      <c r="F18" s="352" t="s">
        <v>256</v>
      </c>
      <c r="G18" s="351">
        <v>44866</v>
      </c>
      <c r="H18" s="351">
        <v>45230</v>
      </c>
      <c r="I18" s="349" t="s">
        <v>255</v>
      </c>
      <c r="J18" s="348">
        <f t="shared" si="0"/>
        <v>365</v>
      </c>
      <c r="K18" s="347">
        <v>60000</v>
      </c>
      <c r="L18" s="347"/>
      <c r="M18" s="347"/>
      <c r="N18" s="342">
        <f t="shared" si="1"/>
        <v>60000</v>
      </c>
      <c r="O18" s="346"/>
      <c r="P18" s="345"/>
      <c r="Q18" s="344">
        <v>0.35</v>
      </c>
      <c r="R18" s="343">
        <f t="shared" si="2"/>
        <v>21000</v>
      </c>
      <c r="S18" s="343">
        <f t="shared" si="3"/>
        <v>83333</v>
      </c>
      <c r="T18" s="342">
        <f t="shared" si="4"/>
        <v>60000</v>
      </c>
    </row>
    <row r="19" spans="1:20" ht="21" customHeight="1" x14ac:dyDescent="0.2">
      <c r="A19" s="348">
        <v>10</v>
      </c>
      <c r="B19" s="353"/>
      <c r="C19" s="353"/>
      <c r="D19" s="353"/>
      <c r="E19" s="353"/>
      <c r="F19" s="352" t="s">
        <v>256</v>
      </c>
      <c r="G19" s="351">
        <v>44866</v>
      </c>
      <c r="H19" s="351">
        <v>45230</v>
      </c>
      <c r="I19" s="349" t="s">
        <v>255</v>
      </c>
      <c r="J19" s="348">
        <f t="shared" si="0"/>
        <v>365</v>
      </c>
      <c r="K19" s="347"/>
      <c r="L19" s="347"/>
      <c r="M19" s="347"/>
      <c r="N19" s="342">
        <f t="shared" si="1"/>
        <v>0</v>
      </c>
      <c r="O19" s="346"/>
      <c r="P19" s="345"/>
      <c r="Q19" s="344">
        <v>0.35</v>
      </c>
      <c r="R19" s="343">
        <f t="shared" si="2"/>
        <v>0</v>
      </c>
      <c r="S19" s="343">
        <f t="shared" si="3"/>
        <v>83333</v>
      </c>
      <c r="T19" s="342">
        <f t="shared" si="4"/>
        <v>0</v>
      </c>
    </row>
    <row r="20" spans="1:20" ht="21" customHeight="1" x14ac:dyDescent="0.2">
      <c r="A20" s="348">
        <v>11</v>
      </c>
      <c r="B20" s="353"/>
      <c r="C20" s="353"/>
      <c r="D20" s="353"/>
      <c r="E20" s="353"/>
      <c r="F20" s="352" t="s">
        <v>256</v>
      </c>
      <c r="G20" s="351">
        <v>44866</v>
      </c>
      <c r="H20" s="351">
        <v>45230</v>
      </c>
      <c r="I20" s="349" t="s">
        <v>255</v>
      </c>
      <c r="J20" s="348">
        <f t="shared" si="0"/>
        <v>365</v>
      </c>
      <c r="K20" s="347"/>
      <c r="L20" s="347"/>
      <c r="M20" s="347"/>
      <c r="N20" s="342">
        <f t="shared" si="1"/>
        <v>0</v>
      </c>
      <c r="O20" s="346"/>
      <c r="P20" s="345"/>
      <c r="Q20" s="344">
        <v>0.35</v>
      </c>
      <c r="R20" s="343">
        <f t="shared" si="2"/>
        <v>0</v>
      </c>
      <c r="S20" s="343">
        <f t="shared" si="3"/>
        <v>83333</v>
      </c>
      <c r="T20" s="342">
        <f t="shared" si="4"/>
        <v>0</v>
      </c>
    </row>
    <row r="21" spans="1:20" ht="21" customHeight="1" x14ac:dyDescent="0.2">
      <c r="A21" s="348">
        <v>12</v>
      </c>
      <c r="B21" s="353"/>
      <c r="C21" s="353"/>
      <c r="D21" s="353"/>
      <c r="E21" s="353"/>
      <c r="F21" s="352"/>
      <c r="G21" s="351"/>
      <c r="H21" s="351"/>
      <c r="I21" s="349"/>
      <c r="J21" s="348"/>
      <c r="K21" s="347"/>
      <c r="L21" s="347"/>
      <c r="M21" s="347"/>
      <c r="N21" s="342"/>
      <c r="O21" s="346"/>
      <c r="P21" s="345"/>
      <c r="Q21" s="344"/>
      <c r="R21" s="343"/>
      <c r="S21" s="343"/>
      <c r="T21" s="342"/>
    </row>
    <row r="22" spans="1:20" ht="21" customHeight="1" x14ac:dyDescent="0.2">
      <c r="A22" s="348">
        <v>12</v>
      </c>
      <c r="B22" s="350"/>
      <c r="C22" s="350"/>
      <c r="D22" s="350"/>
      <c r="E22" s="350"/>
      <c r="F22" s="346"/>
      <c r="G22" s="349"/>
      <c r="H22" s="349"/>
      <c r="I22" s="349"/>
      <c r="J22" s="348"/>
      <c r="K22" s="347"/>
      <c r="L22" s="347"/>
      <c r="M22" s="347"/>
      <c r="N22" s="342"/>
      <c r="O22" s="346"/>
      <c r="P22" s="345"/>
      <c r="Q22" s="344"/>
      <c r="R22" s="343"/>
      <c r="S22" s="343"/>
      <c r="T22" s="342"/>
    </row>
    <row r="23" spans="1:20" ht="21" hidden="1" customHeight="1" x14ac:dyDescent="0.2">
      <c r="A23" s="348">
        <v>10</v>
      </c>
      <c r="B23" s="350"/>
      <c r="C23" s="350"/>
      <c r="D23" s="350"/>
      <c r="E23" s="350"/>
      <c r="F23" s="346"/>
      <c r="G23" s="349"/>
      <c r="H23" s="349"/>
      <c r="I23" s="349" t="str">
        <f t="shared" ref="I23:I54" si="5">IF(F23="X","NON","OUI")</f>
        <v>OUI</v>
      </c>
      <c r="J23" s="348">
        <f t="shared" ref="J23:J54" si="6">IF(F23="",0,(H23-G23+1))</f>
        <v>0</v>
      </c>
      <c r="K23" s="347"/>
      <c r="L23" s="347"/>
      <c r="M23" s="347"/>
      <c r="N23" s="342">
        <f t="shared" ref="N23:N54" si="7">+K23+L23+M23</f>
        <v>0</v>
      </c>
      <c r="O23" s="346"/>
      <c r="P23" s="345"/>
      <c r="Q23" s="344"/>
      <c r="R23" s="343">
        <f t="shared" ref="R23:R54" si="8">Q23*N23</f>
        <v>0</v>
      </c>
      <c r="S23" s="343">
        <f t="shared" ref="S23:S54" si="9">((J23/365)*83333)</f>
        <v>0</v>
      </c>
      <c r="T23" s="342">
        <f t="shared" ref="T23:T54" si="10">MIN(S23,N23-P23)</f>
        <v>0</v>
      </c>
    </row>
    <row r="24" spans="1:20" ht="21" hidden="1" customHeight="1" x14ac:dyDescent="0.2">
      <c r="A24" s="348">
        <v>11</v>
      </c>
      <c r="B24" s="350"/>
      <c r="C24" s="350"/>
      <c r="D24" s="350"/>
      <c r="E24" s="350"/>
      <c r="F24" s="346"/>
      <c r="G24" s="349"/>
      <c r="H24" s="349"/>
      <c r="I24" s="349" t="str">
        <f t="shared" si="5"/>
        <v>OUI</v>
      </c>
      <c r="J24" s="348">
        <f t="shared" si="6"/>
        <v>0</v>
      </c>
      <c r="K24" s="347"/>
      <c r="L24" s="347"/>
      <c r="M24" s="347"/>
      <c r="N24" s="342">
        <f t="shared" si="7"/>
        <v>0</v>
      </c>
      <c r="O24" s="346"/>
      <c r="P24" s="345"/>
      <c r="Q24" s="344"/>
      <c r="R24" s="343">
        <f t="shared" si="8"/>
        <v>0</v>
      </c>
      <c r="S24" s="343">
        <f t="shared" si="9"/>
        <v>0</v>
      </c>
      <c r="T24" s="342">
        <f t="shared" si="10"/>
        <v>0</v>
      </c>
    </row>
    <row r="25" spans="1:20" ht="21" hidden="1" customHeight="1" x14ac:dyDescent="0.2">
      <c r="A25" s="348">
        <v>12</v>
      </c>
      <c r="B25" s="350"/>
      <c r="C25" s="350"/>
      <c r="D25" s="350"/>
      <c r="E25" s="350"/>
      <c r="F25" s="346"/>
      <c r="G25" s="349"/>
      <c r="H25" s="349"/>
      <c r="I25" s="349" t="str">
        <f t="shared" si="5"/>
        <v>OUI</v>
      </c>
      <c r="J25" s="348">
        <f t="shared" si="6"/>
        <v>0</v>
      </c>
      <c r="K25" s="347"/>
      <c r="L25" s="347"/>
      <c r="M25" s="347"/>
      <c r="N25" s="342">
        <f t="shared" si="7"/>
        <v>0</v>
      </c>
      <c r="O25" s="346"/>
      <c r="P25" s="345"/>
      <c r="Q25" s="344"/>
      <c r="R25" s="343">
        <f t="shared" si="8"/>
        <v>0</v>
      </c>
      <c r="S25" s="343">
        <f t="shared" si="9"/>
        <v>0</v>
      </c>
      <c r="T25" s="342">
        <f t="shared" si="10"/>
        <v>0</v>
      </c>
    </row>
    <row r="26" spans="1:20" ht="21" hidden="1" customHeight="1" x14ac:dyDescent="0.2">
      <c r="A26" s="348">
        <v>13</v>
      </c>
      <c r="B26" s="350"/>
      <c r="C26" s="350"/>
      <c r="D26" s="350"/>
      <c r="E26" s="350"/>
      <c r="F26" s="346"/>
      <c r="G26" s="349"/>
      <c r="H26" s="349"/>
      <c r="I26" s="349" t="str">
        <f t="shared" si="5"/>
        <v>OUI</v>
      </c>
      <c r="J26" s="348">
        <f t="shared" si="6"/>
        <v>0</v>
      </c>
      <c r="K26" s="347"/>
      <c r="L26" s="347"/>
      <c r="M26" s="347"/>
      <c r="N26" s="342">
        <f t="shared" si="7"/>
        <v>0</v>
      </c>
      <c r="O26" s="346"/>
      <c r="P26" s="345"/>
      <c r="Q26" s="344"/>
      <c r="R26" s="343">
        <f t="shared" si="8"/>
        <v>0</v>
      </c>
      <c r="S26" s="343">
        <f t="shared" si="9"/>
        <v>0</v>
      </c>
      <c r="T26" s="342">
        <f t="shared" si="10"/>
        <v>0</v>
      </c>
    </row>
    <row r="27" spans="1:20" ht="21" hidden="1" customHeight="1" x14ac:dyDescent="0.2">
      <c r="A27" s="348">
        <v>14</v>
      </c>
      <c r="B27" s="350"/>
      <c r="C27" s="350"/>
      <c r="D27" s="350"/>
      <c r="E27" s="350"/>
      <c r="F27" s="346"/>
      <c r="G27" s="349"/>
      <c r="H27" s="349"/>
      <c r="I27" s="349" t="str">
        <f t="shared" si="5"/>
        <v>OUI</v>
      </c>
      <c r="J27" s="348">
        <f t="shared" si="6"/>
        <v>0</v>
      </c>
      <c r="K27" s="347"/>
      <c r="L27" s="347"/>
      <c r="M27" s="347"/>
      <c r="N27" s="342">
        <f t="shared" si="7"/>
        <v>0</v>
      </c>
      <c r="O27" s="346"/>
      <c r="P27" s="345"/>
      <c r="Q27" s="344"/>
      <c r="R27" s="343">
        <f t="shared" si="8"/>
        <v>0</v>
      </c>
      <c r="S27" s="343">
        <f t="shared" si="9"/>
        <v>0</v>
      </c>
      <c r="T27" s="342">
        <f t="shared" si="10"/>
        <v>0</v>
      </c>
    </row>
    <row r="28" spans="1:20" ht="21" hidden="1" customHeight="1" x14ac:dyDescent="0.2">
      <c r="A28" s="348">
        <v>15</v>
      </c>
      <c r="B28" s="350"/>
      <c r="C28" s="350"/>
      <c r="D28" s="350"/>
      <c r="E28" s="350"/>
      <c r="F28" s="346"/>
      <c r="G28" s="349"/>
      <c r="H28" s="349"/>
      <c r="I28" s="349" t="str">
        <f t="shared" si="5"/>
        <v>OUI</v>
      </c>
      <c r="J28" s="348">
        <f t="shared" si="6"/>
        <v>0</v>
      </c>
      <c r="K28" s="347"/>
      <c r="L28" s="347"/>
      <c r="M28" s="347"/>
      <c r="N28" s="342">
        <f t="shared" si="7"/>
        <v>0</v>
      </c>
      <c r="O28" s="346"/>
      <c r="P28" s="345"/>
      <c r="Q28" s="344"/>
      <c r="R28" s="343">
        <f t="shared" si="8"/>
        <v>0</v>
      </c>
      <c r="S28" s="343">
        <f t="shared" si="9"/>
        <v>0</v>
      </c>
      <c r="T28" s="342">
        <f t="shared" si="10"/>
        <v>0</v>
      </c>
    </row>
    <row r="29" spans="1:20" ht="21" hidden="1" customHeight="1" x14ac:dyDescent="0.2">
      <c r="A29" s="348">
        <v>16</v>
      </c>
      <c r="B29" s="350"/>
      <c r="C29" s="350"/>
      <c r="D29" s="350"/>
      <c r="E29" s="350"/>
      <c r="F29" s="346"/>
      <c r="G29" s="349"/>
      <c r="H29" s="349"/>
      <c r="I29" s="349" t="str">
        <f t="shared" si="5"/>
        <v>OUI</v>
      </c>
      <c r="J29" s="348">
        <f t="shared" si="6"/>
        <v>0</v>
      </c>
      <c r="K29" s="347"/>
      <c r="L29" s="347"/>
      <c r="M29" s="347"/>
      <c r="N29" s="342">
        <f t="shared" si="7"/>
        <v>0</v>
      </c>
      <c r="O29" s="346"/>
      <c r="P29" s="345"/>
      <c r="Q29" s="344"/>
      <c r="R29" s="343">
        <f t="shared" si="8"/>
        <v>0</v>
      </c>
      <c r="S29" s="343">
        <f t="shared" si="9"/>
        <v>0</v>
      </c>
      <c r="T29" s="342">
        <f t="shared" si="10"/>
        <v>0</v>
      </c>
    </row>
    <row r="30" spans="1:20" ht="21" hidden="1" customHeight="1" x14ac:dyDescent="0.2">
      <c r="A30" s="348">
        <v>17</v>
      </c>
      <c r="B30" s="350"/>
      <c r="C30" s="350"/>
      <c r="D30" s="350"/>
      <c r="E30" s="350"/>
      <c r="F30" s="346"/>
      <c r="G30" s="349"/>
      <c r="H30" s="349"/>
      <c r="I30" s="349" t="str">
        <f t="shared" si="5"/>
        <v>OUI</v>
      </c>
      <c r="J30" s="348">
        <f t="shared" si="6"/>
        <v>0</v>
      </c>
      <c r="K30" s="347"/>
      <c r="L30" s="347"/>
      <c r="M30" s="347"/>
      <c r="N30" s="342">
        <f t="shared" si="7"/>
        <v>0</v>
      </c>
      <c r="O30" s="346"/>
      <c r="P30" s="345"/>
      <c r="Q30" s="344"/>
      <c r="R30" s="343">
        <f t="shared" si="8"/>
        <v>0</v>
      </c>
      <c r="S30" s="343">
        <f t="shared" si="9"/>
        <v>0</v>
      </c>
      <c r="T30" s="342">
        <f t="shared" si="10"/>
        <v>0</v>
      </c>
    </row>
    <row r="31" spans="1:20" ht="21" hidden="1" customHeight="1" x14ac:dyDescent="0.2">
      <c r="A31" s="348">
        <v>18</v>
      </c>
      <c r="B31" s="350"/>
      <c r="C31" s="350"/>
      <c r="D31" s="350"/>
      <c r="E31" s="350"/>
      <c r="F31" s="346"/>
      <c r="G31" s="349"/>
      <c r="H31" s="349"/>
      <c r="I31" s="349" t="str">
        <f t="shared" si="5"/>
        <v>OUI</v>
      </c>
      <c r="J31" s="348">
        <f t="shared" si="6"/>
        <v>0</v>
      </c>
      <c r="K31" s="347"/>
      <c r="L31" s="347"/>
      <c r="M31" s="347"/>
      <c r="N31" s="342">
        <f t="shared" si="7"/>
        <v>0</v>
      </c>
      <c r="O31" s="346"/>
      <c r="P31" s="345"/>
      <c r="Q31" s="344"/>
      <c r="R31" s="343">
        <f t="shared" si="8"/>
        <v>0</v>
      </c>
      <c r="S31" s="343">
        <f t="shared" si="9"/>
        <v>0</v>
      </c>
      <c r="T31" s="342">
        <f t="shared" si="10"/>
        <v>0</v>
      </c>
    </row>
    <row r="32" spans="1:20" ht="21" hidden="1" customHeight="1" x14ac:dyDescent="0.2">
      <c r="A32" s="348">
        <v>19</v>
      </c>
      <c r="B32" s="350"/>
      <c r="C32" s="350"/>
      <c r="D32" s="350"/>
      <c r="E32" s="350"/>
      <c r="F32" s="346"/>
      <c r="G32" s="349"/>
      <c r="H32" s="349"/>
      <c r="I32" s="349" t="str">
        <f t="shared" si="5"/>
        <v>OUI</v>
      </c>
      <c r="J32" s="348">
        <f t="shared" si="6"/>
        <v>0</v>
      </c>
      <c r="K32" s="347"/>
      <c r="L32" s="347"/>
      <c r="M32" s="347"/>
      <c r="N32" s="342">
        <f t="shared" si="7"/>
        <v>0</v>
      </c>
      <c r="O32" s="346"/>
      <c r="P32" s="345"/>
      <c r="Q32" s="344"/>
      <c r="R32" s="343">
        <f t="shared" si="8"/>
        <v>0</v>
      </c>
      <c r="S32" s="343">
        <f t="shared" si="9"/>
        <v>0</v>
      </c>
      <c r="T32" s="342">
        <f t="shared" si="10"/>
        <v>0</v>
      </c>
    </row>
    <row r="33" spans="1:20" ht="21" hidden="1" customHeight="1" x14ac:dyDescent="0.2">
      <c r="A33" s="348">
        <v>20</v>
      </c>
      <c r="B33" s="350"/>
      <c r="C33" s="350"/>
      <c r="D33" s="350"/>
      <c r="E33" s="350"/>
      <c r="F33" s="346"/>
      <c r="G33" s="349"/>
      <c r="H33" s="349"/>
      <c r="I33" s="349" t="str">
        <f t="shared" si="5"/>
        <v>OUI</v>
      </c>
      <c r="J33" s="348">
        <f t="shared" si="6"/>
        <v>0</v>
      </c>
      <c r="K33" s="347"/>
      <c r="L33" s="347"/>
      <c r="M33" s="347"/>
      <c r="N33" s="342">
        <f t="shared" si="7"/>
        <v>0</v>
      </c>
      <c r="O33" s="346"/>
      <c r="P33" s="345"/>
      <c r="Q33" s="344"/>
      <c r="R33" s="343">
        <f t="shared" si="8"/>
        <v>0</v>
      </c>
      <c r="S33" s="343">
        <f t="shared" si="9"/>
        <v>0</v>
      </c>
      <c r="T33" s="342">
        <f t="shared" si="10"/>
        <v>0</v>
      </c>
    </row>
    <row r="34" spans="1:20" ht="21" hidden="1" customHeight="1" x14ac:dyDescent="0.2">
      <c r="A34" s="348">
        <v>21</v>
      </c>
      <c r="B34" s="350"/>
      <c r="C34" s="350"/>
      <c r="D34" s="350"/>
      <c r="E34" s="350"/>
      <c r="F34" s="346"/>
      <c r="G34" s="349"/>
      <c r="H34" s="349"/>
      <c r="I34" s="349" t="str">
        <f t="shared" si="5"/>
        <v>OUI</v>
      </c>
      <c r="J34" s="348">
        <f t="shared" si="6"/>
        <v>0</v>
      </c>
      <c r="K34" s="347"/>
      <c r="L34" s="347"/>
      <c r="M34" s="347"/>
      <c r="N34" s="342">
        <f t="shared" si="7"/>
        <v>0</v>
      </c>
      <c r="O34" s="346"/>
      <c r="P34" s="345"/>
      <c r="Q34" s="344"/>
      <c r="R34" s="343">
        <f t="shared" si="8"/>
        <v>0</v>
      </c>
      <c r="S34" s="343">
        <f t="shared" si="9"/>
        <v>0</v>
      </c>
      <c r="T34" s="342">
        <f t="shared" si="10"/>
        <v>0</v>
      </c>
    </row>
    <row r="35" spans="1:20" ht="21" hidden="1" customHeight="1" x14ac:dyDescent="0.2">
      <c r="A35" s="348">
        <v>22</v>
      </c>
      <c r="B35" s="350"/>
      <c r="C35" s="350"/>
      <c r="D35" s="350"/>
      <c r="E35" s="350"/>
      <c r="F35" s="346"/>
      <c r="G35" s="349"/>
      <c r="H35" s="349"/>
      <c r="I35" s="349" t="str">
        <f t="shared" si="5"/>
        <v>OUI</v>
      </c>
      <c r="J35" s="348">
        <f t="shared" si="6"/>
        <v>0</v>
      </c>
      <c r="K35" s="347"/>
      <c r="L35" s="347"/>
      <c r="M35" s="347"/>
      <c r="N35" s="342">
        <f t="shared" si="7"/>
        <v>0</v>
      </c>
      <c r="O35" s="346"/>
      <c r="P35" s="345"/>
      <c r="Q35" s="344"/>
      <c r="R35" s="343">
        <f t="shared" si="8"/>
        <v>0</v>
      </c>
      <c r="S35" s="343">
        <f t="shared" si="9"/>
        <v>0</v>
      </c>
      <c r="T35" s="342">
        <f t="shared" si="10"/>
        <v>0</v>
      </c>
    </row>
    <row r="36" spans="1:20" ht="21" hidden="1" customHeight="1" x14ac:dyDescent="0.2">
      <c r="A36" s="348">
        <v>23</v>
      </c>
      <c r="B36" s="350"/>
      <c r="C36" s="350"/>
      <c r="D36" s="350"/>
      <c r="E36" s="350"/>
      <c r="F36" s="346"/>
      <c r="G36" s="349"/>
      <c r="H36" s="349"/>
      <c r="I36" s="349" t="str">
        <f t="shared" si="5"/>
        <v>OUI</v>
      </c>
      <c r="J36" s="348">
        <f t="shared" si="6"/>
        <v>0</v>
      </c>
      <c r="K36" s="347"/>
      <c r="L36" s="347"/>
      <c r="M36" s="347"/>
      <c r="N36" s="342">
        <f t="shared" si="7"/>
        <v>0</v>
      </c>
      <c r="O36" s="346"/>
      <c r="P36" s="345"/>
      <c r="Q36" s="344"/>
      <c r="R36" s="343">
        <f t="shared" si="8"/>
        <v>0</v>
      </c>
      <c r="S36" s="343">
        <f t="shared" si="9"/>
        <v>0</v>
      </c>
      <c r="T36" s="342">
        <f t="shared" si="10"/>
        <v>0</v>
      </c>
    </row>
    <row r="37" spans="1:20" ht="21" hidden="1" customHeight="1" x14ac:dyDescent="0.2">
      <c r="A37" s="348">
        <v>24</v>
      </c>
      <c r="B37" s="350"/>
      <c r="C37" s="350"/>
      <c r="D37" s="350"/>
      <c r="E37" s="350"/>
      <c r="F37" s="346"/>
      <c r="G37" s="349"/>
      <c r="H37" s="349"/>
      <c r="I37" s="349" t="str">
        <f t="shared" si="5"/>
        <v>OUI</v>
      </c>
      <c r="J37" s="348">
        <f t="shared" si="6"/>
        <v>0</v>
      </c>
      <c r="K37" s="347"/>
      <c r="L37" s="347"/>
      <c r="M37" s="347"/>
      <c r="N37" s="342">
        <f t="shared" si="7"/>
        <v>0</v>
      </c>
      <c r="O37" s="346"/>
      <c r="P37" s="345"/>
      <c r="Q37" s="344"/>
      <c r="R37" s="343">
        <f t="shared" si="8"/>
        <v>0</v>
      </c>
      <c r="S37" s="343">
        <f t="shared" si="9"/>
        <v>0</v>
      </c>
      <c r="T37" s="342">
        <f t="shared" si="10"/>
        <v>0</v>
      </c>
    </row>
    <row r="38" spans="1:20" ht="21" hidden="1" customHeight="1" x14ac:dyDescent="0.2">
      <c r="A38" s="348">
        <v>25</v>
      </c>
      <c r="B38" s="350"/>
      <c r="C38" s="350"/>
      <c r="D38" s="350"/>
      <c r="E38" s="350"/>
      <c r="F38" s="346"/>
      <c r="G38" s="349"/>
      <c r="H38" s="349"/>
      <c r="I38" s="349" t="str">
        <f t="shared" si="5"/>
        <v>OUI</v>
      </c>
      <c r="J38" s="348">
        <f t="shared" si="6"/>
        <v>0</v>
      </c>
      <c r="K38" s="347"/>
      <c r="L38" s="347"/>
      <c r="M38" s="347"/>
      <c r="N38" s="342">
        <f t="shared" si="7"/>
        <v>0</v>
      </c>
      <c r="O38" s="346"/>
      <c r="P38" s="345"/>
      <c r="Q38" s="344"/>
      <c r="R38" s="343">
        <f t="shared" si="8"/>
        <v>0</v>
      </c>
      <c r="S38" s="343">
        <f t="shared" si="9"/>
        <v>0</v>
      </c>
      <c r="T38" s="342">
        <f t="shared" si="10"/>
        <v>0</v>
      </c>
    </row>
    <row r="39" spans="1:20" ht="21" hidden="1" customHeight="1" x14ac:dyDescent="0.2">
      <c r="A39" s="348">
        <v>26</v>
      </c>
      <c r="B39" s="350"/>
      <c r="C39" s="350"/>
      <c r="D39" s="350"/>
      <c r="E39" s="350"/>
      <c r="F39" s="346"/>
      <c r="G39" s="349"/>
      <c r="H39" s="349"/>
      <c r="I39" s="349" t="str">
        <f t="shared" si="5"/>
        <v>OUI</v>
      </c>
      <c r="J39" s="348">
        <f t="shared" si="6"/>
        <v>0</v>
      </c>
      <c r="K39" s="347"/>
      <c r="L39" s="347"/>
      <c r="M39" s="347"/>
      <c r="N39" s="342">
        <f t="shared" si="7"/>
        <v>0</v>
      </c>
      <c r="O39" s="346"/>
      <c r="P39" s="345"/>
      <c r="Q39" s="344"/>
      <c r="R39" s="343">
        <f t="shared" si="8"/>
        <v>0</v>
      </c>
      <c r="S39" s="343">
        <f t="shared" si="9"/>
        <v>0</v>
      </c>
      <c r="T39" s="342">
        <f t="shared" si="10"/>
        <v>0</v>
      </c>
    </row>
    <row r="40" spans="1:20" ht="21" hidden="1" customHeight="1" x14ac:dyDescent="0.2">
      <c r="A40" s="348">
        <v>27</v>
      </c>
      <c r="B40" s="350"/>
      <c r="C40" s="350"/>
      <c r="D40" s="350"/>
      <c r="E40" s="350"/>
      <c r="F40" s="346"/>
      <c r="G40" s="349"/>
      <c r="H40" s="349"/>
      <c r="I40" s="349" t="str">
        <f t="shared" si="5"/>
        <v>OUI</v>
      </c>
      <c r="J40" s="348">
        <f t="shared" si="6"/>
        <v>0</v>
      </c>
      <c r="K40" s="347"/>
      <c r="L40" s="347"/>
      <c r="M40" s="347"/>
      <c r="N40" s="342">
        <f t="shared" si="7"/>
        <v>0</v>
      </c>
      <c r="O40" s="346"/>
      <c r="P40" s="345"/>
      <c r="Q40" s="344"/>
      <c r="R40" s="343">
        <f t="shared" si="8"/>
        <v>0</v>
      </c>
      <c r="S40" s="343">
        <f t="shared" si="9"/>
        <v>0</v>
      </c>
      <c r="T40" s="342">
        <f t="shared" si="10"/>
        <v>0</v>
      </c>
    </row>
    <row r="41" spans="1:20" ht="21" hidden="1" customHeight="1" x14ac:dyDescent="0.2">
      <c r="A41" s="348">
        <v>28</v>
      </c>
      <c r="B41" s="350"/>
      <c r="C41" s="350"/>
      <c r="D41" s="350"/>
      <c r="E41" s="350"/>
      <c r="F41" s="346"/>
      <c r="G41" s="349"/>
      <c r="H41" s="349"/>
      <c r="I41" s="349" t="str">
        <f t="shared" si="5"/>
        <v>OUI</v>
      </c>
      <c r="J41" s="348">
        <f t="shared" si="6"/>
        <v>0</v>
      </c>
      <c r="K41" s="347"/>
      <c r="L41" s="347"/>
      <c r="M41" s="347"/>
      <c r="N41" s="342">
        <f t="shared" si="7"/>
        <v>0</v>
      </c>
      <c r="O41" s="346"/>
      <c r="P41" s="345"/>
      <c r="Q41" s="344"/>
      <c r="R41" s="343">
        <f t="shared" si="8"/>
        <v>0</v>
      </c>
      <c r="S41" s="343">
        <f t="shared" si="9"/>
        <v>0</v>
      </c>
      <c r="T41" s="342">
        <f t="shared" si="10"/>
        <v>0</v>
      </c>
    </row>
    <row r="42" spans="1:20" ht="21" hidden="1" customHeight="1" x14ac:dyDescent="0.2">
      <c r="A42" s="348">
        <v>29</v>
      </c>
      <c r="B42" s="350"/>
      <c r="C42" s="350"/>
      <c r="D42" s="350"/>
      <c r="E42" s="350"/>
      <c r="F42" s="346"/>
      <c r="G42" s="349"/>
      <c r="H42" s="349"/>
      <c r="I42" s="349" t="str">
        <f t="shared" si="5"/>
        <v>OUI</v>
      </c>
      <c r="J42" s="348">
        <f t="shared" si="6"/>
        <v>0</v>
      </c>
      <c r="K42" s="347"/>
      <c r="L42" s="347"/>
      <c r="M42" s="347"/>
      <c r="N42" s="342">
        <f t="shared" si="7"/>
        <v>0</v>
      </c>
      <c r="O42" s="346"/>
      <c r="P42" s="345"/>
      <c r="Q42" s="344"/>
      <c r="R42" s="343">
        <f t="shared" si="8"/>
        <v>0</v>
      </c>
      <c r="S42" s="343">
        <f t="shared" si="9"/>
        <v>0</v>
      </c>
      <c r="T42" s="342">
        <f t="shared" si="10"/>
        <v>0</v>
      </c>
    </row>
    <row r="43" spans="1:20" ht="21" hidden="1" customHeight="1" x14ac:dyDescent="0.2">
      <c r="A43" s="348">
        <v>30</v>
      </c>
      <c r="B43" s="350"/>
      <c r="C43" s="350"/>
      <c r="D43" s="350"/>
      <c r="E43" s="350"/>
      <c r="F43" s="346"/>
      <c r="G43" s="349"/>
      <c r="H43" s="349"/>
      <c r="I43" s="349" t="str">
        <f t="shared" si="5"/>
        <v>OUI</v>
      </c>
      <c r="J43" s="348">
        <f t="shared" si="6"/>
        <v>0</v>
      </c>
      <c r="K43" s="347"/>
      <c r="L43" s="347"/>
      <c r="M43" s="347"/>
      <c r="N43" s="342">
        <f t="shared" si="7"/>
        <v>0</v>
      </c>
      <c r="O43" s="346"/>
      <c r="P43" s="345"/>
      <c r="Q43" s="344"/>
      <c r="R43" s="343">
        <f t="shared" si="8"/>
        <v>0</v>
      </c>
      <c r="S43" s="343">
        <f t="shared" si="9"/>
        <v>0</v>
      </c>
      <c r="T43" s="342">
        <f t="shared" si="10"/>
        <v>0</v>
      </c>
    </row>
    <row r="44" spans="1:20" ht="21" hidden="1" customHeight="1" x14ac:dyDescent="0.2">
      <c r="A44" s="348">
        <v>31</v>
      </c>
      <c r="B44" s="350"/>
      <c r="C44" s="350"/>
      <c r="D44" s="350"/>
      <c r="E44" s="350"/>
      <c r="F44" s="346"/>
      <c r="G44" s="349"/>
      <c r="H44" s="349"/>
      <c r="I44" s="349" t="str">
        <f t="shared" si="5"/>
        <v>OUI</v>
      </c>
      <c r="J44" s="348">
        <f t="shared" si="6"/>
        <v>0</v>
      </c>
      <c r="K44" s="347"/>
      <c r="L44" s="347"/>
      <c r="M44" s="347"/>
      <c r="N44" s="342">
        <f t="shared" si="7"/>
        <v>0</v>
      </c>
      <c r="O44" s="346"/>
      <c r="P44" s="345"/>
      <c r="Q44" s="344"/>
      <c r="R44" s="343">
        <f t="shared" si="8"/>
        <v>0</v>
      </c>
      <c r="S44" s="343">
        <f t="shared" si="9"/>
        <v>0</v>
      </c>
      <c r="T44" s="342">
        <f t="shared" si="10"/>
        <v>0</v>
      </c>
    </row>
    <row r="45" spans="1:20" ht="21" hidden="1" customHeight="1" x14ac:dyDescent="0.2">
      <c r="A45" s="348">
        <v>32</v>
      </c>
      <c r="B45" s="350"/>
      <c r="C45" s="350"/>
      <c r="D45" s="350"/>
      <c r="E45" s="350"/>
      <c r="F45" s="346"/>
      <c r="G45" s="349"/>
      <c r="H45" s="349"/>
      <c r="I45" s="349" t="str">
        <f t="shared" si="5"/>
        <v>OUI</v>
      </c>
      <c r="J45" s="348">
        <f t="shared" si="6"/>
        <v>0</v>
      </c>
      <c r="K45" s="347"/>
      <c r="L45" s="347"/>
      <c r="M45" s="347"/>
      <c r="N45" s="342">
        <f t="shared" si="7"/>
        <v>0</v>
      </c>
      <c r="O45" s="346"/>
      <c r="P45" s="345"/>
      <c r="Q45" s="344"/>
      <c r="R45" s="343">
        <f t="shared" si="8"/>
        <v>0</v>
      </c>
      <c r="S45" s="343">
        <f t="shared" si="9"/>
        <v>0</v>
      </c>
      <c r="T45" s="342">
        <f t="shared" si="10"/>
        <v>0</v>
      </c>
    </row>
    <row r="46" spans="1:20" ht="21" hidden="1" customHeight="1" x14ac:dyDescent="0.2">
      <c r="A46" s="348">
        <v>33</v>
      </c>
      <c r="B46" s="350"/>
      <c r="C46" s="350"/>
      <c r="D46" s="350"/>
      <c r="E46" s="350"/>
      <c r="F46" s="346"/>
      <c r="G46" s="349"/>
      <c r="H46" s="349"/>
      <c r="I46" s="349" t="str">
        <f t="shared" si="5"/>
        <v>OUI</v>
      </c>
      <c r="J46" s="348">
        <f t="shared" si="6"/>
        <v>0</v>
      </c>
      <c r="K46" s="347"/>
      <c r="L46" s="347"/>
      <c r="M46" s="347"/>
      <c r="N46" s="342">
        <f t="shared" si="7"/>
        <v>0</v>
      </c>
      <c r="O46" s="346"/>
      <c r="P46" s="345"/>
      <c r="Q46" s="344"/>
      <c r="R46" s="343">
        <f t="shared" si="8"/>
        <v>0</v>
      </c>
      <c r="S46" s="343">
        <f t="shared" si="9"/>
        <v>0</v>
      </c>
      <c r="T46" s="342">
        <f t="shared" si="10"/>
        <v>0</v>
      </c>
    </row>
    <row r="47" spans="1:20" ht="21" hidden="1" customHeight="1" x14ac:dyDescent="0.2">
      <c r="A47" s="348">
        <v>34</v>
      </c>
      <c r="B47" s="350"/>
      <c r="C47" s="350"/>
      <c r="D47" s="350"/>
      <c r="E47" s="350"/>
      <c r="F47" s="346"/>
      <c r="G47" s="349"/>
      <c r="H47" s="349"/>
      <c r="I47" s="349" t="str">
        <f t="shared" si="5"/>
        <v>OUI</v>
      </c>
      <c r="J47" s="348">
        <f t="shared" si="6"/>
        <v>0</v>
      </c>
      <c r="K47" s="347"/>
      <c r="L47" s="347"/>
      <c r="M47" s="347"/>
      <c r="N47" s="342">
        <f t="shared" si="7"/>
        <v>0</v>
      </c>
      <c r="O47" s="346"/>
      <c r="P47" s="345"/>
      <c r="Q47" s="344"/>
      <c r="R47" s="343">
        <f t="shared" si="8"/>
        <v>0</v>
      </c>
      <c r="S47" s="343">
        <f t="shared" si="9"/>
        <v>0</v>
      </c>
      <c r="T47" s="342">
        <f t="shared" si="10"/>
        <v>0</v>
      </c>
    </row>
    <row r="48" spans="1:20" ht="21" hidden="1" customHeight="1" x14ac:dyDescent="0.2">
      <c r="A48" s="348">
        <v>35</v>
      </c>
      <c r="B48" s="350"/>
      <c r="C48" s="350"/>
      <c r="D48" s="350"/>
      <c r="E48" s="350"/>
      <c r="F48" s="346"/>
      <c r="G48" s="349"/>
      <c r="H48" s="349"/>
      <c r="I48" s="349" t="str">
        <f t="shared" si="5"/>
        <v>OUI</v>
      </c>
      <c r="J48" s="348">
        <f t="shared" si="6"/>
        <v>0</v>
      </c>
      <c r="K48" s="347"/>
      <c r="L48" s="347"/>
      <c r="M48" s="347"/>
      <c r="N48" s="342">
        <f t="shared" si="7"/>
        <v>0</v>
      </c>
      <c r="O48" s="346"/>
      <c r="P48" s="345"/>
      <c r="Q48" s="344"/>
      <c r="R48" s="343">
        <f t="shared" si="8"/>
        <v>0</v>
      </c>
      <c r="S48" s="343">
        <f t="shared" si="9"/>
        <v>0</v>
      </c>
      <c r="T48" s="342">
        <f t="shared" si="10"/>
        <v>0</v>
      </c>
    </row>
    <row r="49" spans="1:20" ht="21" hidden="1" customHeight="1" x14ac:dyDescent="0.2">
      <c r="A49" s="348">
        <v>36</v>
      </c>
      <c r="B49" s="350"/>
      <c r="C49" s="350"/>
      <c r="D49" s="350"/>
      <c r="E49" s="350"/>
      <c r="F49" s="346"/>
      <c r="G49" s="349"/>
      <c r="H49" s="349"/>
      <c r="I49" s="349" t="str">
        <f t="shared" si="5"/>
        <v>OUI</v>
      </c>
      <c r="J49" s="348">
        <f t="shared" si="6"/>
        <v>0</v>
      </c>
      <c r="K49" s="347"/>
      <c r="L49" s="347"/>
      <c r="M49" s="347"/>
      <c r="N49" s="342">
        <f t="shared" si="7"/>
        <v>0</v>
      </c>
      <c r="O49" s="346"/>
      <c r="P49" s="345"/>
      <c r="Q49" s="344"/>
      <c r="R49" s="343">
        <f t="shared" si="8"/>
        <v>0</v>
      </c>
      <c r="S49" s="343">
        <f t="shared" si="9"/>
        <v>0</v>
      </c>
      <c r="T49" s="342">
        <f t="shared" si="10"/>
        <v>0</v>
      </c>
    </row>
    <row r="50" spans="1:20" ht="21" hidden="1" customHeight="1" x14ac:dyDescent="0.2">
      <c r="A50" s="348">
        <v>37</v>
      </c>
      <c r="B50" s="350"/>
      <c r="C50" s="350"/>
      <c r="D50" s="350"/>
      <c r="E50" s="350"/>
      <c r="F50" s="346"/>
      <c r="G50" s="349"/>
      <c r="H50" s="349"/>
      <c r="I50" s="349" t="str">
        <f t="shared" si="5"/>
        <v>OUI</v>
      </c>
      <c r="J50" s="348">
        <f t="shared" si="6"/>
        <v>0</v>
      </c>
      <c r="K50" s="347"/>
      <c r="L50" s="347"/>
      <c r="M50" s="347"/>
      <c r="N50" s="342">
        <f t="shared" si="7"/>
        <v>0</v>
      </c>
      <c r="O50" s="346"/>
      <c r="P50" s="345"/>
      <c r="Q50" s="344"/>
      <c r="R50" s="343">
        <f t="shared" si="8"/>
        <v>0</v>
      </c>
      <c r="S50" s="343">
        <f t="shared" si="9"/>
        <v>0</v>
      </c>
      <c r="T50" s="342">
        <f t="shared" si="10"/>
        <v>0</v>
      </c>
    </row>
    <row r="51" spans="1:20" ht="21" hidden="1" customHeight="1" x14ac:dyDescent="0.2">
      <c r="A51" s="348">
        <v>38</v>
      </c>
      <c r="B51" s="350"/>
      <c r="C51" s="350"/>
      <c r="D51" s="350"/>
      <c r="E51" s="350"/>
      <c r="F51" s="346"/>
      <c r="G51" s="349"/>
      <c r="H51" s="349"/>
      <c r="I51" s="349" t="str">
        <f t="shared" si="5"/>
        <v>OUI</v>
      </c>
      <c r="J51" s="348">
        <f t="shared" si="6"/>
        <v>0</v>
      </c>
      <c r="K51" s="347"/>
      <c r="L51" s="347"/>
      <c r="M51" s="347"/>
      <c r="N51" s="342">
        <f t="shared" si="7"/>
        <v>0</v>
      </c>
      <c r="O51" s="346"/>
      <c r="P51" s="345"/>
      <c r="Q51" s="344"/>
      <c r="R51" s="343">
        <f t="shared" si="8"/>
        <v>0</v>
      </c>
      <c r="S51" s="343">
        <f t="shared" si="9"/>
        <v>0</v>
      </c>
      <c r="T51" s="342">
        <f t="shared" si="10"/>
        <v>0</v>
      </c>
    </row>
    <row r="52" spans="1:20" ht="21" hidden="1" customHeight="1" x14ac:dyDescent="0.2">
      <c r="A52" s="348">
        <v>39</v>
      </c>
      <c r="B52" s="350"/>
      <c r="C52" s="350"/>
      <c r="D52" s="350"/>
      <c r="E52" s="350"/>
      <c r="F52" s="346"/>
      <c r="G52" s="349"/>
      <c r="H52" s="349"/>
      <c r="I52" s="349" t="str">
        <f t="shared" si="5"/>
        <v>OUI</v>
      </c>
      <c r="J52" s="348">
        <f t="shared" si="6"/>
        <v>0</v>
      </c>
      <c r="K52" s="347"/>
      <c r="L52" s="347"/>
      <c r="M52" s="347"/>
      <c r="N52" s="342">
        <f t="shared" si="7"/>
        <v>0</v>
      </c>
      <c r="O52" s="346"/>
      <c r="P52" s="345"/>
      <c r="Q52" s="344"/>
      <c r="R52" s="343">
        <f t="shared" si="8"/>
        <v>0</v>
      </c>
      <c r="S52" s="343">
        <f t="shared" si="9"/>
        <v>0</v>
      </c>
      <c r="T52" s="342">
        <f t="shared" si="10"/>
        <v>0</v>
      </c>
    </row>
    <row r="53" spans="1:20" ht="21" hidden="1" customHeight="1" x14ac:dyDescent="0.2">
      <c r="A53" s="348">
        <v>40</v>
      </c>
      <c r="B53" s="350"/>
      <c r="C53" s="350"/>
      <c r="D53" s="350"/>
      <c r="E53" s="350"/>
      <c r="F53" s="346"/>
      <c r="G53" s="349"/>
      <c r="H53" s="349"/>
      <c r="I53" s="349" t="str">
        <f t="shared" si="5"/>
        <v>OUI</v>
      </c>
      <c r="J53" s="348">
        <f t="shared" si="6"/>
        <v>0</v>
      </c>
      <c r="K53" s="347"/>
      <c r="L53" s="347"/>
      <c r="M53" s="347"/>
      <c r="N53" s="342">
        <f t="shared" si="7"/>
        <v>0</v>
      </c>
      <c r="O53" s="346"/>
      <c r="P53" s="345"/>
      <c r="Q53" s="344"/>
      <c r="R53" s="343">
        <f t="shared" si="8"/>
        <v>0</v>
      </c>
      <c r="S53" s="343">
        <f t="shared" si="9"/>
        <v>0</v>
      </c>
      <c r="T53" s="342">
        <f t="shared" si="10"/>
        <v>0</v>
      </c>
    </row>
    <row r="54" spans="1:20" ht="21" hidden="1" customHeight="1" x14ac:dyDescent="0.2">
      <c r="A54" s="348">
        <v>41</v>
      </c>
      <c r="B54" s="350"/>
      <c r="C54" s="350"/>
      <c r="D54" s="350"/>
      <c r="E54" s="350"/>
      <c r="F54" s="346"/>
      <c r="G54" s="349"/>
      <c r="H54" s="349"/>
      <c r="I54" s="349" t="str">
        <f t="shared" si="5"/>
        <v>OUI</v>
      </c>
      <c r="J54" s="348">
        <f t="shared" si="6"/>
        <v>0</v>
      </c>
      <c r="K54" s="347"/>
      <c r="L54" s="347"/>
      <c r="M54" s="347"/>
      <c r="N54" s="342">
        <f t="shared" si="7"/>
        <v>0</v>
      </c>
      <c r="O54" s="346"/>
      <c r="P54" s="345"/>
      <c r="Q54" s="344"/>
      <c r="R54" s="343">
        <f t="shared" si="8"/>
        <v>0</v>
      </c>
      <c r="S54" s="343">
        <f t="shared" si="9"/>
        <v>0</v>
      </c>
      <c r="T54" s="342">
        <f t="shared" si="10"/>
        <v>0</v>
      </c>
    </row>
    <row r="55" spans="1:20" ht="21" hidden="1" customHeight="1" x14ac:dyDescent="0.2">
      <c r="A55" s="348">
        <v>42</v>
      </c>
      <c r="B55" s="350"/>
      <c r="C55" s="350"/>
      <c r="D55" s="350"/>
      <c r="E55" s="350"/>
      <c r="F55" s="346"/>
      <c r="G55" s="349"/>
      <c r="H55" s="349"/>
      <c r="I55" s="349" t="str">
        <f t="shared" ref="I55:I88" si="11">IF(F55="X","NON","OUI")</f>
        <v>OUI</v>
      </c>
      <c r="J55" s="348">
        <f t="shared" ref="J55:J88" si="12">IF(F55="",0,(H55-G55+1))</f>
        <v>0</v>
      </c>
      <c r="K55" s="347"/>
      <c r="L55" s="347"/>
      <c r="M55" s="347"/>
      <c r="N55" s="342">
        <f t="shared" ref="N55:N86" si="13">+K55+L55+M55</f>
        <v>0</v>
      </c>
      <c r="O55" s="346"/>
      <c r="P55" s="345"/>
      <c r="Q55" s="344"/>
      <c r="R55" s="343">
        <f t="shared" ref="R55:R86" si="14">Q55*N55</f>
        <v>0</v>
      </c>
      <c r="S55" s="343">
        <f t="shared" ref="S55:S88" si="15">((J55/365)*83333)</f>
        <v>0</v>
      </c>
      <c r="T55" s="342">
        <f t="shared" ref="T55:T86" si="16">MIN(S55,N55-P55)</f>
        <v>0</v>
      </c>
    </row>
    <row r="56" spans="1:20" ht="21" hidden="1" customHeight="1" x14ac:dyDescent="0.2">
      <c r="A56" s="348">
        <v>43</v>
      </c>
      <c r="B56" s="350"/>
      <c r="C56" s="350"/>
      <c r="D56" s="350"/>
      <c r="E56" s="350"/>
      <c r="F56" s="346"/>
      <c r="G56" s="349"/>
      <c r="H56" s="349"/>
      <c r="I56" s="349" t="str">
        <f t="shared" si="11"/>
        <v>OUI</v>
      </c>
      <c r="J56" s="348">
        <f t="shared" si="12"/>
        <v>0</v>
      </c>
      <c r="K56" s="347"/>
      <c r="L56" s="347"/>
      <c r="M56" s="347"/>
      <c r="N56" s="342">
        <f t="shared" si="13"/>
        <v>0</v>
      </c>
      <c r="O56" s="346"/>
      <c r="P56" s="345"/>
      <c r="Q56" s="344"/>
      <c r="R56" s="343">
        <f t="shared" si="14"/>
        <v>0</v>
      </c>
      <c r="S56" s="343">
        <f t="shared" si="15"/>
        <v>0</v>
      </c>
      <c r="T56" s="342">
        <f t="shared" si="16"/>
        <v>0</v>
      </c>
    </row>
    <row r="57" spans="1:20" ht="21" hidden="1" customHeight="1" x14ac:dyDescent="0.2">
      <c r="A57" s="348">
        <v>44</v>
      </c>
      <c r="B57" s="350"/>
      <c r="C57" s="350"/>
      <c r="D57" s="350"/>
      <c r="E57" s="350"/>
      <c r="F57" s="346"/>
      <c r="G57" s="349"/>
      <c r="H57" s="349"/>
      <c r="I57" s="349" t="str">
        <f t="shared" si="11"/>
        <v>OUI</v>
      </c>
      <c r="J57" s="348">
        <f t="shared" si="12"/>
        <v>0</v>
      </c>
      <c r="K57" s="347"/>
      <c r="L57" s="347"/>
      <c r="M57" s="347"/>
      <c r="N57" s="342">
        <f t="shared" si="13"/>
        <v>0</v>
      </c>
      <c r="O57" s="346"/>
      <c r="P57" s="345"/>
      <c r="Q57" s="344"/>
      <c r="R57" s="343">
        <f t="shared" si="14"/>
        <v>0</v>
      </c>
      <c r="S57" s="343">
        <f t="shared" si="15"/>
        <v>0</v>
      </c>
      <c r="T57" s="342">
        <f t="shared" si="16"/>
        <v>0</v>
      </c>
    </row>
    <row r="58" spans="1:20" ht="21" hidden="1" customHeight="1" x14ac:dyDescent="0.2">
      <c r="A58" s="348">
        <v>45</v>
      </c>
      <c r="B58" s="350"/>
      <c r="C58" s="350"/>
      <c r="D58" s="350"/>
      <c r="E58" s="350"/>
      <c r="F58" s="346"/>
      <c r="G58" s="349"/>
      <c r="H58" s="349"/>
      <c r="I58" s="349" t="str">
        <f t="shared" si="11"/>
        <v>OUI</v>
      </c>
      <c r="J58" s="348">
        <f t="shared" si="12"/>
        <v>0</v>
      </c>
      <c r="K58" s="347"/>
      <c r="L58" s="347"/>
      <c r="M58" s="347"/>
      <c r="N58" s="342">
        <f t="shared" si="13"/>
        <v>0</v>
      </c>
      <c r="O58" s="346"/>
      <c r="P58" s="345"/>
      <c r="Q58" s="344"/>
      <c r="R58" s="343">
        <f t="shared" si="14"/>
        <v>0</v>
      </c>
      <c r="S58" s="343">
        <f t="shared" si="15"/>
        <v>0</v>
      </c>
      <c r="T58" s="342">
        <f t="shared" si="16"/>
        <v>0</v>
      </c>
    </row>
    <row r="59" spans="1:20" ht="21" hidden="1" customHeight="1" x14ac:dyDescent="0.2">
      <c r="A59" s="348">
        <v>46</v>
      </c>
      <c r="B59" s="350"/>
      <c r="C59" s="350"/>
      <c r="D59" s="350"/>
      <c r="E59" s="350"/>
      <c r="F59" s="346"/>
      <c r="G59" s="349"/>
      <c r="H59" s="349"/>
      <c r="I59" s="349" t="str">
        <f t="shared" si="11"/>
        <v>OUI</v>
      </c>
      <c r="J59" s="348">
        <f t="shared" si="12"/>
        <v>0</v>
      </c>
      <c r="K59" s="347"/>
      <c r="L59" s="347"/>
      <c r="M59" s="347"/>
      <c r="N59" s="342">
        <f t="shared" si="13"/>
        <v>0</v>
      </c>
      <c r="O59" s="346"/>
      <c r="P59" s="345"/>
      <c r="Q59" s="344"/>
      <c r="R59" s="343">
        <f t="shared" si="14"/>
        <v>0</v>
      </c>
      <c r="S59" s="343">
        <f t="shared" si="15"/>
        <v>0</v>
      </c>
      <c r="T59" s="342">
        <f t="shared" si="16"/>
        <v>0</v>
      </c>
    </row>
    <row r="60" spans="1:20" ht="21" hidden="1" customHeight="1" x14ac:dyDescent="0.2">
      <c r="A60" s="348">
        <v>47</v>
      </c>
      <c r="B60" s="350"/>
      <c r="C60" s="350"/>
      <c r="D60" s="350"/>
      <c r="E60" s="350"/>
      <c r="F60" s="346"/>
      <c r="G60" s="349"/>
      <c r="H60" s="349"/>
      <c r="I60" s="349" t="str">
        <f t="shared" si="11"/>
        <v>OUI</v>
      </c>
      <c r="J60" s="348">
        <f t="shared" si="12"/>
        <v>0</v>
      </c>
      <c r="K60" s="347"/>
      <c r="L60" s="347"/>
      <c r="M60" s="347"/>
      <c r="N60" s="342">
        <f t="shared" si="13"/>
        <v>0</v>
      </c>
      <c r="O60" s="346"/>
      <c r="P60" s="345"/>
      <c r="Q60" s="344"/>
      <c r="R60" s="343">
        <f t="shared" si="14"/>
        <v>0</v>
      </c>
      <c r="S60" s="343">
        <f t="shared" si="15"/>
        <v>0</v>
      </c>
      <c r="T60" s="342">
        <f t="shared" si="16"/>
        <v>0</v>
      </c>
    </row>
    <row r="61" spans="1:20" ht="21" hidden="1" customHeight="1" x14ac:dyDescent="0.2">
      <c r="A61" s="348">
        <v>48</v>
      </c>
      <c r="B61" s="350"/>
      <c r="C61" s="350"/>
      <c r="D61" s="350"/>
      <c r="E61" s="350"/>
      <c r="F61" s="346"/>
      <c r="G61" s="349"/>
      <c r="H61" s="349"/>
      <c r="I61" s="349" t="str">
        <f t="shared" si="11"/>
        <v>OUI</v>
      </c>
      <c r="J61" s="348">
        <f t="shared" si="12"/>
        <v>0</v>
      </c>
      <c r="K61" s="347"/>
      <c r="L61" s="347"/>
      <c r="M61" s="347"/>
      <c r="N61" s="342">
        <f t="shared" si="13"/>
        <v>0</v>
      </c>
      <c r="O61" s="346"/>
      <c r="P61" s="345"/>
      <c r="Q61" s="344"/>
      <c r="R61" s="343">
        <f t="shared" si="14"/>
        <v>0</v>
      </c>
      <c r="S61" s="343">
        <f t="shared" si="15"/>
        <v>0</v>
      </c>
      <c r="T61" s="342">
        <f t="shared" si="16"/>
        <v>0</v>
      </c>
    </row>
    <row r="62" spans="1:20" ht="21" hidden="1" customHeight="1" x14ac:dyDescent="0.2">
      <c r="A62" s="348">
        <v>49</v>
      </c>
      <c r="B62" s="350"/>
      <c r="C62" s="350"/>
      <c r="D62" s="350"/>
      <c r="E62" s="350"/>
      <c r="F62" s="346"/>
      <c r="G62" s="349"/>
      <c r="H62" s="349"/>
      <c r="I62" s="349" t="str">
        <f t="shared" si="11"/>
        <v>OUI</v>
      </c>
      <c r="J62" s="348">
        <f t="shared" si="12"/>
        <v>0</v>
      </c>
      <c r="K62" s="347"/>
      <c r="L62" s="347"/>
      <c r="M62" s="347"/>
      <c r="N62" s="342">
        <f t="shared" si="13"/>
        <v>0</v>
      </c>
      <c r="O62" s="346"/>
      <c r="P62" s="345"/>
      <c r="Q62" s="344"/>
      <c r="R62" s="343">
        <f t="shared" si="14"/>
        <v>0</v>
      </c>
      <c r="S62" s="343">
        <f t="shared" si="15"/>
        <v>0</v>
      </c>
      <c r="T62" s="342">
        <f t="shared" si="16"/>
        <v>0</v>
      </c>
    </row>
    <row r="63" spans="1:20" ht="21" hidden="1" customHeight="1" x14ac:dyDescent="0.2">
      <c r="A63" s="348">
        <v>50</v>
      </c>
      <c r="B63" s="350"/>
      <c r="C63" s="350"/>
      <c r="D63" s="350"/>
      <c r="E63" s="350"/>
      <c r="F63" s="346"/>
      <c r="G63" s="349"/>
      <c r="H63" s="349"/>
      <c r="I63" s="349" t="str">
        <f t="shared" si="11"/>
        <v>OUI</v>
      </c>
      <c r="J63" s="348">
        <f t="shared" si="12"/>
        <v>0</v>
      </c>
      <c r="K63" s="347"/>
      <c r="L63" s="347"/>
      <c r="M63" s="347"/>
      <c r="N63" s="342">
        <f t="shared" si="13"/>
        <v>0</v>
      </c>
      <c r="O63" s="346"/>
      <c r="P63" s="345"/>
      <c r="Q63" s="344"/>
      <c r="R63" s="343">
        <f t="shared" si="14"/>
        <v>0</v>
      </c>
      <c r="S63" s="343">
        <f t="shared" si="15"/>
        <v>0</v>
      </c>
      <c r="T63" s="342">
        <f t="shared" si="16"/>
        <v>0</v>
      </c>
    </row>
    <row r="64" spans="1:20" ht="21" hidden="1" customHeight="1" x14ac:dyDescent="0.2">
      <c r="A64" s="348">
        <v>51</v>
      </c>
      <c r="B64" s="350"/>
      <c r="C64" s="350"/>
      <c r="D64" s="350"/>
      <c r="E64" s="350"/>
      <c r="F64" s="346"/>
      <c r="G64" s="349"/>
      <c r="H64" s="349"/>
      <c r="I64" s="349" t="str">
        <f t="shared" si="11"/>
        <v>OUI</v>
      </c>
      <c r="J64" s="348">
        <f t="shared" si="12"/>
        <v>0</v>
      </c>
      <c r="K64" s="347"/>
      <c r="L64" s="347"/>
      <c r="M64" s="347"/>
      <c r="N64" s="342">
        <f t="shared" si="13"/>
        <v>0</v>
      </c>
      <c r="O64" s="346"/>
      <c r="P64" s="345"/>
      <c r="Q64" s="344"/>
      <c r="R64" s="343">
        <f t="shared" si="14"/>
        <v>0</v>
      </c>
      <c r="S64" s="343">
        <f t="shared" si="15"/>
        <v>0</v>
      </c>
      <c r="T64" s="342">
        <f t="shared" si="16"/>
        <v>0</v>
      </c>
    </row>
    <row r="65" spans="1:20" ht="21" hidden="1" customHeight="1" x14ac:dyDescent="0.2">
      <c r="A65" s="348">
        <v>52</v>
      </c>
      <c r="B65" s="350"/>
      <c r="C65" s="350"/>
      <c r="D65" s="350"/>
      <c r="E65" s="350"/>
      <c r="F65" s="346"/>
      <c r="G65" s="349"/>
      <c r="H65" s="349"/>
      <c r="I65" s="349" t="str">
        <f t="shared" si="11"/>
        <v>OUI</v>
      </c>
      <c r="J65" s="348">
        <f t="shared" si="12"/>
        <v>0</v>
      </c>
      <c r="K65" s="347"/>
      <c r="L65" s="347"/>
      <c r="M65" s="347"/>
      <c r="N65" s="342">
        <f t="shared" si="13"/>
        <v>0</v>
      </c>
      <c r="O65" s="346"/>
      <c r="P65" s="345"/>
      <c r="Q65" s="344"/>
      <c r="R65" s="343">
        <f t="shared" si="14"/>
        <v>0</v>
      </c>
      <c r="S65" s="343">
        <f t="shared" si="15"/>
        <v>0</v>
      </c>
      <c r="T65" s="342">
        <f t="shared" si="16"/>
        <v>0</v>
      </c>
    </row>
    <row r="66" spans="1:20" ht="21" hidden="1" customHeight="1" x14ac:dyDescent="0.2">
      <c r="A66" s="348">
        <v>53</v>
      </c>
      <c r="B66" s="350"/>
      <c r="C66" s="350"/>
      <c r="D66" s="350"/>
      <c r="E66" s="350"/>
      <c r="F66" s="346"/>
      <c r="G66" s="349"/>
      <c r="H66" s="349"/>
      <c r="I66" s="349" t="str">
        <f t="shared" si="11"/>
        <v>OUI</v>
      </c>
      <c r="J66" s="348">
        <f t="shared" si="12"/>
        <v>0</v>
      </c>
      <c r="K66" s="347"/>
      <c r="L66" s="347"/>
      <c r="M66" s="347"/>
      <c r="N66" s="342">
        <f t="shared" si="13"/>
        <v>0</v>
      </c>
      <c r="O66" s="346"/>
      <c r="P66" s="345"/>
      <c r="Q66" s="344"/>
      <c r="R66" s="343">
        <f t="shared" si="14"/>
        <v>0</v>
      </c>
      <c r="S66" s="343">
        <f t="shared" si="15"/>
        <v>0</v>
      </c>
      <c r="T66" s="342">
        <f t="shared" si="16"/>
        <v>0</v>
      </c>
    </row>
    <row r="67" spans="1:20" ht="21" hidden="1" customHeight="1" x14ac:dyDescent="0.2">
      <c r="A67" s="348">
        <v>54</v>
      </c>
      <c r="B67" s="350"/>
      <c r="C67" s="350"/>
      <c r="D67" s="350"/>
      <c r="E67" s="350"/>
      <c r="F67" s="346"/>
      <c r="G67" s="349"/>
      <c r="H67" s="349"/>
      <c r="I67" s="349" t="str">
        <f t="shared" si="11"/>
        <v>OUI</v>
      </c>
      <c r="J67" s="348">
        <f t="shared" si="12"/>
        <v>0</v>
      </c>
      <c r="K67" s="347"/>
      <c r="L67" s="347"/>
      <c r="M67" s="347"/>
      <c r="N67" s="342">
        <f t="shared" si="13"/>
        <v>0</v>
      </c>
      <c r="O67" s="346"/>
      <c r="P67" s="345"/>
      <c r="Q67" s="344"/>
      <c r="R67" s="343">
        <f t="shared" si="14"/>
        <v>0</v>
      </c>
      <c r="S67" s="343">
        <f t="shared" si="15"/>
        <v>0</v>
      </c>
      <c r="T67" s="342">
        <f t="shared" si="16"/>
        <v>0</v>
      </c>
    </row>
    <row r="68" spans="1:20" ht="21" hidden="1" customHeight="1" x14ac:dyDescent="0.2">
      <c r="A68" s="348">
        <v>55</v>
      </c>
      <c r="B68" s="350"/>
      <c r="C68" s="350"/>
      <c r="D68" s="350"/>
      <c r="E68" s="350"/>
      <c r="F68" s="346"/>
      <c r="G68" s="349"/>
      <c r="H68" s="349"/>
      <c r="I68" s="349" t="str">
        <f t="shared" si="11"/>
        <v>OUI</v>
      </c>
      <c r="J68" s="348">
        <f t="shared" si="12"/>
        <v>0</v>
      </c>
      <c r="K68" s="347"/>
      <c r="L68" s="347"/>
      <c r="M68" s="347"/>
      <c r="N68" s="342">
        <f t="shared" si="13"/>
        <v>0</v>
      </c>
      <c r="O68" s="346"/>
      <c r="P68" s="345"/>
      <c r="Q68" s="344"/>
      <c r="R68" s="343">
        <f t="shared" si="14"/>
        <v>0</v>
      </c>
      <c r="S68" s="343">
        <f t="shared" si="15"/>
        <v>0</v>
      </c>
      <c r="T68" s="342">
        <f t="shared" si="16"/>
        <v>0</v>
      </c>
    </row>
    <row r="69" spans="1:20" ht="21" hidden="1" customHeight="1" x14ac:dyDescent="0.2">
      <c r="A69" s="348">
        <v>56</v>
      </c>
      <c r="B69" s="350"/>
      <c r="C69" s="350"/>
      <c r="D69" s="350"/>
      <c r="E69" s="350"/>
      <c r="F69" s="346"/>
      <c r="G69" s="349"/>
      <c r="H69" s="349"/>
      <c r="I69" s="349" t="str">
        <f t="shared" si="11"/>
        <v>OUI</v>
      </c>
      <c r="J69" s="348">
        <f t="shared" si="12"/>
        <v>0</v>
      </c>
      <c r="K69" s="347"/>
      <c r="L69" s="347"/>
      <c r="M69" s="347"/>
      <c r="N69" s="342">
        <f t="shared" si="13"/>
        <v>0</v>
      </c>
      <c r="O69" s="346"/>
      <c r="P69" s="345"/>
      <c r="Q69" s="344"/>
      <c r="R69" s="343">
        <f t="shared" si="14"/>
        <v>0</v>
      </c>
      <c r="S69" s="343">
        <f t="shared" si="15"/>
        <v>0</v>
      </c>
      <c r="T69" s="342">
        <f t="shared" si="16"/>
        <v>0</v>
      </c>
    </row>
    <row r="70" spans="1:20" ht="21" hidden="1" customHeight="1" x14ac:dyDescent="0.2">
      <c r="A70" s="348">
        <v>57</v>
      </c>
      <c r="B70" s="350"/>
      <c r="C70" s="350"/>
      <c r="D70" s="350"/>
      <c r="E70" s="350"/>
      <c r="F70" s="346"/>
      <c r="G70" s="349"/>
      <c r="H70" s="349"/>
      <c r="I70" s="349" t="str">
        <f t="shared" si="11"/>
        <v>OUI</v>
      </c>
      <c r="J70" s="348">
        <f t="shared" si="12"/>
        <v>0</v>
      </c>
      <c r="K70" s="347"/>
      <c r="L70" s="347"/>
      <c r="M70" s="347"/>
      <c r="N70" s="342">
        <f t="shared" si="13"/>
        <v>0</v>
      </c>
      <c r="O70" s="346"/>
      <c r="P70" s="345"/>
      <c r="Q70" s="344"/>
      <c r="R70" s="343">
        <f t="shared" si="14"/>
        <v>0</v>
      </c>
      <c r="S70" s="343">
        <f t="shared" si="15"/>
        <v>0</v>
      </c>
      <c r="T70" s="342">
        <f t="shared" si="16"/>
        <v>0</v>
      </c>
    </row>
    <row r="71" spans="1:20" ht="21" hidden="1" customHeight="1" x14ac:dyDescent="0.2">
      <c r="A71" s="348">
        <v>58</v>
      </c>
      <c r="B71" s="350"/>
      <c r="C71" s="350"/>
      <c r="D71" s="350"/>
      <c r="E71" s="350"/>
      <c r="F71" s="346"/>
      <c r="G71" s="349"/>
      <c r="H71" s="349"/>
      <c r="I71" s="349" t="str">
        <f t="shared" si="11"/>
        <v>OUI</v>
      </c>
      <c r="J71" s="348">
        <f t="shared" si="12"/>
        <v>0</v>
      </c>
      <c r="K71" s="347"/>
      <c r="L71" s="347"/>
      <c r="M71" s="347"/>
      <c r="N71" s="342">
        <f t="shared" si="13"/>
        <v>0</v>
      </c>
      <c r="O71" s="346"/>
      <c r="P71" s="345"/>
      <c r="Q71" s="344"/>
      <c r="R71" s="343">
        <f t="shared" si="14"/>
        <v>0</v>
      </c>
      <c r="S71" s="343">
        <f t="shared" si="15"/>
        <v>0</v>
      </c>
      <c r="T71" s="342">
        <f t="shared" si="16"/>
        <v>0</v>
      </c>
    </row>
    <row r="72" spans="1:20" ht="21" hidden="1" customHeight="1" x14ac:dyDescent="0.2">
      <c r="A72" s="348">
        <v>59</v>
      </c>
      <c r="B72" s="350"/>
      <c r="C72" s="350"/>
      <c r="D72" s="350"/>
      <c r="E72" s="350"/>
      <c r="F72" s="346"/>
      <c r="G72" s="349"/>
      <c r="H72" s="349"/>
      <c r="I72" s="349" t="str">
        <f t="shared" si="11"/>
        <v>OUI</v>
      </c>
      <c r="J72" s="348">
        <f t="shared" si="12"/>
        <v>0</v>
      </c>
      <c r="K72" s="347"/>
      <c r="L72" s="347"/>
      <c r="M72" s="347"/>
      <c r="N72" s="342">
        <f t="shared" si="13"/>
        <v>0</v>
      </c>
      <c r="O72" s="346"/>
      <c r="P72" s="345"/>
      <c r="Q72" s="344"/>
      <c r="R72" s="343">
        <f t="shared" si="14"/>
        <v>0</v>
      </c>
      <c r="S72" s="343">
        <f t="shared" si="15"/>
        <v>0</v>
      </c>
      <c r="T72" s="342">
        <f t="shared" si="16"/>
        <v>0</v>
      </c>
    </row>
    <row r="73" spans="1:20" ht="21" hidden="1" customHeight="1" x14ac:dyDescent="0.2">
      <c r="A73" s="348">
        <v>60</v>
      </c>
      <c r="B73" s="350"/>
      <c r="C73" s="350"/>
      <c r="D73" s="350"/>
      <c r="E73" s="350"/>
      <c r="F73" s="346"/>
      <c r="G73" s="349"/>
      <c r="H73" s="349"/>
      <c r="I73" s="349" t="str">
        <f t="shared" si="11"/>
        <v>OUI</v>
      </c>
      <c r="J73" s="348">
        <f t="shared" si="12"/>
        <v>0</v>
      </c>
      <c r="K73" s="347"/>
      <c r="L73" s="347"/>
      <c r="M73" s="347"/>
      <c r="N73" s="342">
        <f t="shared" si="13"/>
        <v>0</v>
      </c>
      <c r="O73" s="346"/>
      <c r="P73" s="345"/>
      <c r="Q73" s="344"/>
      <c r="R73" s="343">
        <f t="shared" si="14"/>
        <v>0</v>
      </c>
      <c r="S73" s="343">
        <f t="shared" si="15"/>
        <v>0</v>
      </c>
      <c r="T73" s="342">
        <f t="shared" si="16"/>
        <v>0</v>
      </c>
    </row>
    <row r="74" spans="1:20" ht="21" hidden="1" customHeight="1" x14ac:dyDescent="0.2">
      <c r="A74" s="348">
        <v>61</v>
      </c>
      <c r="B74" s="350"/>
      <c r="C74" s="350"/>
      <c r="D74" s="350"/>
      <c r="E74" s="350"/>
      <c r="F74" s="346"/>
      <c r="G74" s="349"/>
      <c r="H74" s="349"/>
      <c r="I74" s="349" t="str">
        <f t="shared" si="11"/>
        <v>OUI</v>
      </c>
      <c r="J74" s="348">
        <f t="shared" si="12"/>
        <v>0</v>
      </c>
      <c r="K74" s="347"/>
      <c r="L74" s="347"/>
      <c r="M74" s="347"/>
      <c r="N74" s="342">
        <f t="shared" si="13"/>
        <v>0</v>
      </c>
      <c r="O74" s="346"/>
      <c r="P74" s="345"/>
      <c r="Q74" s="344"/>
      <c r="R74" s="343">
        <f t="shared" si="14"/>
        <v>0</v>
      </c>
      <c r="S74" s="343">
        <f t="shared" si="15"/>
        <v>0</v>
      </c>
      <c r="T74" s="342">
        <f t="shared" si="16"/>
        <v>0</v>
      </c>
    </row>
    <row r="75" spans="1:20" ht="21" hidden="1" customHeight="1" x14ac:dyDescent="0.2">
      <c r="A75" s="348">
        <v>62</v>
      </c>
      <c r="B75" s="350"/>
      <c r="C75" s="350"/>
      <c r="D75" s="350"/>
      <c r="E75" s="350"/>
      <c r="F75" s="346"/>
      <c r="G75" s="349"/>
      <c r="H75" s="349"/>
      <c r="I75" s="349" t="str">
        <f t="shared" si="11"/>
        <v>OUI</v>
      </c>
      <c r="J75" s="348">
        <f t="shared" si="12"/>
        <v>0</v>
      </c>
      <c r="K75" s="347"/>
      <c r="L75" s="347"/>
      <c r="M75" s="347"/>
      <c r="N75" s="342">
        <f t="shared" si="13"/>
        <v>0</v>
      </c>
      <c r="O75" s="346"/>
      <c r="P75" s="345"/>
      <c r="Q75" s="344"/>
      <c r="R75" s="343">
        <f t="shared" si="14"/>
        <v>0</v>
      </c>
      <c r="S75" s="343">
        <f t="shared" si="15"/>
        <v>0</v>
      </c>
      <c r="T75" s="342">
        <f t="shared" si="16"/>
        <v>0</v>
      </c>
    </row>
    <row r="76" spans="1:20" ht="21" hidden="1" customHeight="1" x14ac:dyDescent="0.2">
      <c r="A76" s="348">
        <v>63</v>
      </c>
      <c r="B76" s="350"/>
      <c r="C76" s="350"/>
      <c r="D76" s="350"/>
      <c r="E76" s="350"/>
      <c r="F76" s="346"/>
      <c r="G76" s="349"/>
      <c r="H76" s="349"/>
      <c r="I76" s="349" t="str">
        <f t="shared" si="11"/>
        <v>OUI</v>
      </c>
      <c r="J76" s="348">
        <f t="shared" si="12"/>
        <v>0</v>
      </c>
      <c r="K76" s="347"/>
      <c r="L76" s="347"/>
      <c r="M76" s="347"/>
      <c r="N76" s="342">
        <f t="shared" si="13"/>
        <v>0</v>
      </c>
      <c r="O76" s="346"/>
      <c r="P76" s="345"/>
      <c r="Q76" s="344"/>
      <c r="R76" s="343">
        <f t="shared" si="14"/>
        <v>0</v>
      </c>
      <c r="S76" s="343">
        <f t="shared" si="15"/>
        <v>0</v>
      </c>
      <c r="T76" s="342">
        <f t="shared" si="16"/>
        <v>0</v>
      </c>
    </row>
    <row r="77" spans="1:20" ht="21" hidden="1" customHeight="1" x14ac:dyDescent="0.2">
      <c r="A77" s="348">
        <v>64</v>
      </c>
      <c r="B77" s="350"/>
      <c r="C77" s="350"/>
      <c r="D77" s="350"/>
      <c r="E77" s="350"/>
      <c r="F77" s="346"/>
      <c r="G77" s="349"/>
      <c r="H77" s="349"/>
      <c r="I77" s="349" t="str">
        <f t="shared" si="11"/>
        <v>OUI</v>
      </c>
      <c r="J77" s="348">
        <f t="shared" si="12"/>
        <v>0</v>
      </c>
      <c r="K77" s="347"/>
      <c r="L77" s="347"/>
      <c r="M77" s="347"/>
      <c r="N77" s="342">
        <f t="shared" si="13"/>
        <v>0</v>
      </c>
      <c r="O77" s="346"/>
      <c r="P77" s="345"/>
      <c r="Q77" s="344"/>
      <c r="R77" s="343">
        <f t="shared" si="14"/>
        <v>0</v>
      </c>
      <c r="S77" s="343">
        <f t="shared" si="15"/>
        <v>0</v>
      </c>
      <c r="T77" s="342">
        <f t="shared" si="16"/>
        <v>0</v>
      </c>
    </row>
    <row r="78" spans="1:20" ht="21" hidden="1" customHeight="1" x14ac:dyDescent="0.2">
      <c r="A78" s="348">
        <v>65</v>
      </c>
      <c r="B78" s="350"/>
      <c r="C78" s="350"/>
      <c r="D78" s="350"/>
      <c r="E78" s="350"/>
      <c r="F78" s="346"/>
      <c r="G78" s="349"/>
      <c r="H78" s="349"/>
      <c r="I78" s="349" t="str">
        <f t="shared" si="11"/>
        <v>OUI</v>
      </c>
      <c r="J78" s="348">
        <f t="shared" si="12"/>
        <v>0</v>
      </c>
      <c r="K78" s="347"/>
      <c r="L78" s="347"/>
      <c r="M78" s="347"/>
      <c r="N78" s="342">
        <f t="shared" si="13"/>
        <v>0</v>
      </c>
      <c r="O78" s="346"/>
      <c r="P78" s="345"/>
      <c r="Q78" s="344"/>
      <c r="R78" s="343">
        <f t="shared" si="14"/>
        <v>0</v>
      </c>
      <c r="S78" s="343">
        <f t="shared" si="15"/>
        <v>0</v>
      </c>
      <c r="T78" s="342">
        <f t="shared" si="16"/>
        <v>0</v>
      </c>
    </row>
    <row r="79" spans="1:20" ht="21" hidden="1" customHeight="1" x14ac:dyDescent="0.2">
      <c r="A79" s="348">
        <v>66</v>
      </c>
      <c r="B79" s="350"/>
      <c r="C79" s="350"/>
      <c r="D79" s="350"/>
      <c r="E79" s="350"/>
      <c r="F79" s="346"/>
      <c r="G79" s="349"/>
      <c r="H79" s="349"/>
      <c r="I79" s="349" t="str">
        <f t="shared" si="11"/>
        <v>OUI</v>
      </c>
      <c r="J79" s="348">
        <f t="shared" si="12"/>
        <v>0</v>
      </c>
      <c r="K79" s="347"/>
      <c r="L79" s="347"/>
      <c r="M79" s="347"/>
      <c r="N79" s="342">
        <f t="shared" si="13"/>
        <v>0</v>
      </c>
      <c r="O79" s="346"/>
      <c r="P79" s="345"/>
      <c r="Q79" s="344"/>
      <c r="R79" s="343">
        <f t="shared" si="14"/>
        <v>0</v>
      </c>
      <c r="S79" s="343">
        <f t="shared" si="15"/>
        <v>0</v>
      </c>
      <c r="T79" s="342">
        <f t="shared" si="16"/>
        <v>0</v>
      </c>
    </row>
    <row r="80" spans="1:20" ht="21" hidden="1" customHeight="1" x14ac:dyDescent="0.2">
      <c r="A80" s="348">
        <v>67</v>
      </c>
      <c r="B80" s="350"/>
      <c r="C80" s="350"/>
      <c r="D80" s="350"/>
      <c r="E80" s="350"/>
      <c r="F80" s="346"/>
      <c r="G80" s="349"/>
      <c r="H80" s="349"/>
      <c r="I80" s="349" t="str">
        <f t="shared" si="11"/>
        <v>OUI</v>
      </c>
      <c r="J80" s="348">
        <f t="shared" si="12"/>
        <v>0</v>
      </c>
      <c r="K80" s="347"/>
      <c r="L80" s="347"/>
      <c r="M80" s="347"/>
      <c r="N80" s="342">
        <f t="shared" si="13"/>
        <v>0</v>
      </c>
      <c r="O80" s="346"/>
      <c r="P80" s="345"/>
      <c r="Q80" s="344"/>
      <c r="R80" s="343">
        <f t="shared" si="14"/>
        <v>0</v>
      </c>
      <c r="S80" s="343">
        <f t="shared" si="15"/>
        <v>0</v>
      </c>
      <c r="T80" s="342">
        <f t="shared" si="16"/>
        <v>0</v>
      </c>
    </row>
    <row r="81" spans="1:20" ht="21" hidden="1" customHeight="1" x14ac:dyDescent="0.2">
      <c r="A81" s="348">
        <v>68</v>
      </c>
      <c r="B81" s="350"/>
      <c r="C81" s="350"/>
      <c r="D81" s="350"/>
      <c r="E81" s="350"/>
      <c r="F81" s="346"/>
      <c r="G81" s="349"/>
      <c r="H81" s="349"/>
      <c r="I81" s="349" t="str">
        <f t="shared" si="11"/>
        <v>OUI</v>
      </c>
      <c r="J81" s="348">
        <f t="shared" si="12"/>
        <v>0</v>
      </c>
      <c r="K81" s="347"/>
      <c r="L81" s="347"/>
      <c r="M81" s="347"/>
      <c r="N81" s="342">
        <f t="shared" si="13"/>
        <v>0</v>
      </c>
      <c r="O81" s="346"/>
      <c r="P81" s="345"/>
      <c r="Q81" s="344"/>
      <c r="R81" s="343">
        <f t="shared" si="14"/>
        <v>0</v>
      </c>
      <c r="S81" s="343">
        <f t="shared" si="15"/>
        <v>0</v>
      </c>
      <c r="T81" s="342">
        <f t="shared" si="16"/>
        <v>0</v>
      </c>
    </row>
    <row r="82" spans="1:20" ht="21" hidden="1" customHeight="1" x14ac:dyDescent="0.2">
      <c r="A82" s="348">
        <v>69</v>
      </c>
      <c r="B82" s="350"/>
      <c r="C82" s="350"/>
      <c r="D82" s="350"/>
      <c r="E82" s="350"/>
      <c r="F82" s="346"/>
      <c r="G82" s="349"/>
      <c r="H82" s="349"/>
      <c r="I82" s="349" t="str">
        <f t="shared" si="11"/>
        <v>OUI</v>
      </c>
      <c r="J82" s="348">
        <f t="shared" si="12"/>
        <v>0</v>
      </c>
      <c r="K82" s="347"/>
      <c r="L82" s="347"/>
      <c r="M82" s="347"/>
      <c r="N82" s="342">
        <f t="shared" si="13"/>
        <v>0</v>
      </c>
      <c r="O82" s="346"/>
      <c r="P82" s="345"/>
      <c r="Q82" s="344"/>
      <c r="R82" s="343">
        <f t="shared" si="14"/>
        <v>0</v>
      </c>
      <c r="S82" s="343">
        <f t="shared" si="15"/>
        <v>0</v>
      </c>
      <c r="T82" s="342">
        <f t="shared" si="16"/>
        <v>0</v>
      </c>
    </row>
    <row r="83" spans="1:20" ht="21" hidden="1" customHeight="1" x14ac:dyDescent="0.2">
      <c r="A83" s="348">
        <v>70</v>
      </c>
      <c r="B83" s="350"/>
      <c r="C83" s="350"/>
      <c r="D83" s="350"/>
      <c r="E83" s="350"/>
      <c r="F83" s="346"/>
      <c r="G83" s="349"/>
      <c r="H83" s="349"/>
      <c r="I83" s="349" t="str">
        <f t="shared" si="11"/>
        <v>OUI</v>
      </c>
      <c r="J83" s="348">
        <f t="shared" si="12"/>
        <v>0</v>
      </c>
      <c r="K83" s="347"/>
      <c r="L83" s="347"/>
      <c r="M83" s="347"/>
      <c r="N83" s="342">
        <f t="shared" si="13"/>
        <v>0</v>
      </c>
      <c r="O83" s="346"/>
      <c r="P83" s="345"/>
      <c r="Q83" s="344"/>
      <c r="R83" s="343">
        <f t="shared" si="14"/>
        <v>0</v>
      </c>
      <c r="S83" s="343">
        <f t="shared" si="15"/>
        <v>0</v>
      </c>
      <c r="T83" s="342">
        <f t="shared" si="16"/>
        <v>0</v>
      </c>
    </row>
    <row r="84" spans="1:20" ht="21" hidden="1" customHeight="1" x14ac:dyDescent="0.2">
      <c r="A84" s="348">
        <v>71</v>
      </c>
      <c r="B84" s="350"/>
      <c r="C84" s="350"/>
      <c r="D84" s="350"/>
      <c r="E84" s="350"/>
      <c r="F84" s="346"/>
      <c r="G84" s="349"/>
      <c r="H84" s="349"/>
      <c r="I84" s="349" t="str">
        <f t="shared" si="11"/>
        <v>OUI</v>
      </c>
      <c r="J84" s="348">
        <f t="shared" si="12"/>
        <v>0</v>
      </c>
      <c r="K84" s="347"/>
      <c r="L84" s="347"/>
      <c r="M84" s="347"/>
      <c r="N84" s="342">
        <f t="shared" si="13"/>
        <v>0</v>
      </c>
      <c r="O84" s="346"/>
      <c r="P84" s="345"/>
      <c r="Q84" s="344"/>
      <c r="R84" s="343">
        <f t="shared" si="14"/>
        <v>0</v>
      </c>
      <c r="S84" s="343">
        <f t="shared" si="15"/>
        <v>0</v>
      </c>
      <c r="T84" s="342">
        <f t="shared" si="16"/>
        <v>0</v>
      </c>
    </row>
    <row r="85" spans="1:20" ht="21" hidden="1" customHeight="1" x14ac:dyDescent="0.2">
      <c r="A85" s="348">
        <v>72</v>
      </c>
      <c r="B85" s="350"/>
      <c r="C85" s="350"/>
      <c r="D85" s="350"/>
      <c r="E85" s="350"/>
      <c r="F85" s="346"/>
      <c r="G85" s="349"/>
      <c r="H85" s="349"/>
      <c r="I85" s="349" t="str">
        <f t="shared" si="11"/>
        <v>OUI</v>
      </c>
      <c r="J85" s="348">
        <f t="shared" si="12"/>
        <v>0</v>
      </c>
      <c r="K85" s="347"/>
      <c r="L85" s="347"/>
      <c r="M85" s="347"/>
      <c r="N85" s="342">
        <f t="shared" si="13"/>
        <v>0</v>
      </c>
      <c r="O85" s="346"/>
      <c r="P85" s="345"/>
      <c r="Q85" s="344"/>
      <c r="R85" s="343">
        <f t="shared" si="14"/>
        <v>0</v>
      </c>
      <c r="S85" s="343">
        <f t="shared" si="15"/>
        <v>0</v>
      </c>
      <c r="T85" s="342">
        <f t="shared" si="16"/>
        <v>0</v>
      </c>
    </row>
    <row r="86" spans="1:20" ht="21" hidden="1" customHeight="1" x14ac:dyDescent="0.2">
      <c r="A86" s="348">
        <v>73</v>
      </c>
      <c r="B86" s="350"/>
      <c r="C86" s="350"/>
      <c r="D86" s="350"/>
      <c r="E86" s="350"/>
      <c r="F86" s="346"/>
      <c r="G86" s="349"/>
      <c r="H86" s="349"/>
      <c r="I86" s="349" t="str">
        <f t="shared" si="11"/>
        <v>OUI</v>
      </c>
      <c r="J86" s="348">
        <f t="shared" si="12"/>
        <v>0</v>
      </c>
      <c r="K86" s="347"/>
      <c r="L86" s="347"/>
      <c r="M86" s="347"/>
      <c r="N86" s="342">
        <f t="shared" si="13"/>
        <v>0</v>
      </c>
      <c r="O86" s="346"/>
      <c r="P86" s="345"/>
      <c r="Q86" s="344"/>
      <c r="R86" s="343">
        <f t="shared" si="14"/>
        <v>0</v>
      </c>
      <c r="S86" s="343">
        <f t="shared" si="15"/>
        <v>0</v>
      </c>
      <c r="T86" s="342">
        <f t="shared" si="16"/>
        <v>0</v>
      </c>
    </row>
    <row r="87" spans="1:20" ht="21" hidden="1" customHeight="1" x14ac:dyDescent="0.2">
      <c r="A87" s="348">
        <v>74</v>
      </c>
      <c r="B87" s="350"/>
      <c r="C87" s="350"/>
      <c r="D87" s="350"/>
      <c r="E87" s="350"/>
      <c r="F87" s="346"/>
      <c r="G87" s="349"/>
      <c r="H87" s="349"/>
      <c r="I87" s="349" t="str">
        <f t="shared" si="11"/>
        <v>OUI</v>
      </c>
      <c r="J87" s="348">
        <f t="shared" si="12"/>
        <v>0</v>
      </c>
      <c r="K87" s="347"/>
      <c r="L87" s="347"/>
      <c r="M87" s="347"/>
      <c r="N87" s="342">
        <f t="shared" ref="N87:N88" si="17">+K87+L87+M87</f>
        <v>0</v>
      </c>
      <c r="O87" s="346"/>
      <c r="P87" s="345"/>
      <c r="Q87" s="344"/>
      <c r="R87" s="343">
        <f t="shared" ref="R87:R88" si="18">Q87*N87</f>
        <v>0</v>
      </c>
      <c r="S87" s="343">
        <f t="shared" si="15"/>
        <v>0</v>
      </c>
      <c r="T87" s="342">
        <f t="shared" ref="T87:T88" si="19">MIN(S87,N87-P87)</f>
        <v>0</v>
      </c>
    </row>
    <row r="88" spans="1:20" ht="21" hidden="1" customHeight="1" x14ac:dyDescent="0.2">
      <c r="A88" s="348">
        <v>75</v>
      </c>
      <c r="B88" s="350"/>
      <c r="C88" s="350"/>
      <c r="D88" s="350"/>
      <c r="E88" s="350"/>
      <c r="F88" s="346"/>
      <c r="G88" s="349"/>
      <c r="H88" s="349"/>
      <c r="I88" s="349" t="str">
        <f t="shared" si="11"/>
        <v>OUI</v>
      </c>
      <c r="J88" s="348">
        <f t="shared" si="12"/>
        <v>0</v>
      </c>
      <c r="K88" s="347"/>
      <c r="L88" s="347"/>
      <c r="M88" s="347"/>
      <c r="N88" s="342">
        <f t="shared" si="17"/>
        <v>0</v>
      </c>
      <c r="O88" s="346"/>
      <c r="P88" s="345"/>
      <c r="Q88" s="344"/>
      <c r="R88" s="343">
        <f t="shared" si="18"/>
        <v>0</v>
      </c>
      <c r="S88" s="343">
        <f t="shared" si="15"/>
        <v>0</v>
      </c>
      <c r="T88" s="342">
        <f t="shared" si="19"/>
        <v>0</v>
      </c>
    </row>
    <row r="89" spans="1:20" ht="24.75" customHeight="1" x14ac:dyDescent="0.2">
      <c r="A89" s="341"/>
      <c r="B89" s="341" t="s">
        <v>254</v>
      </c>
      <c r="C89" s="341"/>
      <c r="D89" s="341"/>
      <c r="E89" s="341"/>
      <c r="F89" s="339">
        <f t="shared" ref="F89:N89" si="20">SUM(F9:F22)</f>
        <v>0</v>
      </c>
      <c r="G89" s="339">
        <f t="shared" si="20"/>
        <v>538392</v>
      </c>
      <c r="H89" s="339">
        <f t="shared" si="20"/>
        <v>542760</v>
      </c>
      <c r="I89" s="339">
        <f t="shared" si="20"/>
        <v>0</v>
      </c>
      <c r="J89" s="339">
        <f t="shared" si="20"/>
        <v>4380</v>
      </c>
      <c r="K89" s="339">
        <f t="shared" si="20"/>
        <v>1034500</v>
      </c>
      <c r="L89" s="339">
        <f t="shared" si="20"/>
        <v>0</v>
      </c>
      <c r="M89" s="339">
        <f t="shared" si="20"/>
        <v>0</v>
      </c>
      <c r="N89" s="339">
        <f t="shared" si="20"/>
        <v>1034500</v>
      </c>
      <c r="O89" s="341"/>
      <c r="P89" s="341"/>
      <c r="Q89" s="340"/>
      <c r="R89" s="339">
        <f>SUM(R9:R88)</f>
        <v>362075</v>
      </c>
      <c r="S89" s="339"/>
      <c r="T89" s="339">
        <f>SUM(T9:T88)</f>
        <v>768998</v>
      </c>
    </row>
    <row r="90" spans="1:20" x14ac:dyDescent="0.2"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314"/>
      <c r="O90" s="314"/>
      <c r="Q90" s="338"/>
      <c r="R90" s="313"/>
      <c r="T90" s="311"/>
    </row>
    <row r="91" spans="1:20" x14ac:dyDescent="0.2">
      <c r="B91" s="314"/>
      <c r="C91" s="314"/>
      <c r="D91" s="313"/>
      <c r="E91" s="313"/>
      <c r="F91" s="337"/>
      <c r="G91" s="337"/>
      <c r="H91" s="313"/>
      <c r="I91" s="313"/>
      <c r="J91" s="313"/>
      <c r="O91" s="313"/>
      <c r="T91" s="313"/>
    </row>
    <row r="92" spans="1:20" ht="23.25" customHeight="1" x14ac:dyDescent="0.2">
      <c r="B92" s="328" t="s">
        <v>253</v>
      </c>
      <c r="C92" s="336"/>
      <c r="D92" s="336"/>
      <c r="E92" s="336"/>
      <c r="F92" s="327"/>
      <c r="G92" s="326"/>
      <c r="H92" s="326"/>
      <c r="I92" s="326"/>
      <c r="J92" s="326"/>
      <c r="K92" s="326"/>
      <c r="L92" s="326"/>
      <c r="M92" s="326"/>
      <c r="N92" s="326"/>
      <c r="O92" s="326"/>
      <c r="T92" s="313"/>
    </row>
    <row r="93" spans="1:20" ht="18.75" customHeight="1" x14ac:dyDescent="0.2">
      <c r="B93" s="322" t="s">
        <v>249</v>
      </c>
      <c r="C93" s="322"/>
      <c r="D93" s="322"/>
      <c r="E93" s="322"/>
      <c r="F93" s="335"/>
      <c r="G93" s="334"/>
      <c r="H93" s="332"/>
      <c r="I93" s="332"/>
      <c r="K93" s="333"/>
      <c r="L93" s="333"/>
      <c r="M93" s="333"/>
      <c r="O93" s="332"/>
      <c r="T93" s="313"/>
    </row>
    <row r="94" spans="1:20" ht="18.75" customHeight="1" x14ac:dyDescent="0.2">
      <c r="B94" s="314" t="s">
        <v>252</v>
      </c>
      <c r="C94" s="314"/>
      <c r="D94" s="313">
        <f>'[1]Calcul des CRÉDITS'!H18</f>
        <v>0</v>
      </c>
      <c r="E94" s="313"/>
      <c r="F94" s="331"/>
      <c r="G94" s="309"/>
      <c r="H94" s="324"/>
      <c r="I94" s="324"/>
      <c r="O94" s="313"/>
      <c r="T94" s="313"/>
    </row>
    <row r="95" spans="1:20" ht="18.75" customHeight="1" x14ac:dyDescent="0.2">
      <c r="B95" s="314" t="s">
        <v>251</v>
      </c>
      <c r="C95" s="314"/>
      <c r="D95" s="313">
        <f>'[1]Calcul des CRÉDITS'!H36</f>
        <v>185033.1875</v>
      </c>
      <c r="E95" s="313"/>
      <c r="F95" s="331"/>
      <c r="G95" s="309"/>
      <c r="H95" s="324"/>
      <c r="I95" s="324"/>
      <c r="O95" s="313"/>
      <c r="T95" s="313"/>
    </row>
    <row r="96" spans="1:20" s="314" customFormat="1" ht="23.25" customHeight="1" x14ac:dyDescent="0.2">
      <c r="A96" s="325"/>
      <c r="B96" s="330" t="s">
        <v>246</v>
      </c>
      <c r="C96" s="330"/>
      <c r="D96" s="322">
        <f>D95+D94</f>
        <v>185033.1875</v>
      </c>
      <c r="E96" s="322"/>
      <c r="F96" s="329"/>
      <c r="G96" s="325"/>
      <c r="H96" s="324"/>
      <c r="I96" s="324"/>
      <c r="O96" s="324"/>
      <c r="P96" s="308"/>
    </row>
    <row r="97" spans="1:16" s="314" customFormat="1" ht="23.25" customHeight="1" x14ac:dyDescent="0.2">
      <c r="A97" s="325"/>
      <c r="B97" s="737" t="s">
        <v>250</v>
      </c>
      <c r="C97" s="737"/>
      <c r="D97" s="737"/>
      <c r="E97" s="328"/>
      <c r="F97" s="327"/>
      <c r="G97" s="326"/>
      <c r="H97" s="324"/>
      <c r="I97" s="324"/>
      <c r="O97" s="324"/>
      <c r="P97" s="308"/>
    </row>
    <row r="98" spans="1:16" s="314" customFormat="1" ht="18.75" customHeight="1" x14ac:dyDescent="0.2">
      <c r="A98" s="325"/>
      <c r="B98" s="307" t="s">
        <v>249</v>
      </c>
      <c r="C98" s="307"/>
      <c r="D98" s="324">
        <f>T89</f>
        <v>768998</v>
      </c>
      <c r="E98" s="324"/>
      <c r="F98" s="323"/>
      <c r="G98" s="325"/>
      <c r="H98" s="322"/>
      <c r="I98" s="322"/>
      <c r="O98" s="322"/>
      <c r="P98" s="308"/>
    </row>
    <row r="99" spans="1:16" ht="18.75" customHeight="1" x14ac:dyDescent="0.2">
      <c r="B99" s="307" t="s">
        <v>248</v>
      </c>
      <c r="D99" s="313">
        <f>D98*0.24</f>
        <v>184559.52</v>
      </c>
      <c r="E99" s="313"/>
      <c r="F99" s="315"/>
      <c r="G99" s="309"/>
    </row>
    <row r="100" spans="1:16" ht="18.75" customHeight="1" x14ac:dyDescent="0.2">
      <c r="B100" s="324" t="s">
        <v>247</v>
      </c>
      <c r="C100" s="324"/>
      <c r="D100" s="324">
        <f>D98*0.06</f>
        <v>46139.88</v>
      </c>
      <c r="E100" s="324"/>
      <c r="F100" s="323"/>
      <c r="G100" s="309"/>
    </row>
    <row r="101" spans="1:16" ht="9" customHeight="1" x14ac:dyDescent="0.2">
      <c r="B101" s="322"/>
      <c r="C101" s="322"/>
      <c r="D101" s="322"/>
      <c r="E101" s="322"/>
      <c r="F101" s="321"/>
      <c r="G101" s="309"/>
    </row>
    <row r="102" spans="1:16" ht="23.25" customHeight="1" x14ac:dyDescent="0.2">
      <c r="B102" s="312" t="s">
        <v>246</v>
      </c>
      <c r="C102" s="312"/>
      <c r="D102" s="311">
        <f>D100+D99</f>
        <v>230699.4</v>
      </c>
      <c r="E102" s="311"/>
      <c r="F102" s="320"/>
      <c r="G102" s="309"/>
    </row>
    <row r="103" spans="1:16" ht="23.25" customHeight="1" x14ac:dyDescent="0.2">
      <c r="B103" s="319" t="s">
        <v>245</v>
      </c>
      <c r="C103" s="319"/>
      <c r="D103" s="318"/>
      <c r="E103" s="318"/>
      <c r="F103" s="317"/>
      <c r="G103" s="316"/>
    </row>
    <row r="104" spans="1:16" ht="23.25" customHeight="1" x14ac:dyDescent="0.2">
      <c r="B104" s="307" t="s">
        <v>244</v>
      </c>
      <c r="D104" s="313">
        <f>D96</f>
        <v>185033.1875</v>
      </c>
      <c r="E104" s="313"/>
      <c r="F104" s="315"/>
      <c r="G104" s="309"/>
    </row>
    <row r="105" spans="1:16" ht="23.25" customHeight="1" x14ac:dyDescent="0.2">
      <c r="B105" s="314" t="s">
        <v>243</v>
      </c>
      <c r="C105" s="314"/>
      <c r="D105" s="313">
        <f>D102</f>
        <v>230699.4</v>
      </c>
      <c r="E105" s="313"/>
    </row>
    <row r="106" spans="1:16" ht="23.25" customHeight="1" x14ac:dyDescent="0.2">
      <c r="B106" s="312" t="s">
        <v>242</v>
      </c>
      <c r="C106" s="312"/>
      <c r="D106" s="311">
        <f>D105+D104</f>
        <v>415732.58750000002</v>
      </c>
      <c r="E106" s="311"/>
    </row>
    <row r="107" spans="1:16" hidden="1" x14ac:dyDescent="0.2"/>
    <row r="108" spans="1:16" hidden="1" x14ac:dyDescent="0.2"/>
    <row r="109" spans="1:16" x14ac:dyDescent="0.2">
      <c r="B109" s="310"/>
      <c r="C109" s="310"/>
      <c r="D109" s="310"/>
    </row>
    <row r="113" spans="1:16" x14ac:dyDescent="0.2">
      <c r="B113" s="307" t="s">
        <v>40</v>
      </c>
      <c r="D113" s="361">
        <f>'Loans &amp; Grants'!C40</f>
        <v>150000</v>
      </c>
    </row>
    <row r="115" spans="1:16" x14ac:dyDescent="0.2">
      <c r="B115" s="307" t="s">
        <v>288</v>
      </c>
    </row>
    <row r="116" spans="1:16" x14ac:dyDescent="0.2">
      <c r="B116" s="307" t="s">
        <v>289</v>
      </c>
      <c r="D116" s="362">
        <f>+D113+D106+'Loans &amp; Grants'!C43</f>
        <v>715732.58750000002</v>
      </c>
    </row>
    <row r="117" spans="1:16" x14ac:dyDescent="0.2">
      <c r="A117" s="307"/>
      <c r="B117" s="307" t="s">
        <v>286</v>
      </c>
      <c r="D117" s="363">
        <f>+D116/K89</f>
        <v>0.69186330352827452</v>
      </c>
      <c r="E117" s="364" t="s">
        <v>287</v>
      </c>
      <c r="P117" s="307"/>
    </row>
  </sheetData>
  <autoFilter ref="A8:T88" xr:uid="{9B118C95-0280-4419-824D-C413779FAF76}"/>
  <mergeCells count="6">
    <mergeCell ref="S7:T7"/>
    <mergeCell ref="B97:D97"/>
    <mergeCell ref="B3:F3"/>
    <mergeCell ref="B4:J4"/>
    <mergeCell ref="J7:P7"/>
    <mergeCell ref="Q7:R7"/>
  </mergeCells>
  <dataValidations count="4">
    <dataValidation type="list" allowBlank="1" showInputMessage="1" showErrorMessage="1" sqref="I9:I88 C9:C88" xr:uid="{76BAB94F-6161-401B-ABBC-E7889462CD7D}">
      <formula1>"OUI,NON"</formula1>
    </dataValidation>
    <dataValidation type="date" allowBlank="1" showInputMessage="1" showErrorMessage="1" sqref="G9:H88" xr:uid="{18633700-D150-4AB4-89E4-3AA24C61BB41}">
      <formula1>36161</formula1>
      <formula2>73416</formula2>
    </dataValidation>
    <dataValidation type="custom" allowBlank="1" showInputMessage="1" showErrorMessage="1" errorTitle="CDAE DET" error="LE SALAIRE DE L'EMPLOYÉ DÉTERMINÉ N'EST PAS ADMISSIBLE AU CDAE_x000a_" sqref="F9:F88" xr:uid="{70A0162E-23F2-46C9-995E-410127F70828}">
      <formula1>C9="Non"</formula1>
    </dataValidation>
    <dataValidation type="custom" showInputMessage="1" showErrorMessage="1" errorTitle="BONI" error="LE BONI DE L'EMPLOYÉ DÉTERMINÉ N'EST PAS ADMISSIBLE_x000a_" sqref="M9:M88" xr:uid="{0C6DA125-23F0-4992-BCB8-23C56BE5183A}">
      <formula1>C9="Non"</formula1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EE37-2687-4DCE-9772-016D5EF9BEC9}">
  <sheetPr>
    <tabColor theme="5"/>
  </sheetPr>
  <dimension ref="B1:CK184"/>
  <sheetViews>
    <sheetView zoomScale="90" zoomScaleNormal="90" workbookViewId="0">
      <pane xSplit="5" ySplit="10" topLeftCell="X11" activePane="bottomRight" state="frozen"/>
      <selection pane="topRight" activeCell="F1" sqref="F1"/>
      <selection pane="bottomLeft" activeCell="A10" sqref="A10"/>
      <selection pane="bottomRight" activeCell="C180" sqref="C180"/>
    </sheetView>
  </sheetViews>
  <sheetFormatPr baseColWidth="10" defaultColWidth="10.6640625" defaultRowHeight="16" x14ac:dyDescent="0.2"/>
  <cols>
    <col min="2" max="2" width="31.1640625" customWidth="1"/>
    <col min="5" max="5" width="10.6640625" style="22"/>
    <col min="6" max="12" width="10.6640625" hidden="1" customWidth="1"/>
    <col min="13" max="13" width="11.5" hidden="1" customWidth="1"/>
    <col min="14" max="14" width="12.5" hidden="1" customWidth="1"/>
    <col min="15" max="15" width="11.5" hidden="1" customWidth="1"/>
    <col min="16" max="16" width="11" style="370" customWidth="1"/>
    <col min="17" max="17" width="11" style="371" customWidth="1"/>
    <col min="25" max="25" width="11.1640625" customWidth="1"/>
    <col min="26" max="26" width="11.5" customWidth="1"/>
    <col min="27" max="28" width="11.6640625" customWidth="1"/>
    <col min="29" max="29" width="11.6640625" style="22" customWidth="1"/>
    <col min="30" max="30" width="12.5" bestFit="1" customWidth="1"/>
    <col min="31" max="31" width="11.83203125" customWidth="1"/>
    <col min="32" max="40" width="12.83203125" customWidth="1"/>
    <col min="41" max="41" width="12.83203125" style="22" customWidth="1"/>
    <col min="42" max="52" width="12.83203125" customWidth="1"/>
    <col min="53" max="53" width="12.83203125" style="22" customWidth="1"/>
    <col min="54" max="64" width="12.83203125" customWidth="1"/>
    <col min="65" max="65" width="12.83203125" style="22" customWidth="1"/>
    <col min="66" max="76" width="12.83203125" customWidth="1"/>
    <col min="77" max="77" width="12.83203125" style="22" customWidth="1"/>
    <col min="78" max="88" width="12.83203125" customWidth="1"/>
    <col min="89" max="89" width="12.83203125" style="22" customWidth="1"/>
  </cols>
  <sheetData>
    <row r="1" spans="2:89" ht="17" thickBot="1" x14ac:dyDescent="0.25"/>
    <row r="2" spans="2:89" x14ac:dyDescent="0.2">
      <c r="B2" s="127" t="s">
        <v>0</v>
      </c>
      <c r="C2" s="128"/>
      <c r="D2" s="128"/>
      <c r="E2" s="129"/>
      <c r="F2" s="715">
        <v>2022</v>
      </c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7"/>
      <c r="R2" s="701">
        <v>2023</v>
      </c>
      <c r="S2" s="702"/>
      <c r="T2" s="702"/>
      <c r="U2" s="702"/>
      <c r="V2" s="702"/>
      <c r="W2" s="702"/>
      <c r="X2" s="702"/>
      <c r="Y2" s="702"/>
      <c r="Z2" s="702"/>
      <c r="AA2" s="702"/>
      <c r="AB2" s="702"/>
      <c r="AC2" s="703"/>
      <c r="AD2" s="715">
        <v>2024</v>
      </c>
      <c r="AE2" s="716"/>
      <c r="AF2" s="716"/>
      <c r="AG2" s="716"/>
      <c r="AH2" s="716"/>
      <c r="AI2" s="716"/>
      <c r="AJ2" s="716"/>
      <c r="AK2" s="716"/>
      <c r="AL2" s="716"/>
      <c r="AM2" s="716"/>
      <c r="AN2" s="716"/>
      <c r="AO2" s="717"/>
      <c r="AP2" s="701">
        <v>2025</v>
      </c>
      <c r="AQ2" s="702"/>
      <c r="AR2" s="702"/>
      <c r="AS2" s="702"/>
      <c r="AT2" s="702"/>
      <c r="AU2" s="702"/>
      <c r="AV2" s="702"/>
      <c r="AW2" s="702"/>
      <c r="AX2" s="702"/>
      <c r="AY2" s="702"/>
      <c r="AZ2" s="702"/>
      <c r="BA2" s="703"/>
      <c r="BB2" s="701">
        <v>2026</v>
      </c>
      <c r="BC2" s="702"/>
      <c r="BD2" s="702"/>
      <c r="BE2" s="702"/>
      <c r="BF2" s="702"/>
      <c r="BG2" s="702"/>
      <c r="BH2" s="702"/>
      <c r="BI2" s="702"/>
      <c r="BJ2" s="702"/>
      <c r="BK2" s="702"/>
      <c r="BL2" s="702"/>
      <c r="BM2" s="703"/>
      <c r="BN2" s="701">
        <v>2027</v>
      </c>
      <c r="BO2" s="702"/>
      <c r="BP2" s="702"/>
      <c r="BQ2" s="702"/>
      <c r="BR2" s="702"/>
      <c r="BS2" s="702"/>
      <c r="BT2" s="702"/>
      <c r="BU2" s="702"/>
      <c r="BV2" s="702"/>
      <c r="BW2" s="702"/>
      <c r="BX2" s="702"/>
      <c r="BY2" s="703"/>
      <c r="BZ2" s="701">
        <v>2028</v>
      </c>
      <c r="CA2" s="702"/>
      <c r="CB2" s="702"/>
      <c r="CC2" s="702"/>
      <c r="CD2" s="702"/>
      <c r="CE2" s="702"/>
      <c r="CF2" s="702"/>
      <c r="CG2" s="702"/>
      <c r="CH2" s="702"/>
      <c r="CI2" s="702"/>
      <c r="CJ2" s="702"/>
      <c r="CK2" s="703"/>
    </row>
    <row r="3" spans="2:89" x14ac:dyDescent="0.2">
      <c r="B3" s="130"/>
      <c r="C3" s="6"/>
      <c r="D3" s="6"/>
      <c r="E3" s="87"/>
      <c r="F3" s="536">
        <v>1</v>
      </c>
      <c r="G3" s="54">
        <v>2</v>
      </c>
      <c r="H3" s="3">
        <v>3</v>
      </c>
      <c r="I3" s="3">
        <v>4</v>
      </c>
      <c r="J3" s="3">
        <v>5</v>
      </c>
      <c r="K3" s="3">
        <v>6</v>
      </c>
      <c r="L3" s="3">
        <v>7</v>
      </c>
      <c r="M3" s="3">
        <v>8</v>
      </c>
      <c r="N3" s="3">
        <v>9</v>
      </c>
      <c r="O3" s="54">
        <v>10</v>
      </c>
      <c r="P3" s="251">
        <v>44866</v>
      </c>
      <c r="Q3" s="251">
        <v>44896</v>
      </c>
      <c r="R3" s="248">
        <v>44927</v>
      </c>
      <c r="S3" s="248">
        <v>44958</v>
      </c>
      <c r="T3" s="248">
        <v>44986</v>
      </c>
      <c r="U3" s="248">
        <v>45017</v>
      </c>
      <c r="V3" s="248">
        <v>45047</v>
      </c>
      <c r="W3" s="248">
        <v>45078</v>
      </c>
      <c r="X3" s="248">
        <v>45108</v>
      </c>
      <c r="Y3" s="248">
        <v>45139</v>
      </c>
      <c r="Z3" s="248">
        <v>45170</v>
      </c>
      <c r="AA3" s="248">
        <v>45200</v>
      </c>
      <c r="AB3" s="248">
        <v>45231</v>
      </c>
      <c r="AC3" s="522">
        <v>45261</v>
      </c>
      <c r="AD3" s="506">
        <v>45292</v>
      </c>
      <c r="AE3" s="249">
        <v>45323</v>
      </c>
      <c r="AF3" s="249">
        <v>45352</v>
      </c>
      <c r="AG3" s="249">
        <v>45383</v>
      </c>
      <c r="AH3" s="249">
        <v>45413</v>
      </c>
      <c r="AI3" s="249">
        <v>45444</v>
      </c>
      <c r="AJ3" s="249">
        <v>45474</v>
      </c>
      <c r="AK3" s="249">
        <v>45505</v>
      </c>
      <c r="AL3" s="249">
        <v>45536</v>
      </c>
      <c r="AM3" s="249">
        <v>45566</v>
      </c>
      <c r="AN3" s="249">
        <v>45597</v>
      </c>
      <c r="AO3" s="529">
        <v>45627</v>
      </c>
      <c r="AP3" s="507">
        <v>45658</v>
      </c>
      <c r="AQ3" s="250">
        <v>45689</v>
      </c>
      <c r="AR3" s="250">
        <v>45717</v>
      </c>
      <c r="AS3" s="250">
        <v>45748</v>
      </c>
      <c r="AT3" s="250">
        <v>45778</v>
      </c>
      <c r="AU3" s="250">
        <v>45809</v>
      </c>
      <c r="AV3" s="250">
        <v>45839</v>
      </c>
      <c r="AW3" s="250">
        <v>45870</v>
      </c>
      <c r="AX3" s="250">
        <v>45901</v>
      </c>
      <c r="AY3" s="250">
        <v>45931</v>
      </c>
      <c r="AZ3" s="250">
        <v>45962</v>
      </c>
      <c r="BA3" s="530">
        <v>45992</v>
      </c>
      <c r="BB3" s="507">
        <v>45658</v>
      </c>
      <c r="BC3" s="250">
        <v>45689</v>
      </c>
      <c r="BD3" s="250">
        <v>45717</v>
      </c>
      <c r="BE3" s="250">
        <v>45748</v>
      </c>
      <c r="BF3" s="250">
        <v>45778</v>
      </c>
      <c r="BG3" s="250">
        <v>45809</v>
      </c>
      <c r="BH3" s="250">
        <v>45839</v>
      </c>
      <c r="BI3" s="250">
        <v>45870</v>
      </c>
      <c r="BJ3" s="250">
        <v>45901</v>
      </c>
      <c r="BK3" s="250">
        <v>45931</v>
      </c>
      <c r="BL3" s="250">
        <v>45962</v>
      </c>
      <c r="BM3" s="530">
        <v>45992</v>
      </c>
      <c r="BN3" s="507">
        <v>45658</v>
      </c>
      <c r="BO3" s="250">
        <v>45689</v>
      </c>
      <c r="BP3" s="250">
        <v>45717</v>
      </c>
      <c r="BQ3" s="250">
        <v>45748</v>
      </c>
      <c r="BR3" s="250">
        <v>45778</v>
      </c>
      <c r="BS3" s="250">
        <v>45809</v>
      </c>
      <c r="BT3" s="250">
        <v>45839</v>
      </c>
      <c r="BU3" s="250">
        <v>45870</v>
      </c>
      <c r="BV3" s="250">
        <v>45901</v>
      </c>
      <c r="BW3" s="250">
        <v>45931</v>
      </c>
      <c r="BX3" s="250">
        <v>45962</v>
      </c>
      <c r="BY3" s="530">
        <v>45992</v>
      </c>
      <c r="BZ3" s="507">
        <v>45658</v>
      </c>
      <c r="CA3" s="250">
        <v>45689</v>
      </c>
      <c r="CB3" s="250">
        <v>45717</v>
      </c>
      <c r="CC3" s="250">
        <v>45748</v>
      </c>
      <c r="CD3" s="250">
        <v>45778</v>
      </c>
      <c r="CE3" s="250">
        <v>45809</v>
      </c>
      <c r="CF3" s="250">
        <v>45839</v>
      </c>
      <c r="CG3" s="250">
        <v>45870</v>
      </c>
      <c r="CH3" s="250">
        <v>45901</v>
      </c>
      <c r="CI3" s="250">
        <v>45931</v>
      </c>
      <c r="CJ3" s="250">
        <v>45962</v>
      </c>
      <c r="CK3" s="530">
        <v>45992</v>
      </c>
    </row>
    <row r="4" spans="2:89" ht="8" customHeight="1" x14ac:dyDescent="0.2">
      <c r="B4" s="21"/>
      <c r="C4" s="131"/>
      <c r="D4" s="131"/>
      <c r="E4" s="132"/>
    </row>
    <row r="5" spans="2:89" x14ac:dyDescent="0.2">
      <c r="B5" s="21" t="s">
        <v>71</v>
      </c>
      <c r="C5" s="237"/>
      <c r="D5" s="169"/>
      <c r="E5" s="205"/>
      <c r="N5" s="203"/>
      <c r="O5" s="203"/>
      <c r="P5" s="372"/>
      <c r="Q5" s="373"/>
      <c r="R5" s="203">
        <f t="shared" ref="R5:BA5" si="0">R32+R42+R54+R66+R78+R91+R104+R116+R128</f>
        <v>103.47826086956522</v>
      </c>
      <c r="S5" s="203">
        <f t="shared" si="0"/>
        <v>83.478260869565219</v>
      </c>
      <c r="T5" s="203">
        <f t="shared" si="0"/>
        <v>61.739130434782609</v>
      </c>
      <c r="U5" s="203">
        <f t="shared" si="0"/>
        <v>62.727272727272727</v>
      </c>
      <c r="V5" s="203">
        <f t="shared" si="0"/>
        <v>102.72727272727272</v>
      </c>
      <c r="W5" s="203">
        <f t="shared" si="0"/>
        <v>106.72727272727272</v>
      </c>
      <c r="X5" s="203">
        <f t="shared" si="0"/>
        <v>129.80952380952382</v>
      </c>
      <c r="Y5" s="203">
        <f t="shared" si="0"/>
        <v>151.8095238095238</v>
      </c>
      <c r="Z5" s="203">
        <f t="shared" si="0"/>
        <v>153.8095238095238</v>
      </c>
      <c r="AA5" s="203">
        <f t="shared" si="0"/>
        <v>155.8095238095238</v>
      </c>
      <c r="AB5" s="203">
        <f t="shared" si="0"/>
        <v>179</v>
      </c>
      <c r="AC5" s="202">
        <f t="shared" si="0"/>
        <v>181</v>
      </c>
      <c r="AD5" s="203">
        <f t="shared" si="0"/>
        <v>184.31578947368422</v>
      </c>
      <c r="AE5" s="203">
        <f t="shared" si="0"/>
        <v>226.31578947368422</v>
      </c>
      <c r="AF5" s="203">
        <f t="shared" si="0"/>
        <v>294.10526315789474</v>
      </c>
      <c r="AG5" s="203">
        <f t="shared" si="0"/>
        <v>727.45263157894726</v>
      </c>
      <c r="AH5" s="203">
        <f t="shared" si="0"/>
        <v>901.85263157894724</v>
      </c>
      <c r="AI5" s="203">
        <f t="shared" si="0"/>
        <v>1019.6444444444445</v>
      </c>
      <c r="AJ5" s="203">
        <f t="shared" si="0"/>
        <v>1114.0444444444445</v>
      </c>
      <c r="AK5" s="203">
        <f t="shared" si="0"/>
        <v>1228.4444444444443</v>
      </c>
      <c r="AL5" s="203">
        <f t="shared" si="0"/>
        <v>1662.8444444444444</v>
      </c>
      <c r="AM5" s="203">
        <f t="shared" si="0"/>
        <v>1777.2444444444445</v>
      </c>
      <c r="AN5" s="203">
        <f t="shared" si="0"/>
        <v>1917.7882352941176</v>
      </c>
      <c r="AO5" s="202">
        <f t="shared" si="0"/>
        <v>1855.7176470588236</v>
      </c>
      <c r="AP5" s="203">
        <f t="shared" si="0"/>
        <v>2052.4705882352941</v>
      </c>
      <c r="AQ5" s="203">
        <f t="shared" si="0"/>
        <v>2166.8705882352942</v>
      </c>
      <c r="AR5" s="203">
        <f t="shared" si="0"/>
        <v>2304.8000000000002</v>
      </c>
      <c r="AS5" s="203">
        <f t="shared" si="0"/>
        <v>2419.1999999999998</v>
      </c>
      <c r="AT5" s="203">
        <f t="shared" si="0"/>
        <v>2533.6</v>
      </c>
      <c r="AU5" s="203">
        <f t="shared" si="0"/>
        <v>2648</v>
      </c>
      <c r="AV5" s="203">
        <f t="shared" si="0"/>
        <v>2789.0666666666666</v>
      </c>
      <c r="AW5" s="203">
        <f t="shared" si="0"/>
        <v>2903.4666666666667</v>
      </c>
      <c r="AX5" s="203">
        <f t="shared" si="0"/>
        <v>3017.8666666666668</v>
      </c>
      <c r="AY5" s="203">
        <f t="shared" si="0"/>
        <v>3132.2666666666664</v>
      </c>
      <c r="AZ5" s="203">
        <f t="shared" si="0"/>
        <v>3246.666666666667</v>
      </c>
      <c r="BA5" s="202">
        <f t="shared" si="0"/>
        <v>3361.0666666666666</v>
      </c>
      <c r="BB5" s="203">
        <f t="shared" ref="BB5:BM5" si="1">BB32+BB42+BB54+BB66+BB78+BB91+BB104+BB116+BB128+BB176</f>
        <v>3745.2705882352939</v>
      </c>
      <c r="BC5" s="203">
        <f t="shared" si="1"/>
        <v>3879.6705882352944</v>
      </c>
      <c r="BD5" s="203">
        <f t="shared" si="1"/>
        <v>4037.6</v>
      </c>
      <c r="BE5" s="203">
        <f t="shared" si="1"/>
        <v>4172</v>
      </c>
      <c r="BF5" s="203">
        <f t="shared" si="1"/>
        <v>4306.3999999999996</v>
      </c>
      <c r="BG5" s="203">
        <f t="shared" si="1"/>
        <v>4440.8</v>
      </c>
      <c r="BH5" s="203">
        <f t="shared" si="1"/>
        <v>4601.8666666666668</v>
      </c>
      <c r="BI5" s="203">
        <f t="shared" si="1"/>
        <v>4736.2666666666664</v>
      </c>
      <c r="BJ5" s="203">
        <f t="shared" si="1"/>
        <v>4870.666666666667</v>
      </c>
      <c r="BK5" s="203">
        <f t="shared" si="1"/>
        <v>5005.0666666666666</v>
      </c>
      <c r="BL5" s="203">
        <f t="shared" si="1"/>
        <v>5139.4666666666672</v>
      </c>
      <c r="BM5" s="202">
        <f t="shared" si="1"/>
        <v>5273.8666666666668</v>
      </c>
      <c r="BN5" s="203">
        <f t="shared" ref="BN5:BY5" si="2">BN32+BN42+BN54+BN66+BN78+BN91+BN104+BN116+BN128+BN176</f>
        <v>5358.0705882352941</v>
      </c>
      <c r="BO5" s="203">
        <f t="shared" si="2"/>
        <v>5492.4705882352937</v>
      </c>
      <c r="BP5" s="203">
        <f t="shared" si="2"/>
        <v>5650.4</v>
      </c>
      <c r="BQ5" s="203">
        <f t="shared" si="2"/>
        <v>5784.8</v>
      </c>
      <c r="BR5" s="203">
        <f t="shared" si="2"/>
        <v>5919.2</v>
      </c>
      <c r="BS5" s="203">
        <f t="shared" si="2"/>
        <v>6053.6</v>
      </c>
      <c r="BT5" s="203">
        <f t="shared" si="2"/>
        <v>6214.6666666666661</v>
      </c>
      <c r="BU5" s="203">
        <f t="shared" si="2"/>
        <v>6349.0666666666666</v>
      </c>
      <c r="BV5" s="203">
        <f t="shared" si="2"/>
        <v>6483.4666666666672</v>
      </c>
      <c r="BW5" s="203">
        <f t="shared" si="2"/>
        <v>6617.8666666666668</v>
      </c>
      <c r="BX5" s="203">
        <f t="shared" si="2"/>
        <v>6752.2666666666664</v>
      </c>
      <c r="BY5" s="202">
        <f t="shared" si="2"/>
        <v>6886.6666666666661</v>
      </c>
      <c r="BZ5" s="203">
        <f t="shared" ref="BZ5:CK5" si="3">BZ32+BZ42+BZ54+BZ66+BZ78+BZ91+BZ104+BZ116+BZ128+BZ176</f>
        <v>6970.8705882352942</v>
      </c>
      <c r="CA5" s="203">
        <f t="shared" si="3"/>
        <v>7105.2705882352948</v>
      </c>
      <c r="CB5" s="203">
        <f t="shared" si="3"/>
        <v>7263.2</v>
      </c>
      <c r="CC5" s="203">
        <f t="shared" si="3"/>
        <v>7397.6</v>
      </c>
      <c r="CD5" s="203">
        <f t="shared" si="3"/>
        <v>7532</v>
      </c>
      <c r="CE5" s="203">
        <f t="shared" si="3"/>
        <v>7666.4</v>
      </c>
      <c r="CF5" s="203">
        <f t="shared" si="3"/>
        <v>7827.4666666666662</v>
      </c>
      <c r="CG5" s="203">
        <f t="shared" si="3"/>
        <v>7961.8666666666668</v>
      </c>
      <c r="CH5" s="203">
        <f t="shared" si="3"/>
        <v>8096.2666666666664</v>
      </c>
      <c r="CI5" s="203">
        <f t="shared" si="3"/>
        <v>8230.6666666666661</v>
      </c>
      <c r="CJ5" s="203">
        <f t="shared" si="3"/>
        <v>8365.0666666666657</v>
      </c>
      <c r="CK5" s="202">
        <f t="shared" si="3"/>
        <v>8499.4666666666672</v>
      </c>
    </row>
    <row r="6" spans="2:89" x14ac:dyDescent="0.2">
      <c r="B6" s="21" t="s">
        <v>59</v>
      </c>
      <c r="C6" s="237"/>
      <c r="D6" s="169"/>
      <c r="E6" s="205"/>
      <c r="N6" s="203"/>
      <c r="O6" s="203"/>
      <c r="P6" s="372"/>
      <c r="Q6" s="373"/>
      <c r="R6" s="203">
        <f t="shared" ref="R6:BA6" si="4">R33+R43+R55+R67+R79+R92+R105+R117</f>
        <v>72.388091639082816</v>
      </c>
      <c r="S6" s="203">
        <f t="shared" si="4"/>
        <v>75.442686225616242</v>
      </c>
      <c r="T6" s="203">
        <f t="shared" si="4"/>
        <v>75.992902656885363</v>
      </c>
      <c r="U6" s="203">
        <f t="shared" si="4"/>
        <v>75.758975899248554</v>
      </c>
      <c r="V6" s="203">
        <f t="shared" si="4"/>
        <v>75.539270872801467</v>
      </c>
      <c r="W6" s="203">
        <f t="shared" si="4"/>
        <v>75.323140753582834</v>
      </c>
      <c r="X6" s="203">
        <f t="shared" si="4"/>
        <v>75.810648341988809</v>
      </c>
      <c r="Y6" s="203">
        <f t="shared" si="4"/>
        <v>76.320674088019473</v>
      </c>
      <c r="Z6" s="203">
        <f t="shared" si="4"/>
        <v>77.171637052184181</v>
      </c>
      <c r="AA6" s="203">
        <f t="shared" si="4"/>
        <v>78.363483897883043</v>
      </c>
      <c r="AB6" s="203">
        <f t="shared" si="4"/>
        <v>79.540251552806751</v>
      </c>
      <c r="AC6" s="202">
        <f t="shared" si="4"/>
        <v>80.716811153150886</v>
      </c>
      <c r="AD6" s="203">
        <f t="shared" si="4"/>
        <v>82.222231881675924</v>
      </c>
      <c r="AE6" s="203">
        <f t="shared" si="4"/>
        <v>83.729917816057238</v>
      </c>
      <c r="AF6" s="203">
        <f t="shared" si="4"/>
        <v>85.210687600754923</v>
      </c>
      <c r="AG6" s="203">
        <f t="shared" si="4"/>
        <v>87.641230334698562</v>
      </c>
      <c r="AH6" s="203">
        <f t="shared" si="4"/>
        <v>97.547447445521499</v>
      </c>
      <c r="AI6" s="203">
        <f t="shared" si="4"/>
        <v>108.18200919080311</v>
      </c>
      <c r="AJ6" s="203">
        <f t="shared" si="4"/>
        <v>122.29153273348089</v>
      </c>
      <c r="AK6" s="203">
        <f t="shared" si="4"/>
        <v>137.84686719952117</v>
      </c>
      <c r="AL6" s="203">
        <f t="shared" si="4"/>
        <v>154.7896060921631</v>
      </c>
      <c r="AM6" s="203">
        <f t="shared" si="4"/>
        <v>173.19356159393118</v>
      </c>
      <c r="AN6" s="203">
        <f t="shared" si="4"/>
        <v>198.68366787016512</v>
      </c>
      <c r="AO6" s="202">
        <f t="shared" si="4"/>
        <v>226.09235357491701</v>
      </c>
      <c r="AP6" s="203">
        <f t="shared" si="4"/>
        <v>251.74135435968358</v>
      </c>
      <c r="AQ6" s="203">
        <f t="shared" si="4"/>
        <v>280.18821027554441</v>
      </c>
      <c r="AR6" s="203">
        <f t="shared" si="4"/>
        <v>309.9418698983182</v>
      </c>
      <c r="AS6" s="203">
        <f t="shared" si="4"/>
        <v>341.39038555449054</v>
      </c>
      <c r="AT6" s="203">
        <f t="shared" si="4"/>
        <v>374.09152754143918</v>
      </c>
      <c r="AU6" s="203">
        <f t="shared" si="4"/>
        <v>408.02260677852115</v>
      </c>
      <c r="AV6" s="203">
        <f t="shared" si="4"/>
        <v>443.16136728098371</v>
      </c>
      <c r="AW6" s="203">
        <f t="shared" si="4"/>
        <v>479.95264441520345</v>
      </c>
      <c r="AX6" s="203">
        <f t="shared" si="4"/>
        <v>517.90018998532412</v>
      </c>
      <c r="AY6" s="203">
        <f t="shared" si="4"/>
        <v>556.98314039789454</v>
      </c>
      <c r="AZ6" s="203">
        <f t="shared" si="4"/>
        <v>597.18102998362087</v>
      </c>
      <c r="BA6" s="202">
        <f t="shared" si="4"/>
        <v>638.47378326898047</v>
      </c>
      <c r="BB6" s="203">
        <f t="shared" ref="BB6:BM6" si="5">BB33+BB43+BB55+BB67+BB79+BB92+BB105+BB117+BB177</f>
        <v>737.66670739907306</v>
      </c>
      <c r="BC6" s="203">
        <f t="shared" si="5"/>
        <v>792.98955333618596</v>
      </c>
      <c r="BD6" s="203">
        <f t="shared" si="5"/>
        <v>849.74592524292564</v>
      </c>
      <c r="BE6" s="203">
        <f t="shared" si="5"/>
        <v>908.30860481176228</v>
      </c>
      <c r="BF6" s="203">
        <f t="shared" si="5"/>
        <v>968.22105941269899</v>
      </c>
      <c r="BG6" s="203">
        <f t="shared" si="5"/>
        <v>1029.4472108817718</v>
      </c>
      <c r="BH6" s="203">
        <f t="shared" si="5"/>
        <v>1091.9522766869779</v>
      </c>
      <c r="BI6" s="203">
        <f t="shared" si="5"/>
        <v>1156.1693796429977</v>
      </c>
      <c r="BJ6" s="203">
        <f t="shared" si="5"/>
        <v>1221.5913270785809</v>
      </c>
      <c r="BK6" s="203">
        <f t="shared" si="5"/>
        <v>1288.1870355634246</v>
      </c>
      <c r="BL6" s="203">
        <f t="shared" si="5"/>
        <v>1355.9265031415212</v>
      </c>
      <c r="BM6" s="202">
        <f t="shared" si="5"/>
        <v>1424.7807627386017</v>
      </c>
      <c r="BN6" s="203">
        <f t="shared" ref="BN6:BY6" si="6">BN33+BN43+BN55+BN67+BN79+BN92+BN105+BN117+BN177</f>
        <v>1494.7218378265566</v>
      </c>
      <c r="BO6" s="203">
        <f t="shared" si="6"/>
        <v>1564.844268857094</v>
      </c>
      <c r="BP6" s="203">
        <f t="shared" si="6"/>
        <v>1636.0157397672149</v>
      </c>
      <c r="BQ6" s="203">
        <f t="shared" si="6"/>
        <v>1708.6224962177039</v>
      </c>
      <c r="BR6" s="203">
        <f t="shared" si="6"/>
        <v>1782.2208868410466</v>
      </c>
      <c r="BS6" s="203">
        <f t="shared" si="6"/>
        <v>1856.7871604812126</v>
      </c>
      <c r="BT6" s="203">
        <f t="shared" si="6"/>
        <v>1932.2983342014254</v>
      </c>
      <c r="BU6" s="203">
        <f t="shared" si="6"/>
        <v>2009.198828462851</v>
      </c>
      <c r="BV6" s="203">
        <f t="shared" si="6"/>
        <v>2086.9922704576543</v>
      </c>
      <c r="BW6" s="203">
        <f t="shared" si="6"/>
        <v>2165.6579417713046</v>
      </c>
      <c r="BX6" s="203">
        <f t="shared" si="6"/>
        <v>2245.175772385172</v>
      </c>
      <c r="BY6" s="202">
        <f t="shared" si="6"/>
        <v>2325.5263147477262</v>
      </c>
      <c r="BZ6" s="203">
        <f t="shared" ref="BZ6:CK6" si="7">BZ33+BZ43+BZ55+BZ67+BZ79+BZ92+BZ105+BZ117+BZ177</f>
        <v>2406.6907190547317</v>
      </c>
      <c r="CA6" s="203">
        <f t="shared" si="7"/>
        <v>2487.7722783051645</v>
      </c>
      <c r="CB6" s="203">
        <f t="shared" si="7"/>
        <v>2569.6470724870678</v>
      </c>
      <c r="CC6" s="203">
        <f t="shared" si="7"/>
        <v>2652.70940360345</v>
      </c>
      <c r="CD6" s="203">
        <f t="shared" si="7"/>
        <v>2736.5233528609883</v>
      </c>
      <c r="CE6" s="203">
        <f t="shared" si="7"/>
        <v>2821.0725930478848</v>
      </c>
      <c r="CF6" s="203">
        <f t="shared" si="7"/>
        <v>2906.3412709186296</v>
      </c>
      <c r="CG6" s="203">
        <f t="shared" si="7"/>
        <v>2992.7806560280014</v>
      </c>
      <c r="CH6" s="203">
        <f t="shared" si="7"/>
        <v>3079.9009570351632</v>
      </c>
      <c r="CI6" s="203">
        <f t="shared" si="7"/>
        <v>3167.6877816880988</v>
      </c>
      <c r="CJ6" s="203">
        <f t="shared" si="7"/>
        <v>3256.127142533006</v>
      </c>
      <c r="CK6" s="202">
        <f t="shared" si="7"/>
        <v>3345.2054421087637</v>
      </c>
    </row>
    <row r="7" spans="2:89" x14ac:dyDescent="0.2">
      <c r="B7" s="21" t="s">
        <v>72</v>
      </c>
      <c r="C7" s="237"/>
      <c r="D7" s="169"/>
      <c r="E7" s="205"/>
      <c r="N7" s="236"/>
      <c r="O7" s="236"/>
      <c r="P7" s="372"/>
      <c r="Q7" s="373"/>
      <c r="R7" s="236">
        <f t="shared" ref="R7:BM7" si="8">R34+R44+R56+R68+R80+R93+R106+R118</f>
        <v>4362.6939271780711</v>
      </c>
      <c r="S7" s="236">
        <f t="shared" si="8"/>
        <v>4370.7295018220193</v>
      </c>
      <c r="T7" s="236">
        <f t="shared" si="8"/>
        <v>4356.4757295999161</v>
      </c>
      <c r="U7" s="236">
        <f t="shared" si="8"/>
        <v>4343.4440264279401</v>
      </c>
      <c r="V7" s="236">
        <f t="shared" si="8"/>
        <v>4370.6320282824117</v>
      </c>
      <c r="W7" s="236">
        <f t="shared" si="8"/>
        <v>4398.0361602561015</v>
      </c>
      <c r="X7" s="236">
        <f t="shared" si="8"/>
        <v>4446.0350357236366</v>
      </c>
      <c r="Y7" s="236">
        <f t="shared" si="8"/>
        <v>4513.52388544514</v>
      </c>
      <c r="Z7" s="236">
        <f t="shared" si="8"/>
        <v>4580.1617722024803</v>
      </c>
      <c r="AA7" s="236">
        <f t="shared" si="8"/>
        <v>4645.6078121141209</v>
      </c>
      <c r="AB7" s="236">
        <f t="shared" si="8"/>
        <v>4731.0675605613142</v>
      </c>
      <c r="AC7" s="235">
        <f t="shared" si="8"/>
        <v>4815.3507494081623</v>
      </c>
      <c r="AD7" s="236">
        <f t="shared" si="8"/>
        <v>4899.4443070001707</v>
      </c>
      <c r="AE7" s="236">
        <f t="shared" si="8"/>
        <v>5022.0301786577975</v>
      </c>
      <c r="AF7" s="236">
        <f t="shared" si="8"/>
        <v>5208.9247542149378</v>
      </c>
      <c r="AG7" s="236">
        <f t="shared" si="8"/>
        <v>5824.7361554591862</v>
      </c>
      <c r="AH7" s="236">
        <f t="shared" si="8"/>
        <v>6603.0413395926125</v>
      </c>
      <c r="AI7" s="236">
        <f t="shared" si="8"/>
        <v>7486.5037748462546</v>
      </c>
      <c r="AJ7" s="236">
        <f t="shared" si="8"/>
        <v>8448.2566865572189</v>
      </c>
      <c r="AK7" s="236">
        <f t="shared" si="8"/>
        <v>9506.8542638021408</v>
      </c>
      <c r="AL7" s="236">
        <f t="shared" si="8"/>
        <v>10980.909102154425</v>
      </c>
      <c r="AM7" s="236">
        <f t="shared" si="8"/>
        <v>12548.959985004934</v>
      </c>
      <c r="AN7" s="236">
        <f t="shared" si="8"/>
        <v>14230.06455242889</v>
      </c>
      <c r="AO7" s="235">
        <f t="shared" si="8"/>
        <v>15819.689845912793</v>
      </c>
      <c r="AP7" s="236">
        <f t="shared" si="8"/>
        <v>17578.419079788404</v>
      </c>
      <c r="AQ7" s="236">
        <f t="shared" si="8"/>
        <v>19421.101457748151</v>
      </c>
      <c r="AR7" s="236">
        <f t="shared" si="8"/>
        <v>21369.959587849837</v>
      </c>
      <c r="AS7" s="236">
        <f t="shared" si="8"/>
        <v>23399.769202295345</v>
      </c>
      <c r="AT7" s="236">
        <f t="shared" si="8"/>
        <v>25509.277674753906</v>
      </c>
      <c r="AU7" s="236">
        <f t="shared" si="8"/>
        <v>27697.255067975384</v>
      </c>
      <c r="AV7" s="236">
        <f t="shared" si="8"/>
        <v>29989.160367361066</v>
      </c>
      <c r="AW7" s="236">
        <f t="shared" si="8"/>
        <v>32356.67438961253</v>
      </c>
      <c r="AX7" s="236">
        <f t="shared" si="8"/>
        <v>34798.640866293877</v>
      </c>
      <c r="AY7" s="236">
        <f t="shared" si="8"/>
        <v>37313.924392562643</v>
      </c>
      <c r="AZ7" s="236">
        <f t="shared" si="8"/>
        <v>39901.410029245693</v>
      </c>
      <c r="BA7" s="235">
        <f t="shared" si="8"/>
        <v>42560.002912643387</v>
      </c>
      <c r="BB7" s="236">
        <f t="shared" si="8"/>
        <v>45238.431793479605</v>
      </c>
      <c r="BC7" s="236">
        <f t="shared" si="8"/>
        <v>47986.715328378705</v>
      </c>
      <c r="BD7" s="236">
        <f t="shared" si="8"/>
        <v>50827.330653135788</v>
      </c>
      <c r="BE7" s="236">
        <f t="shared" si="8"/>
        <v>53735.303173324013</v>
      </c>
      <c r="BF7" s="236">
        <f t="shared" si="8"/>
        <v>56709.625176411319</v>
      </c>
      <c r="BG7" s="236">
        <f t="shared" si="8"/>
        <v>59749.306971779544</v>
      </c>
      <c r="BH7" s="236">
        <f t="shared" si="8"/>
        <v>62880.043214884252</v>
      </c>
      <c r="BI7" s="236">
        <f t="shared" si="8"/>
        <v>66073.745904720403</v>
      </c>
      <c r="BJ7" s="236">
        <f t="shared" si="8"/>
        <v>69329.485554464743</v>
      </c>
      <c r="BK7" s="236">
        <f t="shared" si="8"/>
        <v>72646.349225583603</v>
      </c>
      <c r="BL7" s="236">
        <f t="shared" si="8"/>
        <v>76023.440213616559</v>
      </c>
      <c r="BM7" s="235">
        <f t="shared" si="8"/>
        <v>79459.877740051656</v>
      </c>
      <c r="BN7" s="236">
        <f t="shared" ref="BN7:BY7" si="9">BN34+BN44+BN56+BN68+BN80+BN93+BN106+BN118</f>
        <v>82904.600571742034</v>
      </c>
      <c r="BO7" s="236">
        <f t="shared" si="9"/>
        <v>86407.833391276523</v>
      </c>
      <c r="BP7" s="236">
        <f t="shared" si="9"/>
        <v>89992.255447601521</v>
      </c>
      <c r="BQ7" s="236">
        <f t="shared" si="9"/>
        <v>93633.090422468202</v>
      </c>
      <c r="BR7" s="236">
        <f t="shared" si="9"/>
        <v>97329.525116906938</v>
      </c>
      <c r="BS7" s="236">
        <f t="shared" si="9"/>
        <v>101080.76066415128</v>
      </c>
      <c r="BT7" s="236">
        <f t="shared" si="9"/>
        <v>104912.67892527812</v>
      </c>
      <c r="BU7" s="236">
        <f t="shared" si="9"/>
        <v>108797.37555675722</v>
      </c>
      <c r="BV7" s="236">
        <f t="shared" si="9"/>
        <v>112734.10124980845</v>
      </c>
      <c r="BW7" s="236">
        <f t="shared" si="9"/>
        <v>116722.11983188227</v>
      </c>
      <c r="BX7" s="236">
        <f t="shared" si="9"/>
        <v>120760.7080185001</v>
      </c>
      <c r="BY7" s="235">
        <f t="shared" si="9"/>
        <v>124849.15516989646</v>
      </c>
      <c r="BZ7" s="236">
        <f t="shared" ref="BZ7:CK7" si="10">BZ34+BZ44+BZ56+BZ68+BZ80+BZ93+BZ106+BZ118</f>
        <v>128936.5669739376</v>
      </c>
      <c r="CA7" s="236">
        <f t="shared" si="10"/>
        <v>133073.33187875446</v>
      </c>
      <c r="CB7" s="236">
        <f t="shared" si="10"/>
        <v>137282.28980441109</v>
      </c>
      <c r="CC7" s="236">
        <f t="shared" si="10"/>
        <v>141538.822069207</v>
      </c>
      <c r="CD7" s="236">
        <f t="shared" si="10"/>
        <v>145842.27013483821</v>
      </c>
      <c r="CE7" s="236">
        <f t="shared" si="10"/>
        <v>150191.98687686253</v>
      </c>
      <c r="CF7" s="236">
        <f t="shared" si="10"/>
        <v>154614.00303675816</v>
      </c>
      <c r="CG7" s="236">
        <f t="shared" si="10"/>
        <v>159080.56034479084</v>
      </c>
      <c r="CH7" s="236">
        <f t="shared" si="10"/>
        <v>163591.05281360899</v>
      </c>
      <c r="CI7" s="236">
        <f t="shared" si="10"/>
        <v>168144.88489290443</v>
      </c>
      <c r="CJ7" s="236">
        <f t="shared" si="10"/>
        <v>172741.47127339567</v>
      </c>
      <c r="CK7" s="235">
        <f t="shared" si="10"/>
        <v>177380.23669459531</v>
      </c>
    </row>
    <row r="8" spans="2:89" s="109" customFormat="1" x14ac:dyDescent="0.2">
      <c r="B8" s="112" t="s">
        <v>73</v>
      </c>
      <c r="C8" s="234"/>
      <c r="D8" s="233"/>
      <c r="E8" s="232"/>
      <c r="N8" s="231"/>
      <c r="O8" s="231"/>
      <c r="P8" s="374">
        <v>375747.67</v>
      </c>
      <c r="Q8" s="539">
        <v>359175</v>
      </c>
      <c r="R8" s="374">
        <v>401284.28</v>
      </c>
      <c r="S8" s="671">
        <f t="shared" ref="S8:AQ8" si="11">S36+S46+S58+S70+S82+S95+S108+S120+S132+S144+S156+S168</f>
        <v>395821.79518220195</v>
      </c>
      <c r="T8" s="671">
        <f t="shared" si="11"/>
        <v>393096.67333499168</v>
      </c>
      <c r="U8" s="672">
        <v>436144.26</v>
      </c>
      <c r="V8" s="672">
        <v>429750.16</v>
      </c>
      <c r="W8" s="672">
        <v>407798.21</v>
      </c>
      <c r="X8" s="672">
        <v>462265.2</v>
      </c>
      <c r="Y8" s="672">
        <v>385375.48</v>
      </c>
      <c r="Z8" s="671">
        <v>387962.24</v>
      </c>
      <c r="AA8" s="671">
        <v>503641.78</v>
      </c>
      <c r="AB8" s="671">
        <v>450193.95</v>
      </c>
      <c r="AC8" s="773">
        <v>460150.73</v>
      </c>
      <c r="AD8" s="671">
        <v>426918.17</v>
      </c>
      <c r="AE8" s="231">
        <f t="shared" si="11"/>
        <v>434143.8451313313</v>
      </c>
      <c r="AF8" s="231">
        <f t="shared" si="11"/>
        <v>448390.13150030689</v>
      </c>
      <c r="AG8" s="231">
        <f t="shared" si="11"/>
        <v>504042.40265668137</v>
      </c>
      <c r="AH8" s="231">
        <f t="shared" si="11"/>
        <v>568991.42744120746</v>
      </c>
      <c r="AI8" s="231">
        <f t="shared" si="11"/>
        <v>641535.19037095027</v>
      </c>
      <c r="AJ8" s="231">
        <f t="shared" si="11"/>
        <v>719126.7886686204</v>
      </c>
      <c r="AK8" s="231">
        <f t="shared" si="11"/>
        <v>803880.81714163173</v>
      </c>
      <c r="AL8" s="231">
        <f t="shared" si="11"/>
        <v>919714.97040266229</v>
      </c>
      <c r="AM8" s="231">
        <f t="shared" si="11"/>
        <v>1042519.4318755844</v>
      </c>
      <c r="AN8" s="231">
        <f t="shared" si="11"/>
        <v>1174376.4440385473</v>
      </c>
      <c r="AO8" s="542">
        <f t="shared" si="11"/>
        <v>1294868.5890591156</v>
      </c>
      <c r="AP8" s="231">
        <f t="shared" si="11"/>
        <v>1437586.9891877263</v>
      </c>
      <c r="AQ8" s="231">
        <f t="shared" si="11"/>
        <v>1586698.7486653565</v>
      </c>
      <c r="AR8" s="231">
        <f>AR36+AR46+AR58+AR70+AR82+AR95+AR108+AR120+AR132+AR144+AR156+AR168</f>
        <v>1747082.7493016773</v>
      </c>
      <c r="AS8" s="231">
        <f t="shared" ref="AS8:BA8" si="12">AS36+AS46+AS58+AS70+AS82+AS95+AS108+AS120+AS132</f>
        <v>1825455.234888555</v>
      </c>
      <c r="AT8" s="231">
        <f t="shared" si="12"/>
        <v>1976168.7222244802</v>
      </c>
      <c r="AU8" s="231">
        <f t="shared" si="12"/>
        <v>2131703.2527815755</v>
      </c>
      <c r="AV8" s="231">
        <f t="shared" si="12"/>
        <v>2294654.556202522</v>
      </c>
      <c r="AW8" s="231">
        <f t="shared" si="12"/>
        <v>2462239.6169467764</v>
      </c>
      <c r="AX8" s="231">
        <f t="shared" si="12"/>
        <v>2634390.8004765739</v>
      </c>
      <c r="AY8" s="231">
        <f t="shared" si="12"/>
        <v>2811041.6656150571</v>
      </c>
      <c r="AZ8" s="231">
        <f t="shared" si="12"/>
        <v>2992126.9419008335</v>
      </c>
      <c r="BA8" s="542">
        <f t="shared" si="12"/>
        <v>3177582.507383869</v>
      </c>
      <c r="BB8" s="231">
        <f t="shared" ref="BB8:BM8" si="13">BB36+BB46+BB58+BB70+BB82+BB95+BB108+BB120+BB132+BB180</f>
        <v>3209963.4097375209</v>
      </c>
      <c r="BC8" s="231">
        <f t="shared" si="13"/>
        <v>3695823.9454446179</v>
      </c>
      <c r="BD8" s="231">
        <f t="shared" si="13"/>
        <v>3912317.1964999274</v>
      </c>
      <c r="BE8" s="231">
        <f t="shared" si="13"/>
        <v>4133464.9333819151</v>
      </c>
      <c r="BF8" s="231">
        <f t="shared" si="13"/>
        <v>4359182.0404619789</v>
      </c>
      <c r="BG8" s="231">
        <f t="shared" si="13"/>
        <v>4589385.7937680474</v>
      </c>
      <c r="BH8" s="231">
        <f t="shared" si="13"/>
        <v>4826662.4365841849</v>
      </c>
      <c r="BI8" s="231">
        <f t="shared" si="13"/>
        <v>5068220.4258707752</v>
      </c>
      <c r="BJ8" s="231">
        <f t="shared" si="13"/>
        <v>5313984.4992985725</v>
      </c>
      <c r="BK8" s="231">
        <f t="shared" si="13"/>
        <v>5563881.4317423105</v>
      </c>
      <c r="BL8" s="231">
        <f t="shared" si="13"/>
        <v>5817839.9598813746</v>
      </c>
      <c r="BM8" s="542">
        <f t="shared" si="13"/>
        <v>6075790.7101850826</v>
      </c>
      <c r="BN8" s="231">
        <f t="shared" ref="BN8:BY8" si="14">BN36+BN46+BN58+BN70+BN82+BN95+BN108+BN120+BN132+BN180</f>
        <v>6332646.5222722627</v>
      </c>
      <c r="BO8" s="231">
        <f t="shared" si="14"/>
        <v>6593449.049839492</v>
      </c>
      <c r="BP8" s="231">
        <f t="shared" si="14"/>
        <v>6860485.5919487486</v>
      </c>
      <c r="BQ8" s="231">
        <f t="shared" si="14"/>
        <v>7131298.0481003998</v>
      </c>
      <c r="BR8" s="231">
        <f t="shared" si="14"/>
        <v>7405824.7573873447</v>
      </c>
      <c r="BS8" s="231">
        <f t="shared" si="14"/>
        <v>7684005.5922548808</v>
      </c>
      <c r="BT8" s="231">
        <f t="shared" si="14"/>
        <v>7968448.5723816575</v>
      </c>
      <c r="BU8" s="231">
        <f t="shared" si="14"/>
        <v>8256383.1474957988</v>
      </c>
      <c r="BV8" s="231">
        <f t="shared" si="14"/>
        <v>8547754.2990164068</v>
      </c>
      <c r="BW8" s="231">
        <f t="shared" si="14"/>
        <v>8842508.3294579126</v>
      </c>
      <c r="BX8" s="231">
        <f t="shared" si="14"/>
        <v>9140592.8183318265</v>
      </c>
      <c r="BY8" s="542">
        <f t="shared" si="14"/>
        <v>9441956.5799058899</v>
      </c>
      <c r="BZ8" s="231">
        <f t="shared" ref="BZ8:CK8" si="15">BZ36+BZ46+BZ58+BZ70+BZ82+BZ95+BZ108+BZ120+BZ132+BZ180</f>
        <v>9741530.0148884989</v>
      </c>
      <c r="CA8" s="231">
        <f t="shared" si="15"/>
        <v>10044371.738306817</v>
      </c>
      <c r="CB8" s="231">
        <f t="shared" si="15"/>
        <v>10352785.436439617</v>
      </c>
      <c r="CC8" s="231">
        <f t="shared" si="15"/>
        <v>10664328.846297279</v>
      </c>
      <c r="CD8" s="231">
        <f t="shared" si="15"/>
        <v>10978955.618007896</v>
      </c>
      <c r="CE8" s="231">
        <f t="shared" si="15"/>
        <v>11296620.430693867</v>
      </c>
      <c r="CF8" s="231">
        <f t="shared" si="15"/>
        <v>11619945.627411</v>
      </c>
      <c r="CG8" s="231">
        <f t="shared" si="15"/>
        <v>11946174.518018045</v>
      </c>
      <c r="CH8" s="231">
        <f t="shared" si="15"/>
        <v>12275265.499917679</v>
      </c>
      <c r="CI8" s="231">
        <f t="shared" si="15"/>
        <v>12607177.865654878</v>
      </c>
      <c r="CJ8" s="231">
        <f t="shared" si="15"/>
        <v>12941871.776152877</v>
      </c>
      <c r="CK8" s="542">
        <f t="shared" si="15"/>
        <v>13279308.234990254</v>
      </c>
    </row>
    <row r="9" spans="2:89" x14ac:dyDescent="0.2">
      <c r="B9" s="21" t="s">
        <v>74</v>
      </c>
      <c r="C9" s="133"/>
      <c r="N9" s="16"/>
      <c r="O9" s="16"/>
      <c r="P9" s="375"/>
      <c r="Q9" s="540"/>
      <c r="R9" s="16">
        <f>R20+R49+R61+R73+R85+R98+R111+R123+R135+R147+R159+R171</f>
        <v>7409.4470000000001</v>
      </c>
      <c r="S9" s="16">
        <f t="shared" ref="S9:AZ9" si="16">S20+S49+S61+S73+S85+S98+S111+S123+S135+S147+S159+S171</f>
        <v>7489.9950500000004</v>
      </c>
      <c r="T9" s="16">
        <f t="shared" si="16"/>
        <v>5067.9047275000003</v>
      </c>
      <c r="U9" s="16">
        <f t="shared" si="16"/>
        <v>5144.4044428750003</v>
      </c>
      <c r="V9" s="16">
        <f t="shared" si="16"/>
        <v>5339.5403638937505</v>
      </c>
      <c r="W9" s="16">
        <f t="shared" si="16"/>
        <v>5545.3371667496876</v>
      </c>
      <c r="X9" s="16">
        <f t="shared" si="16"/>
        <v>5813.7187197190478</v>
      </c>
      <c r="Y9" s="16">
        <f t="shared" si="16"/>
        <v>6144.5884592353959</v>
      </c>
      <c r="Z9" s="16">
        <f t="shared" si="16"/>
        <v>6476.8961540280943</v>
      </c>
      <c r="AA9" s="16">
        <f t="shared" si="16"/>
        <v>6809.5923626795829</v>
      </c>
      <c r="AB9" s="16">
        <f t="shared" si="16"/>
        <v>7202.6955728102612</v>
      </c>
      <c r="AC9" s="26">
        <f t="shared" si="16"/>
        <v>7596.2421962560984</v>
      </c>
      <c r="AD9" s="16">
        <f t="shared" si="16"/>
        <v>7989.2178848105168</v>
      </c>
      <c r="AE9" s="16">
        <f t="shared" si="16"/>
        <v>8501.6572209606711</v>
      </c>
      <c r="AF9" s="16">
        <f t="shared" si="16"/>
        <v>10663.612110553229</v>
      </c>
      <c r="AG9" s="16">
        <f t="shared" si="16"/>
        <v>47480.233430828186</v>
      </c>
      <c r="AH9" s="16">
        <f t="shared" si="16"/>
        <v>49008.945731537358</v>
      </c>
      <c r="AI9" s="16">
        <f t="shared" si="16"/>
        <v>50847.173007179117</v>
      </c>
      <c r="AJ9" s="16">
        <f t="shared" si="16"/>
        <v>52981.333911920687</v>
      </c>
      <c r="AK9" s="16">
        <f t="shared" si="16"/>
        <v>55525.891323464115</v>
      </c>
      <c r="AL9" s="16">
        <f t="shared" si="16"/>
        <v>59435.569940609072</v>
      </c>
      <c r="AM9" s="16">
        <f t="shared" si="16"/>
        <v>63743.695515656626</v>
      </c>
      <c r="AN9" s="16">
        <f t="shared" si="16"/>
        <v>68426.739778814474</v>
      </c>
      <c r="AO9" s="26">
        <f t="shared" si="16"/>
        <v>58478.094075983288</v>
      </c>
      <c r="AP9" s="16">
        <f t="shared" si="16"/>
        <v>71191.567230314453</v>
      </c>
      <c r="AQ9" s="16">
        <f t="shared" si="16"/>
        <v>77267.089325805515</v>
      </c>
      <c r="AR9" s="16">
        <f t="shared" si="16"/>
        <v>83803.704220067768</v>
      </c>
      <c r="AS9" s="16">
        <f t="shared" si="16"/>
        <v>90735.267243697046</v>
      </c>
      <c r="AT9" s="16">
        <f t="shared" si="16"/>
        <v>98050.493034651765</v>
      </c>
      <c r="AU9" s="16">
        <f t="shared" si="16"/>
        <v>105741.21841681414</v>
      </c>
      <c r="AV9" s="16">
        <f t="shared" si="16"/>
        <v>113799.66282029057</v>
      </c>
      <c r="AW9" s="16">
        <f t="shared" si="16"/>
        <v>122218.27549259756</v>
      </c>
      <c r="AX9" s="16">
        <f t="shared" si="16"/>
        <v>130989.71962492394</v>
      </c>
      <c r="AY9" s="16">
        <f t="shared" si="16"/>
        <v>140106.86405517676</v>
      </c>
      <c r="AZ9" s="16">
        <f t="shared" si="16"/>
        <v>149562.77570328405</v>
      </c>
      <c r="BA9" s="26">
        <f>BA20+BA49+BA61+BA73+BA85+BA98+BA111+BA123+BA135+BA147+BA159+BA171</f>
        <v>159350.712361118</v>
      </c>
      <c r="BB9" s="16">
        <f t="shared" ref="BB9:BM9" si="17">BB20+BB49+BB61+BB73+BB85+BB98+BB111+BB123+BB135+BB147+BB159+BB171+BB183</f>
        <v>174429.79080160445</v>
      </c>
      <c r="BC9" s="16">
        <f t="shared" si="17"/>
        <v>185673.47269044403</v>
      </c>
      <c r="BD9" s="16">
        <f t="shared" si="17"/>
        <v>197250.55453561779</v>
      </c>
      <c r="BE9" s="16">
        <f t="shared" si="17"/>
        <v>209153.90828565788</v>
      </c>
      <c r="BF9" s="16">
        <f t="shared" si="17"/>
        <v>221376.62237588313</v>
      </c>
      <c r="BG9" s="16">
        <f t="shared" si="17"/>
        <v>233911.99319122697</v>
      </c>
      <c r="BH9" s="16">
        <f t="shared" si="17"/>
        <v>246753.51692430768</v>
      </c>
      <c r="BI9" s="16">
        <f t="shared" si="17"/>
        <v>259894.88180893569</v>
      </c>
      <c r="BJ9" s="16">
        <f t="shared" si="17"/>
        <v>273329.96071030124</v>
      </c>
      <c r="BK9" s="16">
        <f t="shared" si="17"/>
        <v>287052.80405405612</v>
      </c>
      <c r="BL9" s="16">
        <f t="shared" si="17"/>
        <v>301057.63307742245</v>
      </c>
      <c r="BM9" s="26">
        <f t="shared" si="17"/>
        <v>315338.83338632958</v>
      </c>
      <c r="BN9" s="16">
        <f t="shared" ref="BN9:BY9" si="18">BN20+BN49+BN61+BN73+BN85+BN98+BN111+BN123+BN135+BN147+BN159+BN171+BN183</f>
        <v>329890.94880340685</v>
      </c>
      <c r="BO9" s="16">
        <f t="shared" si="18"/>
        <v>344708.67549244111</v>
      </c>
      <c r="BP9" s="16">
        <f t="shared" si="18"/>
        <v>359786.85634564754</v>
      </c>
      <c r="BQ9" s="16">
        <f t="shared" si="18"/>
        <v>375120.47562080697</v>
      </c>
      <c r="BR9" s="16">
        <f t="shared" si="18"/>
        <v>390704.65381598385</v>
      </c>
      <c r="BS9" s="16">
        <f t="shared" si="18"/>
        <v>406534.64277017367</v>
      </c>
      <c r="BT9" s="16">
        <f t="shared" si="18"/>
        <v>422605.8209788255</v>
      </c>
      <c r="BU9" s="16">
        <f t="shared" si="18"/>
        <v>438913.68911374902</v>
      </c>
      <c r="BV9" s="16">
        <f t="shared" si="18"/>
        <v>455453.86573745433</v>
      </c>
      <c r="BW9" s="16">
        <f t="shared" si="18"/>
        <v>472222.08320248395</v>
      </c>
      <c r="BX9" s="16">
        <f t="shared" si="18"/>
        <v>489214.18372677302</v>
      </c>
      <c r="BY9" s="26">
        <f t="shared" si="18"/>
        <v>506426.11563653621</v>
      </c>
      <c r="BZ9" s="16">
        <f t="shared" ref="BZ9:CK9" si="19">BZ20+BZ49+BZ61+BZ73+BZ85+BZ98+BZ111+BZ123+BZ135+BZ147+BZ159+BZ171+BZ183</f>
        <v>523853.92976861086</v>
      </c>
      <c r="CA9" s="16">
        <f t="shared" si="19"/>
        <v>541493.77602459595</v>
      </c>
      <c r="CB9" s="16">
        <f t="shared" si="19"/>
        <v>559341.90006951825</v>
      </c>
      <c r="CC9" s="16">
        <f t="shared" si="19"/>
        <v>577394.64016812365</v>
      </c>
      <c r="CD9" s="16">
        <f t="shared" si="19"/>
        <v>595648.42415224412</v>
      </c>
      <c r="CE9" s="16">
        <f t="shared" si="19"/>
        <v>614099.76651301899</v>
      </c>
      <c r="CF9" s="16">
        <f t="shared" si="19"/>
        <v>632745.26561206882</v>
      </c>
      <c r="CG9" s="16">
        <f t="shared" si="19"/>
        <v>651581.60100601136</v>
      </c>
      <c r="CH9" s="16">
        <f t="shared" si="19"/>
        <v>670605.5308790016</v>
      </c>
      <c r="CI9" s="16">
        <f t="shared" si="19"/>
        <v>689813.88957823382</v>
      </c>
      <c r="CJ9" s="16">
        <f t="shared" si="19"/>
        <v>709203.58524760907</v>
      </c>
      <c r="CK9" s="26">
        <f t="shared" si="19"/>
        <v>728771.59755500511</v>
      </c>
    </row>
    <row r="10" spans="2:89" s="2" customFormat="1" ht="17" thickBot="1" x14ac:dyDescent="0.25">
      <c r="B10" s="113" t="s">
        <v>216</v>
      </c>
      <c r="C10" s="51"/>
      <c r="D10" s="51"/>
      <c r="E10" s="134"/>
      <c r="F10" s="51"/>
      <c r="G10" s="51"/>
      <c r="H10" s="51"/>
      <c r="I10" s="51"/>
      <c r="J10" s="51"/>
      <c r="K10" s="51"/>
      <c r="L10" s="51"/>
      <c r="M10" s="51"/>
      <c r="N10" s="110"/>
      <c r="O10" s="110"/>
      <c r="P10" s="396">
        <f t="shared" ref="P10:Q10" si="20">P37+P48+P60+P72+P84+P97+P110+P122</f>
        <v>67254.145163824724</v>
      </c>
      <c r="Q10" s="541">
        <f t="shared" si="20"/>
        <v>69258.154139082792</v>
      </c>
      <c r="R10" s="538">
        <v>70328.320000000007</v>
      </c>
      <c r="S10" s="110">
        <f t="shared" ref="S10:BA10" si="21">S37+S48+S60+S72+S84+S97+S110+S122</f>
        <v>69268.814156885332</v>
      </c>
      <c r="T10" s="110">
        <f t="shared" si="21"/>
        <v>68791.917833623535</v>
      </c>
      <c r="U10" s="110">
        <f t="shared" si="21"/>
        <v>68340.521191082691</v>
      </c>
      <c r="V10" s="110">
        <f t="shared" si="21"/>
        <v>68246.948213793745</v>
      </c>
      <c r="W10" s="110">
        <f t="shared" si="21"/>
        <v>68161.064363235273</v>
      </c>
      <c r="X10" s="110">
        <f t="shared" si="21"/>
        <v>68270.550752188807</v>
      </c>
      <c r="Y10" s="110">
        <f t="shared" si="21"/>
        <v>68556.005557250232</v>
      </c>
      <c r="Z10" s="110">
        <f t="shared" si="21"/>
        <v>68839.350546227288</v>
      </c>
      <c r="AA10" s="110">
        <f t="shared" si="21"/>
        <v>69117.509616607174</v>
      </c>
      <c r="AB10" s="110">
        <f t="shared" si="21"/>
        <v>69586.356309975585</v>
      </c>
      <c r="AC10" s="114">
        <f t="shared" si="21"/>
        <v>70049.786692432957</v>
      </c>
      <c r="AD10" s="110">
        <f t="shared" si="21"/>
        <v>70527.864182821795</v>
      </c>
      <c r="AE10" s="110">
        <f t="shared" si="21"/>
        <v>71347.257296232972</v>
      </c>
      <c r="AF10" s="110">
        <f t="shared" si="21"/>
        <v>72915.6884636787</v>
      </c>
      <c r="AG10" s="110">
        <f t="shared" si="21"/>
        <v>81651.115072061715</v>
      </c>
      <c r="AH10" s="110">
        <f t="shared" si="21"/>
        <v>91935.220254842556</v>
      </c>
      <c r="AI10" s="110">
        <f t="shared" si="21"/>
        <v>103470.94182147612</v>
      </c>
      <c r="AJ10" s="110">
        <f t="shared" si="21"/>
        <v>115813.35431904208</v>
      </c>
      <c r="AK10" s="110">
        <f t="shared" si="21"/>
        <v>129123.28646675344</v>
      </c>
      <c r="AL10" s="110">
        <f t="shared" si="21"/>
        <v>147587.10162441348</v>
      </c>
      <c r="AM10" s="110">
        <f t="shared" si="21"/>
        <v>166990.54094750516</v>
      </c>
      <c r="AN10" s="110">
        <f t="shared" si="21"/>
        <v>187702.94825798424</v>
      </c>
      <c r="AO10" s="114">
        <f t="shared" si="21"/>
        <v>206156.1352328909</v>
      </c>
      <c r="AP10" s="110">
        <f t="shared" si="21"/>
        <v>226920.81654988535</v>
      </c>
      <c r="AQ10" s="110">
        <f t="shared" si="21"/>
        <v>248517.16397699525</v>
      </c>
      <c r="AR10" s="110">
        <f t="shared" si="21"/>
        <v>271344.19735393097</v>
      </c>
      <c r="AS10" s="110">
        <f t="shared" si="21"/>
        <v>294970.43333882897</v>
      </c>
      <c r="AT10" s="110">
        <f t="shared" si="21"/>
        <v>319383.71291115449</v>
      </c>
      <c r="AU10" s="110">
        <f t="shared" si="21"/>
        <v>344572.09808631288</v>
      </c>
      <c r="AV10" s="110">
        <f t="shared" si="21"/>
        <v>370990.53431975975</v>
      </c>
      <c r="AW10" s="110">
        <f t="shared" si="21"/>
        <v>398152.67966150894</v>
      </c>
      <c r="AX10" s="110">
        <f t="shared" si="21"/>
        <v>426047.37690938043</v>
      </c>
      <c r="AY10" s="110">
        <f t="shared" si="21"/>
        <v>454663.67084165663</v>
      </c>
      <c r="AZ10" s="110">
        <f t="shared" si="21"/>
        <v>483990.80432340765</v>
      </c>
      <c r="BA10" s="114">
        <f t="shared" si="21"/>
        <v>514018.2144893487</v>
      </c>
      <c r="BB10" s="110">
        <f t="shared" ref="BB10:BM10" si="22">BB37+BB48+BB60+BB72+BB84+BB97+BB110+BB122+BB182</f>
        <v>619610.73338133004</v>
      </c>
      <c r="BC10" s="110">
        <f t="shared" si="22"/>
        <v>718812.75968560041</v>
      </c>
      <c r="BD10" s="110">
        <f t="shared" si="22"/>
        <v>771236.22537850693</v>
      </c>
      <c r="BE10" s="110">
        <f t="shared" si="22"/>
        <v>824813.227953027</v>
      </c>
      <c r="BF10" s="110">
        <f t="shared" si="22"/>
        <v>879508.33293837786</v>
      </c>
      <c r="BG10" s="110">
        <f t="shared" si="22"/>
        <v>935287.63531145302</v>
      </c>
      <c r="BH10" s="110">
        <f t="shared" si="22"/>
        <v>992585.35131601442</v>
      </c>
      <c r="BI10" s="110">
        <f t="shared" si="22"/>
        <v>1050895.5807879283</v>
      </c>
      <c r="BJ10" s="110">
        <f t="shared" si="22"/>
        <v>1110188.7160359207</v>
      </c>
      <c r="BK10" s="110">
        <f t="shared" si="22"/>
        <v>1170436.3991701961</v>
      </c>
      <c r="BL10" s="110">
        <f t="shared" si="22"/>
        <v>1231611.4614948086</v>
      </c>
      <c r="BM10" s="114">
        <f t="shared" si="22"/>
        <v>1293687.8659977065</v>
      </c>
      <c r="BN10" s="110">
        <f t="shared" ref="BN10:BY10" si="23">BN37+BN48+BN60+BN72+BN84+BN97+BN110+BN122+BN182</f>
        <v>1355762.2214043662</v>
      </c>
      <c r="BO10" s="110">
        <f t="shared" si="23"/>
        <v>1418704.3970537418</v>
      </c>
      <c r="BP10" s="110">
        <f t="shared" si="23"/>
        <v>1482902.9302162302</v>
      </c>
      <c r="BQ10" s="110">
        <f t="shared" si="23"/>
        <v>1547916.5570907735</v>
      </c>
      <c r="BR10" s="110">
        <f t="shared" si="23"/>
        <v>1613724.0004263876</v>
      </c>
      <c r="BS10" s="110">
        <f t="shared" si="23"/>
        <v>1680304.8285090588</v>
      </c>
      <c r="BT10" s="110">
        <f t="shared" si="23"/>
        <v>1748106.081883661</v>
      </c>
      <c r="BU10" s="110">
        <f t="shared" si="23"/>
        <v>1816634.0687628642</v>
      </c>
      <c r="BV10" s="110">
        <f t="shared" si="23"/>
        <v>1885870.8052681121</v>
      </c>
      <c r="BW10" s="110">
        <f t="shared" si="23"/>
        <v>1955799.0024855314</v>
      </c>
      <c r="BX10" s="110">
        <f t="shared" si="23"/>
        <v>2026402.0340384147</v>
      </c>
      <c r="BY10" s="114">
        <f t="shared" si="23"/>
        <v>2097663.90529144</v>
      </c>
      <c r="BZ10" s="110">
        <f t="shared" ref="BZ10:CK10" si="24">BZ37+BZ48+BZ60+BZ72+BZ84+BZ97+BZ110+BZ122+BZ182</f>
        <v>2168690.7927294928</v>
      </c>
      <c r="CA10" s="110">
        <f t="shared" si="24"/>
        <v>2240361.6828427268</v>
      </c>
      <c r="CB10" s="110">
        <f t="shared" si="24"/>
        <v>2313073.8022066131</v>
      </c>
      <c r="CC10" s="110">
        <f t="shared" si="24"/>
        <v>2386394.1700595454</v>
      </c>
      <c r="CD10" s="110">
        <f t="shared" si="24"/>
        <v>2460309.4063852439</v>
      </c>
      <c r="CE10" s="110">
        <f t="shared" si="24"/>
        <v>2534806.6102996389</v>
      </c>
      <c r="CF10" s="110">
        <f t="shared" si="24"/>
        <v>2610340.0051674927</v>
      </c>
      <c r="CG10" s="110">
        <f t="shared" si="24"/>
        <v>2686422.7514534402</v>
      </c>
      <c r="CH10" s="110">
        <f t="shared" si="24"/>
        <v>2763043.403502434</v>
      </c>
      <c r="CI10" s="110">
        <f t="shared" si="24"/>
        <v>2840190.912279753</v>
      </c>
      <c r="CJ10" s="110">
        <f t="shared" si="24"/>
        <v>2917854.6078170347</v>
      </c>
      <c r="CK10" s="114">
        <f t="shared" si="24"/>
        <v>2996024.1825219076</v>
      </c>
    </row>
    <row r="11" spans="2:89" ht="18" thickTop="1" thickBot="1" x14ac:dyDescent="0.25">
      <c r="B11" s="21"/>
    </row>
    <row r="12" spans="2:89" x14ac:dyDescent="0.2">
      <c r="B12" s="130" t="s">
        <v>60</v>
      </c>
      <c r="C12" s="6"/>
      <c r="D12" s="6"/>
      <c r="E12" s="87"/>
      <c r="F12" s="715">
        <v>2022</v>
      </c>
      <c r="G12" s="716"/>
      <c r="H12" s="716"/>
      <c r="I12" s="716"/>
      <c r="J12" s="716"/>
      <c r="K12" s="716"/>
      <c r="L12" s="716"/>
      <c r="M12" s="716"/>
      <c r="N12" s="716"/>
      <c r="O12" s="716"/>
      <c r="P12" s="716"/>
      <c r="Q12" s="717"/>
      <c r="R12" s="701">
        <v>2023</v>
      </c>
      <c r="S12" s="702"/>
      <c r="T12" s="702"/>
      <c r="U12" s="702"/>
      <c r="V12" s="702"/>
      <c r="W12" s="702"/>
      <c r="X12" s="702"/>
      <c r="Y12" s="702"/>
      <c r="Z12" s="702"/>
      <c r="AA12" s="702"/>
      <c r="AB12" s="702"/>
      <c r="AC12" s="703"/>
      <c r="AD12" s="715">
        <v>2024</v>
      </c>
      <c r="AE12" s="716"/>
      <c r="AF12" s="716"/>
      <c r="AG12" s="716"/>
      <c r="AH12" s="716"/>
      <c r="AI12" s="716"/>
      <c r="AJ12" s="716"/>
      <c r="AK12" s="716"/>
      <c r="AL12" s="716"/>
      <c r="AM12" s="716"/>
      <c r="AN12" s="716"/>
      <c r="AO12" s="717"/>
      <c r="AP12" s="701">
        <v>2025</v>
      </c>
      <c r="AQ12" s="702"/>
      <c r="AR12" s="702"/>
      <c r="AS12" s="702"/>
      <c r="AT12" s="702"/>
      <c r="AU12" s="702"/>
      <c r="AV12" s="702"/>
      <c r="AW12" s="702"/>
      <c r="AX12" s="702"/>
      <c r="AY12" s="702"/>
      <c r="AZ12" s="702"/>
      <c r="BA12" s="703"/>
      <c r="BB12" s="701">
        <v>2026</v>
      </c>
      <c r="BC12" s="702"/>
      <c r="BD12" s="702"/>
      <c r="BE12" s="702"/>
      <c r="BF12" s="702"/>
      <c r="BG12" s="702"/>
      <c r="BH12" s="702"/>
      <c r="BI12" s="702"/>
      <c r="BJ12" s="702"/>
      <c r="BK12" s="702"/>
      <c r="BL12" s="702"/>
      <c r="BM12" s="703"/>
      <c r="BN12" s="701">
        <v>2026</v>
      </c>
      <c r="BO12" s="702"/>
      <c r="BP12" s="702"/>
      <c r="BQ12" s="702"/>
      <c r="BR12" s="702"/>
      <c r="BS12" s="702"/>
      <c r="BT12" s="702"/>
      <c r="BU12" s="702"/>
      <c r="BV12" s="702"/>
      <c r="BW12" s="702"/>
      <c r="BX12" s="702"/>
      <c r="BY12" s="703"/>
      <c r="BZ12" s="701">
        <v>2026</v>
      </c>
      <c r="CA12" s="702"/>
      <c r="CB12" s="702"/>
      <c r="CC12" s="702"/>
      <c r="CD12" s="702"/>
      <c r="CE12" s="702"/>
      <c r="CF12" s="702"/>
      <c r="CG12" s="702"/>
      <c r="CH12" s="702"/>
      <c r="CI12" s="702"/>
      <c r="CJ12" s="702"/>
      <c r="CK12" s="703"/>
    </row>
    <row r="13" spans="2:89" x14ac:dyDescent="0.2">
      <c r="B13" s="130"/>
      <c r="C13" s="6"/>
      <c r="D13" s="6"/>
      <c r="E13" s="87"/>
      <c r="F13" s="536">
        <v>1</v>
      </c>
      <c r="G13" s="54">
        <v>2</v>
      </c>
      <c r="H13" s="3">
        <v>3</v>
      </c>
      <c r="I13" s="3">
        <v>4</v>
      </c>
      <c r="J13" s="3">
        <v>5</v>
      </c>
      <c r="K13" s="3">
        <v>6</v>
      </c>
      <c r="L13" s="3">
        <v>7</v>
      </c>
      <c r="M13" s="3">
        <v>8</v>
      </c>
      <c r="N13" s="3">
        <v>9</v>
      </c>
      <c r="O13" s="54">
        <v>10</v>
      </c>
      <c r="P13" s="251">
        <v>44866</v>
      </c>
      <c r="Q13" s="251">
        <v>44896</v>
      </c>
      <c r="R13" s="248">
        <v>44927</v>
      </c>
      <c r="S13" s="248">
        <v>44958</v>
      </c>
      <c r="T13" s="248">
        <v>44986</v>
      </c>
      <c r="U13" s="248">
        <v>45017</v>
      </c>
      <c r="V13" s="248">
        <v>45047</v>
      </c>
      <c r="W13" s="248">
        <v>45078</v>
      </c>
      <c r="X13" s="248">
        <v>45108</v>
      </c>
      <c r="Y13" s="248">
        <v>45139</v>
      </c>
      <c r="Z13" s="248">
        <v>45170</v>
      </c>
      <c r="AA13" s="248">
        <v>45200</v>
      </c>
      <c r="AB13" s="248">
        <v>45231</v>
      </c>
      <c r="AC13" s="522">
        <v>45261</v>
      </c>
      <c r="AD13" s="506">
        <v>45292</v>
      </c>
      <c r="AE13" s="249">
        <v>45323</v>
      </c>
      <c r="AF13" s="249">
        <v>45352</v>
      </c>
      <c r="AG13" s="249">
        <v>45383</v>
      </c>
      <c r="AH13" s="249">
        <v>45413</v>
      </c>
      <c r="AI13" s="249">
        <v>45444</v>
      </c>
      <c r="AJ13" s="249">
        <v>45474</v>
      </c>
      <c r="AK13" s="249">
        <v>45505</v>
      </c>
      <c r="AL13" s="249">
        <v>45536</v>
      </c>
      <c r="AM13" s="249">
        <v>45566</v>
      </c>
      <c r="AN13" s="249">
        <v>45597</v>
      </c>
      <c r="AO13" s="529">
        <v>45627</v>
      </c>
      <c r="AP13" s="507">
        <v>45658</v>
      </c>
      <c r="AQ13" s="250">
        <v>45689</v>
      </c>
      <c r="AR13" s="250">
        <v>45717</v>
      </c>
      <c r="AS13" s="250">
        <v>45748</v>
      </c>
      <c r="AT13" s="250">
        <v>45778</v>
      </c>
      <c r="AU13" s="250">
        <v>45809</v>
      </c>
      <c r="AV13" s="250">
        <v>45839</v>
      </c>
      <c r="AW13" s="250">
        <v>45870</v>
      </c>
      <c r="AX13" s="250">
        <v>45901</v>
      </c>
      <c r="AY13" s="250">
        <v>45931</v>
      </c>
      <c r="AZ13" s="250">
        <v>45962</v>
      </c>
      <c r="BA13" s="530">
        <v>45992</v>
      </c>
      <c r="BB13" s="507">
        <v>45658</v>
      </c>
      <c r="BC13" s="250">
        <v>45689</v>
      </c>
      <c r="BD13" s="250">
        <v>45717</v>
      </c>
      <c r="BE13" s="250">
        <v>45748</v>
      </c>
      <c r="BF13" s="250">
        <v>45778</v>
      </c>
      <c r="BG13" s="250">
        <v>45809</v>
      </c>
      <c r="BH13" s="250">
        <v>45839</v>
      </c>
      <c r="BI13" s="250">
        <v>45870</v>
      </c>
      <c r="BJ13" s="250">
        <v>45901</v>
      </c>
      <c r="BK13" s="250">
        <v>45931</v>
      </c>
      <c r="BL13" s="250">
        <v>45962</v>
      </c>
      <c r="BM13" s="530">
        <v>45992</v>
      </c>
      <c r="BN13" s="507">
        <v>45658</v>
      </c>
      <c r="BO13" s="250">
        <v>45689</v>
      </c>
      <c r="BP13" s="250">
        <v>45717</v>
      </c>
      <c r="BQ13" s="250">
        <v>45748</v>
      </c>
      <c r="BR13" s="250">
        <v>45778</v>
      </c>
      <c r="BS13" s="250">
        <v>45809</v>
      </c>
      <c r="BT13" s="250">
        <v>45839</v>
      </c>
      <c r="BU13" s="250">
        <v>45870</v>
      </c>
      <c r="BV13" s="250">
        <v>45901</v>
      </c>
      <c r="BW13" s="250">
        <v>45931</v>
      </c>
      <c r="BX13" s="250">
        <v>45962</v>
      </c>
      <c r="BY13" s="530">
        <v>45992</v>
      </c>
      <c r="BZ13" s="507">
        <v>45658</v>
      </c>
      <c r="CA13" s="250">
        <v>45689</v>
      </c>
      <c r="CB13" s="250">
        <v>45717</v>
      </c>
      <c r="CC13" s="250">
        <v>45748</v>
      </c>
      <c r="CD13" s="250">
        <v>45778</v>
      </c>
      <c r="CE13" s="250">
        <v>45809</v>
      </c>
      <c r="CF13" s="250">
        <v>45839</v>
      </c>
      <c r="CG13" s="250">
        <v>45870</v>
      </c>
      <c r="CH13" s="250">
        <v>45901</v>
      </c>
      <c r="CI13" s="250">
        <v>45931</v>
      </c>
      <c r="CJ13" s="250">
        <v>45962</v>
      </c>
      <c r="CK13" s="530">
        <v>45992</v>
      </c>
    </row>
    <row r="14" spans="2:89" ht="6" customHeight="1" x14ac:dyDescent="0.2">
      <c r="B14" s="21"/>
      <c r="D14" s="204"/>
      <c r="E14" s="230"/>
    </row>
    <row r="15" spans="2:89" ht="14" customHeight="1" x14ac:dyDescent="0.2">
      <c r="B15" s="118" t="s">
        <v>53</v>
      </c>
      <c r="C15" s="41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376"/>
      <c r="Q15" s="377"/>
      <c r="R15" s="229"/>
      <c r="S15" s="229"/>
      <c r="T15" s="229"/>
      <c r="U15" s="229"/>
      <c r="V15" s="229"/>
      <c r="W15" s="229"/>
      <c r="X15" s="229"/>
      <c r="Y15" s="229"/>
      <c r="Z15" s="229"/>
      <c r="AA15" s="229"/>
      <c r="AB15" s="229"/>
      <c r="AC15" s="228"/>
      <c r="AD15" s="229"/>
      <c r="AE15" s="229"/>
      <c r="AF15" s="229"/>
      <c r="AG15" s="229"/>
      <c r="AH15" s="229"/>
      <c r="AI15" s="229"/>
      <c r="AJ15" s="229"/>
      <c r="AK15" s="229"/>
      <c r="AL15" s="229"/>
      <c r="AM15" s="229"/>
      <c r="AN15" s="229"/>
      <c r="AO15" s="228"/>
      <c r="AP15" s="229"/>
      <c r="AQ15" s="229"/>
      <c r="AR15" s="229"/>
      <c r="AS15" s="229"/>
      <c r="AT15" s="229"/>
      <c r="AU15" s="229"/>
      <c r="AV15" s="229"/>
      <c r="AW15" s="229"/>
      <c r="AX15" s="229"/>
      <c r="AY15" s="229"/>
      <c r="AZ15" s="229"/>
      <c r="BA15" s="228"/>
      <c r="BB15" s="229"/>
      <c r="BC15" s="229"/>
      <c r="BD15" s="229"/>
      <c r="BE15" s="229"/>
      <c r="BF15" s="229"/>
      <c r="BG15" s="229"/>
      <c r="BH15" s="229"/>
      <c r="BI15" s="229"/>
      <c r="BJ15" s="229"/>
      <c r="BK15" s="229"/>
      <c r="BL15" s="229"/>
      <c r="BM15" s="228"/>
      <c r="BN15" s="229"/>
      <c r="BO15" s="229"/>
      <c r="BP15" s="229"/>
      <c r="BQ15" s="229"/>
      <c r="BR15" s="229"/>
      <c r="BS15" s="229"/>
      <c r="BT15" s="229"/>
      <c r="BU15" s="229"/>
      <c r="BV15" s="229"/>
      <c r="BW15" s="229"/>
      <c r="BX15" s="229"/>
      <c r="BY15" s="228"/>
      <c r="BZ15" s="229"/>
      <c r="CA15" s="229"/>
      <c r="CB15" s="229"/>
      <c r="CC15" s="229"/>
      <c r="CD15" s="229"/>
      <c r="CE15" s="229"/>
      <c r="CF15" s="229"/>
      <c r="CG15" s="229"/>
      <c r="CH15" s="229"/>
      <c r="CI15" s="229"/>
      <c r="CJ15" s="229"/>
      <c r="CK15" s="228"/>
    </row>
    <row r="16" spans="2:89" x14ac:dyDescent="0.2">
      <c r="B16" s="135" t="s">
        <v>52</v>
      </c>
      <c r="C16" s="41"/>
      <c r="F16" s="397"/>
      <c r="G16" s="397"/>
      <c r="H16" s="397"/>
      <c r="I16" s="397"/>
      <c r="J16" s="397"/>
      <c r="K16" s="397"/>
      <c r="L16" s="397"/>
      <c r="M16" s="398"/>
      <c r="N16" s="398">
        <v>8000</v>
      </c>
      <c r="O16" s="398">
        <v>8000</v>
      </c>
      <c r="P16" s="398">
        <v>5000</v>
      </c>
      <c r="Q16" s="399">
        <v>5000</v>
      </c>
      <c r="R16" s="657">
        <v>5000</v>
      </c>
      <c r="S16" s="657">
        <v>5000</v>
      </c>
      <c r="T16" s="657">
        <v>2500</v>
      </c>
      <c r="U16" s="657">
        <v>2500</v>
      </c>
      <c r="V16" s="657">
        <v>2500</v>
      </c>
      <c r="W16" s="657">
        <v>2500</v>
      </c>
      <c r="X16" s="657">
        <v>2500</v>
      </c>
      <c r="Y16" s="657">
        <v>2500</v>
      </c>
      <c r="Z16" s="657">
        <v>2500</v>
      </c>
      <c r="AA16" s="657">
        <v>2500</v>
      </c>
      <c r="AB16" s="657">
        <v>2500</v>
      </c>
      <c r="AC16" s="657">
        <v>2500</v>
      </c>
      <c r="AD16" s="657">
        <v>2500</v>
      </c>
      <c r="AE16" s="657">
        <v>2500</v>
      </c>
      <c r="AF16" s="658">
        <v>4000</v>
      </c>
      <c r="AG16" s="658">
        <v>30000</v>
      </c>
      <c r="AH16" s="658">
        <v>30000</v>
      </c>
      <c r="AI16" s="658">
        <v>30000</v>
      </c>
      <c r="AJ16" s="658">
        <v>30000</v>
      </c>
      <c r="AK16" s="658">
        <v>30000</v>
      </c>
      <c r="AL16" s="658">
        <v>30000</v>
      </c>
      <c r="AM16" s="658">
        <v>30000</v>
      </c>
      <c r="AN16" s="658">
        <v>30000</v>
      </c>
      <c r="AO16" s="289">
        <v>15000</v>
      </c>
      <c r="AP16" s="290">
        <v>20000</v>
      </c>
      <c r="AQ16" s="290">
        <v>20000</v>
      </c>
      <c r="AR16" s="290">
        <v>20000</v>
      </c>
      <c r="AS16" s="290">
        <v>20000</v>
      </c>
      <c r="AT16" s="290">
        <v>20000</v>
      </c>
      <c r="AU16" s="290">
        <v>20000</v>
      </c>
      <c r="AV16" s="290">
        <v>20000</v>
      </c>
      <c r="AW16" s="290">
        <v>20000</v>
      </c>
      <c r="AX16" s="290">
        <v>20000</v>
      </c>
      <c r="AY16" s="290">
        <v>20000</v>
      </c>
      <c r="AZ16" s="290">
        <v>20000</v>
      </c>
      <c r="BA16" s="289">
        <v>20000</v>
      </c>
      <c r="BB16" s="290">
        <v>20000</v>
      </c>
      <c r="BC16" s="290">
        <v>20000</v>
      </c>
      <c r="BD16" s="290">
        <v>20000</v>
      </c>
      <c r="BE16" s="290">
        <v>20000</v>
      </c>
      <c r="BF16" s="290">
        <v>20000</v>
      </c>
      <c r="BG16" s="290">
        <v>20000</v>
      </c>
      <c r="BH16" s="290">
        <v>20000</v>
      </c>
      <c r="BI16" s="290">
        <v>20000</v>
      </c>
      <c r="BJ16" s="290">
        <v>20000</v>
      </c>
      <c r="BK16" s="290">
        <v>20000</v>
      </c>
      <c r="BL16" s="290">
        <v>20000</v>
      </c>
      <c r="BM16" s="289">
        <v>20000</v>
      </c>
      <c r="BN16" s="290">
        <v>20000</v>
      </c>
      <c r="BO16" s="290">
        <v>20000</v>
      </c>
      <c r="BP16" s="290">
        <v>20000</v>
      </c>
      <c r="BQ16" s="290">
        <v>20000</v>
      </c>
      <c r="BR16" s="290">
        <v>20000</v>
      </c>
      <c r="BS16" s="290">
        <v>20000</v>
      </c>
      <c r="BT16" s="290">
        <v>20000</v>
      </c>
      <c r="BU16" s="290">
        <v>20000</v>
      </c>
      <c r="BV16" s="290">
        <v>20000</v>
      </c>
      <c r="BW16" s="290">
        <v>20000</v>
      </c>
      <c r="BX16" s="290">
        <v>20000</v>
      </c>
      <c r="BY16" s="289">
        <v>20000</v>
      </c>
      <c r="BZ16" s="290">
        <v>20000</v>
      </c>
      <c r="CA16" s="290">
        <v>20000</v>
      </c>
      <c r="CB16" s="290">
        <v>20000</v>
      </c>
      <c r="CC16" s="290">
        <v>20000</v>
      </c>
      <c r="CD16" s="290">
        <v>20000</v>
      </c>
      <c r="CE16" s="290">
        <v>20000</v>
      </c>
      <c r="CF16" s="290">
        <v>20000</v>
      </c>
      <c r="CG16" s="290">
        <v>20000</v>
      </c>
      <c r="CH16" s="290">
        <v>20000</v>
      </c>
      <c r="CI16" s="290">
        <v>20000</v>
      </c>
      <c r="CJ16" s="290">
        <v>20000</v>
      </c>
      <c r="CK16" s="289">
        <v>20000</v>
      </c>
    </row>
    <row r="17" spans="2:89" x14ac:dyDescent="0.2">
      <c r="B17" s="135" t="s">
        <v>21</v>
      </c>
      <c r="C17" s="41"/>
      <c r="F17" s="397"/>
      <c r="G17" s="397"/>
      <c r="H17" s="397"/>
      <c r="I17" s="397"/>
      <c r="J17" s="397"/>
      <c r="K17" s="397"/>
      <c r="L17" s="397"/>
      <c r="M17" s="398"/>
      <c r="N17" s="398">
        <v>2000</v>
      </c>
      <c r="O17" s="398">
        <v>2000</v>
      </c>
      <c r="P17" s="398">
        <v>3500</v>
      </c>
      <c r="Q17" s="399">
        <v>4000</v>
      </c>
      <c r="R17" s="657"/>
      <c r="S17" s="657"/>
      <c r="T17" s="657"/>
      <c r="U17" s="657"/>
      <c r="V17" s="657"/>
      <c r="W17" s="657"/>
      <c r="X17" s="657">
        <v>0</v>
      </c>
      <c r="Y17" s="657">
        <v>0</v>
      </c>
      <c r="Z17" s="657">
        <v>0</v>
      </c>
      <c r="AA17" s="657">
        <v>0</v>
      </c>
      <c r="AB17" s="657">
        <v>0</v>
      </c>
      <c r="AC17" s="774"/>
      <c r="AD17" s="657"/>
      <c r="AE17" s="657"/>
      <c r="AF17" s="658"/>
      <c r="AG17" s="658">
        <v>8000</v>
      </c>
      <c r="AH17" s="290">
        <v>8000</v>
      </c>
      <c r="AI17" s="290">
        <v>8000</v>
      </c>
      <c r="AJ17" s="290">
        <v>8000</v>
      </c>
      <c r="AK17" s="290">
        <v>8000</v>
      </c>
      <c r="AL17" s="290">
        <v>8000</v>
      </c>
      <c r="AM17" s="290">
        <v>8000</v>
      </c>
      <c r="AN17" s="290">
        <v>8000</v>
      </c>
      <c r="AO17" s="289">
        <v>8000</v>
      </c>
      <c r="AP17" s="290">
        <v>9000</v>
      </c>
      <c r="AQ17" s="290">
        <v>9000</v>
      </c>
      <c r="AR17" s="290">
        <v>9000</v>
      </c>
      <c r="AS17" s="290">
        <v>9000</v>
      </c>
      <c r="AT17" s="290">
        <v>9000</v>
      </c>
      <c r="AU17" s="290">
        <v>9000</v>
      </c>
      <c r="AV17" s="290">
        <v>9000</v>
      </c>
      <c r="AW17" s="290">
        <v>9000</v>
      </c>
      <c r="AX17" s="290">
        <v>9000</v>
      </c>
      <c r="AY17" s="290">
        <v>9000</v>
      </c>
      <c r="AZ17" s="290">
        <v>9000</v>
      </c>
      <c r="BA17" s="289">
        <v>9000</v>
      </c>
      <c r="BB17" s="290">
        <v>9000</v>
      </c>
      <c r="BC17" s="290">
        <v>9000</v>
      </c>
      <c r="BD17" s="290">
        <v>9000</v>
      </c>
      <c r="BE17" s="290">
        <v>9000</v>
      </c>
      <c r="BF17" s="290">
        <v>9000</v>
      </c>
      <c r="BG17" s="290">
        <v>9000</v>
      </c>
      <c r="BH17" s="290">
        <v>9000</v>
      </c>
      <c r="BI17" s="290">
        <v>9000</v>
      </c>
      <c r="BJ17" s="290">
        <v>9000</v>
      </c>
      <c r="BK17" s="290">
        <v>9000</v>
      </c>
      <c r="BL17" s="290">
        <v>9000</v>
      </c>
      <c r="BM17" s="289">
        <v>9000</v>
      </c>
      <c r="BN17" s="290">
        <v>9000</v>
      </c>
      <c r="BO17" s="290">
        <v>9000</v>
      </c>
      <c r="BP17" s="290">
        <v>9000</v>
      </c>
      <c r="BQ17" s="290">
        <v>9000</v>
      </c>
      <c r="BR17" s="290">
        <v>9000</v>
      </c>
      <c r="BS17" s="290">
        <v>9000</v>
      </c>
      <c r="BT17" s="290">
        <v>9000</v>
      </c>
      <c r="BU17" s="290">
        <v>9000</v>
      </c>
      <c r="BV17" s="290">
        <v>9000</v>
      </c>
      <c r="BW17" s="290">
        <v>9000</v>
      </c>
      <c r="BX17" s="290">
        <v>9000</v>
      </c>
      <c r="BY17" s="289">
        <v>9000</v>
      </c>
      <c r="BZ17" s="290">
        <v>9000</v>
      </c>
      <c r="CA17" s="290">
        <v>9000</v>
      </c>
      <c r="CB17" s="290">
        <v>9000</v>
      </c>
      <c r="CC17" s="290">
        <v>9000</v>
      </c>
      <c r="CD17" s="290">
        <v>9000</v>
      </c>
      <c r="CE17" s="290">
        <v>9000</v>
      </c>
      <c r="CF17" s="290">
        <v>9000</v>
      </c>
      <c r="CG17" s="290">
        <v>9000</v>
      </c>
      <c r="CH17" s="290">
        <v>9000</v>
      </c>
      <c r="CI17" s="290">
        <v>9000</v>
      </c>
      <c r="CJ17" s="290">
        <v>9000</v>
      </c>
      <c r="CK17" s="289">
        <v>9000</v>
      </c>
    </row>
    <row r="18" spans="2:89" x14ac:dyDescent="0.2">
      <c r="B18" s="135" t="s">
        <v>54</v>
      </c>
      <c r="C18" s="41"/>
      <c r="F18" s="400"/>
      <c r="G18" s="400"/>
      <c r="H18" s="400"/>
      <c r="I18" s="400"/>
      <c r="J18" s="400"/>
      <c r="K18" s="400"/>
      <c r="L18" s="400"/>
      <c r="M18" s="398"/>
      <c r="N18" s="398">
        <v>200</v>
      </c>
      <c r="O18" s="398">
        <v>200</v>
      </c>
      <c r="P18" s="398">
        <v>200</v>
      </c>
      <c r="Q18" s="399">
        <v>200</v>
      </c>
      <c r="R18" s="657"/>
      <c r="S18" s="657"/>
      <c r="T18" s="657"/>
      <c r="U18" s="657"/>
      <c r="V18" s="657"/>
      <c r="W18" s="657"/>
      <c r="X18" s="657">
        <v>0</v>
      </c>
      <c r="Y18" s="657">
        <v>0</v>
      </c>
      <c r="Z18" s="657">
        <v>0</v>
      </c>
      <c r="AA18" s="657">
        <v>0</v>
      </c>
      <c r="AB18" s="657">
        <v>0</v>
      </c>
      <c r="AC18" s="774"/>
      <c r="AD18" s="657"/>
      <c r="AE18" s="657"/>
      <c r="AF18" s="658"/>
      <c r="AG18" s="658">
        <v>2000</v>
      </c>
      <c r="AH18" s="290">
        <v>2000</v>
      </c>
      <c r="AI18" s="290">
        <v>2000</v>
      </c>
      <c r="AJ18" s="290">
        <v>2000</v>
      </c>
      <c r="AK18" s="290">
        <v>2000</v>
      </c>
      <c r="AL18" s="290">
        <v>2000</v>
      </c>
      <c r="AM18" s="290">
        <v>2000</v>
      </c>
      <c r="AN18" s="290">
        <v>2000</v>
      </c>
      <c r="AO18" s="289">
        <v>2000</v>
      </c>
      <c r="AP18" s="290">
        <v>3000</v>
      </c>
      <c r="AQ18" s="290">
        <v>3000</v>
      </c>
      <c r="AR18" s="290">
        <v>3000</v>
      </c>
      <c r="AS18" s="290">
        <v>3000</v>
      </c>
      <c r="AT18" s="290">
        <v>3000</v>
      </c>
      <c r="AU18" s="290">
        <v>3000</v>
      </c>
      <c r="AV18" s="290">
        <v>3000</v>
      </c>
      <c r="AW18" s="290">
        <v>3000</v>
      </c>
      <c r="AX18" s="290">
        <v>3000</v>
      </c>
      <c r="AY18" s="290">
        <v>3000</v>
      </c>
      <c r="AZ18" s="290">
        <v>3000</v>
      </c>
      <c r="BA18" s="289">
        <v>3000</v>
      </c>
      <c r="BB18" s="290">
        <v>3000</v>
      </c>
      <c r="BC18" s="290">
        <v>3000</v>
      </c>
      <c r="BD18" s="290">
        <v>3000</v>
      </c>
      <c r="BE18" s="290">
        <v>3000</v>
      </c>
      <c r="BF18" s="290">
        <v>3000</v>
      </c>
      <c r="BG18" s="290">
        <v>3000</v>
      </c>
      <c r="BH18" s="290">
        <v>3000</v>
      </c>
      <c r="BI18" s="290">
        <v>3000</v>
      </c>
      <c r="BJ18" s="290">
        <v>3000</v>
      </c>
      <c r="BK18" s="290">
        <v>3000</v>
      </c>
      <c r="BL18" s="290">
        <v>3000</v>
      </c>
      <c r="BM18" s="289">
        <v>3000</v>
      </c>
      <c r="BN18" s="290">
        <v>3000</v>
      </c>
      <c r="BO18" s="290">
        <v>3000</v>
      </c>
      <c r="BP18" s="290">
        <v>3000</v>
      </c>
      <c r="BQ18" s="290">
        <v>3000</v>
      </c>
      <c r="BR18" s="290">
        <v>3000</v>
      </c>
      <c r="BS18" s="290">
        <v>3000</v>
      </c>
      <c r="BT18" s="290">
        <v>3000</v>
      </c>
      <c r="BU18" s="290">
        <v>3000</v>
      </c>
      <c r="BV18" s="290">
        <v>3000</v>
      </c>
      <c r="BW18" s="290">
        <v>3000</v>
      </c>
      <c r="BX18" s="290">
        <v>3000</v>
      </c>
      <c r="BY18" s="289">
        <v>3000</v>
      </c>
      <c r="BZ18" s="290">
        <v>3000</v>
      </c>
      <c r="CA18" s="290">
        <v>3000</v>
      </c>
      <c r="CB18" s="290">
        <v>3000</v>
      </c>
      <c r="CC18" s="290">
        <v>3000</v>
      </c>
      <c r="CD18" s="290">
        <v>3000</v>
      </c>
      <c r="CE18" s="290">
        <v>3000</v>
      </c>
      <c r="CF18" s="290">
        <v>3000</v>
      </c>
      <c r="CG18" s="290">
        <v>3000</v>
      </c>
      <c r="CH18" s="290">
        <v>3000</v>
      </c>
      <c r="CI18" s="290">
        <v>3000</v>
      </c>
      <c r="CJ18" s="290">
        <v>3000</v>
      </c>
      <c r="CK18" s="289">
        <v>3000</v>
      </c>
    </row>
    <row r="19" spans="2:89" ht="8" customHeight="1" x14ac:dyDescent="0.2">
      <c r="B19" s="121"/>
      <c r="C19" s="41"/>
      <c r="F19" s="401"/>
      <c r="G19" s="401"/>
      <c r="H19" s="401"/>
      <c r="I19" s="401"/>
      <c r="J19" s="401"/>
      <c r="K19" s="401"/>
      <c r="L19" s="401"/>
      <c r="M19" s="401"/>
      <c r="N19" s="401"/>
      <c r="O19" s="401"/>
      <c r="P19" s="401"/>
      <c r="Q19" s="402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2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2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2"/>
      <c r="BB19" s="203"/>
      <c r="BC19" s="203"/>
      <c r="BD19" s="203"/>
      <c r="BE19" s="203"/>
      <c r="BF19" s="203"/>
      <c r="BG19" s="203"/>
      <c r="BH19" s="203"/>
      <c r="BI19" s="203"/>
      <c r="BJ19" s="203"/>
      <c r="BK19" s="203"/>
      <c r="BL19" s="203"/>
      <c r="BM19" s="202"/>
      <c r="BN19" s="203"/>
      <c r="BO19" s="203"/>
      <c r="BP19" s="203"/>
      <c r="BQ19" s="203"/>
      <c r="BR19" s="203"/>
      <c r="BS19" s="203"/>
      <c r="BT19" s="203"/>
      <c r="BU19" s="203"/>
      <c r="BV19" s="203"/>
      <c r="BW19" s="203"/>
      <c r="BX19" s="203"/>
      <c r="BY19" s="202"/>
      <c r="BZ19" s="203"/>
      <c r="CA19" s="203"/>
      <c r="CB19" s="203"/>
      <c r="CC19" s="203"/>
      <c r="CD19" s="203"/>
      <c r="CE19" s="203"/>
      <c r="CF19" s="203"/>
      <c r="CG19" s="203"/>
      <c r="CH19" s="203"/>
      <c r="CI19" s="203"/>
      <c r="CJ19" s="203"/>
      <c r="CK19" s="202"/>
    </row>
    <row r="20" spans="2:89" ht="17" thickBot="1" x14ac:dyDescent="0.25">
      <c r="B20" s="136" t="s">
        <v>0</v>
      </c>
      <c r="C20" s="98"/>
      <c r="D20" s="64"/>
      <c r="E20" s="137"/>
      <c r="F20" s="403"/>
      <c r="G20" s="403"/>
      <c r="H20" s="403"/>
      <c r="I20" s="403"/>
      <c r="J20" s="403"/>
      <c r="K20" s="403"/>
      <c r="L20" s="404">
        <f t="shared" ref="L20:BA20" si="25">SUM(L16:L18)</f>
        <v>0</v>
      </c>
      <c r="M20" s="404">
        <f t="shared" si="25"/>
        <v>0</v>
      </c>
      <c r="N20" s="404">
        <f t="shared" si="25"/>
        <v>10200</v>
      </c>
      <c r="O20" s="404">
        <f t="shared" si="25"/>
        <v>10200</v>
      </c>
      <c r="P20" s="404">
        <f t="shared" si="25"/>
        <v>8700</v>
      </c>
      <c r="Q20" s="405">
        <f t="shared" si="25"/>
        <v>9200</v>
      </c>
      <c r="R20" s="227">
        <f t="shared" si="25"/>
        <v>5000</v>
      </c>
      <c r="S20" s="227">
        <f t="shared" si="25"/>
        <v>5000</v>
      </c>
      <c r="T20" s="227">
        <f t="shared" si="25"/>
        <v>2500</v>
      </c>
      <c r="U20" s="227">
        <f t="shared" si="25"/>
        <v>2500</v>
      </c>
      <c r="V20" s="227">
        <f t="shared" si="25"/>
        <v>2500</v>
      </c>
      <c r="W20" s="227">
        <f t="shared" si="25"/>
        <v>2500</v>
      </c>
      <c r="X20" s="227">
        <f t="shared" si="25"/>
        <v>2500</v>
      </c>
      <c r="Y20" s="227">
        <f t="shared" si="25"/>
        <v>2500</v>
      </c>
      <c r="Z20" s="227">
        <f t="shared" si="25"/>
        <v>2500</v>
      </c>
      <c r="AA20" s="227">
        <f t="shared" si="25"/>
        <v>2500</v>
      </c>
      <c r="AB20" s="227">
        <f t="shared" si="25"/>
        <v>2500</v>
      </c>
      <c r="AC20" s="226">
        <f t="shared" si="25"/>
        <v>2500</v>
      </c>
      <c r="AD20" s="227">
        <f t="shared" si="25"/>
        <v>2500</v>
      </c>
      <c r="AE20" s="227">
        <f t="shared" si="25"/>
        <v>2500</v>
      </c>
      <c r="AF20" s="227">
        <f t="shared" si="25"/>
        <v>4000</v>
      </c>
      <c r="AG20" s="227">
        <f t="shared" si="25"/>
        <v>40000</v>
      </c>
      <c r="AH20" s="227">
        <f t="shared" si="25"/>
        <v>40000</v>
      </c>
      <c r="AI20" s="227">
        <f t="shared" si="25"/>
        <v>40000</v>
      </c>
      <c r="AJ20" s="227">
        <f t="shared" si="25"/>
        <v>40000</v>
      </c>
      <c r="AK20" s="227">
        <f t="shared" si="25"/>
        <v>40000</v>
      </c>
      <c r="AL20" s="227">
        <f t="shared" si="25"/>
        <v>40000</v>
      </c>
      <c r="AM20" s="227">
        <f t="shared" si="25"/>
        <v>40000</v>
      </c>
      <c r="AN20" s="227">
        <f t="shared" si="25"/>
        <v>40000</v>
      </c>
      <c r="AO20" s="226">
        <f t="shared" si="25"/>
        <v>25000</v>
      </c>
      <c r="AP20" s="227">
        <f t="shared" si="25"/>
        <v>32000</v>
      </c>
      <c r="AQ20" s="227">
        <f t="shared" si="25"/>
        <v>32000</v>
      </c>
      <c r="AR20" s="227">
        <f t="shared" si="25"/>
        <v>32000</v>
      </c>
      <c r="AS20" s="227">
        <f t="shared" si="25"/>
        <v>32000</v>
      </c>
      <c r="AT20" s="227">
        <f t="shared" si="25"/>
        <v>32000</v>
      </c>
      <c r="AU20" s="227">
        <f t="shared" si="25"/>
        <v>32000</v>
      </c>
      <c r="AV20" s="227">
        <f t="shared" si="25"/>
        <v>32000</v>
      </c>
      <c r="AW20" s="227">
        <f t="shared" si="25"/>
        <v>32000</v>
      </c>
      <c r="AX20" s="227">
        <f t="shared" si="25"/>
        <v>32000</v>
      </c>
      <c r="AY20" s="227">
        <f t="shared" si="25"/>
        <v>32000</v>
      </c>
      <c r="AZ20" s="227">
        <f t="shared" si="25"/>
        <v>32000</v>
      </c>
      <c r="BA20" s="226">
        <f t="shared" si="25"/>
        <v>32000</v>
      </c>
      <c r="BB20" s="227">
        <f t="shared" ref="BB20:BM20" si="26">SUM(BB16:BB18)</f>
        <v>32000</v>
      </c>
      <c r="BC20" s="227">
        <f t="shared" si="26"/>
        <v>32000</v>
      </c>
      <c r="BD20" s="227">
        <f t="shared" si="26"/>
        <v>32000</v>
      </c>
      <c r="BE20" s="227">
        <f t="shared" si="26"/>
        <v>32000</v>
      </c>
      <c r="BF20" s="227">
        <f t="shared" si="26"/>
        <v>32000</v>
      </c>
      <c r="BG20" s="227">
        <f t="shared" si="26"/>
        <v>32000</v>
      </c>
      <c r="BH20" s="227">
        <f t="shared" si="26"/>
        <v>32000</v>
      </c>
      <c r="BI20" s="227">
        <f t="shared" si="26"/>
        <v>32000</v>
      </c>
      <c r="BJ20" s="227">
        <f t="shared" si="26"/>
        <v>32000</v>
      </c>
      <c r="BK20" s="227">
        <f t="shared" si="26"/>
        <v>32000</v>
      </c>
      <c r="BL20" s="227">
        <f t="shared" si="26"/>
        <v>32000</v>
      </c>
      <c r="BM20" s="226">
        <f t="shared" si="26"/>
        <v>32000</v>
      </c>
      <c r="BN20" s="227">
        <f t="shared" ref="BN20:BY20" si="27">SUM(BN16:BN18)</f>
        <v>32000</v>
      </c>
      <c r="BO20" s="227">
        <f t="shared" si="27"/>
        <v>32000</v>
      </c>
      <c r="BP20" s="227">
        <f t="shared" si="27"/>
        <v>32000</v>
      </c>
      <c r="BQ20" s="227">
        <f t="shared" si="27"/>
        <v>32000</v>
      </c>
      <c r="BR20" s="227">
        <f t="shared" si="27"/>
        <v>32000</v>
      </c>
      <c r="BS20" s="227">
        <f t="shared" si="27"/>
        <v>32000</v>
      </c>
      <c r="BT20" s="227">
        <f t="shared" si="27"/>
        <v>32000</v>
      </c>
      <c r="BU20" s="227">
        <f t="shared" si="27"/>
        <v>32000</v>
      </c>
      <c r="BV20" s="227">
        <f t="shared" si="27"/>
        <v>32000</v>
      </c>
      <c r="BW20" s="227">
        <f t="shared" si="27"/>
        <v>32000</v>
      </c>
      <c r="BX20" s="227">
        <f t="shared" si="27"/>
        <v>32000</v>
      </c>
      <c r="BY20" s="226">
        <f t="shared" si="27"/>
        <v>32000</v>
      </c>
      <c r="BZ20" s="227">
        <f t="shared" ref="BZ20:CK20" si="28">SUM(BZ16:BZ18)</f>
        <v>32000</v>
      </c>
      <c r="CA20" s="227">
        <f t="shared" si="28"/>
        <v>32000</v>
      </c>
      <c r="CB20" s="227">
        <f t="shared" si="28"/>
        <v>32000</v>
      </c>
      <c r="CC20" s="227">
        <f t="shared" si="28"/>
        <v>32000</v>
      </c>
      <c r="CD20" s="227">
        <f t="shared" si="28"/>
        <v>32000</v>
      </c>
      <c r="CE20" s="227">
        <f t="shared" si="28"/>
        <v>32000</v>
      </c>
      <c r="CF20" s="227">
        <f t="shared" si="28"/>
        <v>32000</v>
      </c>
      <c r="CG20" s="227">
        <f t="shared" si="28"/>
        <v>32000</v>
      </c>
      <c r="CH20" s="227">
        <f t="shared" si="28"/>
        <v>32000</v>
      </c>
      <c r="CI20" s="227">
        <f t="shared" si="28"/>
        <v>32000</v>
      </c>
      <c r="CJ20" s="227">
        <f t="shared" si="28"/>
        <v>32000</v>
      </c>
      <c r="CK20" s="226">
        <f t="shared" si="28"/>
        <v>32000</v>
      </c>
    </row>
    <row r="21" spans="2:89" ht="17" thickBot="1" x14ac:dyDescent="0.25">
      <c r="B21" s="21"/>
      <c r="F21" s="407"/>
      <c r="G21" s="407"/>
      <c r="H21" s="407"/>
      <c r="I21" s="407"/>
      <c r="J21" s="407"/>
      <c r="K21" s="407"/>
      <c r="L21" s="407"/>
      <c r="M21" s="407"/>
      <c r="N21" s="407"/>
      <c r="O21" s="407"/>
      <c r="P21" s="407"/>
      <c r="Q21" s="408"/>
    </row>
    <row r="22" spans="2:89" x14ac:dyDescent="0.2">
      <c r="B22" s="21"/>
      <c r="F22" s="742">
        <v>2022</v>
      </c>
      <c r="G22" s="743"/>
      <c r="H22" s="743"/>
      <c r="I22" s="743"/>
      <c r="J22" s="743"/>
      <c r="K22" s="743"/>
      <c r="L22" s="743"/>
      <c r="M22" s="743"/>
      <c r="N22" s="743"/>
      <c r="O22" s="743"/>
      <c r="P22" s="743"/>
      <c r="Q22" s="744"/>
      <c r="R22" s="731">
        <v>2023</v>
      </c>
      <c r="S22" s="732"/>
      <c r="T22" s="732"/>
      <c r="U22" s="732"/>
      <c r="V22" s="732"/>
      <c r="W22" s="732"/>
      <c r="X22" s="732"/>
      <c r="Y22" s="732"/>
      <c r="Z22" s="732"/>
      <c r="AA22" s="732"/>
      <c r="AB22" s="732"/>
      <c r="AC22" s="733"/>
      <c r="AD22" s="728">
        <v>2024</v>
      </c>
      <c r="AE22" s="729"/>
      <c r="AF22" s="729"/>
      <c r="AG22" s="729"/>
      <c r="AH22" s="729"/>
      <c r="AI22" s="729"/>
      <c r="AJ22" s="729"/>
      <c r="AK22" s="729"/>
      <c r="AL22" s="729"/>
      <c r="AM22" s="729"/>
      <c r="AN22" s="729"/>
      <c r="AO22" s="730"/>
      <c r="AP22" s="704">
        <v>2025</v>
      </c>
      <c r="AQ22" s="705"/>
      <c r="AR22" s="705"/>
      <c r="AS22" s="705"/>
      <c r="AT22" s="705"/>
      <c r="AU22" s="705"/>
      <c r="AV22" s="705"/>
      <c r="AW22" s="705"/>
      <c r="AX22" s="705"/>
      <c r="AY22" s="705"/>
      <c r="AZ22" s="705"/>
      <c r="BA22" s="706"/>
      <c r="BB22" s="701">
        <v>2026</v>
      </c>
      <c r="BC22" s="702"/>
      <c r="BD22" s="702"/>
      <c r="BE22" s="702"/>
      <c r="BF22" s="702"/>
      <c r="BG22" s="702"/>
      <c r="BH22" s="702"/>
      <c r="BI22" s="702"/>
      <c r="BJ22" s="702"/>
      <c r="BK22" s="702"/>
      <c r="BL22" s="702"/>
      <c r="BM22" s="703"/>
      <c r="BN22" s="701">
        <v>2026</v>
      </c>
      <c r="BO22" s="702"/>
      <c r="BP22" s="702"/>
      <c r="BQ22" s="702"/>
      <c r="BR22" s="702"/>
      <c r="BS22" s="702"/>
      <c r="BT22" s="702"/>
      <c r="BU22" s="702"/>
      <c r="BV22" s="702"/>
      <c r="BW22" s="702"/>
      <c r="BX22" s="702"/>
      <c r="BY22" s="703"/>
      <c r="BZ22" s="701">
        <v>2026</v>
      </c>
      <c r="CA22" s="702"/>
      <c r="CB22" s="702"/>
      <c r="CC22" s="702"/>
      <c r="CD22" s="702"/>
      <c r="CE22" s="702"/>
      <c r="CF22" s="702"/>
      <c r="CG22" s="702"/>
      <c r="CH22" s="702"/>
      <c r="CI22" s="702"/>
      <c r="CJ22" s="702"/>
      <c r="CK22" s="703"/>
    </row>
    <row r="23" spans="2:89" x14ac:dyDescent="0.2">
      <c r="B23" s="21"/>
      <c r="F23" s="537">
        <v>1</v>
      </c>
      <c r="G23" s="409">
        <v>2</v>
      </c>
      <c r="H23" s="410">
        <v>3</v>
      </c>
      <c r="I23" s="410">
        <v>4</v>
      </c>
      <c r="J23" s="410">
        <v>5</v>
      </c>
      <c r="K23" s="410">
        <v>6</v>
      </c>
      <c r="L23" s="410">
        <v>7</v>
      </c>
      <c r="M23" s="410">
        <v>8</v>
      </c>
      <c r="N23" s="410">
        <v>9</v>
      </c>
      <c r="O23" s="409">
        <v>10</v>
      </c>
      <c r="P23" s="251">
        <v>44866</v>
      </c>
      <c r="Q23" s="251">
        <v>44896</v>
      </c>
      <c r="R23" s="248">
        <v>44927</v>
      </c>
      <c r="S23" s="248">
        <v>44958</v>
      </c>
      <c r="T23" s="248">
        <v>44986</v>
      </c>
      <c r="U23" s="248">
        <v>45017</v>
      </c>
      <c r="V23" s="248">
        <v>45047</v>
      </c>
      <c r="W23" s="248">
        <v>45078</v>
      </c>
      <c r="X23" s="248">
        <v>45108</v>
      </c>
      <c r="Y23" s="248">
        <v>45139</v>
      </c>
      <c r="Z23" s="248">
        <v>45170</v>
      </c>
      <c r="AA23" s="248">
        <v>45200</v>
      </c>
      <c r="AB23" s="248">
        <v>45231</v>
      </c>
      <c r="AC23" s="522">
        <v>45261</v>
      </c>
      <c r="AD23" s="506">
        <v>45292</v>
      </c>
      <c r="AE23" s="249">
        <v>45323</v>
      </c>
      <c r="AF23" s="249">
        <v>45352</v>
      </c>
      <c r="AG23" s="249">
        <v>45383</v>
      </c>
      <c r="AH23" s="249">
        <v>45413</v>
      </c>
      <c r="AI23" s="249">
        <v>45444</v>
      </c>
      <c r="AJ23" s="249">
        <v>45474</v>
      </c>
      <c r="AK23" s="249">
        <v>45505</v>
      </c>
      <c r="AL23" s="249">
        <v>45536</v>
      </c>
      <c r="AM23" s="249">
        <v>45566</v>
      </c>
      <c r="AN23" s="249">
        <v>45597</v>
      </c>
      <c r="AO23" s="529">
        <v>45627</v>
      </c>
      <c r="AP23" s="507">
        <v>45658</v>
      </c>
      <c r="AQ23" s="250">
        <v>45689</v>
      </c>
      <c r="AR23" s="250">
        <v>45717</v>
      </c>
      <c r="AS23" s="250">
        <v>45748</v>
      </c>
      <c r="AT23" s="250">
        <v>45778</v>
      </c>
      <c r="AU23" s="250">
        <v>45809</v>
      </c>
      <c r="AV23" s="250">
        <v>45839</v>
      </c>
      <c r="AW23" s="250">
        <v>45870</v>
      </c>
      <c r="AX23" s="250">
        <v>45901</v>
      </c>
      <c r="AY23" s="250">
        <v>45931</v>
      </c>
      <c r="AZ23" s="250">
        <v>45962</v>
      </c>
      <c r="BA23" s="530">
        <v>45992</v>
      </c>
      <c r="BB23" s="507">
        <v>45658</v>
      </c>
      <c r="BC23" s="250">
        <v>45689</v>
      </c>
      <c r="BD23" s="250">
        <v>45717</v>
      </c>
      <c r="BE23" s="250">
        <v>45748</v>
      </c>
      <c r="BF23" s="250">
        <v>45778</v>
      </c>
      <c r="BG23" s="250">
        <v>45809</v>
      </c>
      <c r="BH23" s="250">
        <v>45839</v>
      </c>
      <c r="BI23" s="250">
        <v>45870</v>
      </c>
      <c r="BJ23" s="250">
        <v>45901</v>
      </c>
      <c r="BK23" s="250">
        <v>45931</v>
      </c>
      <c r="BL23" s="250">
        <v>45962</v>
      </c>
      <c r="BM23" s="530">
        <v>45992</v>
      </c>
      <c r="BN23" s="507">
        <v>45658</v>
      </c>
      <c r="BO23" s="250">
        <v>45689</v>
      </c>
      <c r="BP23" s="250">
        <v>45717</v>
      </c>
      <c r="BQ23" s="250">
        <v>45748</v>
      </c>
      <c r="BR23" s="250">
        <v>45778</v>
      </c>
      <c r="BS23" s="250">
        <v>45809</v>
      </c>
      <c r="BT23" s="250">
        <v>45839</v>
      </c>
      <c r="BU23" s="250">
        <v>45870</v>
      </c>
      <c r="BV23" s="250">
        <v>45901</v>
      </c>
      <c r="BW23" s="250">
        <v>45931</v>
      </c>
      <c r="BX23" s="250">
        <v>45962</v>
      </c>
      <c r="BY23" s="530">
        <v>45992</v>
      </c>
      <c r="BZ23" s="507">
        <v>45658</v>
      </c>
      <c r="CA23" s="250">
        <v>45689</v>
      </c>
      <c r="CB23" s="250">
        <v>45717</v>
      </c>
      <c r="CC23" s="250">
        <v>45748</v>
      </c>
      <c r="CD23" s="250">
        <v>45778</v>
      </c>
      <c r="CE23" s="250">
        <v>45809</v>
      </c>
      <c r="CF23" s="250">
        <v>45839</v>
      </c>
      <c r="CG23" s="250">
        <v>45870</v>
      </c>
      <c r="CH23" s="250">
        <v>45901</v>
      </c>
      <c r="CI23" s="250">
        <v>45931</v>
      </c>
      <c r="CJ23" s="250">
        <v>45962</v>
      </c>
      <c r="CK23" s="530">
        <v>45992</v>
      </c>
    </row>
    <row r="24" spans="2:89" ht="8" customHeight="1" x14ac:dyDescent="0.2">
      <c r="B24" s="21"/>
      <c r="F24" s="407"/>
      <c r="G24" s="407"/>
      <c r="H24" s="407"/>
      <c r="I24" s="407"/>
      <c r="J24" s="407"/>
      <c r="K24" s="407"/>
      <c r="L24" s="407"/>
      <c r="M24" s="407"/>
      <c r="N24" s="407"/>
      <c r="O24" s="407"/>
      <c r="P24" s="407"/>
      <c r="Q24" s="408"/>
    </row>
    <row r="25" spans="2:89" x14ac:dyDescent="0.2">
      <c r="B25" s="118" t="s">
        <v>55</v>
      </c>
      <c r="F25" s="407"/>
      <c r="G25" s="407"/>
      <c r="H25" s="407"/>
      <c r="I25" s="407"/>
      <c r="J25" s="407"/>
      <c r="K25" s="407"/>
      <c r="L25" s="407"/>
      <c r="M25" s="407"/>
      <c r="N25" s="407"/>
      <c r="O25" s="407"/>
      <c r="P25" s="407"/>
      <c r="Q25" s="408"/>
    </row>
    <row r="26" spans="2:89" x14ac:dyDescent="0.2">
      <c r="B26" s="135" t="s">
        <v>56</v>
      </c>
      <c r="F26" s="407"/>
      <c r="G26" s="407"/>
      <c r="H26" s="407"/>
      <c r="I26" s="407"/>
      <c r="J26" s="407"/>
      <c r="K26" s="407"/>
      <c r="L26" s="407"/>
      <c r="M26" s="411"/>
      <c r="N26" s="411">
        <v>0</v>
      </c>
      <c r="O26" s="411">
        <v>0</v>
      </c>
      <c r="P26" s="411">
        <v>0</v>
      </c>
      <c r="Q26" s="412">
        <v>0</v>
      </c>
      <c r="R26" s="189">
        <v>0</v>
      </c>
      <c r="S26" s="189">
        <v>0</v>
      </c>
      <c r="T26" s="189">
        <v>0</v>
      </c>
      <c r="U26" s="189">
        <v>7000</v>
      </c>
      <c r="V26" s="189">
        <v>0</v>
      </c>
      <c r="W26" s="189">
        <v>0</v>
      </c>
      <c r="X26" s="189">
        <v>0</v>
      </c>
      <c r="Y26" s="189">
        <v>0</v>
      </c>
      <c r="Z26" s="189">
        <v>0</v>
      </c>
      <c r="AA26" s="189">
        <v>0</v>
      </c>
      <c r="AB26" s="189">
        <v>0</v>
      </c>
      <c r="AC26" s="188">
        <v>0</v>
      </c>
      <c r="AD26" s="189">
        <v>0</v>
      </c>
      <c r="AE26" s="189">
        <v>0</v>
      </c>
      <c r="AF26" s="189">
        <v>0</v>
      </c>
      <c r="AG26" s="189">
        <v>0</v>
      </c>
      <c r="AH26" s="189">
        <v>0</v>
      </c>
      <c r="AI26" s="189">
        <v>0</v>
      </c>
      <c r="AJ26" s="189">
        <v>0</v>
      </c>
      <c r="AK26" s="189">
        <v>0</v>
      </c>
      <c r="AL26" s="189">
        <v>0</v>
      </c>
      <c r="AM26" s="189">
        <v>0</v>
      </c>
      <c r="AN26" s="189">
        <v>0</v>
      </c>
      <c r="AO26" s="188">
        <v>0</v>
      </c>
      <c r="AP26" s="189">
        <v>0</v>
      </c>
      <c r="AQ26" s="189">
        <v>0</v>
      </c>
      <c r="AR26" s="189">
        <v>0</v>
      </c>
      <c r="AS26" s="189">
        <v>0</v>
      </c>
      <c r="AT26" s="189">
        <v>0</v>
      </c>
      <c r="AU26" s="189">
        <v>0</v>
      </c>
      <c r="AV26" s="189">
        <v>0</v>
      </c>
      <c r="AW26" s="189">
        <v>0</v>
      </c>
      <c r="AX26" s="189">
        <v>0</v>
      </c>
      <c r="AY26" s="189">
        <v>0</v>
      </c>
      <c r="AZ26" s="189">
        <v>0</v>
      </c>
      <c r="BA26" s="188">
        <v>0</v>
      </c>
      <c r="BB26" s="189">
        <v>0</v>
      </c>
      <c r="BC26" s="189">
        <v>0</v>
      </c>
      <c r="BD26" s="189">
        <v>0</v>
      </c>
      <c r="BE26" s="189">
        <v>0</v>
      </c>
      <c r="BF26" s="189">
        <v>0</v>
      </c>
      <c r="BG26" s="189">
        <v>0</v>
      </c>
      <c r="BH26" s="189">
        <v>0</v>
      </c>
      <c r="BI26" s="189">
        <v>0</v>
      </c>
      <c r="BJ26" s="189">
        <v>0</v>
      </c>
      <c r="BK26" s="189">
        <v>0</v>
      </c>
      <c r="BL26" s="189">
        <v>0</v>
      </c>
      <c r="BM26" s="188">
        <v>0</v>
      </c>
      <c r="BN26" s="189">
        <v>0</v>
      </c>
      <c r="BO26" s="189">
        <v>0</v>
      </c>
      <c r="BP26" s="189">
        <v>0</v>
      </c>
      <c r="BQ26" s="189">
        <v>0</v>
      </c>
      <c r="BR26" s="189">
        <v>0</v>
      </c>
      <c r="BS26" s="189">
        <v>0</v>
      </c>
      <c r="BT26" s="189">
        <v>0</v>
      </c>
      <c r="BU26" s="189">
        <v>0</v>
      </c>
      <c r="BV26" s="189">
        <v>0</v>
      </c>
      <c r="BW26" s="189">
        <v>0</v>
      </c>
      <c r="BX26" s="189">
        <v>0</v>
      </c>
      <c r="BY26" s="188">
        <v>0</v>
      </c>
      <c r="BZ26" s="189">
        <v>0</v>
      </c>
      <c r="CA26" s="189">
        <v>0</v>
      </c>
      <c r="CB26" s="189">
        <v>0</v>
      </c>
      <c r="CC26" s="189">
        <v>0</v>
      </c>
      <c r="CD26" s="189">
        <v>0</v>
      </c>
      <c r="CE26" s="189">
        <v>0</v>
      </c>
      <c r="CF26" s="189">
        <v>0</v>
      </c>
      <c r="CG26" s="189">
        <v>0</v>
      </c>
      <c r="CH26" s="189">
        <v>0</v>
      </c>
      <c r="CI26" s="189">
        <v>0</v>
      </c>
      <c r="CJ26" s="189">
        <v>0</v>
      </c>
      <c r="CK26" s="188">
        <v>0</v>
      </c>
    </row>
    <row r="27" spans="2:89" x14ac:dyDescent="0.2">
      <c r="B27" s="135" t="s">
        <v>15</v>
      </c>
      <c r="F27" s="407"/>
      <c r="G27" s="407"/>
      <c r="H27" s="407"/>
      <c r="I27" s="407"/>
      <c r="J27" s="407"/>
      <c r="K27" s="407"/>
      <c r="L27" s="407"/>
      <c r="M27" s="411"/>
      <c r="N27" s="411">
        <v>0</v>
      </c>
      <c r="O27" s="411">
        <v>0</v>
      </c>
      <c r="P27" s="411">
        <v>0</v>
      </c>
      <c r="Q27" s="412">
        <v>0</v>
      </c>
      <c r="R27" s="189">
        <v>0</v>
      </c>
      <c r="S27" s="189">
        <v>0</v>
      </c>
      <c r="T27" s="189">
        <v>0</v>
      </c>
      <c r="U27" s="189">
        <v>0</v>
      </c>
      <c r="V27" s="189">
        <v>0</v>
      </c>
      <c r="W27" s="189">
        <v>0</v>
      </c>
      <c r="X27" s="189">
        <v>0</v>
      </c>
      <c r="Y27" s="189">
        <v>0</v>
      </c>
      <c r="Z27" s="189">
        <v>0</v>
      </c>
      <c r="AA27" s="189">
        <v>0</v>
      </c>
      <c r="AB27" s="189">
        <v>0</v>
      </c>
      <c r="AC27" s="188">
        <v>0</v>
      </c>
      <c r="AD27" s="189">
        <v>0</v>
      </c>
      <c r="AE27" s="189"/>
      <c r="AF27" s="189"/>
      <c r="AG27" s="189"/>
      <c r="AH27" s="189">
        <v>5000</v>
      </c>
      <c r="AI27" s="189">
        <v>5000</v>
      </c>
      <c r="AJ27" s="189">
        <v>5000</v>
      </c>
      <c r="AK27" s="189">
        <v>5000</v>
      </c>
      <c r="AL27" s="189">
        <v>5000</v>
      </c>
      <c r="AM27" s="189">
        <v>5000</v>
      </c>
      <c r="AN27" s="189">
        <v>5000</v>
      </c>
      <c r="AO27" s="188">
        <v>5000</v>
      </c>
      <c r="AP27" s="189">
        <v>7500</v>
      </c>
      <c r="AQ27" s="189">
        <v>7500</v>
      </c>
      <c r="AR27" s="189">
        <v>7500</v>
      </c>
      <c r="AS27" s="189">
        <v>7500</v>
      </c>
      <c r="AT27" s="189">
        <v>7500</v>
      </c>
      <c r="AU27" s="189">
        <v>7500</v>
      </c>
      <c r="AV27" s="189">
        <v>7500</v>
      </c>
      <c r="AW27" s="189">
        <v>7500</v>
      </c>
      <c r="AX27" s="189">
        <v>7500</v>
      </c>
      <c r="AY27" s="189">
        <v>7500</v>
      </c>
      <c r="AZ27" s="189">
        <v>7500</v>
      </c>
      <c r="BA27" s="188">
        <v>7500</v>
      </c>
      <c r="BB27" s="189">
        <v>7500</v>
      </c>
      <c r="BC27" s="189">
        <v>7500</v>
      </c>
      <c r="BD27" s="189">
        <v>7500</v>
      </c>
      <c r="BE27" s="189">
        <v>7500</v>
      </c>
      <c r="BF27" s="189">
        <v>7500</v>
      </c>
      <c r="BG27" s="189">
        <v>7500</v>
      </c>
      <c r="BH27" s="189">
        <v>7500</v>
      </c>
      <c r="BI27" s="189">
        <v>7500</v>
      </c>
      <c r="BJ27" s="189">
        <v>7500</v>
      </c>
      <c r="BK27" s="189">
        <v>7500</v>
      </c>
      <c r="BL27" s="189">
        <v>7500</v>
      </c>
      <c r="BM27" s="188">
        <v>7500</v>
      </c>
      <c r="BN27" s="189">
        <v>7500</v>
      </c>
      <c r="BO27" s="189">
        <v>7500</v>
      </c>
      <c r="BP27" s="189">
        <v>7500</v>
      </c>
      <c r="BQ27" s="189">
        <v>7500</v>
      </c>
      <c r="BR27" s="189">
        <v>7500</v>
      </c>
      <c r="BS27" s="189">
        <v>7500</v>
      </c>
      <c r="BT27" s="189">
        <v>7500</v>
      </c>
      <c r="BU27" s="189">
        <v>7500</v>
      </c>
      <c r="BV27" s="189">
        <v>7500</v>
      </c>
      <c r="BW27" s="189">
        <v>7500</v>
      </c>
      <c r="BX27" s="189">
        <v>7500</v>
      </c>
      <c r="BY27" s="188">
        <v>7500</v>
      </c>
      <c r="BZ27" s="189">
        <v>7500</v>
      </c>
      <c r="CA27" s="189">
        <v>7500</v>
      </c>
      <c r="CB27" s="189">
        <v>7500</v>
      </c>
      <c r="CC27" s="189">
        <v>7500</v>
      </c>
      <c r="CD27" s="189">
        <v>7500</v>
      </c>
      <c r="CE27" s="189">
        <v>7500</v>
      </c>
      <c r="CF27" s="189">
        <v>7500</v>
      </c>
      <c r="CG27" s="189">
        <v>7500</v>
      </c>
      <c r="CH27" s="189">
        <v>7500</v>
      </c>
      <c r="CI27" s="189">
        <v>7500</v>
      </c>
      <c r="CJ27" s="189">
        <v>7500</v>
      </c>
      <c r="CK27" s="188">
        <v>7500</v>
      </c>
    </row>
    <row r="28" spans="2:89" ht="10" customHeight="1" x14ac:dyDescent="0.2">
      <c r="B28" s="121"/>
      <c r="F28" s="407"/>
      <c r="G28" s="407"/>
      <c r="H28" s="407"/>
      <c r="I28" s="407"/>
      <c r="J28" s="407"/>
      <c r="K28" s="407"/>
      <c r="L28" s="407"/>
      <c r="M28" s="407"/>
      <c r="N28" s="407"/>
      <c r="O28" s="411"/>
      <c r="P28" s="411"/>
      <c r="Q28" s="412"/>
    </row>
    <row r="29" spans="2:89" ht="17" thickBot="1" x14ac:dyDescent="0.25">
      <c r="B29" s="136" t="s">
        <v>0</v>
      </c>
      <c r="C29" s="64"/>
      <c r="D29" s="64"/>
      <c r="E29" s="137"/>
      <c r="F29" s="413"/>
      <c r="G29" s="413"/>
      <c r="H29" s="413"/>
      <c r="I29" s="413"/>
      <c r="J29" s="413"/>
      <c r="K29" s="413"/>
      <c r="L29" s="413"/>
      <c r="M29" s="414">
        <f t="shared" ref="M29:BA29" si="29">SUM(M26:M27)</f>
        <v>0</v>
      </c>
      <c r="N29" s="414">
        <f t="shared" si="29"/>
        <v>0</v>
      </c>
      <c r="O29" s="414">
        <f t="shared" si="29"/>
        <v>0</v>
      </c>
      <c r="P29" s="414">
        <f t="shared" si="29"/>
        <v>0</v>
      </c>
      <c r="Q29" s="415">
        <f t="shared" si="29"/>
        <v>0</v>
      </c>
      <c r="R29" s="99">
        <f t="shared" si="29"/>
        <v>0</v>
      </c>
      <c r="S29" s="99">
        <f t="shared" si="29"/>
        <v>0</v>
      </c>
      <c r="T29" s="99">
        <f t="shared" si="29"/>
        <v>0</v>
      </c>
      <c r="U29" s="99">
        <f t="shared" si="29"/>
        <v>7000</v>
      </c>
      <c r="V29" s="99">
        <f t="shared" si="29"/>
        <v>0</v>
      </c>
      <c r="W29" s="99">
        <f t="shared" si="29"/>
        <v>0</v>
      </c>
      <c r="X29" s="99">
        <f t="shared" si="29"/>
        <v>0</v>
      </c>
      <c r="Y29" s="99">
        <f t="shared" si="29"/>
        <v>0</v>
      </c>
      <c r="Z29" s="99">
        <f t="shared" si="29"/>
        <v>0</v>
      </c>
      <c r="AA29" s="99">
        <f t="shared" si="29"/>
        <v>0</v>
      </c>
      <c r="AB29" s="99">
        <f t="shared" si="29"/>
        <v>0</v>
      </c>
      <c r="AC29" s="100">
        <f t="shared" si="29"/>
        <v>0</v>
      </c>
      <c r="AD29" s="99">
        <f t="shared" si="29"/>
        <v>0</v>
      </c>
      <c r="AE29" s="99">
        <f t="shared" si="29"/>
        <v>0</v>
      </c>
      <c r="AF29" s="99">
        <f t="shared" si="29"/>
        <v>0</v>
      </c>
      <c r="AG29" s="99">
        <f t="shared" si="29"/>
        <v>0</v>
      </c>
      <c r="AH29" s="99">
        <f t="shared" si="29"/>
        <v>5000</v>
      </c>
      <c r="AI29" s="99">
        <f t="shared" si="29"/>
        <v>5000</v>
      </c>
      <c r="AJ29" s="99">
        <f t="shared" si="29"/>
        <v>5000</v>
      </c>
      <c r="AK29" s="99">
        <f t="shared" si="29"/>
        <v>5000</v>
      </c>
      <c r="AL29" s="99">
        <f t="shared" si="29"/>
        <v>5000</v>
      </c>
      <c r="AM29" s="99">
        <f t="shared" si="29"/>
        <v>5000</v>
      </c>
      <c r="AN29" s="99">
        <f t="shared" si="29"/>
        <v>5000</v>
      </c>
      <c r="AO29" s="100">
        <f t="shared" si="29"/>
        <v>5000</v>
      </c>
      <c r="AP29" s="99">
        <f t="shared" si="29"/>
        <v>7500</v>
      </c>
      <c r="AQ29" s="99">
        <f t="shared" si="29"/>
        <v>7500</v>
      </c>
      <c r="AR29" s="99">
        <f t="shared" si="29"/>
        <v>7500</v>
      </c>
      <c r="AS29" s="99">
        <f t="shared" si="29"/>
        <v>7500</v>
      </c>
      <c r="AT29" s="99">
        <f t="shared" si="29"/>
        <v>7500</v>
      </c>
      <c r="AU29" s="99">
        <f t="shared" si="29"/>
        <v>7500</v>
      </c>
      <c r="AV29" s="99">
        <f t="shared" si="29"/>
        <v>7500</v>
      </c>
      <c r="AW29" s="99">
        <f t="shared" si="29"/>
        <v>7500</v>
      </c>
      <c r="AX29" s="99">
        <f t="shared" si="29"/>
        <v>7500</v>
      </c>
      <c r="AY29" s="99">
        <f t="shared" si="29"/>
        <v>7500</v>
      </c>
      <c r="AZ29" s="99">
        <f t="shared" si="29"/>
        <v>7500</v>
      </c>
      <c r="BA29" s="100">
        <f t="shared" si="29"/>
        <v>7500</v>
      </c>
      <c r="BB29" s="99">
        <f t="shared" ref="BB29:BM29" si="30">SUM(BB26:BB27)</f>
        <v>7500</v>
      </c>
      <c r="BC29" s="99">
        <f t="shared" si="30"/>
        <v>7500</v>
      </c>
      <c r="BD29" s="99">
        <f t="shared" si="30"/>
        <v>7500</v>
      </c>
      <c r="BE29" s="99">
        <f t="shared" si="30"/>
        <v>7500</v>
      </c>
      <c r="BF29" s="99">
        <f t="shared" si="30"/>
        <v>7500</v>
      </c>
      <c r="BG29" s="99">
        <f t="shared" si="30"/>
        <v>7500</v>
      </c>
      <c r="BH29" s="99">
        <f t="shared" si="30"/>
        <v>7500</v>
      </c>
      <c r="BI29" s="99">
        <f t="shared" si="30"/>
        <v>7500</v>
      </c>
      <c r="BJ29" s="99">
        <f t="shared" si="30"/>
        <v>7500</v>
      </c>
      <c r="BK29" s="99">
        <f t="shared" si="30"/>
        <v>7500</v>
      </c>
      <c r="BL29" s="99">
        <f t="shared" si="30"/>
        <v>7500</v>
      </c>
      <c r="BM29" s="100">
        <f t="shared" si="30"/>
        <v>7500</v>
      </c>
      <c r="BN29" s="99">
        <f t="shared" ref="BN29:BY29" si="31">SUM(BN26:BN27)</f>
        <v>7500</v>
      </c>
      <c r="BO29" s="99">
        <f t="shared" si="31"/>
        <v>7500</v>
      </c>
      <c r="BP29" s="99">
        <f t="shared" si="31"/>
        <v>7500</v>
      </c>
      <c r="BQ29" s="99">
        <f t="shared" si="31"/>
        <v>7500</v>
      </c>
      <c r="BR29" s="99">
        <f t="shared" si="31"/>
        <v>7500</v>
      </c>
      <c r="BS29" s="99">
        <f t="shared" si="31"/>
        <v>7500</v>
      </c>
      <c r="BT29" s="99">
        <f t="shared" si="31"/>
        <v>7500</v>
      </c>
      <c r="BU29" s="99">
        <f t="shared" si="31"/>
        <v>7500</v>
      </c>
      <c r="BV29" s="99">
        <f t="shared" si="31"/>
        <v>7500</v>
      </c>
      <c r="BW29" s="99">
        <f t="shared" si="31"/>
        <v>7500</v>
      </c>
      <c r="BX29" s="99">
        <f t="shared" si="31"/>
        <v>7500</v>
      </c>
      <c r="BY29" s="100">
        <f t="shared" si="31"/>
        <v>7500</v>
      </c>
      <c r="BZ29" s="99">
        <f t="shared" ref="BZ29:CK29" si="32">SUM(BZ26:BZ27)</f>
        <v>7500</v>
      </c>
      <c r="CA29" s="99">
        <f t="shared" si="32"/>
        <v>7500</v>
      </c>
      <c r="CB29" s="99">
        <f t="shared" si="32"/>
        <v>7500</v>
      </c>
      <c r="CC29" s="99">
        <f t="shared" si="32"/>
        <v>7500</v>
      </c>
      <c r="CD29" s="99">
        <f t="shared" si="32"/>
        <v>7500</v>
      </c>
      <c r="CE29" s="99">
        <f t="shared" si="32"/>
        <v>7500</v>
      </c>
      <c r="CF29" s="99">
        <f t="shared" si="32"/>
        <v>7500</v>
      </c>
      <c r="CG29" s="99">
        <f t="shared" si="32"/>
        <v>7500</v>
      </c>
      <c r="CH29" s="99">
        <f t="shared" si="32"/>
        <v>7500</v>
      </c>
      <c r="CI29" s="99">
        <f t="shared" si="32"/>
        <v>7500</v>
      </c>
      <c r="CJ29" s="99">
        <f t="shared" si="32"/>
        <v>7500</v>
      </c>
      <c r="CK29" s="100">
        <f t="shared" si="32"/>
        <v>7500</v>
      </c>
    </row>
    <row r="30" spans="2:89" x14ac:dyDescent="0.2">
      <c r="B30" s="21"/>
      <c r="F30" s="407"/>
      <c r="G30" s="407"/>
      <c r="H30" s="407"/>
      <c r="I30" s="407"/>
      <c r="J30" s="407"/>
      <c r="K30" s="407"/>
      <c r="L30" s="407"/>
      <c r="M30" s="407"/>
      <c r="N30" s="407"/>
      <c r="O30" s="407"/>
      <c r="P30" s="407"/>
      <c r="Q30" s="408"/>
    </row>
    <row r="31" spans="2:89" x14ac:dyDescent="0.2">
      <c r="B31" s="21" t="s">
        <v>75</v>
      </c>
      <c r="F31" s="407"/>
      <c r="G31" s="407"/>
      <c r="H31" s="407"/>
      <c r="I31" s="407"/>
      <c r="J31" s="407"/>
      <c r="K31" s="407"/>
      <c r="L31" s="407"/>
      <c r="M31" s="407"/>
      <c r="N31" s="411">
        <v>125</v>
      </c>
      <c r="O31" s="411">
        <v>115</v>
      </c>
      <c r="P31" s="411">
        <v>115</v>
      </c>
      <c r="Q31" s="412">
        <v>115</v>
      </c>
      <c r="R31" s="169">
        <v>115</v>
      </c>
      <c r="S31" s="169">
        <v>115</v>
      </c>
      <c r="T31" s="189">
        <v>115</v>
      </c>
      <c r="U31" s="169">
        <v>110</v>
      </c>
      <c r="V31" s="169">
        <v>110</v>
      </c>
      <c r="W31" s="169">
        <v>110</v>
      </c>
      <c r="X31" s="169">
        <v>105</v>
      </c>
      <c r="Y31" s="169">
        <v>105</v>
      </c>
      <c r="Z31" s="169">
        <v>105</v>
      </c>
      <c r="AA31" s="169">
        <v>105</v>
      </c>
      <c r="AB31" s="169">
        <v>100</v>
      </c>
      <c r="AC31" s="188">
        <v>100</v>
      </c>
      <c r="AD31" s="189">
        <v>95</v>
      </c>
      <c r="AE31" s="169">
        <v>95</v>
      </c>
      <c r="AF31" s="169">
        <v>95</v>
      </c>
      <c r="AG31" s="169">
        <v>95</v>
      </c>
      <c r="AH31" s="169">
        <v>95</v>
      </c>
      <c r="AI31" s="169">
        <v>90</v>
      </c>
      <c r="AJ31" s="169">
        <v>90</v>
      </c>
      <c r="AK31" s="169">
        <v>90</v>
      </c>
      <c r="AL31" s="169">
        <v>90</v>
      </c>
      <c r="AM31" s="169">
        <v>90</v>
      </c>
      <c r="AN31" s="169">
        <v>85</v>
      </c>
      <c r="AO31" s="188">
        <v>85</v>
      </c>
      <c r="AP31" s="189">
        <v>85</v>
      </c>
      <c r="AQ31" s="169">
        <v>85</v>
      </c>
      <c r="AR31" s="169">
        <v>80</v>
      </c>
      <c r="AS31" s="169">
        <v>80</v>
      </c>
      <c r="AT31" s="169">
        <v>80</v>
      </c>
      <c r="AU31" s="169">
        <v>80</v>
      </c>
      <c r="AV31" s="169">
        <v>75</v>
      </c>
      <c r="AW31" s="169">
        <v>75</v>
      </c>
      <c r="AX31" s="169">
        <v>75</v>
      </c>
      <c r="AY31" s="169">
        <v>75</v>
      </c>
      <c r="AZ31" s="169">
        <v>75</v>
      </c>
      <c r="BA31" s="188">
        <v>75</v>
      </c>
      <c r="BB31" s="189">
        <v>85</v>
      </c>
      <c r="BC31" s="169">
        <v>85</v>
      </c>
      <c r="BD31" s="169">
        <v>80</v>
      </c>
      <c r="BE31" s="169">
        <v>80</v>
      </c>
      <c r="BF31" s="169">
        <v>80</v>
      </c>
      <c r="BG31" s="169">
        <v>80</v>
      </c>
      <c r="BH31" s="169">
        <v>75</v>
      </c>
      <c r="BI31" s="169">
        <v>75</v>
      </c>
      <c r="BJ31" s="169">
        <v>75</v>
      </c>
      <c r="BK31" s="169">
        <v>75</v>
      </c>
      <c r="BL31" s="169">
        <v>75</v>
      </c>
      <c r="BM31" s="188">
        <v>75</v>
      </c>
      <c r="BN31" s="189">
        <v>85</v>
      </c>
      <c r="BO31" s="169">
        <v>85</v>
      </c>
      <c r="BP31" s="169">
        <v>80</v>
      </c>
      <c r="BQ31" s="169">
        <v>80</v>
      </c>
      <c r="BR31" s="169">
        <v>80</v>
      </c>
      <c r="BS31" s="169">
        <v>80</v>
      </c>
      <c r="BT31" s="169">
        <v>75</v>
      </c>
      <c r="BU31" s="169">
        <v>75</v>
      </c>
      <c r="BV31" s="169">
        <v>75</v>
      </c>
      <c r="BW31" s="169">
        <v>75</v>
      </c>
      <c r="BX31" s="169">
        <v>75</v>
      </c>
      <c r="BY31" s="188">
        <v>75</v>
      </c>
      <c r="BZ31" s="189">
        <v>85</v>
      </c>
      <c r="CA31" s="169">
        <v>85</v>
      </c>
      <c r="CB31" s="169">
        <v>80</v>
      </c>
      <c r="CC31" s="169">
        <v>80</v>
      </c>
      <c r="CD31" s="169">
        <v>80</v>
      </c>
      <c r="CE31" s="169">
        <v>80</v>
      </c>
      <c r="CF31" s="169">
        <v>75</v>
      </c>
      <c r="CG31" s="169">
        <v>75</v>
      </c>
      <c r="CH31" s="169">
        <v>75</v>
      </c>
      <c r="CI31" s="169">
        <v>75</v>
      </c>
      <c r="CJ31" s="169">
        <v>75</v>
      </c>
      <c r="CK31" s="188">
        <v>75</v>
      </c>
    </row>
    <row r="32" spans="2:89" x14ac:dyDescent="0.2">
      <c r="B32" s="118" t="s">
        <v>76</v>
      </c>
      <c r="F32" s="407"/>
      <c r="G32" s="407"/>
      <c r="H32" s="407"/>
      <c r="I32" s="407"/>
      <c r="J32" s="407"/>
      <c r="K32" s="407"/>
      <c r="L32" s="407"/>
      <c r="M32" s="407"/>
      <c r="N32" s="416">
        <f>(N20+N29)/N31</f>
        <v>81.599999999999994</v>
      </c>
      <c r="O32" s="416">
        <f>(O20+O29)/O31</f>
        <v>88.695652173913047</v>
      </c>
      <c r="P32" s="416">
        <f>(P20+P29)/P31</f>
        <v>75.652173913043484</v>
      </c>
      <c r="Q32" s="417">
        <f>(Q20+Q29)/Q31</f>
        <v>80</v>
      </c>
      <c r="R32" s="292">
        <f t="shared" ref="R32:AZ32" si="33">R20/R31</f>
        <v>43.478260869565219</v>
      </c>
      <c r="S32" s="292">
        <f t="shared" si="33"/>
        <v>43.478260869565219</v>
      </c>
      <c r="T32" s="292">
        <f t="shared" si="33"/>
        <v>21.739130434782609</v>
      </c>
      <c r="U32" s="292">
        <f t="shared" si="33"/>
        <v>22.727272727272727</v>
      </c>
      <c r="V32" s="292">
        <f t="shared" si="33"/>
        <v>22.727272727272727</v>
      </c>
      <c r="W32" s="292">
        <f t="shared" si="33"/>
        <v>22.727272727272727</v>
      </c>
      <c r="X32" s="292">
        <f t="shared" si="33"/>
        <v>23.80952380952381</v>
      </c>
      <c r="Y32" s="292">
        <f t="shared" si="33"/>
        <v>23.80952380952381</v>
      </c>
      <c r="Z32" s="292">
        <f t="shared" si="33"/>
        <v>23.80952380952381</v>
      </c>
      <c r="AA32" s="292">
        <f t="shared" si="33"/>
        <v>23.80952380952381</v>
      </c>
      <c r="AB32" s="292">
        <f t="shared" si="33"/>
        <v>25</v>
      </c>
      <c r="AC32" s="115">
        <f t="shared" si="33"/>
        <v>25</v>
      </c>
      <c r="AD32" s="292">
        <f t="shared" si="33"/>
        <v>26.315789473684209</v>
      </c>
      <c r="AE32" s="292">
        <f t="shared" si="33"/>
        <v>26.315789473684209</v>
      </c>
      <c r="AF32" s="292">
        <f t="shared" si="33"/>
        <v>42.10526315789474</v>
      </c>
      <c r="AG32" s="292">
        <f t="shared" si="33"/>
        <v>421.05263157894734</v>
      </c>
      <c r="AH32" s="292">
        <f t="shared" si="33"/>
        <v>421.05263157894734</v>
      </c>
      <c r="AI32" s="292">
        <f t="shared" si="33"/>
        <v>444.44444444444446</v>
      </c>
      <c r="AJ32" s="292">
        <f t="shared" si="33"/>
        <v>444.44444444444446</v>
      </c>
      <c r="AK32" s="292">
        <f t="shared" si="33"/>
        <v>444.44444444444446</v>
      </c>
      <c r="AL32" s="292">
        <f t="shared" si="33"/>
        <v>444.44444444444446</v>
      </c>
      <c r="AM32" s="292">
        <f t="shared" si="33"/>
        <v>444.44444444444446</v>
      </c>
      <c r="AN32" s="292">
        <f t="shared" si="33"/>
        <v>470.58823529411762</v>
      </c>
      <c r="AO32" s="115">
        <f t="shared" si="33"/>
        <v>294.11764705882354</v>
      </c>
      <c r="AP32" s="292">
        <f t="shared" si="33"/>
        <v>376.47058823529414</v>
      </c>
      <c r="AQ32" s="292">
        <f t="shared" si="33"/>
        <v>376.47058823529414</v>
      </c>
      <c r="AR32" s="292">
        <f t="shared" si="33"/>
        <v>400</v>
      </c>
      <c r="AS32" s="292">
        <f t="shared" si="33"/>
        <v>400</v>
      </c>
      <c r="AT32" s="292">
        <f t="shared" si="33"/>
        <v>400</v>
      </c>
      <c r="AU32" s="292">
        <f t="shared" si="33"/>
        <v>400</v>
      </c>
      <c r="AV32" s="292">
        <f t="shared" si="33"/>
        <v>426.66666666666669</v>
      </c>
      <c r="AW32" s="292">
        <f t="shared" si="33"/>
        <v>426.66666666666669</v>
      </c>
      <c r="AX32" s="292">
        <f t="shared" si="33"/>
        <v>426.66666666666669</v>
      </c>
      <c r="AY32" s="292">
        <f t="shared" si="33"/>
        <v>426.66666666666669</v>
      </c>
      <c r="AZ32" s="292">
        <f t="shared" si="33"/>
        <v>426.66666666666669</v>
      </c>
      <c r="BA32" s="115">
        <f>BA20/BA31</f>
        <v>426.66666666666669</v>
      </c>
      <c r="BB32" s="292">
        <f t="shared" ref="BB32:BL32" si="34">BB20/BB31</f>
        <v>376.47058823529414</v>
      </c>
      <c r="BC32" s="292">
        <f t="shared" si="34"/>
        <v>376.47058823529414</v>
      </c>
      <c r="BD32" s="292">
        <f t="shared" si="34"/>
        <v>400</v>
      </c>
      <c r="BE32" s="292">
        <f t="shared" si="34"/>
        <v>400</v>
      </c>
      <c r="BF32" s="292">
        <f t="shared" si="34"/>
        <v>400</v>
      </c>
      <c r="BG32" s="292">
        <f t="shared" si="34"/>
        <v>400</v>
      </c>
      <c r="BH32" s="292">
        <f t="shared" si="34"/>
        <v>426.66666666666669</v>
      </c>
      <c r="BI32" s="292">
        <f t="shared" si="34"/>
        <v>426.66666666666669</v>
      </c>
      <c r="BJ32" s="292">
        <f t="shared" si="34"/>
        <v>426.66666666666669</v>
      </c>
      <c r="BK32" s="292">
        <f t="shared" si="34"/>
        <v>426.66666666666669</v>
      </c>
      <c r="BL32" s="292">
        <f t="shared" si="34"/>
        <v>426.66666666666669</v>
      </c>
      <c r="BM32" s="115">
        <f>BM20/BM31</f>
        <v>426.66666666666669</v>
      </c>
      <c r="BN32" s="292">
        <f t="shared" ref="BN32:BX32" si="35">BN20/BN31</f>
        <v>376.47058823529414</v>
      </c>
      <c r="BO32" s="292">
        <f t="shared" si="35"/>
        <v>376.47058823529414</v>
      </c>
      <c r="BP32" s="292">
        <f t="shared" si="35"/>
        <v>400</v>
      </c>
      <c r="BQ32" s="292">
        <f t="shared" si="35"/>
        <v>400</v>
      </c>
      <c r="BR32" s="292">
        <f t="shared" si="35"/>
        <v>400</v>
      </c>
      <c r="BS32" s="292">
        <f t="shared" si="35"/>
        <v>400</v>
      </c>
      <c r="BT32" s="292">
        <f t="shared" si="35"/>
        <v>426.66666666666669</v>
      </c>
      <c r="BU32" s="292">
        <f t="shared" si="35"/>
        <v>426.66666666666669</v>
      </c>
      <c r="BV32" s="292">
        <f t="shared" si="35"/>
        <v>426.66666666666669</v>
      </c>
      <c r="BW32" s="292">
        <f t="shared" si="35"/>
        <v>426.66666666666669</v>
      </c>
      <c r="BX32" s="292">
        <f t="shared" si="35"/>
        <v>426.66666666666669</v>
      </c>
      <c r="BY32" s="115">
        <f>BY20/BY31</f>
        <v>426.66666666666669</v>
      </c>
      <c r="BZ32" s="292">
        <f t="shared" ref="BZ32:CJ32" si="36">BZ20/BZ31</f>
        <v>376.47058823529414</v>
      </c>
      <c r="CA32" s="292">
        <f t="shared" si="36"/>
        <v>376.47058823529414</v>
      </c>
      <c r="CB32" s="292">
        <f t="shared" si="36"/>
        <v>400</v>
      </c>
      <c r="CC32" s="292">
        <f t="shared" si="36"/>
        <v>400</v>
      </c>
      <c r="CD32" s="292">
        <f t="shared" si="36"/>
        <v>400</v>
      </c>
      <c r="CE32" s="292">
        <f t="shared" si="36"/>
        <v>400</v>
      </c>
      <c r="CF32" s="292">
        <f t="shared" si="36"/>
        <v>426.66666666666669</v>
      </c>
      <c r="CG32" s="292">
        <f t="shared" si="36"/>
        <v>426.66666666666669</v>
      </c>
      <c r="CH32" s="292">
        <f t="shared" si="36"/>
        <v>426.66666666666669</v>
      </c>
      <c r="CI32" s="292">
        <f t="shared" si="36"/>
        <v>426.66666666666669</v>
      </c>
      <c r="CJ32" s="292">
        <f t="shared" si="36"/>
        <v>426.66666666666669</v>
      </c>
      <c r="CK32" s="115">
        <f>CK20/CK31</f>
        <v>426.66666666666669</v>
      </c>
    </row>
    <row r="33" spans="2:89" x14ac:dyDescent="0.2">
      <c r="B33" s="21" t="s">
        <v>59</v>
      </c>
      <c r="C33" s="220">
        <v>1.7500000000000002E-2</v>
      </c>
      <c r="F33" s="407"/>
      <c r="G33" s="407"/>
      <c r="H33" s="407"/>
      <c r="I33" s="407"/>
      <c r="J33" s="407"/>
      <c r="K33" s="407"/>
      <c r="L33" s="407"/>
      <c r="M33" s="418">
        <v>3500</v>
      </c>
      <c r="N33" s="419">
        <f>M33*C33</f>
        <v>61.250000000000007</v>
      </c>
      <c r="O33" s="419">
        <f t="shared" ref="O33:BA33" si="37">N34*$C33</f>
        <v>61.606125000000006</v>
      </c>
      <c r="P33" s="419">
        <f t="shared" si="37"/>
        <v>62.080191725543486</v>
      </c>
      <c r="Q33" s="420">
        <f t="shared" si="37"/>
        <v>62.317701413824736</v>
      </c>
      <c r="R33" s="104">
        <f t="shared" si="37"/>
        <v>62.627141639082808</v>
      </c>
      <c r="S33" s="104">
        <f t="shared" si="37"/>
        <v>62.292036225616243</v>
      </c>
      <c r="T33" s="104">
        <f t="shared" si="37"/>
        <v>61.962795156885349</v>
      </c>
      <c r="U33" s="104">
        <f t="shared" si="37"/>
        <v>61.258881024248545</v>
      </c>
      <c r="V33" s="104">
        <f t="shared" si="37"/>
        <v>60.584577879051459</v>
      </c>
      <c r="W33" s="104">
        <f t="shared" si="37"/>
        <v>59.922075038895336</v>
      </c>
      <c r="X33" s="104">
        <f t="shared" si="37"/>
        <v>59.27116599844193</v>
      </c>
      <c r="Y33" s="104">
        <f t="shared" si="37"/>
        <v>58.650587260135865</v>
      </c>
      <c r="Z33" s="104">
        <f t="shared" si="37"/>
        <v>58.040868649750152</v>
      </c>
      <c r="AA33" s="104">
        <f t="shared" si="37"/>
        <v>57.441820115046191</v>
      </c>
      <c r="AB33" s="104">
        <f t="shared" si="37"/>
        <v>56.853254929699546</v>
      </c>
      <c r="AC33" s="116">
        <f t="shared" si="37"/>
        <v>56.295822968429803</v>
      </c>
      <c r="AD33" s="104">
        <f t="shared" si="37"/>
        <v>55.748146066482278</v>
      </c>
      <c r="AE33" s="104">
        <f t="shared" si="37"/>
        <v>55.233079826108316</v>
      </c>
      <c r="AF33" s="104">
        <f t="shared" si="37"/>
        <v>54.727027244940892</v>
      </c>
      <c r="AG33" s="104">
        <f t="shared" si="37"/>
        <v>54.506146373417579</v>
      </c>
      <c r="AH33" s="104">
        <f t="shared" si="37"/>
        <v>60.92070986451435</v>
      </c>
      <c r="AI33" s="104">
        <f t="shared" si="37"/>
        <v>67.223018494516936</v>
      </c>
      <c r="AJ33" s="104">
        <f t="shared" si="37"/>
        <v>73.824393448640677</v>
      </c>
      <c r="AK33" s="104">
        <f t="shared" si="37"/>
        <v>80.310244341067246</v>
      </c>
      <c r="AL33" s="104">
        <f t="shared" si="37"/>
        <v>86.682592842876346</v>
      </c>
      <c r="AM33" s="104">
        <f t="shared" si="37"/>
        <v>92.943425245903782</v>
      </c>
      <c r="AN33" s="104">
        <f t="shared" si="37"/>
        <v>99.094693081878248</v>
      </c>
      <c r="AO33" s="116">
        <f t="shared" si="37"/>
        <v>105.59583007059244</v>
      </c>
      <c r="AP33" s="104">
        <f t="shared" si="37"/>
        <v>108.89496186788648</v>
      </c>
      <c r="AQ33" s="104">
        <f t="shared" si="37"/>
        <v>113.57753532931612</v>
      </c>
      <c r="AR33" s="104">
        <f t="shared" si="37"/>
        <v>118.17816375517073</v>
      </c>
      <c r="AS33" s="104">
        <f t="shared" si="37"/>
        <v>123.11004588945525</v>
      </c>
      <c r="AT33" s="104">
        <f t="shared" si="37"/>
        <v>127.95562008638979</v>
      </c>
      <c r="AU33" s="104">
        <f t="shared" si="37"/>
        <v>132.71639673487797</v>
      </c>
      <c r="AV33" s="104">
        <f t="shared" si="37"/>
        <v>137.39385979201759</v>
      </c>
      <c r="AW33" s="104">
        <f t="shared" si="37"/>
        <v>142.45613391232396</v>
      </c>
      <c r="AX33" s="104">
        <f t="shared" si="37"/>
        <v>147.42981823552495</v>
      </c>
      <c r="AY33" s="104">
        <f t="shared" si="37"/>
        <v>152.31646308306992</v>
      </c>
      <c r="AZ33" s="104">
        <f t="shared" si="37"/>
        <v>157.11759164578282</v>
      </c>
      <c r="BA33" s="116">
        <f t="shared" si="37"/>
        <v>161.83470045864829</v>
      </c>
      <c r="BB33" s="104">
        <f t="shared" ref="BB33" si="38">BA34*$C33</f>
        <v>166.4692598672886</v>
      </c>
      <c r="BC33" s="104">
        <f t="shared" ref="BC33" si="39">BB34*$C33</f>
        <v>170.1442831137287</v>
      </c>
      <c r="BD33" s="104">
        <f t="shared" ref="BD33" si="40">BC34*$C33</f>
        <v>173.75499345335609</v>
      </c>
      <c r="BE33" s="104">
        <f t="shared" ref="BE33" si="41">BD34*$C33</f>
        <v>177.71428106792234</v>
      </c>
      <c r="BF33" s="104">
        <f t="shared" ref="BF33" si="42">BE34*$C33</f>
        <v>181.60428114923371</v>
      </c>
      <c r="BG33" s="104">
        <f t="shared" ref="BG33" si="43">BF34*$C33</f>
        <v>185.42620622912213</v>
      </c>
      <c r="BH33" s="104">
        <f t="shared" ref="BH33" si="44">BG34*$C33</f>
        <v>189.18124762011252</v>
      </c>
      <c r="BI33" s="104">
        <f t="shared" ref="BI33" si="45">BH34*$C33</f>
        <v>193.33724245342719</v>
      </c>
      <c r="BJ33" s="104">
        <f t="shared" ref="BJ33" si="46">BI34*$C33</f>
        <v>197.42050737715888</v>
      </c>
      <c r="BK33" s="104">
        <f t="shared" ref="BK33" si="47">BJ34*$C33</f>
        <v>201.43231516472528</v>
      </c>
      <c r="BL33" s="104">
        <f t="shared" ref="BL33" si="48">BK34*$C33</f>
        <v>205.37391631600923</v>
      </c>
      <c r="BM33" s="116">
        <f t="shared" ref="BM33" si="49">BL34*$C33</f>
        <v>209.24653944714572</v>
      </c>
      <c r="BN33" s="104">
        <f t="shared" ref="BN33" si="50">BM34*$C33</f>
        <v>213.05139167348733</v>
      </c>
      <c r="BO33" s="104">
        <f t="shared" ref="BO33" si="51">BN34*$C33</f>
        <v>215.91122761331894</v>
      </c>
      <c r="BP33" s="104">
        <f t="shared" ref="BP33" si="52">BO34*$C33</f>
        <v>218.7210164242035</v>
      </c>
      <c r="BQ33" s="104">
        <f t="shared" ref="BQ33" si="53">BP34*$C33</f>
        <v>221.89339863677992</v>
      </c>
      <c r="BR33" s="104">
        <f t="shared" ref="BR33" si="54">BQ34*$C33</f>
        <v>225.0102641606363</v>
      </c>
      <c r="BS33" s="104">
        <f t="shared" ref="BS33" si="55">BR34*$C33</f>
        <v>228.07258453782518</v>
      </c>
      <c r="BT33" s="104">
        <f t="shared" ref="BT33" si="56">BS34*$C33</f>
        <v>231.08131430841323</v>
      </c>
      <c r="BU33" s="104">
        <f t="shared" ref="BU33" si="57">BT34*$C33</f>
        <v>234.50405797468267</v>
      </c>
      <c r="BV33" s="104">
        <f t="shared" ref="BV33" si="58">BU34*$C33</f>
        <v>237.86690362679238</v>
      </c>
      <c r="BW33" s="104">
        <f t="shared" ref="BW33" si="59">BV34*$C33</f>
        <v>241.17089947999017</v>
      </c>
      <c r="BX33" s="104">
        <f t="shared" ref="BX33" si="60">BW34*$C33</f>
        <v>244.417075405757</v>
      </c>
      <c r="BY33" s="116">
        <f t="shared" ref="BY33" si="61">BX34*$C33</f>
        <v>247.60644325282288</v>
      </c>
      <c r="BZ33" s="104">
        <f t="shared" ref="BZ33" si="62">BY34*$C33</f>
        <v>250.73999716256515</v>
      </c>
      <c r="CA33" s="104">
        <f t="shared" ref="CA33" si="63">BZ34*$C33</f>
        <v>252.94028250633787</v>
      </c>
      <c r="CB33" s="104">
        <f t="shared" ref="CB33" si="64">CA34*$C33</f>
        <v>255.10206285659461</v>
      </c>
      <c r="CC33" s="104">
        <f t="shared" ref="CC33" si="65">CB34*$C33</f>
        <v>257.63777675660418</v>
      </c>
      <c r="CD33" s="104">
        <f t="shared" ref="CD33" si="66">CC34*$C33</f>
        <v>260.12911566336362</v>
      </c>
      <c r="CE33" s="104">
        <f t="shared" ref="CE33" si="67">CD34*$C33</f>
        <v>262.57685613925474</v>
      </c>
      <c r="CF33" s="104">
        <f t="shared" ref="CF33" si="68">CE34*$C33</f>
        <v>264.98176115681781</v>
      </c>
      <c r="CG33" s="104">
        <f t="shared" ref="CG33" si="69">CF34*$C33</f>
        <v>267.81124700324017</v>
      </c>
      <c r="CH33" s="104">
        <f t="shared" ref="CH33" si="70">CG34*$C33</f>
        <v>270.5912168473501</v>
      </c>
      <c r="CI33" s="104">
        <f t="shared" ref="CI33" si="71">CH34*$C33</f>
        <v>273.32253721918812</v>
      </c>
      <c r="CJ33" s="104">
        <f t="shared" ref="CJ33" si="72">CI34*$C33</f>
        <v>276.00605948451903</v>
      </c>
      <c r="CK33" s="116">
        <f t="shared" ref="CK33" si="73">CJ34*$C33</f>
        <v>278.64262011020656</v>
      </c>
    </row>
    <row r="34" spans="2:89" x14ac:dyDescent="0.2">
      <c r="B34" s="21" t="s">
        <v>77</v>
      </c>
      <c r="F34" s="407"/>
      <c r="G34" s="407"/>
      <c r="H34" s="407"/>
      <c r="I34" s="407"/>
      <c r="J34" s="407"/>
      <c r="K34" s="407"/>
      <c r="L34" s="407"/>
      <c r="M34" s="407"/>
      <c r="N34" s="421">
        <f>M33+N32-N33</f>
        <v>3520.35</v>
      </c>
      <c r="O34" s="421">
        <f t="shared" ref="O34:BA34" si="74">N34+O32-O33</f>
        <v>3547.4395271739131</v>
      </c>
      <c r="P34" s="421">
        <f t="shared" si="74"/>
        <v>3561.0115093614131</v>
      </c>
      <c r="Q34" s="422">
        <f t="shared" si="74"/>
        <v>3578.6938079475885</v>
      </c>
      <c r="R34" s="103">
        <f t="shared" si="74"/>
        <v>3559.5449271780708</v>
      </c>
      <c r="S34" s="103">
        <f t="shared" si="74"/>
        <v>3540.7311518220195</v>
      </c>
      <c r="T34" s="103">
        <f t="shared" si="74"/>
        <v>3500.5074870999165</v>
      </c>
      <c r="U34" s="103">
        <f t="shared" si="74"/>
        <v>3461.9758788029403</v>
      </c>
      <c r="V34" s="103">
        <f t="shared" si="74"/>
        <v>3424.1185736511616</v>
      </c>
      <c r="W34" s="103">
        <f t="shared" si="74"/>
        <v>3386.9237713395387</v>
      </c>
      <c r="X34" s="103">
        <f t="shared" si="74"/>
        <v>3351.4621291506205</v>
      </c>
      <c r="Y34" s="103">
        <f t="shared" si="74"/>
        <v>3316.6210657000083</v>
      </c>
      <c r="Z34" s="103">
        <f t="shared" si="74"/>
        <v>3282.3897208597818</v>
      </c>
      <c r="AA34" s="103">
        <f t="shared" si="74"/>
        <v>3248.7574245542596</v>
      </c>
      <c r="AB34" s="103">
        <f t="shared" si="74"/>
        <v>3216.9041696245599</v>
      </c>
      <c r="AC34" s="117">
        <f t="shared" si="74"/>
        <v>3185.6083466561299</v>
      </c>
      <c r="AD34" s="103">
        <f t="shared" si="74"/>
        <v>3156.1759900633319</v>
      </c>
      <c r="AE34" s="103">
        <f t="shared" si="74"/>
        <v>3127.2586997109079</v>
      </c>
      <c r="AF34" s="103">
        <f t="shared" si="74"/>
        <v>3114.6369356238615</v>
      </c>
      <c r="AG34" s="103">
        <f t="shared" si="74"/>
        <v>3481.1834208293913</v>
      </c>
      <c r="AH34" s="103">
        <f t="shared" si="74"/>
        <v>3841.3153425438245</v>
      </c>
      <c r="AI34" s="103">
        <f t="shared" si="74"/>
        <v>4218.5367684937528</v>
      </c>
      <c r="AJ34" s="103">
        <f t="shared" si="74"/>
        <v>4589.1568194895563</v>
      </c>
      <c r="AK34" s="103">
        <f t="shared" si="74"/>
        <v>4953.2910195929335</v>
      </c>
      <c r="AL34" s="103">
        <f t="shared" si="74"/>
        <v>5311.0528711945017</v>
      </c>
      <c r="AM34" s="103">
        <f t="shared" si="74"/>
        <v>5662.5538903930419</v>
      </c>
      <c r="AN34" s="103">
        <f t="shared" si="74"/>
        <v>6034.0474326052818</v>
      </c>
      <c r="AO34" s="117">
        <f t="shared" si="74"/>
        <v>6222.5692495935127</v>
      </c>
      <c r="AP34" s="103">
        <f t="shared" si="74"/>
        <v>6490.1448759609202</v>
      </c>
      <c r="AQ34" s="103">
        <f t="shared" si="74"/>
        <v>6753.0379288668983</v>
      </c>
      <c r="AR34" s="103">
        <f t="shared" si="74"/>
        <v>7034.8597651117279</v>
      </c>
      <c r="AS34" s="103">
        <f t="shared" si="74"/>
        <v>7311.7497192222727</v>
      </c>
      <c r="AT34" s="103">
        <f t="shared" si="74"/>
        <v>7583.7940991358828</v>
      </c>
      <c r="AU34" s="103">
        <f t="shared" si="74"/>
        <v>7851.0777024010049</v>
      </c>
      <c r="AV34" s="103">
        <f t="shared" si="74"/>
        <v>8140.3505092756541</v>
      </c>
      <c r="AW34" s="103">
        <f t="shared" si="74"/>
        <v>8424.5610420299963</v>
      </c>
      <c r="AX34" s="103">
        <f t="shared" si="74"/>
        <v>8703.7978904611373</v>
      </c>
      <c r="AY34" s="103">
        <f t="shared" si="74"/>
        <v>8978.1480940447327</v>
      </c>
      <c r="AZ34" s="103">
        <f t="shared" si="74"/>
        <v>9247.6971690656155</v>
      </c>
      <c r="BA34" s="117">
        <f t="shared" si="74"/>
        <v>9512.5291352736331</v>
      </c>
      <c r="BB34" s="103">
        <f t="shared" ref="BB34" si="75">BA34+BB32-BB33</f>
        <v>9722.5304636416386</v>
      </c>
      <c r="BC34" s="103">
        <f t="shared" ref="BC34" si="76">BB34+BC32-BC33</f>
        <v>9928.8567687632039</v>
      </c>
      <c r="BD34" s="103">
        <f t="shared" ref="BD34" si="77">BC34+BD32-BD33</f>
        <v>10155.101775309848</v>
      </c>
      <c r="BE34" s="103">
        <f t="shared" ref="BE34" si="78">BD34+BE32-BE33</f>
        <v>10377.387494241926</v>
      </c>
      <c r="BF34" s="103">
        <f t="shared" ref="BF34" si="79">BE34+BF32-BF33</f>
        <v>10595.783213092693</v>
      </c>
      <c r="BG34" s="103">
        <f t="shared" ref="BG34" si="80">BF34+BG32-BG33</f>
        <v>10810.357006863571</v>
      </c>
      <c r="BH34" s="103">
        <f t="shared" ref="BH34" si="81">BG34+BH32-BH33</f>
        <v>11047.842425910125</v>
      </c>
      <c r="BI34" s="103">
        <f t="shared" ref="BI34" si="82">BH34+BI32-BI33</f>
        <v>11281.171850123364</v>
      </c>
      <c r="BJ34" s="103">
        <f t="shared" ref="BJ34" si="83">BI34+BJ32-BJ33</f>
        <v>11510.418009412871</v>
      </c>
      <c r="BK34" s="103">
        <f t="shared" ref="BK34" si="84">BJ34+BK32-BK33</f>
        <v>11735.652360914812</v>
      </c>
      <c r="BL34" s="103">
        <f t="shared" ref="BL34" si="85">BK34+BL32-BL33</f>
        <v>11956.945111265468</v>
      </c>
      <c r="BM34" s="117">
        <f t="shared" ref="BM34" si="86">BL34+BM32-BM33</f>
        <v>12174.365238484988</v>
      </c>
      <c r="BN34" s="103">
        <f t="shared" ref="BN34" si="87">BM34+BN32-BN33</f>
        <v>12337.784435046795</v>
      </c>
      <c r="BO34" s="103">
        <f t="shared" ref="BO34" si="88">BN34+BO32-BO33</f>
        <v>12498.34379566877</v>
      </c>
      <c r="BP34" s="103">
        <f t="shared" ref="BP34" si="89">BO34+BP32-BP33</f>
        <v>12679.622779244566</v>
      </c>
      <c r="BQ34" s="103">
        <f t="shared" ref="BQ34" si="90">BP34+BQ32-BQ33</f>
        <v>12857.729380607787</v>
      </c>
      <c r="BR34" s="103">
        <f t="shared" ref="BR34" si="91">BQ34+BR32-BR33</f>
        <v>13032.719116447151</v>
      </c>
      <c r="BS34" s="103">
        <f t="shared" ref="BS34" si="92">BR34+BS32-BS33</f>
        <v>13204.646531909326</v>
      </c>
      <c r="BT34" s="103">
        <f t="shared" ref="BT34" si="93">BS34+BT32-BT33</f>
        <v>13400.23188426758</v>
      </c>
      <c r="BU34" s="103">
        <f t="shared" ref="BU34" si="94">BT34+BU32-BU33</f>
        <v>13592.394492959564</v>
      </c>
      <c r="BV34" s="103">
        <f t="shared" ref="BV34" si="95">BU34+BV32-BV33</f>
        <v>13781.194255999437</v>
      </c>
      <c r="BW34" s="103">
        <f t="shared" ref="BW34" si="96">BV34+BW32-BW33</f>
        <v>13966.690023186113</v>
      </c>
      <c r="BX34" s="103">
        <f t="shared" ref="BX34" si="97">BW34+BX32-BX33</f>
        <v>14148.939614447021</v>
      </c>
      <c r="BY34" s="117">
        <f t="shared" ref="BY34" si="98">BX34+BY32-BY33</f>
        <v>14327.999837860863</v>
      </c>
      <c r="BZ34" s="103">
        <f t="shared" ref="BZ34" si="99">BY34+BZ32-BZ33</f>
        <v>14453.730428933592</v>
      </c>
      <c r="CA34" s="103">
        <f t="shared" ref="CA34" si="100">BZ34+CA32-CA33</f>
        <v>14577.260734662548</v>
      </c>
      <c r="CB34" s="103">
        <f t="shared" ref="CB34" si="101">CA34+CB32-CB33</f>
        <v>14722.158671805953</v>
      </c>
      <c r="CC34" s="103">
        <f t="shared" ref="CC34" si="102">CB34+CC32-CC33</f>
        <v>14864.520895049349</v>
      </c>
      <c r="CD34" s="103">
        <f t="shared" ref="CD34" si="103">CC34+CD32-CD33</f>
        <v>15004.391779385986</v>
      </c>
      <c r="CE34" s="103">
        <f t="shared" ref="CE34" si="104">CD34+CE32-CE33</f>
        <v>15141.814923246731</v>
      </c>
      <c r="CF34" s="103">
        <f t="shared" ref="CF34" si="105">CE34+CF32-CF33</f>
        <v>15303.49982875658</v>
      </c>
      <c r="CG34" s="103">
        <f t="shared" ref="CG34" si="106">CF34+CG32-CG33</f>
        <v>15462.355248420005</v>
      </c>
      <c r="CH34" s="103">
        <f t="shared" ref="CH34" si="107">CG34+CH32-CH33</f>
        <v>15618.430698239321</v>
      </c>
      <c r="CI34" s="103">
        <f t="shared" ref="CI34" si="108">CH34+CI32-CI33</f>
        <v>15771.774827686799</v>
      </c>
      <c r="CJ34" s="103">
        <f t="shared" ref="CJ34" si="109">CI34+CJ32-CJ33</f>
        <v>15922.435434868945</v>
      </c>
      <c r="CK34" s="117">
        <f t="shared" ref="CK34" si="110">CJ34+CK32-CK33</f>
        <v>16070.459481425405</v>
      </c>
    </row>
    <row r="35" spans="2:89" x14ac:dyDescent="0.2">
      <c r="B35" s="21"/>
      <c r="F35" s="407"/>
      <c r="G35" s="407"/>
      <c r="H35" s="407"/>
      <c r="I35" s="407"/>
      <c r="J35" s="407"/>
      <c r="K35" s="407"/>
      <c r="L35" s="407"/>
      <c r="M35" s="407"/>
      <c r="N35" s="421"/>
      <c r="O35" s="421"/>
      <c r="P35" s="421"/>
      <c r="Q35" s="422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17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17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17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17"/>
      <c r="BN35" s="103"/>
      <c r="BO35" s="103"/>
      <c r="BP35" s="103"/>
      <c r="BQ35" s="103"/>
      <c r="BR35" s="103"/>
      <c r="BS35" s="103"/>
      <c r="BT35" s="103"/>
      <c r="BU35" s="103"/>
      <c r="BV35" s="103"/>
      <c r="BW35" s="103"/>
      <c r="BX35" s="103"/>
      <c r="BY35" s="117"/>
      <c r="BZ35" s="103"/>
      <c r="CA35" s="103"/>
      <c r="CB35" s="103"/>
      <c r="CC35" s="103"/>
      <c r="CD35" s="103"/>
      <c r="CE35" s="103"/>
      <c r="CF35" s="103"/>
      <c r="CG35" s="103"/>
      <c r="CH35" s="103"/>
      <c r="CI35" s="103"/>
      <c r="CJ35" s="103"/>
      <c r="CK35" s="117"/>
    </row>
    <row r="36" spans="2:89" x14ac:dyDescent="0.2">
      <c r="B36" s="21" t="s">
        <v>86</v>
      </c>
      <c r="C36" s="189">
        <f>350000/M33</f>
        <v>100</v>
      </c>
      <c r="F36" s="407"/>
      <c r="G36" s="407"/>
      <c r="H36" s="407"/>
      <c r="I36" s="407"/>
      <c r="J36" s="407"/>
      <c r="K36" s="407"/>
      <c r="L36" s="407"/>
      <c r="M36" s="407"/>
      <c r="N36" s="411">
        <f t="shared" ref="N36:BA36" si="111">N34*$C36</f>
        <v>352035</v>
      </c>
      <c r="O36" s="411">
        <f t="shared" si="111"/>
        <v>354743.95271739131</v>
      </c>
      <c r="P36" s="411">
        <f t="shared" si="111"/>
        <v>356101.15093614132</v>
      </c>
      <c r="Q36" s="412">
        <f t="shared" si="111"/>
        <v>357869.38079475885</v>
      </c>
      <c r="R36" s="189">
        <f t="shared" si="111"/>
        <v>355954.49271780706</v>
      </c>
      <c r="S36" s="189">
        <f t="shared" si="111"/>
        <v>354073.11518220196</v>
      </c>
      <c r="T36" s="189">
        <f t="shared" si="111"/>
        <v>350050.74870999163</v>
      </c>
      <c r="U36" s="189">
        <f t="shared" si="111"/>
        <v>346197.58788029401</v>
      </c>
      <c r="V36" s="189">
        <f t="shared" si="111"/>
        <v>342411.85736511613</v>
      </c>
      <c r="W36" s="189">
        <f t="shared" si="111"/>
        <v>338692.37713395385</v>
      </c>
      <c r="X36" s="189">
        <f t="shared" si="111"/>
        <v>335146.21291506203</v>
      </c>
      <c r="Y36" s="189">
        <f t="shared" si="111"/>
        <v>331662.10657000082</v>
      </c>
      <c r="Z36" s="189">
        <f t="shared" si="111"/>
        <v>328238.9720859782</v>
      </c>
      <c r="AA36" s="189">
        <f t="shared" si="111"/>
        <v>324875.74245542596</v>
      </c>
      <c r="AB36" s="189">
        <f t="shared" si="111"/>
        <v>321690.41696245602</v>
      </c>
      <c r="AC36" s="188">
        <f t="shared" si="111"/>
        <v>318560.83466561302</v>
      </c>
      <c r="AD36" s="189">
        <f t="shared" si="111"/>
        <v>315617.59900633321</v>
      </c>
      <c r="AE36" s="189">
        <f t="shared" si="111"/>
        <v>312725.86997109081</v>
      </c>
      <c r="AF36" s="189">
        <f t="shared" si="111"/>
        <v>311463.69356238615</v>
      </c>
      <c r="AG36" s="189">
        <f t="shared" si="111"/>
        <v>348118.34208293911</v>
      </c>
      <c r="AH36" s="189">
        <f t="shared" si="111"/>
        <v>384131.53425438242</v>
      </c>
      <c r="AI36" s="189">
        <f t="shared" si="111"/>
        <v>421853.6768493753</v>
      </c>
      <c r="AJ36" s="189">
        <f t="shared" si="111"/>
        <v>458915.68194895564</v>
      </c>
      <c r="AK36" s="189">
        <f t="shared" si="111"/>
        <v>495329.10195929336</v>
      </c>
      <c r="AL36" s="189">
        <f t="shared" si="111"/>
        <v>531105.28711945016</v>
      </c>
      <c r="AM36" s="189">
        <f t="shared" si="111"/>
        <v>566255.38903930422</v>
      </c>
      <c r="AN36" s="189">
        <f t="shared" si="111"/>
        <v>603404.74326052819</v>
      </c>
      <c r="AO36" s="188">
        <f t="shared" si="111"/>
        <v>622256.92495935131</v>
      </c>
      <c r="AP36" s="189">
        <f t="shared" si="111"/>
        <v>649014.48759609205</v>
      </c>
      <c r="AQ36" s="189">
        <f t="shared" si="111"/>
        <v>675303.79288668977</v>
      </c>
      <c r="AR36" s="189">
        <f t="shared" si="111"/>
        <v>703485.97651117283</v>
      </c>
      <c r="AS36" s="189">
        <f t="shared" si="111"/>
        <v>731174.9719222273</v>
      </c>
      <c r="AT36" s="189">
        <f t="shared" si="111"/>
        <v>758379.40991358832</v>
      </c>
      <c r="AU36" s="189">
        <f t="shared" si="111"/>
        <v>785107.77024010045</v>
      </c>
      <c r="AV36" s="189">
        <f t="shared" si="111"/>
        <v>814035.05092756543</v>
      </c>
      <c r="AW36" s="189">
        <f t="shared" si="111"/>
        <v>842456.10420299962</v>
      </c>
      <c r="AX36" s="189">
        <f t="shared" si="111"/>
        <v>870379.78904611373</v>
      </c>
      <c r="AY36" s="189">
        <f t="shared" si="111"/>
        <v>897814.80940447329</v>
      </c>
      <c r="AZ36" s="189">
        <f t="shared" si="111"/>
        <v>924769.71690656152</v>
      </c>
      <c r="BA36" s="188">
        <f t="shared" si="111"/>
        <v>951252.91352736333</v>
      </c>
      <c r="BB36" s="189">
        <f t="shared" ref="BB36:BM36" si="112">BB34*$C36</f>
        <v>972253.04636416386</v>
      </c>
      <c r="BC36" s="189">
        <f t="shared" si="112"/>
        <v>992885.67687632039</v>
      </c>
      <c r="BD36" s="189">
        <f t="shared" si="112"/>
        <v>1015510.1775309847</v>
      </c>
      <c r="BE36" s="189">
        <f t="shared" si="112"/>
        <v>1037738.7494241926</v>
      </c>
      <c r="BF36" s="189">
        <f t="shared" si="112"/>
        <v>1059578.3213092692</v>
      </c>
      <c r="BG36" s="189">
        <f t="shared" si="112"/>
        <v>1081035.700686357</v>
      </c>
      <c r="BH36" s="189">
        <f t="shared" si="112"/>
        <v>1104784.2425910125</v>
      </c>
      <c r="BI36" s="189">
        <f t="shared" si="112"/>
        <v>1128117.1850123364</v>
      </c>
      <c r="BJ36" s="189">
        <f t="shared" si="112"/>
        <v>1151041.8009412871</v>
      </c>
      <c r="BK36" s="189">
        <f t="shared" si="112"/>
        <v>1173565.2360914811</v>
      </c>
      <c r="BL36" s="189">
        <f t="shared" si="112"/>
        <v>1195694.5111265469</v>
      </c>
      <c r="BM36" s="188">
        <f t="shared" si="112"/>
        <v>1217436.5238484989</v>
      </c>
      <c r="BN36" s="189">
        <f t="shared" ref="BN36:BY36" si="113">BN34*$C36</f>
        <v>1233778.4435046795</v>
      </c>
      <c r="BO36" s="189">
        <f t="shared" si="113"/>
        <v>1249834.3795668771</v>
      </c>
      <c r="BP36" s="189">
        <f t="shared" si="113"/>
        <v>1267962.2779244566</v>
      </c>
      <c r="BQ36" s="189">
        <f t="shared" si="113"/>
        <v>1285772.9380607787</v>
      </c>
      <c r="BR36" s="189">
        <f t="shared" si="113"/>
        <v>1303271.9116447151</v>
      </c>
      <c r="BS36" s="189">
        <f t="shared" si="113"/>
        <v>1320464.6531909327</v>
      </c>
      <c r="BT36" s="189">
        <f t="shared" si="113"/>
        <v>1340023.1884267579</v>
      </c>
      <c r="BU36" s="189">
        <f t="shared" si="113"/>
        <v>1359239.4492959564</v>
      </c>
      <c r="BV36" s="189">
        <f t="shared" si="113"/>
        <v>1378119.4255999436</v>
      </c>
      <c r="BW36" s="189">
        <f t="shared" si="113"/>
        <v>1396669.0023186114</v>
      </c>
      <c r="BX36" s="189">
        <f t="shared" si="113"/>
        <v>1414893.961444702</v>
      </c>
      <c r="BY36" s="188">
        <f t="shared" si="113"/>
        <v>1432799.9837860863</v>
      </c>
      <c r="BZ36" s="189">
        <f t="shared" ref="BZ36:CK36" si="114">BZ34*$C36</f>
        <v>1445373.0428933592</v>
      </c>
      <c r="CA36" s="189">
        <f t="shared" si="114"/>
        <v>1457726.0734662549</v>
      </c>
      <c r="CB36" s="189">
        <f t="shared" si="114"/>
        <v>1472215.8671805954</v>
      </c>
      <c r="CC36" s="189">
        <f t="shared" si="114"/>
        <v>1486452.0895049348</v>
      </c>
      <c r="CD36" s="189">
        <f t="shared" si="114"/>
        <v>1500439.1779385984</v>
      </c>
      <c r="CE36" s="189">
        <f t="shared" si="114"/>
        <v>1514181.4923246731</v>
      </c>
      <c r="CF36" s="189">
        <f t="shared" si="114"/>
        <v>1530349.982875658</v>
      </c>
      <c r="CG36" s="189">
        <f t="shared" si="114"/>
        <v>1546235.5248420006</v>
      </c>
      <c r="CH36" s="189">
        <f t="shared" si="114"/>
        <v>1561843.0698239321</v>
      </c>
      <c r="CI36" s="189">
        <f t="shared" si="114"/>
        <v>1577177.48276868</v>
      </c>
      <c r="CJ36" s="189">
        <f t="shared" si="114"/>
        <v>1592243.5434868946</v>
      </c>
      <c r="CK36" s="188">
        <f t="shared" si="114"/>
        <v>1607045.9481425404</v>
      </c>
    </row>
    <row r="37" spans="2:89" s="2" customFormat="1" x14ac:dyDescent="0.2">
      <c r="B37" s="118" t="s">
        <v>87</v>
      </c>
      <c r="C37" s="210">
        <v>0.17499999999999999</v>
      </c>
      <c r="E37" s="138"/>
      <c r="F37" s="18"/>
      <c r="G37" s="18"/>
      <c r="H37" s="18"/>
      <c r="I37" s="18"/>
      <c r="J37" s="18"/>
      <c r="K37" s="18"/>
      <c r="L37" s="18"/>
      <c r="M37" s="18"/>
      <c r="N37" s="423">
        <f t="shared" ref="N37:BA37" si="115">N36*$C37</f>
        <v>61606.124999999993</v>
      </c>
      <c r="O37" s="423">
        <f t="shared" si="115"/>
        <v>62080.191725543475</v>
      </c>
      <c r="P37" s="423">
        <f t="shared" si="115"/>
        <v>62317.701413824725</v>
      </c>
      <c r="Q37" s="424">
        <f t="shared" si="115"/>
        <v>62627.141639082794</v>
      </c>
      <c r="R37" s="199">
        <f t="shared" si="115"/>
        <v>62292.036225616233</v>
      </c>
      <c r="S37" s="199">
        <f t="shared" si="115"/>
        <v>61962.795156885339</v>
      </c>
      <c r="T37" s="199">
        <f t="shared" si="115"/>
        <v>61258.881024248534</v>
      </c>
      <c r="U37" s="199">
        <f t="shared" si="115"/>
        <v>60584.577879051445</v>
      </c>
      <c r="V37" s="199">
        <f t="shared" si="115"/>
        <v>59922.075038895317</v>
      </c>
      <c r="W37" s="199">
        <f t="shared" si="115"/>
        <v>59271.165998441917</v>
      </c>
      <c r="X37" s="199">
        <f t="shared" si="115"/>
        <v>58650.58726013585</v>
      </c>
      <c r="Y37" s="199">
        <f t="shared" si="115"/>
        <v>58040.86864975014</v>
      </c>
      <c r="Z37" s="199">
        <f t="shared" si="115"/>
        <v>57441.820115046183</v>
      </c>
      <c r="AA37" s="199">
        <f t="shared" si="115"/>
        <v>56853.254929699542</v>
      </c>
      <c r="AB37" s="199">
        <f t="shared" si="115"/>
        <v>56295.822968429798</v>
      </c>
      <c r="AC37" s="225">
        <f t="shared" si="115"/>
        <v>55748.146066482273</v>
      </c>
      <c r="AD37" s="199">
        <f t="shared" si="115"/>
        <v>55233.079826108311</v>
      </c>
      <c r="AE37" s="199">
        <f t="shared" si="115"/>
        <v>54727.027244940888</v>
      </c>
      <c r="AF37" s="199">
        <f t="shared" si="115"/>
        <v>54506.14637341757</v>
      </c>
      <c r="AG37" s="199">
        <f t="shared" si="115"/>
        <v>60920.709864514341</v>
      </c>
      <c r="AH37" s="199">
        <f t="shared" si="115"/>
        <v>67223.018494516917</v>
      </c>
      <c r="AI37" s="199">
        <f t="shared" si="115"/>
        <v>73824.39344864068</v>
      </c>
      <c r="AJ37" s="199">
        <f t="shared" si="115"/>
        <v>80310.244341067228</v>
      </c>
      <c r="AK37" s="199">
        <f t="shared" si="115"/>
        <v>86682.592842876329</v>
      </c>
      <c r="AL37" s="199">
        <f t="shared" si="115"/>
        <v>92943.425245903767</v>
      </c>
      <c r="AM37" s="199">
        <f t="shared" si="115"/>
        <v>99094.693081878228</v>
      </c>
      <c r="AN37" s="199">
        <f t="shared" si="115"/>
        <v>105595.83007059243</v>
      </c>
      <c r="AO37" s="225">
        <f t="shared" si="115"/>
        <v>108894.96186788648</v>
      </c>
      <c r="AP37" s="199">
        <f t="shared" si="115"/>
        <v>113577.5353293161</v>
      </c>
      <c r="AQ37" s="199">
        <f t="shared" si="115"/>
        <v>118178.1637551707</v>
      </c>
      <c r="AR37" s="199">
        <f t="shared" si="115"/>
        <v>123110.04588945524</v>
      </c>
      <c r="AS37" s="199">
        <f t="shared" si="115"/>
        <v>127955.62008638977</v>
      </c>
      <c r="AT37" s="199">
        <f t="shared" si="115"/>
        <v>132716.39673487796</v>
      </c>
      <c r="AU37" s="199">
        <f t="shared" si="115"/>
        <v>137393.85979201758</v>
      </c>
      <c r="AV37" s="199">
        <f t="shared" si="115"/>
        <v>142456.13391232394</v>
      </c>
      <c r="AW37" s="199">
        <f t="shared" si="115"/>
        <v>147429.81823552493</v>
      </c>
      <c r="AX37" s="199">
        <f t="shared" si="115"/>
        <v>152316.46308306989</v>
      </c>
      <c r="AY37" s="199">
        <f t="shared" si="115"/>
        <v>157117.59164578281</v>
      </c>
      <c r="AZ37" s="199">
        <f t="shared" si="115"/>
        <v>161834.70045864827</v>
      </c>
      <c r="BA37" s="225">
        <f t="shared" si="115"/>
        <v>166469.25986728858</v>
      </c>
      <c r="BB37" s="199">
        <f t="shared" ref="BB37:BM37" si="116">BB36*$C37</f>
        <v>170144.28311372866</v>
      </c>
      <c r="BC37" s="199">
        <f t="shared" si="116"/>
        <v>173754.99345335606</v>
      </c>
      <c r="BD37" s="199">
        <f t="shared" si="116"/>
        <v>177714.28106792233</v>
      </c>
      <c r="BE37" s="199">
        <f t="shared" si="116"/>
        <v>181604.28114923369</v>
      </c>
      <c r="BF37" s="199">
        <f t="shared" si="116"/>
        <v>185426.20622912209</v>
      </c>
      <c r="BG37" s="199">
        <f t="shared" si="116"/>
        <v>189181.24762011247</v>
      </c>
      <c r="BH37" s="199">
        <f t="shared" si="116"/>
        <v>193337.24245342717</v>
      </c>
      <c r="BI37" s="199">
        <f t="shared" si="116"/>
        <v>197420.50737715885</v>
      </c>
      <c r="BJ37" s="199">
        <f t="shared" si="116"/>
        <v>201432.31516472524</v>
      </c>
      <c r="BK37" s="199">
        <f t="shared" si="116"/>
        <v>205373.91631600918</v>
      </c>
      <c r="BL37" s="199">
        <f t="shared" si="116"/>
        <v>209246.53944714568</v>
      </c>
      <c r="BM37" s="225">
        <f t="shared" si="116"/>
        <v>213051.39167348729</v>
      </c>
      <c r="BN37" s="199">
        <f t="shared" ref="BN37:BY37" si="117">BN36*$C37</f>
        <v>215911.22761331889</v>
      </c>
      <c r="BO37" s="199">
        <f t="shared" si="117"/>
        <v>218721.0164242035</v>
      </c>
      <c r="BP37" s="199">
        <f t="shared" si="117"/>
        <v>221893.39863677989</v>
      </c>
      <c r="BQ37" s="199">
        <f t="shared" si="117"/>
        <v>225010.26416063626</v>
      </c>
      <c r="BR37" s="199">
        <f t="shared" si="117"/>
        <v>228072.58453782514</v>
      </c>
      <c r="BS37" s="199">
        <f t="shared" si="117"/>
        <v>231081.31430841322</v>
      </c>
      <c r="BT37" s="199">
        <f t="shared" si="117"/>
        <v>234504.05797468263</v>
      </c>
      <c r="BU37" s="199">
        <f t="shared" si="117"/>
        <v>237866.90362679237</v>
      </c>
      <c r="BV37" s="199">
        <f t="shared" si="117"/>
        <v>241170.89947999013</v>
      </c>
      <c r="BW37" s="199">
        <f t="shared" si="117"/>
        <v>244417.07540575697</v>
      </c>
      <c r="BX37" s="199">
        <f t="shared" si="117"/>
        <v>247606.44325282282</v>
      </c>
      <c r="BY37" s="225">
        <f t="shared" si="117"/>
        <v>250739.99716256509</v>
      </c>
      <c r="BZ37" s="199">
        <f t="shared" ref="BZ37:CK37" si="118">BZ36*$C37</f>
        <v>252940.28250633786</v>
      </c>
      <c r="CA37" s="199">
        <f t="shared" si="118"/>
        <v>255102.0628565946</v>
      </c>
      <c r="CB37" s="199">
        <f t="shared" si="118"/>
        <v>257637.77675660417</v>
      </c>
      <c r="CC37" s="199">
        <f t="shared" si="118"/>
        <v>260129.11566336357</v>
      </c>
      <c r="CD37" s="199">
        <f t="shared" si="118"/>
        <v>262576.8561392547</v>
      </c>
      <c r="CE37" s="199">
        <f t="shared" si="118"/>
        <v>264981.76115681778</v>
      </c>
      <c r="CF37" s="199">
        <f t="shared" si="118"/>
        <v>267811.2470032401</v>
      </c>
      <c r="CG37" s="199">
        <f t="shared" si="118"/>
        <v>270591.21684735006</v>
      </c>
      <c r="CH37" s="199">
        <f t="shared" si="118"/>
        <v>273322.53721918812</v>
      </c>
      <c r="CI37" s="199">
        <f t="shared" si="118"/>
        <v>276006.05948451895</v>
      </c>
      <c r="CJ37" s="199">
        <f t="shared" si="118"/>
        <v>278642.62011020654</v>
      </c>
      <c r="CK37" s="225">
        <f t="shared" si="118"/>
        <v>281233.04092494457</v>
      </c>
    </row>
    <row r="38" spans="2:89" x14ac:dyDescent="0.2">
      <c r="B38" s="21"/>
      <c r="F38" s="407"/>
      <c r="G38" s="407"/>
      <c r="H38" s="407"/>
      <c r="I38" s="407"/>
      <c r="J38" s="407"/>
      <c r="K38" s="407"/>
      <c r="L38" s="407"/>
      <c r="M38" s="407"/>
      <c r="N38" s="407"/>
      <c r="O38" s="407"/>
      <c r="P38" s="407"/>
      <c r="Q38" s="408"/>
    </row>
    <row r="39" spans="2:89" ht="21" x14ac:dyDescent="0.25">
      <c r="B39" s="139" t="s">
        <v>78</v>
      </c>
      <c r="C39" s="119"/>
      <c r="D39" s="119"/>
      <c r="E39" s="120"/>
      <c r="F39" s="425"/>
      <c r="G39" s="425"/>
      <c r="H39" s="425"/>
      <c r="I39" s="425"/>
      <c r="J39" s="425"/>
      <c r="K39" s="425"/>
      <c r="L39" s="425"/>
      <c r="M39" s="425"/>
      <c r="N39" s="425"/>
      <c r="O39" s="425"/>
      <c r="P39" s="425"/>
      <c r="Q39" s="426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20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20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20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M39" s="120"/>
      <c r="BN39" s="119"/>
      <c r="BO39" s="119"/>
      <c r="BP39" s="119"/>
      <c r="BQ39" s="119"/>
      <c r="BR39" s="119"/>
      <c r="BS39" s="119"/>
      <c r="BT39" s="119"/>
      <c r="BU39" s="119"/>
      <c r="BV39" s="119"/>
      <c r="BW39" s="119"/>
      <c r="BX39" s="119"/>
      <c r="BY39" s="120"/>
      <c r="BZ39" s="119"/>
      <c r="CA39" s="119"/>
      <c r="CB39" s="119"/>
      <c r="CC39" s="119"/>
      <c r="CD39" s="119"/>
      <c r="CE39" s="119"/>
      <c r="CF39" s="119"/>
      <c r="CG39" s="119"/>
      <c r="CH39" s="119"/>
      <c r="CI39" s="119"/>
      <c r="CJ39" s="119"/>
      <c r="CK39" s="120"/>
    </row>
    <row r="40" spans="2:89" x14ac:dyDescent="0.2">
      <c r="B40" s="118"/>
      <c r="E40" s="140"/>
      <c r="F40" s="407"/>
      <c r="G40" s="407"/>
      <c r="H40" s="407"/>
      <c r="I40" s="407"/>
      <c r="J40" s="407"/>
      <c r="K40" s="407"/>
      <c r="L40" s="407"/>
      <c r="M40" s="407"/>
      <c r="N40" s="421"/>
      <c r="O40" s="421"/>
      <c r="P40" s="421"/>
      <c r="Q40" s="422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17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17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17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17"/>
      <c r="BN40" s="103"/>
      <c r="BO40" s="103"/>
      <c r="BP40" s="103"/>
      <c r="BQ40" s="103"/>
      <c r="BR40" s="103"/>
      <c r="BS40" s="103"/>
      <c r="BT40" s="103"/>
      <c r="BU40" s="103"/>
      <c r="BV40" s="103"/>
      <c r="BW40" s="103"/>
      <c r="BX40" s="103"/>
      <c r="BY40" s="117"/>
      <c r="BZ40" s="103"/>
      <c r="CA40" s="103"/>
      <c r="CB40" s="103"/>
      <c r="CC40" s="103"/>
      <c r="CD40" s="103"/>
      <c r="CE40" s="103"/>
      <c r="CF40" s="103"/>
      <c r="CG40" s="103"/>
      <c r="CH40" s="103"/>
      <c r="CI40" s="103"/>
      <c r="CJ40" s="103"/>
      <c r="CK40" s="117"/>
    </row>
    <row r="41" spans="2:89" s="17" customFormat="1" x14ac:dyDescent="0.2">
      <c r="B41" s="121" t="s">
        <v>79</v>
      </c>
      <c r="C41" s="224"/>
      <c r="E41" s="141"/>
      <c r="F41" s="427"/>
      <c r="G41" s="427"/>
      <c r="H41" s="427"/>
      <c r="I41" s="427"/>
      <c r="J41" s="427"/>
      <c r="K41" s="427"/>
      <c r="L41" s="427"/>
      <c r="M41" s="427"/>
      <c r="N41" s="428">
        <v>8</v>
      </c>
      <c r="O41" s="428">
        <v>10</v>
      </c>
      <c r="P41" s="428">
        <v>10</v>
      </c>
      <c r="Q41" s="429">
        <v>10</v>
      </c>
      <c r="R41" s="218">
        <v>3</v>
      </c>
      <c r="S41" s="218">
        <v>2</v>
      </c>
      <c r="T41" s="218">
        <v>2</v>
      </c>
      <c r="U41" s="218">
        <v>2</v>
      </c>
      <c r="V41" s="218">
        <f t="shared" ref="V41:BA41" si="119">U41+2</f>
        <v>4</v>
      </c>
      <c r="W41" s="218">
        <v>4</v>
      </c>
      <c r="X41" s="218">
        <v>5</v>
      </c>
      <c r="Y41" s="218">
        <v>6</v>
      </c>
      <c r="Z41" s="218">
        <v>6</v>
      </c>
      <c r="AA41" s="218">
        <v>6</v>
      </c>
      <c r="AB41" s="218">
        <v>7</v>
      </c>
      <c r="AC41" s="217">
        <v>7</v>
      </c>
      <c r="AD41" s="218">
        <v>7</v>
      </c>
      <c r="AE41" s="218">
        <f t="shared" si="119"/>
        <v>9</v>
      </c>
      <c r="AF41" s="218">
        <f t="shared" si="119"/>
        <v>11</v>
      </c>
      <c r="AG41" s="218">
        <f t="shared" si="119"/>
        <v>13</v>
      </c>
      <c r="AH41" s="218">
        <f t="shared" si="119"/>
        <v>15</v>
      </c>
      <c r="AI41" s="218">
        <f t="shared" si="119"/>
        <v>17</v>
      </c>
      <c r="AJ41" s="218">
        <f t="shared" si="119"/>
        <v>19</v>
      </c>
      <c r="AK41" s="218">
        <f t="shared" si="119"/>
        <v>21</v>
      </c>
      <c r="AL41" s="218">
        <f t="shared" si="119"/>
        <v>23</v>
      </c>
      <c r="AM41" s="218">
        <f t="shared" si="119"/>
        <v>25</v>
      </c>
      <c r="AN41" s="218">
        <f t="shared" si="119"/>
        <v>27</v>
      </c>
      <c r="AO41" s="217">
        <f t="shared" si="119"/>
        <v>29</v>
      </c>
      <c r="AP41" s="218">
        <f t="shared" si="119"/>
        <v>31</v>
      </c>
      <c r="AQ41" s="218">
        <f t="shared" si="119"/>
        <v>33</v>
      </c>
      <c r="AR41" s="218">
        <f t="shared" si="119"/>
        <v>35</v>
      </c>
      <c r="AS41" s="218">
        <f t="shared" si="119"/>
        <v>37</v>
      </c>
      <c r="AT41" s="218">
        <f t="shared" si="119"/>
        <v>39</v>
      </c>
      <c r="AU41" s="218">
        <f t="shared" si="119"/>
        <v>41</v>
      </c>
      <c r="AV41" s="218">
        <f t="shared" si="119"/>
        <v>43</v>
      </c>
      <c r="AW41" s="218">
        <f t="shared" si="119"/>
        <v>45</v>
      </c>
      <c r="AX41" s="218">
        <f t="shared" si="119"/>
        <v>47</v>
      </c>
      <c r="AY41" s="218">
        <f t="shared" si="119"/>
        <v>49</v>
      </c>
      <c r="AZ41" s="218">
        <f t="shared" si="119"/>
        <v>51</v>
      </c>
      <c r="BA41" s="217">
        <f t="shared" si="119"/>
        <v>53</v>
      </c>
      <c r="BB41" s="218">
        <f t="shared" ref="BB41" si="120">BA41+2</f>
        <v>55</v>
      </c>
      <c r="BC41" s="218">
        <f t="shared" ref="BC41" si="121">BB41+2</f>
        <v>57</v>
      </c>
      <c r="BD41" s="218">
        <f t="shared" ref="BD41" si="122">BC41+2</f>
        <v>59</v>
      </c>
      <c r="BE41" s="218">
        <f t="shared" ref="BE41" si="123">BD41+2</f>
        <v>61</v>
      </c>
      <c r="BF41" s="218">
        <f t="shared" ref="BF41" si="124">BE41+2</f>
        <v>63</v>
      </c>
      <c r="BG41" s="218">
        <f t="shared" ref="BG41" si="125">BF41+2</f>
        <v>65</v>
      </c>
      <c r="BH41" s="218">
        <f t="shared" ref="BH41" si="126">BG41+2</f>
        <v>67</v>
      </c>
      <c r="BI41" s="218">
        <f t="shared" ref="BI41" si="127">BH41+2</f>
        <v>69</v>
      </c>
      <c r="BJ41" s="218">
        <f t="shared" ref="BJ41" si="128">BI41+2</f>
        <v>71</v>
      </c>
      <c r="BK41" s="218">
        <f t="shared" ref="BK41" si="129">BJ41+2</f>
        <v>73</v>
      </c>
      <c r="BL41" s="218">
        <f t="shared" ref="BL41" si="130">BK41+2</f>
        <v>75</v>
      </c>
      <c r="BM41" s="217">
        <f t="shared" ref="BM41" si="131">BL41+2</f>
        <v>77</v>
      </c>
      <c r="BN41" s="218">
        <f t="shared" ref="BN41" si="132">BM41+2</f>
        <v>79</v>
      </c>
      <c r="BO41" s="218">
        <f t="shared" ref="BO41" si="133">BN41+2</f>
        <v>81</v>
      </c>
      <c r="BP41" s="218">
        <f t="shared" ref="BP41" si="134">BO41+2</f>
        <v>83</v>
      </c>
      <c r="BQ41" s="218">
        <f t="shared" ref="BQ41" si="135">BP41+2</f>
        <v>85</v>
      </c>
      <c r="BR41" s="218">
        <f t="shared" ref="BR41" si="136">BQ41+2</f>
        <v>87</v>
      </c>
      <c r="BS41" s="218">
        <f t="shared" ref="BS41" si="137">BR41+2</f>
        <v>89</v>
      </c>
      <c r="BT41" s="218">
        <f t="shared" ref="BT41" si="138">BS41+2</f>
        <v>91</v>
      </c>
      <c r="BU41" s="218">
        <f t="shared" ref="BU41" si="139">BT41+2</f>
        <v>93</v>
      </c>
      <c r="BV41" s="218">
        <f t="shared" ref="BV41" si="140">BU41+2</f>
        <v>95</v>
      </c>
      <c r="BW41" s="218">
        <f t="shared" ref="BW41" si="141">BV41+2</f>
        <v>97</v>
      </c>
      <c r="BX41" s="218">
        <f t="shared" ref="BX41" si="142">BW41+2</f>
        <v>99</v>
      </c>
      <c r="BY41" s="217">
        <f t="shared" ref="BY41" si="143">BX41+2</f>
        <v>101</v>
      </c>
      <c r="BZ41" s="218">
        <f t="shared" ref="BZ41" si="144">BY41+2</f>
        <v>103</v>
      </c>
      <c r="CA41" s="218">
        <f t="shared" ref="CA41" si="145">BZ41+2</f>
        <v>105</v>
      </c>
      <c r="CB41" s="218">
        <f t="shared" ref="CB41" si="146">CA41+2</f>
        <v>107</v>
      </c>
      <c r="CC41" s="218">
        <f t="shared" ref="CC41" si="147">CB41+2</f>
        <v>109</v>
      </c>
      <c r="CD41" s="218">
        <f t="shared" ref="CD41" si="148">CC41+2</f>
        <v>111</v>
      </c>
      <c r="CE41" s="218">
        <f t="shared" ref="CE41" si="149">CD41+2</f>
        <v>113</v>
      </c>
      <c r="CF41" s="218">
        <f t="shared" ref="CF41" si="150">CE41+2</f>
        <v>115</v>
      </c>
      <c r="CG41" s="218">
        <f t="shared" ref="CG41" si="151">CF41+2</f>
        <v>117</v>
      </c>
      <c r="CH41" s="218">
        <f t="shared" ref="CH41" si="152">CG41+2</f>
        <v>119</v>
      </c>
      <c r="CI41" s="218">
        <f t="shared" ref="CI41" si="153">CH41+2</f>
        <v>121</v>
      </c>
      <c r="CJ41" s="218">
        <f t="shared" ref="CJ41" si="154">CI41+2</f>
        <v>123</v>
      </c>
      <c r="CK41" s="217">
        <f t="shared" ref="CK41" si="155">CJ41+2</f>
        <v>125</v>
      </c>
    </row>
    <row r="42" spans="2:89" s="17" customFormat="1" x14ac:dyDescent="0.2">
      <c r="B42" s="121" t="s">
        <v>80</v>
      </c>
      <c r="C42" s="221">
        <v>20</v>
      </c>
      <c r="D42" s="17" t="s">
        <v>81</v>
      </c>
      <c r="E42" s="219"/>
      <c r="F42" s="427"/>
      <c r="G42" s="427"/>
      <c r="H42" s="427"/>
      <c r="I42" s="427"/>
      <c r="J42" s="427"/>
      <c r="K42" s="427"/>
      <c r="L42" s="427"/>
      <c r="M42" s="427"/>
      <c r="N42" s="428">
        <f t="shared" ref="N42:BA42" si="156">N41*$C42</f>
        <v>160</v>
      </c>
      <c r="O42" s="428">
        <f t="shared" si="156"/>
        <v>200</v>
      </c>
      <c r="P42" s="428">
        <f t="shared" si="156"/>
        <v>200</v>
      </c>
      <c r="Q42" s="429">
        <f t="shared" si="156"/>
        <v>200</v>
      </c>
      <c r="R42" s="218">
        <f t="shared" si="156"/>
        <v>60</v>
      </c>
      <c r="S42" s="218">
        <f t="shared" si="156"/>
        <v>40</v>
      </c>
      <c r="T42" s="218">
        <f t="shared" si="156"/>
        <v>40</v>
      </c>
      <c r="U42" s="218">
        <f t="shared" si="156"/>
        <v>40</v>
      </c>
      <c r="V42" s="218">
        <f t="shared" si="156"/>
        <v>80</v>
      </c>
      <c r="W42" s="218">
        <f t="shared" si="156"/>
        <v>80</v>
      </c>
      <c r="X42" s="218">
        <f t="shared" si="156"/>
        <v>100</v>
      </c>
      <c r="Y42" s="218">
        <f t="shared" si="156"/>
        <v>120</v>
      </c>
      <c r="Z42" s="218">
        <f t="shared" si="156"/>
        <v>120</v>
      </c>
      <c r="AA42" s="218">
        <f t="shared" si="156"/>
        <v>120</v>
      </c>
      <c r="AB42" s="218">
        <f t="shared" si="156"/>
        <v>140</v>
      </c>
      <c r="AC42" s="217">
        <f t="shared" si="156"/>
        <v>140</v>
      </c>
      <c r="AD42" s="218">
        <f t="shared" si="156"/>
        <v>140</v>
      </c>
      <c r="AE42" s="218">
        <f t="shared" si="156"/>
        <v>180</v>
      </c>
      <c r="AF42" s="218">
        <f t="shared" si="156"/>
        <v>220</v>
      </c>
      <c r="AG42" s="218">
        <f t="shared" si="156"/>
        <v>260</v>
      </c>
      <c r="AH42" s="218">
        <f t="shared" si="156"/>
        <v>300</v>
      </c>
      <c r="AI42" s="218">
        <f t="shared" si="156"/>
        <v>340</v>
      </c>
      <c r="AJ42" s="218">
        <f t="shared" si="156"/>
        <v>380</v>
      </c>
      <c r="AK42" s="218">
        <f t="shared" si="156"/>
        <v>420</v>
      </c>
      <c r="AL42" s="218">
        <f t="shared" si="156"/>
        <v>460</v>
      </c>
      <c r="AM42" s="218">
        <f t="shared" si="156"/>
        <v>500</v>
      </c>
      <c r="AN42" s="218">
        <f t="shared" si="156"/>
        <v>540</v>
      </c>
      <c r="AO42" s="217">
        <f t="shared" si="156"/>
        <v>580</v>
      </c>
      <c r="AP42" s="218">
        <f t="shared" si="156"/>
        <v>620</v>
      </c>
      <c r="AQ42" s="218">
        <f t="shared" si="156"/>
        <v>660</v>
      </c>
      <c r="AR42" s="218">
        <f t="shared" si="156"/>
        <v>700</v>
      </c>
      <c r="AS42" s="218">
        <f t="shared" si="156"/>
        <v>740</v>
      </c>
      <c r="AT42" s="218">
        <f t="shared" si="156"/>
        <v>780</v>
      </c>
      <c r="AU42" s="218">
        <f t="shared" si="156"/>
        <v>820</v>
      </c>
      <c r="AV42" s="218">
        <f t="shared" si="156"/>
        <v>860</v>
      </c>
      <c r="AW42" s="218">
        <f t="shared" si="156"/>
        <v>900</v>
      </c>
      <c r="AX42" s="218">
        <f t="shared" si="156"/>
        <v>940</v>
      </c>
      <c r="AY42" s="218">
        <f t="shared" si="156"/>
        <v>980</v>
      </c>
      <c r="AZ42" s="218">
        <f t="shared" si="156"/>
        <v>1020</v>
      </c>
      <c r="BA42" s="217">
        <f t="shared" si="156"/>
        <v>1060</v>
      </c>
      <c r="BB42" s="218">
        <f t="shared" ref="BB42:BM42" si="157">BB41*$C42</f>
        <v>1100</v>
      </c>
      <c r="BC42" s="218">
        <f t="shared" si="157"/>
        <v>1140</v>
      </c>
      <c r="BD42" s="218">
        <f t="shared" si="157"/>
        <v>1180</v>
      </c>
      <c r="BE42" s="218">
        <f t="shared" si="157"/>
        <v>1220</v>
      </c>
      <c r="BF42" s="218">
        <f t="shared" si="157"/>
        <v>1260</v>
      </c>
      <c r="BG42" s="218">
        <f t="shared" si="157"/>
        <v>1300</v>
      </c>
      <c r="BH42" s="218">
        <f t="shared" si="157"/>
        <v>1340</v>
      </c>
      <c r="BI42" s="218">
        <f t="shared" si="157"/>
        <v>1380</v>
      </c>
      <c r="BJ42" s="218">
        <f t="shared" si="157"/>
        <v>1420</v>
      </c>
      <c r="BK42" s="218">
        <f t="shared" si="157"/>
        <v>1460</v>
      </c>
      <c r="BL42" s="218">
        <f t="shared" si="157"/>
        <v>1500</v>
      </c>
      <c r="BM42" s="217">
        <f t="shared" si="157"/>
        <v>1540</v>
      </c>
      <c r="BN42" s="218">
        <f t="shared" ref="BN42:BY42" si="158">BN41*$C42</f>
        <v>1580</v>
      </c>
      <c r="BO42" s="218">
        <f t="shared" si="158"/>
        <v>1620</v>
      </c>
      <c r="BP42" s="218">
        <f t="shared" si="158"/>
        <v>1660</v>
      </c>
      <c r="BQ42" s="218">
        <f t="shared" si="158"/>
        <v>1700</v>
      </c>
      <c r="BR42" s="218">
        <f t="shared" si="158"/>
        <v>1740</v>
      </c>
      <c r="BS42" s="218">
        <f t="shared" si="158"/>
        <v>1780</v>
      </c>
      <c r="BT42" s="218">
        <f t="shared" si="158"/>
        <v>1820</v>
      </c>
      <c r="BU42" s="218">
        <f t="shared" si="158"/>
        <v>1860</v>
      </c>
      <c r="BV42" s="218">
        <f t="shared" si="158"/>
        <v>1900</v>
      </c>
      <c r="BW42" s="218">
        <f t="shared" si="158"/>
        <v>1940</v>
      </c>
      <c r="BX42" s="218">
        <f t="shared" si="158"/>
        <v>1980</v>
      </c>
      <c r="BY42" s="217">
        <f t="shared" si="158"/>
        <v>2020</v>
      </c>
      <c r="BZ42" s="218">
        <f t="shared" ref="BZ42:CK42" si="159">BZ41*$C42</f>
        <v>2060</v>
      </c>
      <c r="CA42" s="218">
        <f t="shared" si="159"/>
        <v>2100</v>
      </c>
      <c r="CB42" s="218">
        <f t="shared" si="159"/>
        <v>2140</v>
      </c>
      <c r="CC42" s="218">
        <f t="shared" si="159"/>
        <v>2180</v>
      </c>
      <c r="CD42" s="218">
        <f t="shared" si="159"/>
        <v>2220</v>
      </c>
      <c r="CE42" s="218">
        <f t="shared" si="159"/>
        <v>2260</v>
      </c>
      <c r="CF42" s="218">
        <f t="shared" si="159"/>
        <v>2300</v>
      </c>
      <c r="CG42" s="218">
        <f t="shared" si="159"/>
        <v>2340</v>
      </c>
      <c r="CH42" s="218">
        <f t="shared" si="159"/>
        <v>2380</v>
      </c>
      <c r="CI42" s="218">
        <f t="shared" si="159"/>
        <v>2420</v>
      </c>
      <c r="CJ42" s="218">
        <f t="shared" si="159"/>
        <v>2460</v>
      </c>
      <c r="CK42" s="217">
        <f t="shared" si="159"/>
        <v>2500</v>
      </c>
    </row>
    <row r="43" spans="2:89" s="17" customFormat="1" x14ac:dyDescent="0.2">
      <c r="B43" s="121" t="s">
        <v>59</v>
      </c>
      <c r="C43" s="220">
        <v>1.7500000000000002E-2</v>
      </c>
      <c r="E43" s="219"/>
      <c r="F43" s="427"/>
      <c r="G43" s="427"/>
      <c r="H43" s="427"/>
      <c r="I43" s="427"/>
      <c r="J43" s="427"/>
      <c r="K43" s="427"/>
      <c r="L43" s="427"/>
      <c r="M43" s="427"/>
      <c r="N43" s="428"/>
      <c r="O43" s="428"/>
      <c r="P43" s="428">
        <f t="shared" ref="P43:BA43" si="160">N44*$C43</f>
        <v>2.8000000000000003</v>
      </c>
      <c r="Q43" s="429">
        <f t="shared" si="160"/>
        <v>6.3000000000000007</v>
      </c>
      <c r="R43" s="218">
        <f t="shared" si="160"/>
        <v>9.7510000000000012</v>
      </c>
      <c r="S43" s="218">
        <f t="shared" si="160"/>
        <v>13.140750000000002</v>
      </c>
      <c r="T43" s="218">
        <f t="shared" si="160"/>
        <v>14.020107500000003</v>
      </c>
      <c r="U43" s="218">
        <f t="shared" si="160"/>
        <v>14.490144375000003</v>
      </c>
      <c r="V43" s="218">
        <f t="shared" si="160"/>
        <v>14.944792493750002</v>
      </c>
      <c r="W43" s="218">
        <f t="shared" si="160"/>
        <v>15.391214967187503</v>
      </c>
      <c r="X43" s="218">
        <f t="shared" si="160"/>
        <v>16.529681098546877</v>
      </c>
      <c r="Y43" s="218">
        <f t="shared" si="160"/>
        <v>17.660334836621097</v>
      </c>
      <c r="Z43" s="218">
        <f t="shared" si="160"/>
        <v>19.121065417396526</v>
      </c>
      <c r="AA43" s="218">
        <f t="shared" si="160"/>
        <v>20.912009557755656</v>
      </c>
      <c r="AB43" s="218">
        <f t="shared" si="160"/>
        <v>22.677390912951218</v>
      </c>
      <c r="AC43" s="217">
        <f t="shared" si="160"/>
        <v>24.411430745690495</v>
      </c>
      <c r="AD43" s="218">
        <f t="shared" si="160"/>
        <v>26.464576404713846</v>
      </c>
      <c r="AE43" s="218">
        <f t="shared" si="160"/>
        <v>28.487376366664261</v>
      </c>
      <c r="AF43" s="218">
        <f t="shared" si="160"/>
        <v>30.47424627958177</v>
      </c>
      <c r="AG43" s="218">
        <f t="shared" si="160"/>
        <v>33.125717193165144</v>
      </c>
      <c r="AH43" s="218">
        <f t="shared" si="160"/>
        <v>36.442417883272469</v>
      </c>
      <c r="AI43" s="218">
        <f t="shared" si="160"/>
        <v>40.412717832392076</v>
      </c>
      <c r="AJ43" s="218">
        <f t="shared" si="160"/>
        <v>45.024975519434811</v>
      </c>
      <c r="AK43" s="218">
        <f t="shared" si="160"/>
        <v>50.267752957367954</v>
      </c>
      <c r="AL43" s="218">
        <f t="shared" si="160"/>
        <v>56.129815885777845</v>
      </c>
      <c r="AM43" s="218">
        <f t="shared" si="160"/>
        <v>62.600130209023902</v>
      </c>
      <c r="AN43" s="218">
        <f t="shared" si="160"/>
        <v>69.667858431022793</v>
      </c>
      <c r="AO43" s="217">
        <f t="shared" si="160"/>
        <v>77.322356152364875</v>
      </c>
      <c r="AP43" s="218">
        <f t="shared" si="160"/>
        <v>85.553168629821968</v>
      </c>
      <c r="AQ43" s="218">
        <f t="shared" si="160"/>
        <v>94.350027397155586</v>
      </c>
      <c r="AR43" s="218">
        <f t="shared" si="160"/>
        <v>103.7028469461337</v>
      </c>
      <c r="AS43" s="218">
        <f t="shared" si="160"/>
        <v>113.60172146668349</v>
      </c>
      <c r="AT43" s="218">
        <f t="shared" si="160"/>
        <v>124.03692164512614</v>
      </c>
      <c r="AU43" s="218">
        <f t="shared" si="160"/>
        <v>134.99889151945919</v>
      </c>
      <c r="AV43" s="218">
        <f t="shared" si="160"/>
        <v>146.47824539066949</v>
      </c>
      <c r="AW43" s="218">
        <f t="shared" si="160"/>
        <v>158.46576478907895</v>
      </c>
      <c r="AX43" s="218">
        <f t="shared" si="160"/>
        <v>170.95239549474223</v>
      </c>
      <c r="AY43" s="218">
        <f t="shared" si="160"/>
        <v>183.92924461093335</v>
      </c>
      <c r="AZ43" s="218">
        <f t="shared" si="160"/>
        <v>197.38757768977538</v>
      </c>
      <c r="BA43" s="217">
        <f t="shared" si="160"/>
        <v>211.31881590908404</v>
      </c>
      <c r="BB43" s="218">
        <f t="shared" ref="BB43" si="161">AZ44*$C43</f>
        <v>225.71453329951299</v>
      </c>
      <c r="BC43" s="218">
        <f t="shared" ref="BC43" si="162">BA44*$C43</f>
        <v>240.56645402110402</v>
      </c>
      <c r="BD43" s="218">
        <f t="shared" ref="BD43" si="163">BB44*$C43</f>
        <v>255.86644968836254</v>
      </c>
      <c r="BE43" s="218">
        <f t="shared" ref="BE43" si="164">BC44*$C43</f>
        <v>271.60653674299323</v>
      </c>
      <c r="BF43" s="218">
        <f t="shared" ref="BF43" si="165">BD44*$C43</f>
        <v>287.77887387344691</v>
      </c>
      <c r="BG43" s="218">
        <f t="shared" ref="BG43" si="166">BE44*$C43</f>
        <v>304.37575948044451</v>
      </c>
      <c r="BH43" s="218">
        <f t="shared" ref="BH43" si="167">BF44*$C43</f>
        <v>321.38962918765918</v>
      </c>
      <c r="BI43" s="218">
        <f t="shared" ref="BI43" si="168">BG44*$C43</f>
        <v>338.8130533967514</v>
      </c>
      <c r="BJ43" s="218">
        <f t="shared" ref="BJ43" si="169">BH44*$C43</f>
        <v>356.63873488596738</v>
      </c>
      <c r="BK43" s="218">
        <f t="shared" ref="BK43" si="170">BI44*$C43</f>
        <v>374.85950645152423</v>
      </c>
      <c r="BL43" s="218">
        <f t="shared" ref="BL43" si="171">BJ44*$C43</f>
        <v>393.46832859101977</v>
      </c>
      <c r="BM43" s="217">
        <f t="shared" ref="BM43" si="172">BK44*$C43</f>
        <v>412.45828722811808</v>
      </c>
      <c r="BN43" s="218">
        <f t="shared" ref="BN43" si="173">BL44*$C43</f>
        <v>431.82259147777523</v>
      </c>
      <c r="BO43" s="218">
        <f t="shared" ref="BO43" si="174">BM44*$C43</f>
        <v>451.55457145128321</v>
      </c>
      <c r="BP43" s="218">
        <f t="shared" ref="BP43" si="175">BN44*$C43</f>
        <v>471.64767610042213</v>
      </c>
      <c r="BQ43" s="218">
        <f t="shared" ref="BQ43" si="176">BO44*$C43</f>
        <v>492.09547110002461</v>
      </c>
      <c r="BR43" s="218">
        <f t="shared" ref="BR43" si="177">BP44*$C43</f>
        <v>512.89163676826718</v>
      </c>
      <c r="BS43" s="218">
        <f t="shared" ref="BS43" si="178">BQ44*$C43</f>
        <v>534.02996602401686</v>
      </c>
      <c r="BT43" s="218">
        <f t="shared" ref="BT43" si="179">BR44*$C43</f>
        <v>555.50436238057216</v>
      </c>
      <c r="BU43" s="218">
        <f t="shared" ref="BU43" si="180">BS44*$C43</f>
        <v>577.30883797515173</v>
      </c>
      <c r="BV43" s="218">
        <f t="shared" ref="BV43" si="181">BT44*$C43</f>
        <v>599.43751163349179</v>
      </c>
      <c r="BW43" s="218">
        <f t="shared" ref="BW43" si="182">BU44*$C43</f>
        <v>621.88460696892673</v>
      </c>
      <c r="BX43" s="218">
        <f t="shared" ref="BX43" si="183">BV44*$C43</f>
        <v>644.64445051534062</v>
      </c>
      <c r="BY43" s="217">
        <f t="shared" ref="BY43" si="184">BW44*$C43</f>
        <v>667.71146989338445</v>
      </c>
      <c r="BZ43" s="218">
        <f t="shared" ref="BZ43" si="185">BX44*$C43</f>
        <v>691.08019200936599</v>
      </c>
      <c r="CA43" s="218">
        <f t="shared" ref="CA43" si="186">BY44*$C43</f>
        <v>714.7452412862317</v>
      </c>
      <c r="CB43" s="218">
        <f t="shared" ref="CB43" si="187">BZ44*$C43</f>
        <v>738.70133792606782</v>
      </c>
      <c r="CC43" s="218">
        <f t="shared" ref="CC43" si="188">CA44*$C43</f>
        <v>762.9432962035587</v>
      </c>
      <c r="CD43" s="218">
        <f t="shared" ref="CD43" si="189">CB44*$C43</f>
        <v>787.46602278985256</v>
      </c>
      <c r="CE43" s="218">
        <f t="shared" ref="CE43" si="190">CC44*$C43</f>
        <v>812.26451510629033</v>
      </c>
      <c r="CF43" s="218">
        <f t="shared" ref="CF43" si="191">CD44*$C43</f>
        <v>837.33385970746792</v>
      </c>
      <c r="CG43" s="218">
        <f t="shared" ref="CG43" si="192">CE44*$C43</f>
        <v>862.66923069310781</v>
      </c>
      <c r="CH43" s="218">
        <f t="shared" ref="CH43" si="193">CF44*$C43</f>
        <v>888.26588814822719</v>
      </c>
      <c r="CI43" s="218">
        <f t="shared" ref="CI43" si="194">CG44*$C43</f>
        <v>914.11917661109771</v>
      </c>
      <c r="CJ43" s="218">
        <f t="shared" ref="CJ43" si="195">CH44*$C43</f>
        <v>940.22452356850374</v>
      </c>
      <c r="CK43" s="217">
        <f t="shared" ref="CK43" si="196">CI44*$C43</f>
        <v>966.5774379778095</v>
      </c>
    </row>
    <row r="44" spans="2:89" x14ac:dyDescent="0.2">
      <c r="B44" s="21" t="s">
        <v>72</v>
      </c>
      <c r="C44" s="211"/>
      <c r="F44" s="407"/>
      <c r="G44" s="407"/>
      <c r="H44" s="407"/>
      <c r="I44" s="407"/>
      <c r="J44" s="407"/>
      <c r="K44" s="407"/>
      <c r="L44" s="407"/>
      <c r="M44" s="430">
        <v>0</v>
      </c>
      <c r="N44" s="431">
        <f>M44+N42</f>
        <v>160</v>
      </c>
      <c r="O44" s="431">
        <f>N44+O42</f>
        <v>360</v>
      </c>
      <c r="P44" s="431">
        <f t="shared" ref="P44:BA44" si="197">O44+P42-P43</f>
        <v>557.20000000000005</v>
      </c>
      <c r="Q44" s="432">
        <f t="shared" si="197"/>
        <v>750.90000000000009</v>
      </c>
      <c r="R44" s="216">
        <f t="shared" si="197"/>
        <v>801.14900000000011</v>
      </c>
      <c r="S44" s="216">
        <f t="shared" si="197"/>
        <v>828.00825000000009</v>
      </c>
      <c r="T44" s="216">
        <f t="shared" si="197"/>
        <v>853.98814250000009</v>
      </c>
      <c r="U44" s="216">
        <f t="shared" si="197"/>
        <v>879.49799812500009</v>
      </c>
      <c r="V44" s="216">
        <f t="shared" si="197"/>
        <v>944.55320563125008</v>
      </c>
      <c r="W44" s="216">
        <f t="shared" si="197"/>
        <v>1009.1619906640625</v>
      </c>
      <c r="X44" s="216">
        <f t="shared" si="197"/>
        <v>1092.6323095655157</v>
      </c>
      <c r="Y44" s="216">
        <f t="shared" si="197"/>
        <v>1194.9719747288946</v>
      </c>
      <c r="Z44" s="216">
        <f t="shared" si="197"/>
        <v>1295.8509093114981</v>
      </c>
      <c r="AA44" s="216">
        <f t="shared" si="197"/>
        <v>1394.9388997537424</v>
      </c>
      <c r="AB44" s="216">
        <f t="shared" si="197"/>
        <v>1512.2615088407911</v>
      </c>
      <c r="AC44" s="215">
        <f t="shared" si="197"/>
        <v>1627.8500780951006</v>
      </c>
      <c r="AD44" s="216">
        <f t="shared" si="197"/>
        <v>1741.3855016903867</v>
      </c>
      <c r="AE44" s="216">
        <f t="shared" si="197"/>
        <v>1892.8981253237225</v>
      </c>
      <c r="AF44" s="216">
        <f t="shared" si="197"/>
        <v>2082.4238790441409</v>
      </c>
      <c r="AG44" s="216">
        <f t="shared" si="197"/>
        <v>2309.2981618509757</v>
      </c>
      <c r="AH44" s="216">
        <f t="shared" si="197"/>
        <v>2572.8557439677033</v>
      </c>
      <c r="AI44" s="216">
        <f t="shared" si="197"/>
        <v>2872.4430261353114</v>
      </c>
      <c r="AJ44" s="216">
        <f t="shared" si="197"/>
        <v>3207.4180506158764</v>
      </c>
      <c r="AK44" s="216">
        <f t="shared" si="197"/>
        <v>3577.1502976585084</v>
      </c>
      <c r="AL44" s="216">
        <f t="shared" si="197"/>
        <v>3981.0204817727304</v>
      </c>
      <c r="AM44" s="216">
        <f t="shared" si="197"/>
        <v>4418.4203515637064</v>
      </c>
      <c r="AN44" s="216">
        <f t="shared" si="197"/>
        <v>4888.7524931326834</v>
      </c>
      <c r="AO44" s="215">
        <f t="shared" si="197"/>
        <v>5391.4301369803188</v>
      </c>
      <c r="AP44" s="216">
        <f t="shared" si="197"/>
        <v>5925.876968350497</v>
      </c>
      <c r="AQ44" s="216">
        <f t="shared" si="197"/>
        <v>6491.5269409533412</v>
      </c>
      <c r="AR44" s="216">
        <f t="shared" si="197"/>
        <v>7087.8240940072073</v>
      </c>
      <c r="AS44" s="216">
        <f t="shared" si="197"/>
        <v>7714.2223725405238</v>
      </c>
      <c r="AT44" s="216">
        <f t="shared" si="197"/>
        <v>8370.1854508953984</v>
      </c>
      <c r="AU44" s="216">
        <f t="shared" si="197"/>
        <v>9055.1865593759394</v>
      </c>
      <c r="AV44" s="216">
        <f t="shared" si="197"/>
        <v>9768.7083139852693</v>
      </c>
      <c r="AW44" s="216">
        <f t="shared" si="197"/>
        <v>10510.242549196191</v>
      </c>
      <c r="AX44" s="216">
        <f t="shared" si="197"/>
        <v>11279.29015370145</v>
      </c>
      <c r="AY44" s="216">
        <f t="shared" si="197"/>
        <v>12075.360909090516</v>
      </c>
      <c r="AZ44" s="216">
        <f t="shared" si="197"/>
        <v>12897.973331400741</v>
      </c>
      <c r="BA44" s="215">
        <f t="shared" si="197"/>
        <v>13746.654515491657</v>
      </c>
      <c r="BB44" s="216">
        <f t="shared" ref="BB44" si="198">BA44+BB42-BB43</f>
        <v>14620.939982192143</v>
      </c>
      <c r="BC44" s="216">
        <f t="shared" ref="BC44" si="199">BB44+BC42-BC43</f>
        <v>15520.37352817104</v>
      </c>
      <c r="BD44" s="216">
        <f t="shared" ref="BD44" si="200">BC44+BD42-BD43</f>
        <v>16444.507078482678</v>
      </c>
      <c r="BE44" s="216">
        <f t="shared" ref="BE44" si="201">BD44+BE42-BE43</f>
        <v>17392.900541739684</v>
      </c>
      <c r="BF44" s="216">
        <f t="shared" ref="BF44" si="202">BE44+BF42-BF43</f>
        <v>18365.121667866239</v>
      </c>
      <c r="BG44" s="216">
        <f t="shared" ref="BG44" si="203">BF44+BG42-BG43</f>
        <v>19360.745908385794</v>
      </c>
      <c r="BH44" s="216">
        <f t="shared" ref="BH44" si="204">BG44+BH42-BH43</f>
        <v>20379.356279198135</v>
      </c>
      <c r="BI44" s="216">
        <f t="shared" ref="BI44" si="205">BH44+BI42-BI43</f>
        <v>21420.543225801383</v>
      </c>
      <c r="BJ44" s="216">
        <f t="shared" ref="BJ44" si="206">BI44+BJ42-BJ43</f>
        <v>22483.904490915414</v>
      </c>
      <c r="BK44" s="216">
        <f t="shared" ref="BK44" si="207">BJ44+BK42-BK43</f>
        <v>23569.04498446389</v>
      </c>
      <c r="BL44" s="216">
        <f t="shared" ref="BL44" si="208">BK44+BL42-BL43</f>
        <v>24675.576655872868</v>
      </c>
      <c r="BM44" s="215">
        <f t="shared" ref="BM44" si="209">BL44+BM42-BM43</f>
        <v>25803.118368644751</v>
      </c>
      <c r="BN44" s="216">
        <f t="shared" ref="BN44" si="210">BM44+BN42-BN43</f>
        <v>26951.295777166975</v>
      </c>
      <c r="BO44" s="216">
        <f t="shared" ref="BO44" si="211">BN44+BO42-BO43</f>
        <v>28119.741205715691</v>
      </c>
      <c r="BP44" s="216">
        <f t="shared" ref="BP44" si="212">BO44+BP42-BP43</f>
        <v>29308.093529615267</v>
      </c>
      <c r="BQ44" s="216">
        <f t="shared" ref="BQ44" si="213">BP44+BQ42-BQ43</f>
        <v>30515.998058515244</v>
      </c>
      <c r="BR44" s="216">
        <f t="shared" ref="BR44" si="214">BQ44+BR42-BR43</f>
        <v>31743.106421746976</v>
      </c>
      <c r="BS44" s="216">
        <f t="shared" ref="BS44" si="215">BR44+BS42-BS43</f>
        <v>32989.076455722956</v>
      </c>
      <c r="BT44" s="216">
        <f t="shared" ref="BT44" si="216">BS44+BT42-BT43</f>
        <v>34253.572093342387</v>
      </c>
      <c r="BU44" s="216">
        <f t="shared" ref="BU44" si="217">BT44+BU42-BU43</f>
        <v>35536.263255367237</v>
      </c>
      <c r="BV44" s="216">
        <f t="shared" ref="BV44" si="218">BU44+BV42-BV43</f>
        <v>36836.825743733745</v>
      </c>
      <c r="BW44" s="216">
        <f t="shared" ref="BW44" si="219">BV44+BW42-BW43</f>
        <v>38154.941136764821</v>
      </c>
      <c r="BX44" s="216">
        <f t="shared" ref="BX44" si="220">BW44+BX42-BX43</f>
        <v>39490.29668624948</v>
      </c>
      <c r="BY44" s="215">
        <f t="shared" ref="BY44" si="221">BX44+BY42-BY43</f>
        <v>40842.585216356092</v>
      </c>
      <c r="BZ44" s="216">
        <f t="shared" ref="BZ44" si="222">BY44+BZ42-BZ43</f>
        <v>42211.505024346727</v>
      </c>
      <c r="CA44" s="216">
        <f t="shared" ref="CA44" si="223">BZ44+CA42-CA43</f>
        <v>43596.759783060494</v>
      </c>
      <c r="CB44" s="216">
        <f t="shared" ref="CB44" si="224">CA44+CB42-CB43</f>
        <v>44998.058445134426</v>
      </c>
      <c r="CC44" s="216">
        <f t="shared" ref="CC44" si="225">CB44+CC42-CC43</f>
        <v>46415.115148930869</v>
      </c>
      <c r="CD44" s="216">
        <f t="shared" ref="CD44" si="226">CC44+CD42-CD43</f>
        <v>47847.649126141019</v>
      </c>
      <c r="CE44" s="216">
        <f t="shared" ref="CE44" si="227">CD44+CE42-CE43</f>
        <v>49295.384611034729</v>
      </c>
      <c r="CF44" s="216">
        <f t="shared" ref="CF44" si="228">CE44+CF42-CF43</f>
        <v>50758.050751327261</v>
      </c>
      <c r="CG44" s="216">
        <f t="shared" ref="CG44" si="229">CF44+CG42-CG43</f>
        <v>52235.381520634153</v>
      </c>
      <c r="CH44" s="216">
        <f t="shared" ref="CH44" si="230">CG44+CH42-CH43</f>
        <v>53727.115632485926</v>
      </c>
      <c r="CI44" s="216">
        <f t="shared" ref="CI44" si="231">CH44+CI42-CI43</f>
        <v>55232.996455874825</v>
      </c>
      <c r="CJ44" s="216">
        <f t="shared" ref="CJ44" si="232">CI44+CJ42-CJ43</f>
        <v>56752.771932306321</v>
      </c>
      <c r="CK44" s="215">
        <f t="shared" ref="CK44" si="233">CJ44+CK42-CK43</f>
        <v>58286.194494328513</v>
      </c>
    </row>
    <row r="45" spans="2:89" x14ac:dyDescent="0.2">
      <c r="B45" s="121" t="s">
        <v>82</v>
      </c>
      <c r="C45" s="214">
        <v>50</v>
      </c>
      <c r="F45" s="407"/>
      <c r="G45" s="407"/>
      <c r="H45" s="407"/>
      <c r="I45" s="407"/>
      <c r="J45" s="407"/>
      <c r="K45" s="407"/>
      <c r="L45" s="407"/>
      <c r="M45" s="407"/>
      <c r="N45" s="433"/>
      <c r="O45" s="433"/>
      <c r="P45" s="433"/>
      <c r="Q45" s="434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70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70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70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70"/>
      <c r="BN45" s="169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70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70"/>
    </row>
    <row r="46" spans="2:89" s="107" customFormat="1" x14ac:dyDescent="0.2">
      <c r="B46" s="142" t="s">
        <v>83</v>
      </c>
      <c r="E46" s="143"/>
      <c r="F46" s="407"/>
      <c r="G46" s="407"/>
      <c r="H46" s="407"/>
      <c r="I46" s="407"/>
      <c r="J46" s="407"/>
      <c r="K46" s="407"/>
      <c r="L46" s="407"/>
      <c r="M46" s="407"/>
      <c r="N46" s="433">
        <f t="shared" ref="N46:BA46" si="234">$C45*N44</f>
        <v>8000</v>
      </c>
      <c r="O46" s="433">
        <f t="shared" si="234"/>
        <v>18000</v>
      </c>
      <c r="P46" s="433">
        <f t="shared" si="234"/>
        <v>27860.000000000004</v>
      </c>
      <c r="Q46" s="434">
        <f t="shared" si="234"/>
        <v>37545.000000000007</v>
      </c>
      <c r="R46" s="213">
        <f t="shared" si="234"/>
        <v>40057.450000000004</v>
      </c>
      <c r="S46" s="213">
        <f t="shared" si="234"/>
        <v>41400.412500000006</v>
      </c>
      <c r="T46" s="213">
        <f t="shared" si="234"/>
        <v>42699.407125000005</v>
      </c>
      <c r="U46" s="213">
        <f t="shared" si="234"/>
        <v>43974.899906250008</v>
      </c>
      <c r="V46" s="213">
        <f t="shared" si="234"/>
        <v>47227.660281562501</v>
      </c>
      <c r="W46" s="213">
        <f t="shared" si="234"/>
        <v>50458.099533203123</v>
      </c>
      <c r="X46" s="213">
        <f t="shared" si="234"/>
        <v>54631.615478275788</v>
      </c>
      <c r="Y46" s="213">
        <f t="shared" si="234"/>
        <v>59748.598736444728</v>
      </c>
      <c r="Z46" s="213">
        <f t="shared" si="234"/>
        <v>64792.545465574905</v>
      </c>
      <c r="AA46" s="213">
        <f t="shared" si="234"/>
        <v>69746.944987687122</v>
      </c>
      <c r="AB46" s="213">
        <f t="shared" si="234"/>
        <v>75613.075442039553</v>
      </c>
      <c r="AC46" s="212">
        <f t="shared" si="234"/>
        <v>81392.503904755024</v>
      </c>
      <c r="AD46" s="213">
        <f t="shared" si="234"/>
        <v>87069.275084519337</v>
      </c>
      <c r="AE46" s="213">
        <f t="shared" si="234"/>
        <v>94644.906266186124</v>
      </c>
      <c r="AF46" s="213">
        <f t="shared" si="234"/>
        <v>104121.19395220705</v>
      </c>
      <c r="AG46" s="213">
        <f t="shared" si="234"/>
        <v>115464.90809254878</v>
      </c>
      <c r="AH46" s="213">
        <f t="shared" si="234"/>
        <v>128642.78719838517</v>
      </c>
      <c r="AI46" s="213">
        <f t="shared" si="234"/>
        <v>143622.15130676556</v>
      </c>
      <c r="AJ46" s="213">
        <f t="shared" si="234"/>
        <v>160370.90253079383</v>
      </c>
      <c r="AK46" s="213">
        <f t="shared" si="234"/>
        <v>178857.51488292543</v>
      </c>
      <c r="AL46" s="213">
        <f t="shared" si="234"/>
        <v>199051.02408863651</v>
      </c>
      <c r="AM46" s="213">
        <f t="shared" si="234"/>
        <v>220921.01757818533</v>
      </c>
      <c r="AN46" s="213">
        <f t="shared" si="234"/>
        <v>244437.62465663417</v>
      </c>
      <c r="AO46" s="212">
        <f t="shared" si="234"/>
        <v>269571.50684901595</v>
      </c>
      <c r="AP46" s="213">
        <f t="shared" si="234"/>
        <v>296293.84841752483</v>
      </c>
      <c r="AQ46" s="213">
        <f t="shared" si="234"/>
        <v>324576.34704766708</v>
      </c>
      <c r="AR46" s="213">
        <f t="shared" si="234"/>
        <v>354391.20470036037</v>
      </c>
      <c r="AS46" s="213">
        <f t="shared" si="234"/>
        <v>385711.11862702621</v>
      </c>
      <c r="AT46" s="213">
        <f t="shared" si="234"/>
        <v>418509.27254476992</v>
      </c>
      <c r="AU46" s="213">
        <f t="shared" si="234"/>
        <v>452759.32796879695</v>
      </c>
      <c r="AV46" s="213">
        <f t="shared" si="234"/>
        <v>488435.41569926345</v>
      </c>
      <c r="AW46" s="213">
        <f t="shared" si="234"/>
        <v>525512.12745980953</v>
      </c>
      <c r="AX46" s="213">
        <f t="shared" si="234"/>
        <v>563964.50768507249</v>
      </c>
      <c r="AY46" s="213">
        <f t="shared" si="234"/>
        <v>603768.04545452574</v>
      </c>
      <c r="AZ46" s="213">
        <f t="shared" si="234"/>
        <v>644898.66657003702</v>
      </c>
      <c r="BA46" s="212">
        <f t="shared" si="234"/>
        <v>687332.72577458282</v>
      </c>
      <c r="BB46" s="213">
        <f t="shared" ref="BB46:BM46" si="235">$C45*BB44</f>
        <v>731046.99910960719</v>
      </c>
      <c r="BC46" s="213">
        <f t="shared" si="235"/>
        <v>776018.67640855198</v>
      </c>
      <c r="BD46" s="213">
        <f t="shared" si="235"/>
        <v>822225.35392413393</v>
      </c>
      <c r="BE46" s="213">
        <f t="shared" si="235"/>
        <v>869645.02708698413</v>
      </c>
      <c r="BF46" s="213">
        <f t="shared" si="235"/>
        <v>918256.08339331194</v>
      </c>
      <c r="BG46" s="213">
        <f t="shared" si="235"/>
        <v>968037.29541928973</v>
      </c>
      <c r="BH46" s="213">
        <f t="shared" si="235"/>
        <v>1018967.8139599067</v>
      </c>
      <c r="BI46" s="213">
        <f t="shared" si="235"/>
        <v>1071027.1612900691</v>
      </c>
      <c r="BJ46" s="213">
        <f t="shared" si="235"/>
        <v>1124195.2245457708</v>
      </c>
      <c r="BK46" s="213">
        <f t="shared" si="235"/>
        <v>1178452.2492231946</v>
      </c>
      <c r="BL46" s="213">
        <f t="shared" si="235"/>
        <v>1233778.8327936435</v>
      </c>
      <c r="BM46" s="212">
        <f t="shared" si="235"/>
        <v>1290155.9184322376</v>
      </c>
      <c r="BN46" s="213">
        <f t="shared" ref="BN46:BY46" si="236">$C45*BN44</f>
        <v>1347564.7888583487</v>
      </c>
      <c r="BO46" s="213">
        <f t="shared" si="236"/>
        <v>1405987.0602857845</v>
      </c>
      <c r="BP46" s="213">
        <f t="shared" si="236"/>
        <v>1465404.6764807634</v>
      </c>
      <c r="BQ46" s="213">
        <f t="shared" si="236"/>
        <v>1525799.9029257621</v>
      </c>
      <c r="BR46" s="213">
        <f t="shared" si="236"/>
        <v>1587155.3210873487</v>
      </c>
      <c r="BS46" s="213">
        <f t="shared" si="236"/>
        <v>1649453.8227861477</v>
      </c>
      <c r="BT46" s="213">
        <f t="shared" si="236"/>
        <v>1712678.6046671194</v>
      </c>
      <c r="BU46" s="213">
        <f t="shared" si="236"/>
        <v>1776813.1627683619</v>
      </c>
      <c r="BV46" s="213">
        <f t="shared" si="236"/>
        <v>1841841.2871866873</v>
      </c>
      <c r="BW46" s="213">
        <f t="shared" si="236"/>
        <v>1907747.0568382409</v>
      </c>
      <c r="BX46" s="213">
        <f t="shared" si="236"/>
        <v>1974514.8343124739</v>
      </c>
      <c r="BY46" s="212">
        <f t="shared" si="236"/>
        <v>2042129.2608178046</v>
      </c>
      <c r="BZ46" s="213">
        <f t="shared" ref="BZ46:CK46" si="237">$C45*BZ44</f>
        <v>2110575.2512173364</v>
      </c>
      <c r="CA46" s="213">
        <f t="shared" si="237"/>
        <v>2179837.9891530247</v>
      </c>
      <c r="CB46" s="213">
        <f t="shared" si="237"/>
        <v>2249902.9222567212</v>
      </c>
      <c r="CC46" s="213">
        <f t="shared" si="237"/>
        <v>2320755.7574465433</v>
      </c>
      <c r="CD46" s="213">
        <f t="shared" si="237"/>
        <v>2392382.4563070508</v>
      </c>
      <c r="CE46" s="213">
        <f t="shared" si="237"/>
        <v>2464769.2305517364</v>
      </c>
      <c r="CF46" s="213">
        <f t="shared" si="237"/>
        <v>2537902.5375663629</v>
      </c>
      <c r="CG46" s="213">
        <f t="shared" si="237"/>
        <v>2611769.0760317077</v>
      </c>
      <c r="CH46" s="213">
        <f t="shared" si="237"/>
        <v>2686355.7816242962</v>
      </c>
      <c r="CI46" s="213">
        <f t="shared" si="237"/>
        <v>2761649.8227937412</v>
      </c>
      <c r="CJ46" s="213">
        <f t="shared" si="237"/>
        <v>2837638.5966153159</v>
      </c>
      <c r="CK46" s="212">
        <f t="shared" si="237"/>
        <v>2914309.7247164254</v>
      </c>
    </row>
    <row r="47" spans="2:89" x14ac:dyDescent="0.2">
      <c r="B47" s="121"/>
      <c r="C47" s="211"/>
      <c r="E47" s="205"/>
      <c r="F47" s="407"/>
      <c r="G47" s="407"/>
      <c r="H47" s="407"/>
      <c r="I47" s="407"/>
      <c r="J47" s="407"/>
      <c r="K47" s="407"/>
      <c r="L47" s="407"/>
      <c r="M47" s="407"/>
      <c r="N47" s="433"/>
      <c r="O47" s="433"/>
      <c r="P47" s="433"/>
      <c r="Q47" s="434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70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70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70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70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70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70"/>
    </row>
    <row r="48" spans="2:89" s="2" customFormat="1" x14ac:dyDescent="0.2">
      <c r="B48" s="118" t="s">
        <v>84</v>
      </c>
      <c r="C48" s="210">
        <v>0.17499999999999999</v>
      </c>
      <c r="E48" s="209"/>
      <c r="F48" s="18"/>
      <c r="G48" s="18"/>
      <c r="H48" s="18"/>
      <c r="I48" s="18"/>
      <c r="J48" s="18"/>
      <c r="K48" s="18"/>
      <c r="L48" s="18"/>
      <c r="M48" s="18"/>
      <c r="N48" s="435">
        <f t="shared" ref="N48:BA48" si="238">N46*$C48</f>
        <v>1400</v>
      </c>
      <c r="O48" s="435">
        <f t="shared" si="238"/>
        <v>3150</v>
      </c>
      <c r="P48" s="435">
        <f t="shared" si="238"/>
        <v>4875.5</v>
      </c>
      <c r="Q48" s="436">
        <f t="shared" si="238"/>
        <v>6570.3750000000009</v>
      </c>
      <c r="R48" s="208">
        <f t="shared" si="238"/>
        <v>7010.05375</v>
      </c>
      <c r="S48" s="208">
        <f t="shared" si="238"/>
        <v>7245.0721875000008</v>
      </c>
      <c r="T48" s="208">
        <f t="shared" si="238"/>
        <v>7472.3962468750005</v>
      </c>
      <c r="U48" s="208">
        <f t="shared" si="238"/>
        <v>7695.6074835937507</v>
      </c>
      <c r="V48" s="208">
        <f t="shared" si="238"/>
        <v>8264.8405492734364</v>
      </c>
      <c r="W48" s="208">
        <f t="shared" si="238"/>
        <v>8830.1674183105461</v>
      </c>
      <c r="X48" s="208">
        <f t="shared" si="238"/>
        <v>9560.5327086982616</v>
      </c>
      <c r="Y48" s="208">
        <f t="shared" si="238"/>
        <v>10456.004778877827</v>
      </c>
      <c r="Z48" s="208">
        <f t="shared" si="238"/>
        <v>11338.695456475607</v>
      </c>
      <c r="AA48" s="208">
        <f t="shared" si="238"/>
        <v>12205.715372845245</v>
      </c>
      <c r="AB48" s="208">
        <f t="shared" si="238"/>
        <v>13232.288202356922</v>
      </c>
      <c r="AC48" s="207">
        <f t="shared" si="238"/>
        <v>14243.688183332128</v>
      </c>
      <c r="AD48" s="208">
        <f t="shared" si="238"/>
        <v>15237.123139790883</v>
      </c>
      <c r="AE48" s="208">
        <f t="shared" si="238"/>
        <v>16562.85859658257</v>
      </c>
      <c r="AF48" s="208">
        <f t="shared" si="238"/>
        <v>18221.208941636232</v>
      </c>
      <c r="AG48" s="208">
        <f t="shared" si="238"/>
        <v>20206.358916196034</v>
      </c>
      <c r="AH48" s="208">
        <f t="shared" si="238"/>
        <v>22512.487759717402</v>
      </c>
      <c r="AI48" s="208">
        <f t="shared" si="238"/>
        <v>25133.876478683971</v>
      </c>
      <c r="AJ48" s="208">
        <f t="shared" si="238"/>
        <v>28064.90794288892</v>
      </c>
      <c r="AK48" s="208">
        <f t="shared" si="238"/>
        <v>31300.065104511948</v>
      </c>
      <c r="AL48" s="208">
        <f t="shared" si="238"/>
        <v>34833.929215511387</v>
      </c>
      <c r="AM48" s="208">
        <f t="shared" si="238"/>
        <v>38661.178076182434</v>
      </c>
      <c r="AN48" s="208">
        <f t="shared" si="238"/>
        <v>42776.584314910979</v>
      </c>
      <c r="AO48" s="207">
        <f t="shared" si="238"/>
        <v>47175.013698577786</v>
      </c>
      <c r="AP48" s="208">
        <f t="shared" si="238"/>
        <v>51851.42347306684</v>
      </c>
      <c r="AQ48" s="208">
        <f t="shared" si="238"/>
        <v>56800.860733341739</v>
      </c>
      <c r="AR48" s="208">
        <f t="shared" si="238"/>
        <v>62018.460822563058</v>
      </c>
      <c r="AS48" s="208">
        <f t="shared" si="238"/>
        <v>67499.445759729584</v>
      </c>
      <c r="AT48" s="208">
        <f t="shared" si="238"/>
        <v>73239.122695334736</v>
      </c>
      <c r="AU48" s="208">
        <f t="shared" si="238"/>
        <v>79232.882394539454</v>
      </c>
      <c r="AV48" s="208">
        <f t="shared" si="238"/>
        <v>85476.197747371101</v>
      </c>
      <c r="AW48" s="208">
        <f t="shared" si="238"/>
        <v>91964.622305466663</v>
      </c>
      <c r="AX48" s="208">
        <f t="shared" si="238"/>
        <v>98693.788844887677</v>
      </c>
      <c r="AY48" s="208">
        <f t="shared" si="238"/>
        <v>105659.407954542</v>
      </c>
      <c r="AZ48" s="208">
        <f t="shared" si="238"/>
        <v>112857.26664975648</v>
      </c>
      <c r="BA48" s="207">
        <f t="shared" si="238"/>
        <v>120283.22701055199</v>
      </c>
      <c r="BB48" s="208">
        <f t="shared" ref="BB48:BM48" si="239">BB46*$C48</f>
        <v>127933.22484418126</v>
      </c>
      <c r="BC48" s="208">
        <f t="shared" si="239"/>
        <v>135803.26837149658</v>
      </c>
      <c r="BD48" s="208">
        <f t="shared" si="239"/>
        <v>143889.43693672342</v>
      </c>
      <c r="BE48" s="208">
        <f t="shared" si="239"/>
        <v>152187.87974022221</v>
      </c>
      <c r="BF48" s="208">
        <f t="shared" si="239"/>
        <v>160694.81459382959</v>
      </c>
      <c r="BG48" s="208">
        <f t="shared" si="239"/>
        <v>169406.5266983757</v>
      </c>
      <c r="BH48" s="208">
        <f t="shared" si="239"/>
        <v>178319.36744298367</v>
      </c>
      <c r="BI48" s="208">
        <f t="shared" si="239"/>
        <v>187429.75322576208</v>
      </c>
      <c r="BJ48" s="208">
        <f t="shared" si="239"/>
        <v>196734.16429550987</v>
      </c>
      <c r="BK48" s="208">
        <f t="shared" si="239"/>
        <v>206229.14361405902</v>
      </c>
      <c r="BL48" s="208">
        <f t="shared" si="239"/>
        <v>215911.29573888759</v>
      </c>
      <c r="BM48" s="207">
        <f t="shared" si="239"/>
        <v>225777.28572564156</v>
      </c>
      <c r="BN48" s="208">
        <f t="shared" ref="BN48:BY48" si="240">BN46*$C48</f>
        <v>235823.83805021102</v>
      </c>
      <c r="BO48" s="208">
        <f t="shared" si="240"/>
        <v>246047.73555001226</v>
      </c>
      <c r="BP48" s="208">
        <f t="shared" si="240"/>
        <v>256445.81838413357</v>
      </c>
      <c r="BQ48" s="208">
        <f t="shared" si="240"/>
        <v>267014.98301200836</v>
      </c>
      <c r="BR48" s="208">
        <f t="shared" si="240"/>
        <v>277752.18119028601</v>
      </c>
      <c r="BS48" s="208">
        <f t="shared" si="240"/>
        <v>288654.4189875758</v>
      </c>
      <c r="BT48" s="208">
        <f t="shared" si="240"/>
        <v>299718.75581674586</v>
      </c>
      <c r="BU48" s="208">
        <f t="shared" si="240"/>
        <v>310942.30348446331</v>
      </c>
      <c r="BV48" s="208">
        <f t="shared" si="240"/>
        <v>322322.22525767027</v>
      </c>
      <c r="BW48" s="208">
        <f t="shared" si="240"/>
        <v>333855.73494669213</v>
      </c>
      <c r="BX48" s="208">
        <f t="shared" si="240"/>
        <v>345540.09600468288</v>
      </c>
      <c r="BY48" s="207">
        <f t="shared" si="240"/>
        <v>357372.62064311578</v>
      </c>
      <c r="BZ48" s="208">
        <f t="shared" ref="BZ48:CK48" si="241">BZ46*$C48</f>
        <v>369350.66896303382</v>
      </c>
      <c r="CA48" s="208">
        <f t="shared" si="241"/>
        <v>381471.64810177928</v>
      </c>
      <c r="CB48" s="208">
        <f t="shared" si="241"/>
        <v>393733.01139492617</v>
      </c>
      <c r="CC48" s="208">
        <f t="shared" si="241"/>
        <v>406132.25755314506</v>
      </c>
      <c r="CD48" s="208">
        <f t="shared" si="241"/>
        <v>418666.92985373386</v>
      </c>
      <c r="CE48" s="208">
        <f t="shared" si="241"/>
        <v>431334.61534655385</v>
      </c>
      <c r="CF48" s="208">
        <f t="shared" si="241"/>
        <v>444132.9440741135</v>
      </c>
      <c r="CG48" s="208">
        <f t="shared" si="241"/>
        <v>457059.58830554882</v>
      </c>
      <c r="CH48" s="208">
        <f t="shared" si="241"/>
        <v>470112.26178425178</v>
      </c>
      <c r="CI48" s="208">
        <f t="shared" si="241"/>
        <v>483288.71898890467</v>
      </c>
      <c r="CJ48" s="208">
        <f t="shared" si="241"/>
        <v>496586.75440768024</v>
      </c>
      <c r="CK48" s="207">
        <f t="shared" si="241"/>
        <v>510004.20182537439</v>
      </c>
    </row>
    <row r="49" spans="2:89" x14ac:dyDescent="0.2">
      <c r="B49" s="121" t="s">
        <v>85</v>
      </c>
      <c r="C49" s="206">
        <v>3</v>
      </c>
      <c r="E49" s="205"/>
      <c r="F49" s="407"/>
      <c r="G49" s="407"/>
      <c r="H49" s="407"/>
      <c r="I49" s="407"/>
      <c r="J49" s="407"/>
      <c r="K49" s="407"/>
      <c r="L49" s="407"/>
      <c r="M49" s="407"/>
      <c r="N49" s="433">
        <f t="shared" ref="N49:BA49" si="242">N44*$C49</f>
        <v>480</v>
      </c>
      <c r="O49" s="433">
        <f t="shared" si="242"/>
        <v>1080</v>
      </c>
      <c r="P49" s="433">
        <f t="shared" si="242"/>
        <v>1671.6000000000001</v>
      </c>
      <c r="Q49" s="434">
        <f t="shared" si="242"/>
        <v>2252.7000000000003</v>
      </c>
      <c r="R49" s="169">
        <f t="shared" si="242"/>
        <v>2403.4470000000001</v>
      </c>
      <c r="S49" s="169">
        <f t="shared" si="242"/>
        <v>2484.0247500000005</v>
      </c>
      <c r="T49" s="169">
        <f t="shared" si="242"/>
        <v>2561.9644275000001</v>
      </c>
      <c r="U49" s="169">
        <f t="shared" si="242"/>
        <v>2638.4939943750005</v>
      </c>
      <c r="V49" s="169">
        <f t="shared" si="242"/>
        <v>2833.6596168937504</v>
      </c>
      <c r="W49" s="169">
        <f t="shared" si="242"/>
        <v>3027.4859719921874</v>
      </c>
      <c r="X49" s="169">
        <f t="shared" si="242"/>
        <v>3277.8969286965471</v>
      </c>
      <c r="Y49" s="169">
        <f t="shared" si="242"/>
        <v>3584.9159241866837</v>
      </c>
      <c r="Z49" s="169">
        <f t="shared" si="242"/>
        <v>3887.5527279344942</v>
      </c>
      <c r="AA49" s="169">
        <f t="shared" si="242"/>
        <v>4184.8166992612269</v>
      </c>
      <c r="AB49" s="169">
        <f t="shared" si="242"/>
        <v>4536.7845265223732</v>
      </c>
      <c r="AC49" s="170">
        <f t="shared" si="242"/>
        <v>4883.5502342853015</v>
      </c>
      <c r="AD49" s="169">
        <f t="shared" si="242"/>
        <v>5224.1565050711597</v>
      </c>
      <c r="AE49" s="169">
        <f t="shared" si="242"/>
        <v>5678.6943759711676</v>
      </c>
      <c r="AF49" s="169">
        <f t="shared" si="242"/>
        <v>6247.2716371324223</v>
      </c>
      <c r="AG49" s="169">
        <f t="shared" si="242"/>
        <v>6927.8944855529271</v>
      </c>
      <c r="AH49" s="169">
        <f t="shared" si="242"/>
        <v>7718.56723190311</v>
      </c>
      <c r="AI49" s="169">
        <f t="shared" si="242"/>
        <v>8617.3290784059336</v>
      </c>
      <c r="AJ49" s="169">
        <f t="shared" si="242"/>
        <v>9622.2541518476282</v>
      </c>
      <c r="AK49" s="169">
        <f t="shared" si="242"/>
        <v>10731.450892975525</v>
      </c>
      <c r="AL49" s="169">
        <f t="shared" si="242"/>
        <v>11943.061445318192</v>
      </c>
      <c r="AM49" s="169">
        <f t="shared" si="242"/>
        <v>13255.26105469112</v>
      </c>
      <c r="AN49" s="169">
        <f t="shared" si="242"/>
        <v>14666.257479398049</v>
      </c>
      <c r="AO49" s="170">
        <f t="shared" si="242"/>
        <v>16174.290410940957</v>
      </c>
      <c r="AP49" s="169">
        <f t="shared" si="242"/>
        <v>17777.63090505149</v>
      </c>
      <c r="AQ49" s="169">
        <f t="shared" si="242"/>
        <v>19474.580822860022</v>
      </c>
      <c r="AR49" s="169">
        <f t="shared" si="242"/>
        <v>21263.472282021623</v>
      </c>
      <c r="AS49" s="169">
        <f t="shared" si="242"/>
        <v>23142.667117621571</v>
      </c>
      <c r="AT49" s="169">
        <f t="shared" si="242"/>
        <v>25110.556352686195</v>
      </c>
      <c r="AU49" s="169">
        <f t="shared" si="242"/>
        <v>27165.559678127818</v>
      </c>
      <c r="AV49" s="169">
        <f t="shared" si="242"/>
        <v>29306.124941955808</v>
      </c>
      <c r="AW49" s="169">
        <f t="shared" si="242"/>
        <v>31530.727647588574</v>
      </c>
      <c r="AX49" s="169">
        <f t="shared" si="242"/>
        <v>33837.87046110435</v>
      </c>
      <c r="AY49" s="169">
        <f t="shared" si="242"/>
        <v>36226.082727271547</v>
      </c>
      <c r="AZ49" s="169">
        <f t="shared" si="242"/>
        <v>38693.919994202224</v>
      </c>
      <c r="BA49" s="170">
        <f t="shared" si="242"/>
        <v>41239.963546474974</v>
      </c>
      <c r="BB49" s="169">
        <f t="shared" ref="BB49:BM49" si="243">BB44*$C49</f>
        <v>43862.819946576434</v>
      </c>
      <c r="BC49" s="169">
        <f t="shared" si="243"/>
        <v>46561.120584513119</v>
      </c>
      <c r="BD49" s="169">
        <f t="shared" si="243"/>
        <v>49333.521235448032</v>
      </c>
      <c r="BE49" s="169">
        <f t="shared" si="243"/>
        <v>52178.701625219051</v>
      </c>
      <c r="BF49" s="169">
        <f t="shared" si="243"/>
        <v>55095.365003598716</v>
      </c>
      <c r="BG49" s="169">
        <f t="shared" si="243"/>
        <v>58082.237725157378</v>
      </c>
      <c r="BH49" s="169">
        <f t="shared" si="243"/>
        <v>61138.068837594401</v>
      </c>
      <c r="BI49" s="169">
        <f t="shared" si="243"/>
        <v>64261.629677404148</v>
      </c>
      <c r="BJ49" s="169">
        <f t="shared" si="243"/>
        <v>67451.71347274624</v>
      </c>
      <c r="BK49" s="169">
        <f t="shared" si="243"/>
        <v>70707.134953391665</v>
      </c>
      <c r="BL49" s="169">
        <f t="shared" si="243"/>
        <v>74026.729967618608</v>
      </c>
      <c r="BM49" s="170">
        <f t="shared" si="243"/>
        <v>77409.355105934257</v>
      </c>
      <c r="BN49" s="169">
        <f t="shared" ref="BN49:BY49" si="244">BN44*$C49</f>
        <v>80853.887331500926</v>
      </c>
      <c r="BO49" s="169">
        <f t="shared" si="244"/>
        <v>84359.223617147072</v>
      </c>
      <c r="BP49" s="169">
        <f t="shared" si="244"/>
        <v>87924.28058884581</v>
      </c>
      <c r="BQ49" s="169">
        <f t="shared" si="244"/>
        <v>91547.994175545726</v>
      </c>
      <c r="BR49" s="169">
        <f t="shared" si="244"/>
        <v>95229.31926524092</v>
      </c>
      <c r="BS49" s="169">
        <f t="shared" si="244"/>
        <v>98967.229367168868</v>
      </c>
      <c r="BT49" s="169">
        <f t="shared" si="244"/>
        <v>102760.71628002716</v>
      </c>
      <c r="BU49" s="169">
        <f t="shared" si="244"/>
        <v>106608.78976610172</v>
      </c>
      <c r="BV49" s="169">
        <f t="shared" si="244"/>
        <v>110510.47723120124</v>
      </c>
      <c r="BW49" s="169">
        <f t="shared" si="244"/>
        <v>114464.82341029446</v>
      </c>
      <c r="BX49" s="169">
        <f t="shared" si="244"/>
        <v>118470.89005874844</v>
      </c>
      <c r="BY49" s="170">
        <f t="shared" si="244"/>
        <v>122527.75564906828</v>
      </c>
      <c r="BZ49" s="169">
        <f t="shared" ref="BZ49:CK49" si="245">BZ44*$C49</f>
        <v>126634.51507304018</v>
      </c>
      <c r="CA49" s="169">
        <f t="shared" si="245"/>
        <v>130790.27934918148</v>
      </c>
      <c r="CB49" s="169">
        <f t="shared" si="245"/>
        <v>134994.17533540327</v>
      </c>
      <c r="CC49" s="169">
        <f t="shared" si="245"/>
        <v>139245.34544679261</v>
      </c>
      <c r="CD49" s="169">
        <f t="shared" si="245"/>
        <v>143542.94737842306</v>
      </c>
      <c r="CE49" s="169">
        <f t="shared" si="245"/>
        <v>147886.15383310418</v>
      </c>
      <c r="CF49" s="169">
        <f t="shared" si="245"/>
        <v>152274.1522539818</v>
      </c>
      <c r="CG49" s="169">
        <f t="shared" si="245"/>
        <v>156706.14456190245</v>
      </c>
      <c r="CH49" s="169">
        <f t="shared" si="245"/>
        <v>161181.34689745778</v>
      </c>
      <c r="CI49" s="169">
        <f t="shared" si="245"/>
        <v>165698.98936762448</v>
      </c>
      <c r="CJ49" s="169">
        <f t="shared" si="245"/>
        <v>170258.31579691896</v>
      </c>
      <c r="CK49" s="170">
        <f t="shared" si="245"/>
        <v>174858.58348298553</v>
      </c>
    </row>
    <row r="50" spans="2:89" x14ac:dyDescent="0.2">
      <c r="B50" s="121"/>
      <c r="C50" s="211"/>
      <c r="E50" s="205"/>
      <c r="F50" s="407"/>
      <c r="G50" s="407"/>
      <c r="H50" s="407"/>
      <c r="I50" s="407"/>
      <c r="J50" s="407"/>
      <c r="K50" s="407"/>
      <c r="L50" s="407"/>
      <c r="M50" s="407"/>
      <c r="N50" s="433"/>
      <c r="O50" s="433"/>
      <c r="P50" s="433"/>
      <c r="Q50" s="434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70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70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70"/>
      <c r="BB50" s="169"/>
      <c r="BC50" s="169"/>
      <c r="BD50" s="169"/>
      <c r="BE50" s="169"/>
      <c r="BF50" s="169"/>
      <c r="BG50" s="169"/>
      <c r="BH50" s="169"/>
      <c r="BI50" s="169"/>
      <c r="BJ50" s="169"/>
      <c r="BK50" s="169"/>
      <c r="BL50" s="169"/>
      <c r="BM50" s="170"/>
      <c r="BN50" s="169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70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70"/>
    </row>
    <row r="51" spans="2:89" ht="21" x14ac:dyDescent="0.25">
      <c r="B51" s="139" t="s">
        <v>215</v>
      </c>
      <c r="C51" s="119"/>
      <c r="D51" s="119"/>
      <c r="E51" s="120"/>
      <c r="F51" s="425"/>
      <c r="G51" s="425"/>
      <c r="H51" s="425"/>
      <c r="I51" s="425"/>
      <c r="J51" s="425"/>
      <c r="K51" s="425"/>
      <c r="L51" s="425"/>
      <c r="M51" s="425"/>
      <c r="N51" s="425"/>
      <c r="O51" s="425"/>
      <c r="P51" s="425"/>
      <c r="Q51" s="426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20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20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20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20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19"/>
      <c r="BY51" s="120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20"/>
    </row>
    <row r="52" spans="2:89" x14ac:dyDescent="0.2">
      <c r="B52" s="118"/>
      <c r="E52" s="140"/>
      <c r="F52" s="407"/>
      <c r="G52" s="407"/>
      <c r="H52" s="407"/>
      <c r="I52" s="407"/>
      <c r="J52" s="407"/>
      <c r="K52" s="407"/>
      <c r="L52" s="407"/>
      <c r="M52" s="407"/>
      <c r="N52" s="421"/>
      <c r="O52" s="421"/>
      <c r="P52" s="421"/>
      <c r="Q52" s="422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17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17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17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17"/>
      <c r="BN52" s="103"/>
      <c r="BO52" s="103"/>
      <c r="BP52" s="103"/>
      <c r="BQ52" s="103"/>
      <c r="BR52" s="103"/>
      <c r="BS52" s="103"/>
      <c r="BT52" s="103"/>
      <c r="BU52" s="103"/>
      <c r="BV52" s="103"/>
      <c r="BW52" s="103"/>
      <c r="BX52" s="103"/>
      <c r="BY52" s="117"/>
      <c r="BZ52" s="103"/>
      <c r="CA52" s="103"/>
      <c r="CB52" s="103"/>
      <c r="CC52" s="103"/>
      <c r="CD52" s="103"/>
      <c r="CE52" s="103"/>
      <c r="CF52" s="103"/>
      <c r="CG52" s="103"/>
      <c r="CH52" s="103"/>
      <c r="CI52" s="103"/>
      <c r="CJ52" s="103"/>
      <c r="CK52" s="117"/>
    </row>
    <row r="53" spans="2:89" s="17" customFormat="1" x14ac:dyDescent="0.2">
      <c r="B53" s="121" t="s">
        <v>79</v>
      </c>
      <c r="C53" s="224"/>
      <c r="E53" s="141"/>
      <c r="F53" s="427"/>
      <c r="G53" s="427"/>
      <c r="H53" s="427"/>
      <c r="I53" s="427"/>
      <c r="J53" s="427"/>
      <c r="K53" s="427"/>
      <c r="L53" s="427"/>
      <c r="M53" s="427"/>
      <c r="N53" s="437">
        <v>0.2</v>
      </c>
      <c r="O53" s="437">
        <f>N53+0.1</f>
        <v>0.30000000000000004</v>
      </c>
      <c r="P53" s="437">
        <v>0</v>
      </c>
      <c r="Q53" s="438">
        <v>0</v>
      </c>
      <c r="R53" s="223">
        <v>0</v>
      </c>
      <c r="S53" s="223">
        <v>0</v>
      </c>
      <c r="T53" s="223">
        <v>0</v>
      </c>
      <c r="U53" s="223">
        <v>0</v>
      </c>
      <c r="V53" s="223">
        <v>0</v>
      </c>
      <c r="W53" s="223">
        <v>0</v>
      </c>
      <c r="X53" s="223">
        <v>0</v>
      </c>
      <c r="Y53" s="223">
        <v>0</v>
      </c>
      <c r="Z53" s="223">
        <v>0</v>
      </c>
      <c r="AA53" s="223">
        <v>0</v>
      </c>
      <c r="AB53" s="223">
        <v>0</v>
      </c>
      <c r="AC53" s="222">
        <v>0</v>
      </c>
      <c r="AD53" s="223">
        <v>0</v>
      </c>
      <c r="AE53" s="223"/>
      <c r="AF53" s="223"/>
      <c r="AG53" s="223">
        <f t="shared" ref="AG53:BA53" si="246">AF53+0.2</f>
        <v>0.2</v>
      </c>
      <c r="AH53" s="223">
        <f t="shared" si="246"/>
        <v>0.4</v>
      </c>
      <c r="AI53" s="223">
        <f t="shared" si="246"/>
        <v>0.60000000000000009</v>
      </c>
      <c r="AJ53" s="223">
        <f t="shared" si="246"/>
        <v>0.8</v>
      </c>
      <c r="AK53" s="223">
        <f t="shared" si="246"/>
        <v>1</v>
      </c>
      <c r="AL53" s="223">
        <f t="shared" si="246"/>
        <v>1.2</v>
      </c>
      <c r="AM53" s="223">
        <f t="shared" si="246"/>
        <v>1.4</v>
      </c>
      <c r="AN53" s="223">
        <f t="shared" si="246"/>
        <v>1.5999999999999999</v>
      </c>
      <c r="AO53" s="222">
        <f t="shared" si="246"/>
        <v>1.7999999999999998</v>
      </c>
      <c r="AP53" s="223">
        <f t="shared" si="246"/>
        <v>1.9999999999999998</v>
      </c>
      <c r="AQ53" s="223">
        <f t="shared" si="246"/>
        <v>2.1999999999999997</v>
      </c>
      <c r="AR53" s="223">
        <f t="shared" si="246"/>
        <v>2.4</v>
      </c>
      <c r="AS53" s="223">
        <f t="shared" si="246"/>
        <v>2.6</v>
      </c>
      <c r="AT53" s="223">
        <f t="shared" si="246"/>
        <v>2.8000000000000003</v>
      </c>
      <c r="AU53" s="223">
        <f t="shared" si="246"/>
        <v>3.0000000000000004</v>
      </c>
      <c r="AV53" s="223">
        <f t="shared" si="246"/>
        <v>3.2000000000000006</v>
      </c>
      <c r="AW53" s="223">
        <f t="shared" si="246"/>
        <v>3.4000000000000008</v>
      </c>
      <c r="AX53" s="223">
        <f t="shared" si="246"/>
        <v>3.600000000000001</v>
      </c>
      <c r="AY53" s="223">
        <f t="shared" si="246"/>
        <v>3.8000000000000012</v>
      </c>
      <c r="AZ53" s="223">
        <f t="shared" si="246"/>
        <v>4.0000000000000009</v>
      </c>
      <c r="BA53" s="222">
        <f t="shared" si="246"/>
        <v>4.2000000000000011</v>
      </c>
      <c r="BB53" s="223">
        <f t="shared" ref="BB53" si="247">BA53+0.2</f>
        <v>4.4000000000000012</v>
      </c>
      <c r="BC53" s="223">
        <f t="shared" ref="BC53" si="248">BB53+0.2</f>
        <v>4.6000000000000014</v>
      </c>
      <c r="BD53" s="223">
        <f t="shared" ref="BD53" si="249">BC53+0.2</f>
        <v>4.8000000000000016</v>
      </c>
      <c r="BE53" s="223">
        <f t="shared" ref="BE53" si="250">BD53+0.2</f>
        <v>5.0000000000000018</v>
      </c>
      <c r="BF53" s="223">
        <f t="shared" ref="BF53" si="251">BE53+0.2</f>
        <v>5.200000000000002</v>
      </c>
      <c r="BG53" s="223">
        <f t="shared" ref="BG53" si="252">BF53+0.2</f>
        <v>5.4000000000000021</v>
      </c>
      <c r="BH53" s="223">
        <f t="shared" ref="BH53" si="253">BG53+0.2</f>
        <v>5.6000000000000023</v>
      </c>
      <c r="BI53" s="223">
        <f t="shared" ref="BI53" si="254">BH53+0.2</f>
        <v>5.8000000000000025</v>
      </c>
      <c r="BJ53" s="223">
        <f t="shared" ref="BJ53" si="255">BI53+0.2</f>
        <v>6.0000000000000027</v>
      </c>
      <c r="BK53" s="223">
        <f t="shared" ref="BK53" si="256">BJ53+0.2</f>
        <v>6.2000000000000028</v>
      </c>
      <c r="BL53" s="223">
        <f t="shared" ref="BL53" si="257">BK53+0.2</f>
        <v>6.400000000000003</v>
      </c>
      <c r="BM53" s="222">
        <f t="shared" ref="BM53" si="258">BL53+0.2</f>
        <v>6.6000000000000032</v>
      </c>
      <c r="BN53" s="223">
        <f t="shared" ref="BN53" si="259">BM53+0.2</f>
        <v>6.8000000000000034</v>
      </c>
      <c r="BO53" s="223">
        <f t="shared" ref="BO53" si="260">BN53+0.2</f>
        <v>7.0000000000000036</v>
      </c>
      <c r="BP53" s="223">
        <f t="shared" ref="BP53" si="261">BO53+0.2</f>
        <v>7.2000000000000037</v>
      </c>
      <c r="BQ53" s="223">
        <f t="shared" ref="BQ53" si="262">BP53+0.2</f>
        <v>7.4000000000000039</v>
      </c>
      <c r="BR53" s="223">
        <f t="shared" ref="BR53" si="263">BQ53+0.2</f>
        <v>7.6000000000000041</v>
      </c>
      <c r="BS53" s="223">
        <f t="shared" ref="BS53" si="264">BR53+0.2</f>
        <v>7.8000000000000043</v>
      </c>
      <c r="BT53" s="223">
        <f t="shared" ref="BT53" si="265">BS53+0.2</f>
        <v>8.0000000000000036</v>
      </c>
      <c r="BU53" s="223">
        <f t="shared" ref="BU53" si="266">BT53+0.2</f>
        <v>8.2000000000000028</v>
      </c>
      <c r="BV53" s="223">
        <f t="shared" ref="BV53" si="267">BU53+0.2</f>
        <v>8.4000000000000021</v>
      </c>
      <c r="BW53" s="223">
        <f t="shared" ref="BW53" si="268">BV53+0.2</f>
        <v>8.6000000000000014</v>
      </c>
      <c r="BX53" s="223">
        <f t="shared" ref="BX53" si="269">BW53+0.2</f>
        <v>8.8000000000000007</v>
      </c>
      <c r="BY53" s="222">
        <f t="shared" ref="BY53" si="270">BX53+0.2</f>
        <v>9</v>
      </c>
      <c r="BZ53" s="223">
        <f t="shared" ref="BZ53" si="271">BY53+0.2</f>
        <v>9.1999999999999993</v>
      </c>
      <c r="CA53" s="223">
        <f t="shared" ref="CA53" si="272">BZ53+0.2</f>
        <v>9.3999999999999986</v>
      </c>
      <c r="CB53" s="223">
        <f t="shared" ref="CB53" si="273">CA53+0.2</f>
        <v>9.5999999999999979</v>
      </c>
      <c r="CC53" s="223">
        <f t="shared" ref="CC53" si="274">CB53+0.2</f>
        <v>9.7999999999999972</v>
      </c>
      <c r="CD53" s="223">
        <f t="shared" ref="CD53" si="275">CC53+0.2</f>
        <v>9.9999999999999964</v>
      </c>
      <c r="CE53" s="223">
        <f t="shared" ref="CE53" si="276">CD53+0.2</f>
        <v>10.199999999999996</v>
      </c>
      <c r="CF53" s="223">
        <f t="shared" ref="CF53" si="277">CE53+0.2</f>
        <v>10.399999999999995</v>
      </c>
      <c r="CG53" s="223">
        <f t="shared" ref="CG53" si="278">CF53+0.2</f>
        <v>10.599999999999994</v>
      </c>
      <c r="CH53" s="223">
        <f t="shared" ref="CH53" si="279">CG53+0.2</f>
        <v>10.799999999999994</v>
      </c>
      <c r="CI53" s="223">
        <f t="shared" ref="CI53" si="280">CH53+0.2</f>
        <v>10.999999999999993</v>
      </c>
      <c r="CJ53" s="223">
        <f t="shared" ref="CJ53" si="281">CI53+0.2</f>
        <v>11.199999999999992</v>
      </c>
      <c r="CK53" s="222">
        <f t="shared" ref="CK53" si="282">CJ53+0.2</f>
        <v>11.399999999999991</v>
      </c>
    </row>
    <row r="54" spans="2:89" s="17" customFormat="1" x14ac:dyDescent="0.2">
      <c r="B54" s="121" t="s">
        <v>80</v>
      </c>
      <c r="C54" s="221">
        <v>12</v>
      </c>
      <c r="D54" s="17" t="s">
        <v>81</v>
      </c>
      <c r="E54" s="219"/>
      <c r="F54" s="427"/>
      <c r="G54" s="427"/>
      <c r="H54" s="427"/>
      <c r="I54" s="427"/>
      <c r="J54" s="427"/>
      <c r="K54" s="427"/>
      <c r="L54" s="427"/>
      <c r="M54" s="427"/>
      <c r="N54" s="428">
        <v>0</v>
      </c>
      <c r="O54" s="428">
        <v>0</v>
      </c>
      <c r="P54" s="428">
        <f t="shared" ref="P54:BA54" si="283">P53*$C54</f>
        <v>0</v>
      </c>
      <c r="Q54" s="429">
        <f t="shared" si="283"/>
        <v>0</v>
      </c>
      <c r="R54" s="218">
        <f t="shared" si="283"/>
        <v>0</v>
      </c>
      <c r="S54" s="218">
        <f t="shared" si="283"/>
        <v>0</v>
      </c>
      <c r="T54" s="218">
        <f t="shared" si="283"/>
        <v>0</v>
      </c>
      <c r="U54" s="218">
        <f t="shared" si="283"/>
        <v>0</v>
      </c>
      <c r="V54" s="218">
        <f t="shared" si="283"/>
        <v>0</v>
      </c>
      <c r="W54" s="218">
        <f t="shared" si="283"/>
        <v>0</v>
      </c>
      <c r="X54" s="218">
        <f t="shared" si="283"/>
        <v>0</v>
      </c>
      <c r="Y54" s="218">
        <f t="shared" si="283"/>
        <v>0</v>
      </c>
      <c r="Z54" s="218">
        <f t="shared" si="283"/>
        <v>0</v>
      </c>
      <c r="AA54" s="218">
        <f t="shared" si="283"/>
        <v>0</v>
      </c>
      <c r="AB54" s="218">
        <f t="shared" si="283"/>
        <v>0</v>
      </c>
      <c r="AC54" s="217">
        <f t="shared" si="283"/>
        <v>0</v>
      </c>
      <c r="AD54" s="218">
        <f t="shared" si="283"/>
        <v>0</v>
      </c>
      <c r="AE54" s="218">
        <f t="shared" si="283"/>
        <v>0</v>
      </c>
      <c r="AF54" s="218">
        <f t="shared" si="283"/>
        <v>0</v>
      </c>
      <c r="AG54" s="218">
        <f t="shared" si="283"/>
        <v>2.4000000000000004</v>
      </c>
      <c r="AH54" s="218">
        <f t="shared" si="283"/>
        <v>4.8000000000000007</v>
      </c>
      <c r="AI54" s="218">
        <f t="shared" si="283"/>
        <v>7.2000000000000011</v>
      </c>
      <c r="AJ54" s="218">
        <f t="shared" si="283"/>
        <v>9.6000000000000014</v>
      </c>
      <c r="AK54" s="218">
        <f t="shared" si="283"/>
        <v>12</v>
      </c>
      <c r="AL54" s="218">
        <f t="shared" si="283"/>
        <v>14.399999999999999</v>
      </c>
      <c r="AM54" s="218">
        <f t="shared" si="283"/>
        <v>16.799999999999997</v>
      </c>
      <c r="AN54" s="218">
        <f t="shared" si="283"/>
        <v>19.2</v>
      </c>
      <c r="AO54" s="217">
        <f t="shared" si="283"/>
        <v>21.599999999999998</v>
      </c>
      <c r="AP54" s="218">
        <f t="shared" si="283"/>
        <v>23.999999999999996</v>
      </c>
      <c r="AQ54" s="218">
        <f t="shared" si="283"/>
        <v>26.4</v>
      </c>
      <c r="AR54" s="218">
        <f t="shared" si="283"/>
        <v>28.799999999999997</v>
      </c>
      <c r="AS54" s="218">
        <f t="shared" si="283"/>
        <v>31.200000000000003</v>
      </c>
      <c r="AT54" s="218">
        <f t="shared" si="283"/>
        <v>33.6</v>
      </c>
      <c r="AU54" s="218">
        <f t="shared" si="283"/>
        <v>36.000000000000007</v>
      </c>
      <c r="AV54" s="218">
        <f t="shared" si="283"/>
        <v>38.400000000000006</v>
      </c>
      <c r="AW54" s="218">
        <f t="shared" si="283"/>
        <v>40.800000000000011</v>
      </c>
      <c r="AX54" s="218">
        <f t="shared" si="283"/>
        <v>43.20000000000001</v>
      </c>
      <c r="AY54" s="218">
        <f t="shared" si="283"/>
        <v>45.600000000000016</v>
      </c>
      <c r="AZ54" s="218">
        <f t="shared" si="283"/>
        <v>48.000000000000014</v>
      </c>
      <c r="BA54" s="217">
        <f t="shared" si="283"/>
        <v>50.400000000000013</v>
      </c>
      <c r="BB54" s="218">
        <f t="shared" ref="BB54:BM54" si="284">BB53*$C54</f>
        <v>52.800000000000011</v>
      </c>
      <c r="BC54" s="218">
        <f t="shared" si="284"/>
        <v>55.200000000000017</v>
      </c>
      <c r="BD54" s="218">
        <f t="shared" si="284"/>
        <v>57.600000000000023</v>
      </c>
      <c r="BE54" s="218">
        <f t="shared" si="284"/>
        <v>60.000000000000021</v>
      </c>
      <c r="BF54" s="218">
        <f t="shared" si="284"/>
        <v>62.40000000000002</v>
      </c>
      <c r="BG54" s="218">
        <f t="shared" si="284"/>
        <v>64.800000000000026</v>
      </c>
      <c r="BH54" s="218">
        <f t="shared" si="284"/>
        <v>67.200000000000031</v>
      </c>
      <c r="BI54" s="218">
        <f t="shared" si="284"/>
        <v>69.600000000000023</v>
      </c>
      <c r="BJ54" s="218">
        <f t="shared" si="284"/>
        <v>72.000000000000028</v>
      </c>
      <c r="BK54" s="218">
        <f t="shared" si="284"/>
        <v>74.400000000000034</v>
      </c>
      <c r="BL54" s="218">
        <f t="shared" si="284"/>
        <v>76.80000000000004</v>
      </c>
      <c r="BM54" s="217">
        <f t="shared" si="284"/>
        <v>79.200000000000045</v>
      </c>
      <c r="BN54" s="218">
        <f t="shared" ref="BN54:BY54" si="285">BN53*$C54</f>
        <v>81.600000000000037</v>
      </c>
      <c r="BO54" s="218">
        <f t="shared" si="285"/>
        <v>84.000000000000043</v>
      </c>
      <c r="BP54" s="218">
        <f t="shared" si="285"/>
        <v>86.400000000000048</v>
      </c>
      <c r="BQ54" s="218">
        <f t="shared" si="285"/>
        <v>88.80000000000004</v>
      </c>
      <c r="BR54" s="218">
        <f t="shared" si="285"/>
        <v>91.200000000000045</v>
      </c>
      <c r="BS54" s="218">
        <f t="shared" si="285"/>
        <v>93.600000000000051</v>
      </c>
      <c r="BT54" s="218">
        <f t="shared" si="285"/>
        <v>96.000000000000043</v>
      </c>
      <c r="BU54" s="218">
        <f t="shared" si="285"/>
        <v>98.400000000000034</v>
      </c>
      <c r="BV54" s="218">
        <f t="shared" si="285"/>
        <v>100.80000000000003</v>
      </c>
      <c r="BW54" s="218">
        <f t="shared" si="285"/>
        <v>103.20000000000002</v>
      </c>
      <c r="BX54" s="218">
        <f t="shared" si="285"/>
        <v>105.60000000000001</v>
      </c>
      <c r="BY54" s="217">
        <f t="shared" si="285"/>
        <v>108</v>
      </c>
      <c r="BZ54" s="218">
        <f t="shared" ref="BZ54:CK54" si="286">BZ53*$C54</f>
        <v>110.39999999999999</v>
      </c>
      <c r="CA54" s="218">
        <f t="shared" si="286"/>
        <v>112.79999999999998</v>
      </c>
      <c r="CB54" s="218">
        <f t="shared" si="286"/>
        <v>115.19999999999997</v>
      </c>
      <c r="CC54" s="218">
        <f t="shared" si="286"/>
        <v>117.59999999999997</v>
      </c>
      <c r="CD54" s="218">
        <f t="shared" si="286"/>
        <v>119.99999999999996</v>
      </c>
      <c r="CE54" s="218">
        <f t="shared" si="286"/>
        <v>122.39999999999995</v>
      </c>
      <c r="CF54" s="218">
        <f t="shared" si="286"/>
        <v>124.79999999999994</v>
      </c>
      <c r="CG54" s="218">
        <f t="shared" si="286"/>
        <v>127.19999999999993</v>
      </c>
      <c r="CH54" s="218">
        <f t="shared" si="286"/>
        <v>129.59999999999991</v>
      </c>
      <c r="CI54" s="218">
        <f t="shared" si="286"/>
        <v>131.99999999999991</v>
      </c>
      <c r="CJ54" s="218">
        <f t="shared" si="286"/>
        <v>134.39999999999992</v>
      </c>
      <c r="CK54" s="217">
        <f t="shared" si="286"/>
        <v>136.7999999999999</v>
      </c>
    </row>
    <row r="55" spans="2:89" s="17" customFormat="1" x14ac:dyDescent="0.2">
      <c r="B55" s="121" t="s">
        <v>59</v>
      </c>
      <c r="C55" s="220">
        <v>5.0000000000000001E-3</v>
      </c>
      <c r="E55" s="219"/>
      <c r="F55" s="427"/>
      <c r="G55" s="427"/>
      <c r="H55" s="427"/>
      <c r="I55" s="427"/>
      <c r="J55" s="427"/>
      <c r="K55" s="427"/>
      <c r="L55" s="427"/>
      <c r="M55" s="427"/>
      <c r="N55" s="428"/>
      <c r="O55" s="428"/>
      <c r="P55" s="428">
        <f t="shared" ref="P55:BA55" si="287">N56*$C55</f>
        <v>0.01</v>
      </c>
      <c r="Q55" s="429">
        <f t="shared" si="287"/>
        <v>0.01</v>
      </c>
      <c r="R55" s="218">
        <f t="shared" si="287"/>
        <v>9.9500000000000005E-3</v>
      </c>
      <c r="S55" s="218">
        <f t="shared" si="287"/>
        <v>9.9000000000000008E-3</v>
      </c>
      <c r="T55" s="218">
        <f t="shared" si="287"/>
        <v>0.01</v>
      </c>
      <c r="U55" s="218">
        <f t="shared" si="287"/>
        <v>9.9504999999999993E-3</v>
      </c>
      <c r="V55" s="218">
        <f t="shared" si="287"/>
        <v>9.9004999999999996E-3</v>
      </c>
      <c r="W55" s="218">
        <f t="shared" si="287"/>
        <v>9.8507474999999997E-3</v>
      </c>
      <c r="X55" s="218">
        <f t="shared" si="287"/>
        <v>9.8012450000000001E-3</v>
      </c>
      <c r="Y55" s="218">
        <f t="shared" si="287"/>
        <v>9.751991262499999E-3</v>
      </c>
      <c r="Z55" s="218">
        <f t="shared" si="287"/>
        <v>9.7029850374999987E-3</v>
      </c>
      <c r="AA55" s="218">
        <f t="shared" si="287"/>
        <v>9.6542250811875001E-3</v>
      </c>
      <c r="AB55" s="218">
        <f t="shared" si="287"/>
        <v>9.6057101560000011E-3</v>
      </c>
      <c r="AC55" s="217">
        <f t="shared" si="287"/>
        <v>9.5574390305940629E-3</v>
      </c>
      <c r="AD55" s="218">
        <f t="shared" si="287"/>
        <v>9.5094104798140629E-3</v>
      </c>
      <c r="AE55" s="218">
        <f t="shared" si="287"/>
        <v>9.4616232846610922E-3</v>
      </c>
      <c r="AF55" s="218">
        <f t="shared" si="287"/>
        <v>9.4140762322620208E-3</v>
      </c>
      <c r="AG55" s="218">
        <f t="shared" si="287"/>
        <v>9.3667681158387146E-3</v>
      </c>
      <c r="AH55" s="218">
        <f t="shared" si="287"/>
        <v>9.319697734677404E-3</v>
      </c>
      <c r="AI55" s="218">
        <f t="shared" si="287"/>
        <v>2.1272863894098215E-2</v>
      </c>
      <c r="AJ55" s="218">
        <f t="shared" si="287"/>
        <v>4.5226265405424834E-2</v>
      </c>
      <c r="AK55" s="218">
        <f t="shared" si="287"/>
        <v>8.1119901085954349E-2</v>
      </c>
      <c r="AL55" s="218">
        <f t="shared" si="287"/>
        <v>0.12889376975892725</v>
      </c>
      <c r="AM55" s="218">
        <f t="shared" si="287"/>
        <v>0.18848817025349746</v>
      </c>
      <c r="AN55" s="218">
        <f t="shared" si="287"/>
        <v>0.25984370140470281</v>
      </c>
      <c r="AO55" s="217">
        <f t="shared" si="287"/>
        <v>0.34290126055343534</v>
      </c>
      <c r="AP55" s="218">
        <f t="shared" si="287"/>
        <v>0.43760204204641184</v>
      </c>
      <c r="AQ55" s="218">
        <f t="shared" si="287"/>
        <v>0.54388753574364468</v>
      </c>
      <c r="AR55" s="218">
        <f t="shared" si="287"/>
        <v>0.66169952553341249</v>
      </c>
      <c r="AS55" s="218">
        <f t="shared" si="287"/>
        <v>0.79098008785469431</v>
      </c>
      <c r="AT55" s="218">
        <f t="shared" si="287"/>
        <v>0.93167159022702739</v>
      </c>
      <c r="AU55" s="218">
        <f t="shared" si="287"/>
        <v>1.0837166897877539</v>
      </c>
      <c r="AV55" s="218">
        <f t="shared" si="287"/>
        <v>1.2470583318366186</v>
      </c>
      <c r="AW55" s="218">
        <f t="shared" si="287"/>
        <v>1.4216397483876799</v>
      </c>
      <c r="AX55" s="218">
        <f t="shared" si="287"/>
        <v>1.6074044567284969</v>
      </c>
      <c r="AY55" s="218">
        <f t="shared" si="287"/>
        <v>1.8042962579865585</v>
      </c>
      <c r="AZ55" s="218">
        <f t="shared" si="287"/>
        <v>2.0122592357029161</v>
      </c>
      <c r="BA55" s="217">
        <f t="shared" si="287"/>
        <v>2.2312377544129833</v>
      </c>
      <c r="BB55" s="218">
        <f t="shared" ref="BB55" si="288">AZ56*$C55</f>
        <v>2.4611764582344686</v>
      </c>
      <c r="BC55" s="218">
        <f t="shared" ref="BC55" si="289">BA56*$C55</f>
        <v>2.702020269462404</v>
      </c>
      <c r="BD55" s="218">
        <f t="shared" ref="BD55" si="290">BB56*$C55</f>
        <v>2.9537143871712312</v>
      </c>
      <c r="BE55" s="218">
        <f t="shared" ref="BE55" si="291">BC56*$C55</f>
        <v>3.2162042858239195</v>
      </c>
      <c r="BF55" s="218">
        <f t="shared" ref="BF55" si="292">BD56*$C55</f>
        <v>3.4894357138880636</v>
      </c>
      <c r="BG55" s="218">
        <f t="shared" ref="BG55" si="293">BE56*$C55</f>
        <v>3.7733546924589438</v>
      </c>
      <c r="BH55" s="218">
        <f t="shared" ref="BH55" si="294">BF56*$C55</f>
        <v>4.0679075138895033</v>
      </c>
      <c r="BI55" s="218">
        <f t="shared" ref="BI55" si="295">BG56*$C55</f>
        <v>4.3730407404272089</v>
      </c>
      <c r="BJ55" s="218">
        <f t="shared" ref="BJ55" si="296">BH56*$C55</f>
        <v>4.6887012028577617</v>
      </c>
      <c r="BK55" s="218">
        <f t="shared" ref="BK55" si="297">BI56*$C55</f>
        <v>5.0148359991556264</v>
      </c>
      <c r="BL55" s="218">
        <f t="shared" ref="BL55" si="298">BJ56*$C55</f>
        <v>5.3513924931413372</v>
      </c>
      <c r="BM55" s="217">
        <f t="shared" ref="BM55" si="299">BK56*$C55</f>
        <v>5.6983183131455597</v>
      </c>
      <c r="BN55" s="218">
        <f t="shared" ref="BN55" si="300">BL56*$C55</f>
        <v>6.0555613506798531</v>
      </c>
      <c r="BO55" s="218">
        <f t="shared" ref="BO55" si="301">BM56*$C55</f>
        <v>6.4230697591141261</v>
      </c>
      <c r="BP55" s="218">
        <f t="shared" ref="BP55" si="302">BN56*$C55</f>
        <v>6.8007919523607265</v>
      </c>
      <c r="BQ55" s="218">
        <f t="shared" ref="BQ55" si="303">BO56*$C55</f>
        <v>7.188676603565157</v>
      </c>
      <c r="BR55" s="218">
        <f t="shared" ref="BR55" si="304">BP56*$C55</f>
        <v>7.5866726438033538</v>
      </c>
      <c r="BS55" s="218">
        <f t="shared" ref="BS55" si="305">BQ56*$C55</f>
        <v>7.9947292607855278</v>
      </c>
      <c r="BT55" s="218">
        <f t="shared" ref="BT55" si="306">BR56*$C55</f>
        <v>8.4127958975665109</v>
      </c>
      <c r="BU55" s="218">
        <f t="shared" ref="BU55" si="307">BS56*$C55</f>
        <v>8.8408222512625851</v>
      </c>
      <c r="BV55" s="218">
        <f t="shared" ref="BV55" si="308">BT56*$C55</f>
        <v>9.2787582717747519</v>
      </c>
      <c r="BW55" s="218">
        <f t="shared" ref="BW55" si="309">BU56*$C55</f>
        <v>9.7265541605184396</v>
      </c>
      <c r="BX55" s="218">
        <f t="shared" ref="BX55" si="310">BV56*$C55</f>
        <v>10.184160369159567</v>
      </c>
      <c r="BY55" s="217">
        <f t="shared" ref="BY55" si="311">BW56*$C55</f>
        <v>10.651527598356974</v>
      </c>
      <c r="BZ55" s="218">
        <f t="shared" ref="BZ55" si="312">BX56*$C55</f>
        <v>11.128606796511177</v>
      </c>
      <c r="CA55" s="218">
        <f t="shared" ref="CA55" si="313">BY56*$C55</f>
        <v>11.615349158519392</v>
      </c>
      <c r="CB55" s="218">
        <f t="shared" ref="CB55" si="314">BZ56*$C55</f>
        <v>12.111706124536836</v>
      </c>
      <c r="CC55" s="218">
        <f t="shared" ref="CC55" si="315">CA56*$C55</f>
        <v>12.61762937874424</v>
      </c>
      <c r="CD55" s="218">
        <f t="shared" ref="CD55" si="316">CB56*$C55</f>
        <v>13.133070848121557</v>
      </c>
      <c r="CE55" s="218">
        <f t="shared" ref="CE55" si="317">CC56*$C55</f>
        <v>13.657982701227834</v>
      </c>
      <c r="CF55" s="218">
        <f t="shared" ref="CF55" si="318">CD56*$C55</f>
        <v>14.192317346987227</v>
      </c>
      <c r="CG55" s="218">
        <f t="shared" ref="CG55" si="319">CE56*$C55</f>
        <v>14.736027433481087</v>
      </c>
      <c r="CH55" s="218">
        <f t="shared" ref="CH55" si="320">CF56*$C55</f>
        <v>15.289065846746151</v>
      </c>
      <c r="CI55" s="218">
        <f t="shared" ref="CI55" si="321">CG56*$C55</f>
        <v>15.851385709578745</v>
      </c>
      <c r="CJ55" s="218">
        <f t="shared" ref="CJ55" si="322">CH56*$C55</f>
        <v>16.422940380345011</v>
      </c>
      <c r="CK55" s="217">
        <f t="shared" ref="CK55" si="323">CI56*$C55</f>
        <v>17.003683451797119</v>
      </c>
    </row>
    <row r="56" spans="2:89" x14ac:dyDescent="0.2">
      <c r="B56" s="21" t="s">
        <v>72</v>
      </c>
      <c r="C56" s="211"/>
      <c r="F56" s="407"/>
      <c r="G56" s="407"/>
      <c r="H56" s="407"/>
      <c r="I56" s="407"/>
      <c r="J56" s="407"/>
      <c r="K56" s="407"/>
      <c r="L56" s="407"/>
      <c r="M56" s="430">
        <v>2</v>
      </c>
      <c r="N56" s="431">
        <f>M56+N54</f>
        <v>2</v>
      </c>
      <c r="O56" s="431">
        <f>N56+O54</f>
        <v>2</v>
      </c>
      <c r="P56" s="431">
        <f>O56+P54-P55</f>
        <v>1.99</v>
      </c>
      <c r="Q56" s="432">
        <f>P56+Q54-Q55</f>
        <v>1.98</v>
      </c>
      <c r="R56" s="216">
        <v>2</v>
      </c>
      <c r="S56" s="216">
        <f t="shared" ref="S56:BA56" si="324">R56+S54-S55</f>
        <v>1.9901</v>
      </c>
      <c r="T56" s="216">
        <f t="shared" si="324"/>
        <v>1.9801</v>
      </c>
      <c r="U56" s="216">
        <f t="shared" si="324"/>
        <v>1.9701495</v>
      </c>
      <c r="V56" s="216">
        <f t="shared" si="324"/>
        <v>1.9602489999999999</v>
      </c>
      <c r="W56" s="216">
        <f t="shared" si="324"/>
        <v>1.9503982524999999</v>
      </c>
      <c r="X56" s="216">
        <f t="shared" si="324"/>
        <v>1.9405970074999999</v>
      </c>
      <c r="Y56" s="216">
        <f t="shared" si="324"/>
        <v>1.9308450162374999</v>
      </c>
      <c r="Z56" s="216">
        <f t="shared" si="324"/>
        <v>1.9211420312</v>
      </c>
      <c r="AA56" s="216">
        <f t="shared" si="324"/>
        <v>1.9114878061188125</v>
      </c>
      <c r="AB56" s="216">
        <f t="shared" si="324"/>
        <v>1.9018820959628124</v>
      </c>
      <c r="AC56" s="215">
        <f t="shared" si="324"/>
        <v>1.8923246569322183</v>
      </c>
      <c r="AD56" s="216">
        <f t="shared" si="324"/>
        <v>1.8828152464524042</v>
      </c>
      <c r="AE56" s="216">
        <f t="shared" si="324"/>
        <v>1.873353623167743</v>
      </c>
      <c r="AF56" s="216">
        <f t="shared" si="324"/>
        <v>1.8639395469354809</v>
      </c>
      <c r="AG56" s="216">
        <f t="shared" si="324"/>
        <v>4.254572778819643</v>
      </c>
      <c r="AH56" s="216">
        <f t="shared" si="324"/>
        <v>9.045253081084967</v>
      </c>
      <c r="AI56" s="216">
        <f t="shared" si="324"/>
        <v>16.223980217190871</v>
      </c>
      <c r="AJ56" s="216">
        <f t="shared" si="324"/>
        <v>25.778753951785447</v>
      </c>
      <c r="AK56" s="216">
        <f t="shared" si="324"/>
        <v>37.697634050699492</v>
      </c>
      <c r="AL56" s="216">
        <f t="shared" si="324"/>
        <v>51.968740280940565</v>
      </c>
      <c r="AM56" s="216">
        <f t="shared" si="324"/>
        <v>68.58025211068707</v>
      </c>
      <c r="AN56" s="216">
        <f t="shared" si="324"/>
        <v>87.520408409282368</v>
      </c>
      <c r="AO56" s="215">
        <f t="shared" si="324"/>
        <v>108.77750714872893</v>
      </c>
      <c r="AP56" s="216">
        <f t="shared" si="324"/>
        <v>132.33990510668249</v>
      </c>
      <c r="AQ56" s="216">
        <f t="shared" si="324"/>
        <v>158.19601757093886</v>
      </c>
      <c r="AR56" s="216">
        <f t="shared" si="324"/>
        <v>186.33431804540547</v>
      </c>
      <c r="AS56" s="216">
        <f t="shared" si="324"/>
        <v>216.74333795755078</v>
      </c>
      <c r="AT56" s="216">
        <f t="shared" si="324"/>
        <v>249.41166636732373</v>
      </c>
      <c r="AU56" s="216">
        <f t="shared" si="324"/>
        <v>284.32794967753597</v>
      </c>
      <c r="AV56" s="216">
        <f t="shared" si="324"/>
        <v>321.48089134569938</v>
      </c>
      <c r="AW56" s="216">
        <f t="shared" si="324"/>
        <v>360.8592515973117</v>
      </c>
      <c r="AX56" s="216">
        <f t="shared" si="324"/>
        <v>402.4518471405832</v>
      </c>
      <c r="AY56" s="216">
        <f t="shared" si="324"/>
        <v>446.24755088259667</v>
      </c>
      <c r="AZ56" s="216">
        <f t="shared" si="324"/>
        <v>492.23529164689376</v>
      </c>
      <c r="BA56" s="215">
        <f t="shared" si="324"/>
        <v>540.40405389248076</v>
      </c>
      <c r="BB56" s="216">
        <f t="shared" ref="BB56" si="325">BA56+BB54-BB55</f>
        <v>590.74287743424622</v>
      </c>
      <c r="BC56" s="216">
        <f t="shared" ref="BC56" si="326">BB56+BC54-BC55</f>
        <v>643.24085716478385</v>
      </c>
      <c r="BD56" s="216">
        <f t="shared" ref="BD56" si="327">BC56+BD54-BD55</f>
        <v>697.88714277761267</v>
      </c>
      <c r="BE56" s="216">
        <f t="shared" ref="BE56" si="328">BD56+BE54-BE55</f>
        <v>754.67093849178877</v>
      </c>
      <c r="BF56" s="216">
        <f t="shared" ref="BF56" si="329">BE56+BF54-BF55</f>
        <v>813.58150277790071</v>
      </c>
      <c r="BG56" s="216">
        <f t="shared" ref="BG56" si="330">BF56+BG54-BG55</f>
        <v>874.60814808544183</v>
      </c>
      <c r="BH56" s="216">
        <f t="shared" ref="BH56" si="331">BG56+BH54-BH55</f>
        <v>937.74024057155236</v>
      </c>
      <c r="BI56" s="216">
        <f t="shared" ref="BI56" si="332">BH56+BI54-BI55</f>
        <v>1002.9671998311252</v>
      </c>
      <c r="BJ56" s="216">
        <f t="shared" ref="BJ56" si="333">BI56+BJ54-BJ55</f>
        <v>1070.2784986282675</v>
      </c>
      <c r="BK56" s="216">
        <f t="shared" ref="BK56" si="334">BJ56+BK54-BK55</f>
        <v>1139.663662629112</v>
      </c>
      <c r="BL56" s="216">
        <f t="shared" ref="BL56" si="335">BK56+BL54-BL55</f>
        <v>1211.1122701359707</v>
      </c>
      <c r="BM56" s="215">
        <f t="shared" ref="BM56" si="336">BL56+BM54-BM55</f>
        <v>1284.6139518228251</v>
      </c>
      <c r="BN56" s="216">
        <f t="shared" ref="BN56" si="337">BM56+BN54-BN55</f>
        <v>1360.1583904721454</v>
      </c>
      <c r="BO56" s="216">
        <f t="shared" ref="BO56" si="338">BN56+BO54-BO55</f>
        <v>1437.7353207130313</v>
      </c>
      <c r="BP56" s="216">
        <f t="shared" ref="BP56" si="339">BO56+BP54-BP55</f>
        <v>1517.3345287606708</v>
      </c>
      <c r="BQ56" s="216">
        <f t="shared" ref="BQ56" si="340">BP56+BQ54-BQ55</f>
        <v>1598.9458521571055</v>
      </c>
      <c r="BR56" s="216">
        <f t="shared" ref="BR56" si="341">BQ56+BR54-BR55</f>
        <v>1682.5591795133023</v>
      </c>
      <c r="BS56" s="216">
        <f t="shared" ref="BS56" si="342">BR56+BS54-BS55</f>
        <v>1768.1644502525169</v>
      </c>
      <c r="BT56" s="216">
        <f t="shared" ref="BT56" si="343">BS56+BT54-BT55</f>
        <v>1855.7516543549505</v>
      </c>
      <c r="BU56" s="216">
        <f t="shared" ref="BU56" si="344">BT56+BU54-BU55</f>
        <v>1945.310832103688</v>
      </c>
      <c r="BV56" s="216">
        <f t="shared" ref="BV56" si="345">BU56+BV54-BV55</f>
        <v>2036.8320738319132</v>
      </c>
      <c r="BW56" s="216">
        <f t="shared" ref="BW56" si="346">BV56+BW54-BW55</f>
        <v>2130.3055196713949</v>
      </c>
      <c r="BX56" s="216">
        <f t="shared" ref="BX56" si="347">BW56+BX54-BX55</f>
        <v>2225.7213593022352</v>
      </c>
      <c r="BY56" s="215">
        <f t="shared" ref="BY56" si="348">BX56+BY54-BY55</f>
        <v>2323.0698317038782</v>
      </c>
      <c r="BZ56" s="216">
        <f t="shared" ref="BZ56" si="349">BY56+BZ54-BZ55</f>
        <v>2422.3412249073672</v>
      </c>
      <c r="CA56" s="216">
        <f t="shared" ref="CA56" si="350">BZ56+CA54-CA55</f>
        <v>2523.5258757488482</v>
      </c>
      <c r="CB56" s="216">
        <f t="shared" ref="CB56" si="351">CA56+CB54-CB55</f>
        <v>2626.6141696243112</v>
      </c>
      <c r="CC56" s="216">
        <f t="shared" ref="CC56" si="352">CB56+CC54-CC55</f>
        <v>2731.5965402455668</v>
      </c>
      <c r="CD56" s="216">
        <f t="shared" ref="CD56" si="353">CC56+CD54-CD55</f>
        <v>2838.4634693974454</v>
      </c>
      <c r="CE56" s="216">
        <f t="shared" ref="CE56" si="354">CD56+CE54-CE55</f>
        <v>2947.2054866962176</v>
      </c>
      <c r="CF56" s="216">
        <f t="shared" ref="CF56" si="355">CE56+CF54-CF55</f>
        <v>3057.8131693492301</v>
      </c>
      <c r="CG56" s="216">
        <f t="shared" ref="CG56" si="356">CF56+CG54-CG55</f>
        <v>3170.2771419157489</v>
      </c>
      <c r="CH56" s="216">
        <f t="shared" ref="CH56" si="357">CG56+CH54-CH55</f>
        <v>3284.5880760690025</v>
      </c>
      <c r="CI56" s="216">
        <f t="shared" ref="CI56" si="358">CH56+CI54-CI55</f>
        <v>3400.7366903594238</v>
      </c>
      <c r="CJ56" s="216">
        <f t="shared" ref="CJ56" si="359">CI56+CJ54-CJ55</f>
        <v>3518.7137499790788</v>
      </c>
      <c r="CK56" s="215">
        <f t="shared" ref="CK56" si="360">CJ56+CK54-CK55</f>
        <v>3638.5100665272812</v>
      </c>
    </row>
    <row r="57" spans="2:89" x14ac:dyDescent="0.2">
      <c r="B57" s="121" t="s">
        <v>82</v>
      </c>
      <c r="C57" s="214">
        <v>175</v>
      </c>
      <c r="F57" s="407"/>
      <c r="G57" s="407"/>
      <c r="H57" s="407"/>
      <c r="I57" s="407"/>
      <c r="J57" s="407"/>
      <c r="K57" s="407"/>
      <c r="L57" s="407"/>
      <c r="M57" s="407"/>
      <c r="N57" s="433"/>
      <c r="O57" s="433"/>
      <c r="P57" s="433"/>
      <c r="Q57" s="434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70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70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70"/>
      <c r="BB57" s="169"/>
      <c r="BC57" s="169"/>
      <c r="BD57" s="169"/>
      <c r="BE57" s="169"/>
      <c r="BF57" s="169"/>
      <c r="BG57" s="169"/>
      <c r="BH57" s="169"/>
      <c r="BI57" s="169"/>
      <c r="BJ57" s="169"/>
      <c r="BK57" s="169"/>
      <c r="BL57" s="169"/>
      <c r="BM57" s="170"/>
      <c r="BN57" s="169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70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  <c r="CJ57" s="169"/>
      <c r="CK57" s="170"/>
    </row>
    <row r="58" spans="2:89" s="107" customFormat="1" x14ac:dyDescent="0.2">
      <c r="B58" s="142" t="s">
        <v>83</v>
      </c>
      <c r="E58" s="143"/>
      <c r="F58" s="407"/>
      <c r="G58" s="407"/>
      <c r="H58" s="407"/>
      <c r="I58" s="407"/>
      <c r="J58" s="407"/>
      <c r="K58" s="407"/>
      <c r="L58" s="407"/>
      <c r="M58" s="407"/>
      <c r="N58" s="433">
        <f>$C57*N56</f>
        <v>350</v>
      </c>
      <c r="O58" s="433">
        <f>$C57*O56</f>
        <v>350</v>
      </c>
      <c r="P58" s="433">
        <f>$C57*P56</f>
        <v>348.25</v>
      </c>
      <c r="Q58" s="434">
        <f>$C57*Q56</f>
        <v>346.5</v>
      </c>
      <c r="R58" s="213">
        <v>345</v>
      </c>
      <c r="S58" s="213">
        <f t="shared" ref="S58:BA58" si="361">$C57*S56</f>
        <v>348.26749999999998</v>
      </c>
      <c r="T58" s="213">
        <f t="shared" si="361"/>
        <v>346.51749999999998</v>
      </c>
      <c r="U58" s="213">
        <f t="shared" si="361"/>
        <v>344.7761625</v>
      </c>
      <c r="V58" s="213">
        <f t="shared" si="361"/>
        <v>343.04357499999998</v>
      </c>
      <c r="W58" s="213">
        <f t="shared" si="361"/>
        <v>341.31969418749998</v>
      </c>
      <c r="X58" s="213">
        <f t="shared" si="361"/>
        <v>339.60447631249997</v>
      </c>
      <c r="Y58" s="213">
        <f t="shared" si="361"/>
        <v>337.89787784156249</v>
      </c>
      <c r="Z58" s="213">
        <f t="shared" si="361"/>
        <v>336.19985545999998</v>
      </c>
      <c r="AA58" s="213">
        <f t="shared" si="361"/>
        <v>334.5103660707922</v>
      </c>
      <c r="AB58" s="213">
        <f t="shared" si="361"/>
        <v>332.82936679349217</v>
      </c>
      <c r="AC58" s="212">
        <f t="shared" si="361"/>
        <v>331.15681496313817</v>
      </c>
      <c r="AD58" s="213">
        <f t="shared" si="361"/>
        <v>329.49266812917074</v>
      </c>
      <c r="AE58" s="213">
        <f t="shared" si="361"/>
        <v>327.83688405435504</v>
      </c>
      <c r="AF58" s="213">
        <f t="shared" si="361"/>
        <v>326.18942071370918</v>
      </c>
      <c r="AG58" s="213">
        <f t="shared" si="361"/>
        <v>744.55023629343748</v>
      </c>
      <c r="AH58" s="213">
        <f t="shared" si="361"/>
        <v>1582.9192891898692</v>
      </c>
      <c r="AI58" s="213">
        <f t="shared" si="361"/>
        <v>2839.1965380084025</v>
      </c>
      <c r="AJ58" s="213">
        <f t="shared" si="361"/>
        <v>4511.2819415624535</v>
      </c>
      <c r="AK58" s="213">
        <f t="shared" si="361"/>
        <v>6597.0859588724106</v>
      </c>
      <c r="AL58" s="213">
        <f t="shared" si="361"/>
        <v>9094.5295491645993</v>
      </c>
      <c r="AM58" s="213">
        <f t="shared" si="361"/>
        <v>12001.544119370237</v>
      </c>
      <c r="AN58" s="213">
        <f t="shared" si="361"/>
        <v>15316.071471624415</v>
      </c>
      <c r="AO58" s="212">
        <f t="shared" si="361"/>
        <v>19036.063751027563</v>
      </c>
      <c r="AP58" s="213">
        <f t="shared" si="361"/>
        <v>23159.483393669438</v>
      </c>
      <c r="AQ58" s="213">
        <f t="shared" si="361"/>
        <v>27684.3030749143</v>
      </c>
      <c r="AR58" s="213">
        <f t="shared" si="361"/>
        <v>32608.505657945956</v>
      </c>
      <c r="AS58" s="213">
        <f t="shared" si="361"/>
        <v>37930.084142571388</v>
      </c>
      <c r="AT58" s="213">
        <f t="shared" si="361"/>
        <v>43647.041614281654</v>
      </c>
      <c r="AU58" s="213">
        <f t="shared" si="361"/>
        <v>49757.391193568794</v>
      </c>
      <c r="AV58" s="213">
        <f t="shared" si="361"/>
        <v>56259.155985497389</v>
      </c>
      <c r="AW58" s="213">
        <f t="shared" si="361"/>
        <v>63150.369029529546</v>
      </c>
      <c r="AX58" s="213">
        <f t="shared" si="361"/>
        <v>70429.073249602065</v>
      </c>
      <c r="AY58" s="213">
        <f t="shared" si="361"/>
        <v>78093.321404454415</v>
      </c>
      <c r="AZ58" s="213">
        <f t="shared" si="361"/>
        <v>86141.176038206409</v>
      </c>
      <c r="BA58" s="212">
        <f t="shared" si="361"/>
        <v>94570.709431184136</v>
      </c>
      <c r="BB58" s="213">
        <f t="shared" ref="BB58:BM58" si="362">$C57*BB56</f>
        <v>103380.00355099309</v>
      </c>
      <c r="BC58" s="213">
        <f t="shared" si="362"/>
        <v>112567.15000383717</v>
      </c>
      <c r="BD58" s="213">
        <f t="shared" si="362"/>
        <v>122130.24998608221</v>
      </c>
      <c r="BE58" s="213">
        <f t="shared" si="362"/>
        <v>132067.41423606302</v>
      </c>
      <c r="BF58" s="213">
        <f t="shared" si="362"/>
        <v>142376.76298613261</v>
      </c>
      <c r="BG58" s="213">
        <f t="shared" si="362"/>
        <v>153056.42591495233</v>
      </c>
      <c r="BH58" s="213">
        <f t="shared" si="362"/>
        <v>164104.54210002167</v>
      </c>
      <c r="BI58" s="213">
        <f t="shared" si="362"/>
        <v>175519.2599704469</v>
      </c>
      <c r="BJ58" s="213">
        <f t="shared" si="362"/>
        <v>187298.73725994682</v>
      </c>
      <c r="BK58" s="213">
        <f t="shared" si="362"/>
        <v>199441.14096009461</v>
      </c>
      <c r="BL58" s="213">
        <f t="shared" si="362"/>
        <v>211944.64727379486</v>
      </c>
      <c r="BM58" s="212">
        <f t="shared" si="362"/>
        <v>224807.4415689944</v>
      </c>
      <c r="BN58" s="213">
        <f t="shared" ref="BN58:BY58" si="363">$C57*BN56</f>
        <v>238027.71833262543</v>
      </c>
      <c r="BO58" s="213">
        <f t="shared" si="363"/>
        <v>251603.68112478047</v>
      </c>
      <c r="BP58" s="213">
        <f t="shared" si="363"/>
        <v>265533.5425331174</v>
      </c>
      <c r="BQ58" s="213">
        <f t="shared" si="363"/>
        <v>279815.52412749344</v>
      </c>
      <c r="BR58" s="213">
        <f t="shared" si="363"/>
        <v>294447.85641482793</v>
      </c>
      <c r="BS58" s="213">
        <f t="shared" si="363"/>
        <v>309428.77879419044</v>
      </c>
      <c r="BT58" s="213">
        <f t="shared" si="363"/>
        <v>324756.53951211635</v>
      </c>
      <c r="BU58" s="213">
        <f t="shared" si="363"/>
        <v>340429.39561814541</v>
      </c>
      <c r="BV58" s="213">
        <f t="shared" si="363"/>
        <v>356445.6129205848</v>
      </c>
      <c r="BW58" s="213">
        <f t="shared" si="363"/>
        <v>372803.46594249411</v>
      </c>
      <c r="BX58" s="213">
        <f t="shared" si="363"/>
        <v>389501.23787789117</v>
      </c>
      <c r="BY58" s="212">
        <f t="shared" si="363"/>
        <v>406537.22054817871</v>
      </c>
      <c r="BZ58" s="213">
        <f t="shared" ref="BZ58:CK58" si="364">$C57*BZ56</f>
        <v>423909.71435878926</v>
      </c>
      <c r="CA58" s="213">
        <f t="shared" si="364"/>
        <v>441617.02825604845</v>
      </c>
      <c r="CB58" s="213">
        <f t="shared" si="364"/>
        <v>459657.47968425445</v>
      </c>
      <c r="CC58" s="213">
        <f t="shared" si="364"/>
        <v>478029.39454297419</v>
      </c>
      <c r="CD58" s="213">
        <f t="shared" si="364"/>
        <v>496731.10714455292</v>
      </c>
      <c r="CE58" s="213">
        <f t="shared" si="364"/>
        <v>515760.96017183806</v>
      </c>
      <c r="CF58" s="213">
        <f t="shared" si="364"/>
        <v>535117.30463611521</v>
      </c>
      <c r="CG58" s="213">
        <f t="shared" si="364"/>
        <v>554798.49983525602</v>
      </c>
      <c r="CH58" s="213">
        <f t="shared" si="364"/>
        <v>574802.91331207543</v>
      </c>
      <c r="CI58" s="213">
        <f t="shared" si="364"/>
        <v>595128.92081289913</v>
      </c>
      <c r="CJ58" s="213">
        <f t="shared" si="364"/>
        <v>615774.90624633874</v>
      </c>
      <c r="CK58" s="212">
        <f t="shared" si="364"/>
        <v>636739.26164227421</v>
      </c>
    </row>
    <row r="59" spans="2:89" x14ac:dyDescent="0.2">
      <c r="B59" s="121"/>
      <c r="C59" s="211"/>
      <c r="E59" s="205"/>
      <c r="F59" s="407"/>
      <c r="G59" s="407"/>
      <c r="H59" s="407"/>
      <c r="I59" s="407"/>
      <c r="J59" s="407"/>
      <c r="K59" s="407"/>
      <c r="L59" s="407"/>
      <c r="M59" s="407"/>
      <c r="N59" s="433"/>
      <c r="O59" s="433"/>
      <c r="P59" s="433"/>
      <c r="Q59" s="434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70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70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70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70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70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70"/>
    </row>
    <row r="60" spans="2:89" s="2" customFormat="1" x14ac:dyDescent="0.2">
      <c r="B60" s="118" t="s">
        <v>84</v>
      </c>
      <c r="C60" s="210">
        <v>0.17499999999999999</v>
      </c>
      <c r="E60" s="209"/>
      <c r="F60" s="18"/>
      <c r="G60" s="18"/>
      <c r="H60" s="18"/>
      <c r="I60" s="18"/>
      <c r="J60" s="18"/>
      <c r="K60" s="18"/>
      <c r="L60" s="18"/>
      <c r="M60" s="18"/>
      <c r="N60" s="435">
        <f>N58*$C60</f>
        <v>61.249999999999993</v>
      </c>
      <c r="O60" s="435">
        <f>O58*$C60</f>
        <v>61.249999999999993</v>
      </c>
      <c r="P60" s="435">
        <f>P58*$C60</f>
        <v>60.943749999999994</v>
      </c>
      <c r="Q60" s="436">
        <f>Q58*$C60</f>
        <v>60.637499999999996</v>
      </c>
      <c r="R60" s="208">
        <v>60</v>
      </c>
      <c r="S60" s="208">
        <f t="shared" ref="S60:BA60" si="365">S58*$C60</f>
        <v>60.946812499999993</v>
      </c>
      <c r="T60" s="208">
        <f t="shared" si="365"/>
        <v>60.640562499999994</v>
      </c>
      <c r="U60" s="208">
        <f t="shared" si="365"/>
        <v>60.335828437499998</v>
      </c>
      <c r="V60" s="208">
        <f t="shared" si="365"/>
        <v>60.032625624999994</v>
      </c>
      <c r="W60" s="208">
        <f t="shared" si="365"/>
        <v>59.730946482812492</v>
      </c>
      <c r="X60" s="208">
        <f t="shared" si="365"/>
        <v>59.430783354687492</v>
      </c>
      <c r="Y60" s="208">
        <f t="shared" si="365"/>
        <v>59.132128622273434</v>
      </c>
      <c r="Z60" s="208">
        <f t="shared" si="365"/>
        <v>58.834974705499995</v>
      </c>
      <c r="AA60" s="208">
        <f t="shared" si="365"/>
        <v>58.539314062388634</v>
      </c>
      <c r="AB60" s="208">
        <f t="shared" si="365"/>
        <v>58.245139188861124</v>
      </c>
      <c r="AC60" s="207">
        <f t="shared" si="365"/>
        <v>57.952442618549178</v>
      </c>
      <c r="AD60" s="208">
        <f t="shared" si="365"/>
        <v>57.661216922604872</v>
      </c>
      <c r="AE60" s="208">
        <f t="shared" si="365"/>
        <v>57.371454709512129</v>
      </c>
      <c r="AF60" s="208">
        <f t="shared" si="365"/>
        <v>57.083148624899103</v>
      </c>
      <c r="AG60" s="208">
        <f t="shared" si="365"/>
        <v>130.29629135135156</v>
      </c>
      <c r="AH60" s="208">
        <f t="shared" si="365"/>
        <v>277.01087560822708</v>
      </c>
      <c r="AI60" s="208">
        <f t="shared" si="365"/>
        <v>496.85939415147038</v>
      </c>
      <c r="AJ60" s="208">
        <f t="shared" si="365"/>
        <v>789.47433977342928</v>
      </c>
      <c r="AK60" s="208">
        <f t="shared" si="365"/>
        <v>1154.4900428026717</v>
      </c>
      <c r="AL60" s="208">
        <f t="shared" si="365"/>
        <v>1591.5426711038049</v>
      </c>
      <c r="AM60" s="208">
        <f t="shared" si="365"/>
        <v>2100.2702208897913</v>
      </c>
      <c r="AN60" s="208">
        <f t="shared" si="365"/>
        <v>2680.3125075342723</v>
      </c>
      <c r="AO60" s="207">
        <f t="shared" si="365"/>
        <v>3331.3111564298233</v>
      </c>
      <c r="AP60" s="208">
        <f t="shared" si="365"/>
        <v>4052.9095938921514</v>
      </c>
      <c r="AQ60" s="208">
        <f t="shared" si="365"/>
        <v>4844.7530381100023</v>
      </c>
      <c r="AR60" s="208">
        <f t="shared" si="365"/>
        <v>5706.4884901405421</v>
      </c>
      <c r="AS60" s="208">
        <f t="shared" si="365"/>
        <v>6637.7647249499923</v>
      </c>
      <c r="AT60" s="208">
        <f t="shared" si="365"/>
        <v>7638.2322824992889</v>
      </c>
      <c r="AU60" s="208">
        <f t="shared" si="365"/>
        <v>8707.5434588745375</v>
      </c>
      <c r="AV60" s="208">
        <f t="shared" si="365"/>
        <v>9845.3522974620428</v>
      </c>
      <c r="AW60" s="208">
        <f t="shared" si="365"/>
        <v>11051.314580167669</v>
      </c>
      <c r="AX60" s="208">
        <f t="shared" si="365"/>
        <v>12325.08781868036</v>
      </c>
      <c r="AY60" s="208">
        <f t="shared" si="365"/>
        <v>13666.331245779522</v>
      </c>
      <c r="AZ60" s="208">
        <f t="shared" si="365"/>
        <v>15074.705806686121</v>
      </c>
      <c r="BA60" s="207">
        <f t="shared" si="365"/>
        <v>16549.874150457224</v>
      </c>
      <c r="BB60" s="208">
        <f t="shared" ref="BB60:BM60" si="366">BB58*$C60</f>
        <v>18091.500621423791</v>
      </c>
      <c r="BC60" s="208">
        <f t="shared" si="366"/>
        <v>19699.251250671503</v>
      </c>
      <c r="BD60" s="208">
        <f t="shared" si="366"/>
        <v>21372.793747564385</v>
      </c>
      <c r="BE60" s="208">
        <f t="shared" si="366"/>
        <v>23111.797491311027</v>
      </c>
      <c r="BF60" s="208">
        <f t="shared" si="366"/>
        <v>24915.933522573207</v>
      </c>
      <c r="BG60" s="208">
        <f t="shared" si="366"/>
        <v>26784.874535116654</v>
      </c>
      <c r="BH60" s="208">
        <f t="shared" si="366"/>
        <v>28718.294867503791</v>
      </c>
      <c r="BI60" s="208">
        <f t="shared" si="366"/>
        <v>30715.870494828207</v>
      </c>
      <c r="BJ60" s="208">
        <f t="shared" si="366"/>
        <v>32777.279020490692</v>
      </c>
      <c r="BK60" s="208">
        <f t="shared" si="366"/>
        <v>34902.199668016554</v>
      </c>
      <c r="BL60" s="208">
        <f t="shared" si="366"/>
        <v>37090.3132729141</v>
      </c>
      <c r="BM60" s="207">
        <f t="shared" si="366"/>
        <v>39341.302274574016</v>
      </c>
      <c r="BN60" s="208">
        <f t="shared" ref="BN60:BY60" si="367">BN58*$C60</f>
        <v>41654.850708209451</v>
      </c>
      <c r="BO60" s="208">
        <f t="shared" si="367"/>
        <v>44030.644196836583</v>
      </c>
      <c r="BP60" s="208">
        <f t="shared" si="367"/>
        <v>46468.36994329554</v>
      </c>
      <c r="BQ60" s="208">
        <f t="shared" si="367"/>
        <v>48967.71672231135</v>
      </c>
      <c r="BR60" s="208">
        <f t="shared" si="367"/>
        <v>51528.374872594883</v>
      </c>
      <c r="BS60" s="208">
        <f t="shared" si="367"/>
        <v>54150.036288983327</v>
      </c>
      <c r="BT60" s="208">
        <f t="shared" si="367"/>
        <v>56832.394414620358</v>
      </c>
      <c r="BU60" s="208">
        <f t="shared" si="367"/>
        <v>59575.144233175444</v>
      </c>
      <c r="BV60" s="208">
        <f t="shared" si="367"/>
        <v>62377.982261102334</v>
      </c>
      <c r="BW60" s="208">
        <f t="shared" si="367"/>
        <v>65240.606539936467</v>
      </c>
      <c r="BX60" s="208">
        <f t="shared" si="367"/>
        <v>68162.716628630951</v>
      </c>
      <c r="BY60" s="207">
        <f t="shared" si="367"/>
        <v>71144.013595931276</v>
      </c>
      <c r="BZ60" s="208">
        <f t="shared" ref="BZ60:CK60" si="368">BZ58*$C60</f>
        <v>74184.200012788118</v>
      </c>
      <c r="CA60" s="208">
        <f t="shared" si="368"/>
        <v>77282.979944808467</v>
      </c>
      <c r="CB60" s="208">
        <f t="shared" si="368"/>
        <v>80440.058944744524</v>
      </c>
      <c r="CC60" s="208">
        <f t="shared" si="368"/>
        <v>83655.144045020483</v>
      </c>
      <c r="CD60" s="208">
        <f t="shared" si="368"/>
        <v>86927.943750296763</v>
      </c>
      <c r="CE60" s="208">
        <f t="shared" si="368"/>
        <v>90258.168030071654</v>
      </c>
      <c r="CF60" s="208">
        <f t="shared" si="368"/>
        <v>93645.528311320159</v>
      </c>
      <c r="CG60" s="208">
        <f t="shared" si="368"/>
        <v>97089.737471169792</v>
      </c>
      <c r="CH60" s="208">
        <f t="shared" si="368"/>
        <v>100590.50982961319</v>
      </c>
      <c r="CI60" s="208">
        <f t="shared" si="368"/>
        <v>104147.56114225734</v>
      </c>
      <c r="CJ60" s="208">
        <f t="shared" si="368"/>
        <v>107760.60859310927</v>
      </c>
      <c r="CK60" s="207">
        <f t="shared" si="368"/>
        <v>111429.37078739799</v>
      </c>
    </row>
    <row r="61" spans="2:89" x14ac:dyDescent="0.2">
      <c r="B61" s="121" t="s">
        <v>85</v>
      </c>
      <c r="C61" s="206">
        <v>3</v>
      </c>
      <c r="E61" s="205"/>
      <c r="F61" s="407"/>
      <c r="G61" s="407"/>
      <c r="H61" s="407"/>
      <c r="I61" s="407"/>
      <c r="J61" s="407"/>
      <c r="K61" s="407"/>
      <c r="L61" s="407"/>
      <c r="M61" s="407"/>
      <c r="N61" s="433">
        <f t="shared" ref="N61:BA61" si="369">N56*$C61</f>
        <v>6</v>
      </c>
      <c r="O61" s="433">
        <f t="shared" si="369"/>
        <v>6</v>
      </c>
      <c r="P61" s="433">
        <f t="shared" si="369"/>
        <v>5.97</v>
      </c>
      <c r="Q61" s="434">
        <f t="shared" si="369"/>
        <v>5.9399999999999995</v>
      </c>
      <c r="R61" s="169">
        <f t="shared" si="369"/>
        <v>6</v>
      </c>
      <c r="S61" s="169">
        <f t="shared" si="369"/>
        <v>5.9702999999999999</v>
      </c>
      <c r="T61" s="169">
        <f t="shared" si="369"/>
        <v>5.9402999999999997</v>
      </c>
      <c r="U61" s="169">
        <f t="shared" si="369"/>
        <v>5.9104485000000002</v>
      </c>
      <c r="V61" s="169">
        <f t="shared" si="369"/>
        <v>5.8807469999999995</v>
      </c>
      <c r="W61" s="169">
        <f t="shared" si="369"/>
        <v>5.8511947575000001</v>
      </c>
      <c r="X61" s="169">
        <f t="shared" si="369"/>
        <v>5.8217910224999994</v>
      </c>
      <c r="Y61" s="169">
        <f t="shared" si="369"/>
        <v>5.7925350487124998</v>
      </c>
      <c r="Z61" s="169">
        <f t="shared" si="369"/>
        <v>5.7634260935999997</v>
      </c>
      <c r="AA61" s="169">
        <f t="shared" si="369"/>
        <v>5.7344634183564374</v>
      </c>
      <c r="AB61" s="169">
        <f t="shared" si="369"/>
        <v>5.7056462878884373</v>
      </c>
      <c r="AC61" s="170">
        <f t="shared" si="369"/>
        <v>5.6769739707966549</v>
      </c>
      <c r="AD61" s="169">
        <f t="shared" si="369"/>
        <v>5.6484457393572125</v>
      </c>
      <c r="AE61" s="169">
        <f t="shared" si="369"/>
        <v>5.620060869503229</v>
      </c>
      <c r="AF61" s="169">
        <f t="shared" si="369"/>
        <v>5.5918186408064425</v>
      </c>
      <c r="AG61" s="169">
        <f t="shared" si="369"/>
        <v>12.763718336458929</v>
      </c>
      <c r="AH61" s="169">
        <f t="shared" si="369"/>
        <v>27.135759243254903</v>
      </c>
      <c r="AI61" s="169">
        <f t="shared" si="369"/>
        <v>48.671940651572612</v>
      </c>
      <c r="AJ61" s="169">
        <f t="shared" si="369"/>
        <v>77.336261855356341</v>
      </c>
      <c r="AK61" s="169">
        <f t="shared" si="369"/>
        <v>113.09290215209847</v>
      </c>
      <c r="AL61" s="169">
        <f t="shared" si="369"/>
        <v>155.90622084282171</v>
      </c>
      <c r="AM61" s="169">
        <f t="shared" si="369"/>
        <v>205.74075633206121</v>
      </c>
      <c r="AN61" s="169">
        <f t="shared" si="369"/>
        <v>262.5612252278471</v>
      </c>
      <c r="AO61" s="170">
        <f t="shared" si="369"/>
        <v>326.33252144618677</v>
      </c>
      <c r="AP61" s="169">
        <f t="shared" si="369"/>
        <v>397.01971532004745</v>
      </c>
      <c r="AQ61" s="169">
        <f t="shared" si="369"/>
        <v>474.58805271281659</v>
      </c>
      <c r="AR61" s="169">
        <f t="shared" si="369"/>
        <v>559.00295413621643</v>
      </c>
      <c r="AS61" s="169">
        <f t="shared" si="369"/>
        <v>650.23001387265231</v>
      </c>
      <c r="AT61" s="169">
        <f t="shared" si="369"/>
        <v>748.2349991019712</v>
      </c>
      <c r="AU61" s="169">
        <f t="shared" si="369"/>
        <v>852.98384903260785</v>
      </c>
      <c r="AV61" s="169">
        <f t="shared" si="369"/>
        <v>964.44267403709819</v>
      </c>
      <c r="AW61" s="169">
        <f t="shared" si="369"/>
        <v>1082.5777547919351</v>
      </c>
      <c r="AX61" s="169">
        <f t="shared" si="369"/>
        <v>1207.3555414217496</v>
      </c>
      <c r="AY61" s="169">
        <f t="shared" si="369"/>
        <v>1338.74265264779</v>
      </c>
      <c r="AZ61" s="169">
        <f t="shared" si="369"/>
        <v>1476.7058749406813</v>
      </c>
      <c r="BA61" s="170">
        <f t="shared" si="369"/>
        <v>1621.2121616774423</v>
      </c>
      <c r="BB61" s="169">
        <f t="shared" ref="BB61:BM61" si="370">BB56*$C61</f>
        <v>1772.2286323027388</v>
      </c>
      <c r="BC61" s="169">
        <f t="shared" si="370"/>
        <v>1929.7225714943515</v>
      </c>
      <c r="BD61" s="169">
        <f t="shared" si="370"/>
        <v>2093.6614283328381</v>
      </c>
      <c r="BE61" s="169">
        <f t="shared" si="370"/>
        <v>2264.0128154753666</v>
      </c>
      <c r="BF61" s="169">
        <f t="shared" si="370"/>
        <v>2440.744508333702</v>
      </c>
      <c r="BG61" s="169">
        <f t="shared" si="370"/>
        <v>2623.8244442563255</v>
      </c>
      <c r="BH61" s="169">
        <f t="shared" si="370"/>
        <v>2813.220721714657</v>
      </c>
      <c r="BI61" s="169">
        <f t="shared" si="370"/>
        <v>3008.9015994933757</v>
      </c>
      <c r="BJ61" s="169">
        <f t="shared" si="370"/>
        <v>3210.8354958848022</v>
      </c>
      <c r="BK61" s="169">
        <f t="shared" si="370"/>
        <v>3418.9909878873359</v>
      </c>
      <c r="BL61" s="169">
        <f t="shared" si="370"/>
        <v>3633.3368104079118</v>
      </c>
      <c r="BM61" s="170">
        <f t="shared" si="370"/>
        <v>3853.8418554684754</v>
      </c>
      <c r="BN61" s="169">
        <f t="shared" ref="BN61:BY61" si="371">BN56*$C61</f>
        <v>4080.4751714164358</v>
      </c>
      <c r="BO61" s="169">
        <f t="shared" si="371"/>
        <v>4313.2059621390945</v>
      </c>
      <c r="BP61" s="169">
        <f t="shared" si="371"/>
        <v>4552.0035862820123</v>
      </c>
      <c r="BQ61" s="169">
        <f t="shared" si="371"/>
        <v>4796.8375564713169</v>
      </c>
      <c r="BR61" s="169">
        <f t="shared" si="371"/>
        <v>5047.6775385399069</v>
      </c>
      <c r="BS61" s="169">
        <f t="shared" si="371"/>
        <v>5304.4933507575506</v>
      </c>
      <c r="BT61" s="169">
        <f t="shared" si="371"/>
        <v>5567.2549630648518</v>
      </c>
      <c r="BU61" s="169">
        <f t="shared" si="371"/>
        <v>5835.9324963110639</v>
      </c>
      <c r="BV61" s="169">
        <f t="shared" si="371"/>
        <v>6110.4962214957395</v>
      </c>
      <c r="BW61" s="169">
        <f t="shared" si="371"/>
        <v>6390.9165590141847</v>
      </c>
      <c r="BX61" s="169">
        <f t="shared" si="371"/>
        <v>6677.1640779067056</v>
      </c>
      <c r="BY61" s="170">
        <f t="shared" si="371"/>
        <v>6969.2094951116342</v>
      </c>
      <c r="BZ61" s="169">
        <f t="shared" ref="BZ61:CK61" si="372">BZ56*$C61</f>
        <v>7267.0236747221015</v>
      </c>
      <c r="CA61" s="169">
        <f t="shared" si="372"/>
        <v>7570.5776272465446</v>
      </c>
      <c r="CB61" s="169">
        <f t="shared" si="372"/>
        <v>7879.8425088729336</v>
      </c>
      <c r="CC61" s="169">
        <f t="shared" si="372"/>
        <v>8194.7896207367012</v>
      </c>
      <c r="CD61" s="169">
        <f t="shared" si="372"/>
        <v>8515.3904081923356</v>
      </c>
      <c r="CE61" s="169">
        <f t="shared" si="372"/>
        <v>8841.6164600886532</v>
      </c>
      <c r="CF61" s="169">
        <f t="shared" si="372"/>
        <v>9173.4395080476897</v>
      </c>
      <c r="CG61" s="169">
        <f t="shared" si="372"/>
        <v>9510.8314257472466</v>
      </c>
      <c r="CH61" s="169">
        <f t="shared" si="372"/>
        <v>9853.7642282070083</v>
      </c>
      <c r="CI61" s="169">
        <f t="shared" si="372"/>
        <v>10202.210071078272</v>
      </c>
      <c r="CJ61" s="169">
        <f t="shared" si="372"/>
        <v>10556.141249937236</v>
      </c>
      <c r="CK61" s="170">
        <f t="shared" si="372"/>
        <v>10915.530199581844</v>
      </c>
    </row>
    <row r="62" spans="2:89" x14ac:dyDescent="0.2">
      <c r="B62" s="21"/>
      <c r="F62" s="407"/>
      <c r="G62" s="407"/>
      <c r="H62" s="407"/>
      <c r="I62" s="407"/>
      <c r="J62" s="407"/>
      <c r="K62" s="407"/>
      <c r="L62" s="407"/>
      <c r="M62" s="407"/>
      <c r="N62" s="407"/>
      <c r="O62" s="407"/>
      <c r="P62" s="407"/>
      <c r="Q62" s="408"/>
    </row>
    <row r="63" spans="2:89" ht="21" x14ac:dyDescent="0.25">
      <c r="B63" s="139" t="s">
        <v>219</v>
      </c>
      <c r="C63" s="119"/>
      <c r="D63" s="119"/>
      <c r="E63" s="120"/>
      <c r="F63" s="425"/>
      <c r="G63" s="425"/>
      <c r="H63" s="425"/>
      <c r="I63" s="425"/>
      <c r="J63" s="425"/>
      <c r="K63" s="425"/>
      <c r="L63" s="425"/>
      <c r="M63" s="425"/>
      <c r="N63" s="425"/>
      <c r="O63" s="425"/>
      <c r="P63" s="425"/>
      <c r="Q63" s="426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20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20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20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20"/>
      <c r="BN63" s="119"/>
      <c r="BO63" s="119"/>
      <c r="BP63" s="119"/>
      <c r="BQ63" s="119"/>
      <c r="BR63" s="119"/>
      <c r="BS63" s="119"/>
      <c r="BT63" s="119"/>
      <c r="BU63" s="119"/>
      <c r="BV63" s="119"/>
      <c r="BW63" s="119"/>
      <c r="BX63" s="119"/>
      <c r="BY63" s="120"/>
      <c r="BZ63" s="119"/>
      <c r="CA63" s="119"/>
      <c r="CB63" s="119"/>
      <c r="CC63" s="119"/>
      <c r="CD63" s="119"/>
      <c r="CE63" s="119"/>
      <c r="CF63" s="119"/>
      <c r="CG63" s="119"/>
      <c r="CH63" s="119"/>
      <c r="CI63" s="119"/>
      <c r="CJ63" s="119"/>
      <c r="CK63" s="120"/>
    </row>
    <row r="64" spans="2:89" x14ac:dyDescent="0.2">
      <c r="B64" s="118"/>
      <c r="E64" s="140"/>
      <c r="F64" s="407"/>
      <c r="G64" s="407"/>
      <c r="H64" s="407"/>
      <c r="I64" s="407"/>
      <c r="J64" s="407"/>
      <c r="K64" s="407"/>
      <c r="L64" s="407"/>
      <c r="M64" s="407"/>
      <c r="N64" s="421"/>
      <c r="O64" s="421"/>
      <c r="P64" s="421"/>
      <c r="Q64" s="422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17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17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17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17"/>
      <c r="BN64" s="103"/>
      <c r="BO64" s="103"/>
      <c r="BP64" s="103"/>
      <c r="BQ64" s="103"/>
      <c r="BR64" s="103"/>
      <c r="BS64" s="103"/>
      <c r="BT64" s="103"/>
      <c r="BU64" s="103"/>
      <c r="BV64" s="103"/>
      <c r="BW64" s="103"/>
      <c r="BX64" s="103"/>
      <c r="BY64" s="117"/>
      <c r="BZ64" s="103"/>
      <c r="CA64" s="103"/>
      <c r="CB64" s="103"/>
      <c r="CC64" s="103"/>
      <c r="CD64" s="103"/>
      <c r="CE64" s="103"/>
      <c r="CF64" s="103"/>
      <c r="CG64" s="103"/>
      <c r="CH64" s="103"/>
      <c r="CI64" s="103"/>
      <c r="CJ64" s="103"/>
      <c r="CK64" s="117"/>
    </row>
    <row r="65" spans="2:89" s="17" customFormat="1" x14ac:dyDescent="0.2">
      <c r="B65" s="121" t="s">
        <v>79</v>
      </c>
      <c r="C65" s="224"/>
      <c r="E65" s="141"/>
      <c r="F65" s="427"/>
      <c r="G65" s="427"/>
      <c r="H65" s="427"/>
      <c r="I65" s="427"/>
      <c r="J65" s="427"/>
      <c r="K65" s="427"/>
      <c r="L65" s="427"/>
      <c r="M65" s="427"/>
      <c r="N65" s="437">
        <v>0</v>
      </c>
      <c r="O65" s="437">
        <v>0</v>
      </c>
      <c r="P65" s="437">
        <v>0</v>
      </c>
      <c r="Q65" s="438">
        <v>0</v>
      </c>
      <c r="R65" s="223">
        <v>0</v>
      </c>
      <c r="S65" s="223">
        <v>0</v>
      </c>
      <c r="T65" s="223">
        <v>0</v>
      </c>
      <c r="U65" s="223">
        <v>0</v>
      </c>
      <c r="V65" s="223">
        <v>0</v>
      </c>
      <c r="W65" s="223">
        <v>0</v>
      </c>
      <c r="X65" s="223">
        <v>0</v>
      </c>
      <c r="Y65" s="223">
        <v>0</v>
      </c>
      <c r="Z65" s="223">
        <v>0</v>
      </c>
      <c r="AA65" s="223">
        <v>0</v>
      </c>
      <c r="AB65" s="223">
        <v>0</v>
      </c>
      <c r="AC65" s="222"/>
      <c r="AD65" s="223"/>
      <c r="AE65" s="223"/>
      <c r="AF65" s="223">
        <f t="shared" ref="AF65:BA65" si="373">AE65+0.5</f>
        <v>0.5</v>
      </c>
      <c r="AG65" s="223">
        <f t="shared" si="373"/>
        <v>1</v>
      </c>
      <c r="AH65" s="223">
        <f t="shared" si="373"/>
        <v>1.5</v>
      </c>
      <c r="AI65" s="223">
        <f t="shared" si="373"/>
        <v>2</v>
      </c>
      <c r="AJ65" s="223">
        <f t="shared" si="373"/>
        <v>2.5</v>
      </c>
      <c r="AK65" s="223">
        <f t="shared" si="373"/>
        <v>3</v>
      </c>
      <c r="AL65" s="223">
        <f t="shared" si="373"/>
        <v>3.5</v>
      </c>
      <c r="AM65" s="223">
        <f t="shared" si="373"/>
        <v>4</v>
      </c>
      <c r="AN65" s="223">
        <f t="shared" si="373"/>
        <v>4.5</v>
      </c>
      <c r="AO65" s="222">
        <f t="shared" si="373"/>
        <v>5</v>
      </c>
      <c r="AP65" s="223">
        <f t="shared" si="373"/>
        <v>5.5</v>
      </c>
      <c r="AQ65" s="223">
        <f t="shared" si="373"/>
        <v>6</v>
      </c>
      <c r="AR65" s="223">
        <f t="shared" si="373"/>
        <v>6.5</v>
      </c>
      <c r="AS65" s="223">
        <f t="shared" si="373"/>
        <v>7</v>
      </c>
      <c r="AT65" s="223">
        <f t="shared" si="373"/>
        <v>7.5</v>
      </c>
      <c r="AU65" s="223">
        <f t="shared" si="373"/>
        <v>8</v>
      </c>
      <c r="AV65" s="223">
        <f t="shared" si="373"/>
        <v>8.5</v>
      </c>
      <c r="AW65" s="223">
        <f t="shared" si="373"/>
        <v>9</v>
      </c>
      <c r="AX65" s="223">
        <f t="shared" si="373"/>
        <v>9.5</v>
      </c>
      <c r="AY65" s="223">
        <f t="shared" si="373"/>
        <v>10</v>
      </c>
      <c r="AZ65" s="223">
        <f t="shared" si="373"/>
        <v>10.5</v>
      </c>
      <c r="BA65" s="222">
        <f t="shared" si="373"/>
        <v>11</v>
      </c>
      <c r="BB65" s="223">
        <f t="shared" ref="BB65" si="374">BA65+0.5</f>
        <v>11.5</v>
      </c>
      <c r="BC65" s="223">
        <f t="shared" ref="BC65" si="375">BB65+0.5</f>
        <v>12</v>
      </c>
      <c r="BD65" s="223">
        <f t="shared" ref="BD65" si="376">BC65+0.5</f>
        <v>12.5</v>
      </c>
      <c r="BE65" s="223">
        <f t="shared" ref="BE65" si="377">BD65+0.5</f>
        <v>13</v>
      </c>
      <c r="BF65" s="223">
        <f t="shared" ref="BF65" si="378">BE65+0.5</f>
        <v>13.5</v>
      </c>
      <c r="BG65" s="223">
        <f t="shared" ref="BG65" si="379">BF65+0.5</f>
        <v>14</v>
      </c>
      <c r="BH65" s="223">
        <f t="shared" ref="BH65" si="380">BG65+0.5</f>
        <v>14.5</v>
      </c>
      <c r="BI65" s="223">
        <f t="shared" ref="BI65" si="381">BH65+0.5</f>
        <v>15</v>
      </c>
      <c r="BJ65" s="223">
        <f t="shared" ref="BJ65" si="382">BI65+0.5</f>
        <v>15.5</v>
      </c>
      <c r="BK65" s="223">
        <f t="shared" ref="BK65" si="383">BJ65+0.5</f>
        <v>16</v>
      </c>
      <c r="BL65" s="223">
        <f t="shared" ref="BL65" si="384">BK65+0.5</f>
        <v>16.5</v>
      </c>
      <c r="BM65" s="222">
        <f t="shared" ref="BM65" si="385">BL65+0.5</f>
        <v>17</v>
      </c>
      <c r="BN65" s="223">
        <f t="shared" ref="BN65" si="386">BM65+0.5</f>
        <v>17.5</v>
      </c>
      <c r="BO65" s="223">
        <f t="shared" ref="BO65" si="387">BN65+0.5</f>
        <v>18</v>
      </c>
      <c r="BP65" s="223">
        <f t="shared" ref="BP65" si="388">BO65+0.5</f>
        <v>18.5</v>
      </c>
      <c r="BQ65" s="223">
        <f t="shared" ref="BQ65" si="389">BP65+0.5</f>
        <v>19</v>
      </c>
      <c r="BR65" s="223">
        <f t="shared" ref="BR65" si="390">BQ65+0.5</f>
        <v>19.5</v>
      </c>
      <c r="BS65" s="223">
        <f t="shared" ref="BS65" si="391">BR65+0.5</f>
        <v>20</v>
      </c>
      <c r="BT65" s="223">
        <f t="shared" ref="BT65" si="392">BS65+0.5</f>
        <v>20.5</v>
      </c>
      <c r="BU65" s="223">
        <f t="shared" ref="BU65" si="393">BT65+0.5</f>
        <v>21</v>
      </c>
      <c r="BV65" s="223">
        <f t="shared" ref="BV65" si="394">BU65+0.5</f>
        <v>21.5</v>
      </c>
      <c r="BW65" s="223">
        <f t="shared" ref="BW65" si="395">BV65+0.5</f>
        <v>22</v>
      </c>
      <c r="BX65" s="223">
        <f t="shared" ref="BX65" si="396">BW65+0.5</f>
        <v>22.5</v>
      </c>
      <c r="BY65" s="222">
        <f t="shared" ref="BY65" si="397">BX65+0.5</f>
        <v>23</v>
      </c>
      <c r="BZ65" s="223">
        <f t="shared" ref="BZ65" si="398">BY65+0.5</f>
        <v>23.5</v>
      </c>
      <c r="CA65" s="223">
        <f t="shared" ref="CA65" si="399">BZ65+0.5</f>
        <v>24</v>
      </c>
      <c r="CB65" s="223">
        <f t="shared" ref="CB65" si="400">CA65+0.5</f>
        <v>24.5</v>
      </c>
      <c r="CC65" s="223">
        <f t="shared" ref="CC65" si="401">CB65+0.5</f>
        <v>25</v>
      </c>
      <c r="CD65" s="223">
        <f t="shared" ref="CD65" si="402">CC65+0.5</f>
        <v>25.5</v>
      </c>
      <c r="CE65" s="223">
        <f t="shared" ref="CE65" si="403">CD65+0.5</f>
        <v>26</v>
      </c>
      <c r="CF65" s="223">
        <f t="shared" ref="CF65" si="404">CE65+0.5</f>
        <v>26.5</v>
      </c>
      <c r="CG65" s="223">
        <f t="shared" ref="CG65" si="405">CF65+0.5</f>
        <v>27</v>
      </c>
      <c r="CH65" s="223">
        <f t="shared" ref="CH65" si="406">CG65+0.5</f>
        <v>27.5</v>
      </c>
      <c r="CI65" s="223">
        <f t="shared" ref="CI65" si="407">CH65+0.5</f>
        <v>28</v>
      </c>
      <c r="CJ65" s="223">
        <f t="shared" ref="CJ65" si="408">CI65+0.5</f>
        <v>28.5</v>
      </c>
      <c r="CK65" s="222">
        <f t="shared" ref="CK65" si="409">CJ65+0.5</f>
        <v>29</v>
      </c>
    </row>
    <row r="66" spans="2:89" s="17" customFormat="1" x14ac:dyDescent="0.2">
      <c r="B66" s="121" t="s">
        <v>80</v>
      </c>
      <c r="C66" s="221">
        <v>20</v>
      </c>
      <c r="D66" s="17" t="s">
        <v>81</v>
      </c>
      <c r="E66" s="219"/>
      <c r="F66" s="427"/>
      <c r="G66" s="427"/>
      <c r="H66" s="427"/>
      <c r="I66" s="427"/>
      <c r="J66" s="427"/>
      <c r="K66" s="427"/>
      <c r="L66" s="427"/>
      <c r="M66" s="427"/>
      <c r="N66" s="428">
        <f t="shared" ref="N66:BA66" si="410">N65*$C66</f>
        <v>0</v>
      </c>
      <c r="O66" s="428">
        <f t="shared" si="410"/>
        <v>0</v>
      </c>
      <c r="P66" s="428">
        <f t="shared" si="410"/>
        <v>0</v>
      </c>
      <c r="Q66" s="429">
        <f t="shared" si="410"/>
        <v>0</v>
      </c>
      <c r="R66" s="218">
        <f t="shared" si="410"/>
        <v>0</v>
      </c>
      <c r="S66" s="218">
        <f t="shared" si="410"/>
        <v>0</v>
      </c>
      <c r="T66" s="218">
        <f t="shared" si="410"/>
        <v>0</v>
      </c>
      <c r="U66" s="218">
        <f t="shared" si="410"/>
        <v>0</v>
      </c>
      <c r="V66" s="218">
        <f t="shared" si="410"/>
        <v>0</v>
      </c>
      <c r="W66" s="218">
        <f t="shared" si="410"/>
        <v>0</v>
      </c>
      <c r="X66" s="218">
        <f t="shared" si="410"/>
        <v>0</v>
      </c>
      <c r="Y66" s="218">
        <f t="shared" si="410"/>
        <v>0</v>
      </c>
      <c r="Z66" s="218">
        <f t="shared" si="410"/>
        <v>0</v>
      </c>
      <c r="AA66" s="218">
        <f t="shared" si="410"/>
        <v>0</v>
      </c>
      <c r="AB66" s="218">
        <f t="shared" si="410"/>
        <v>0</v>
      </c>
      <c r="AC66" s="217">
        <f t="shared" si="410"/>
        <v>0</v>
      </c>
      <c r="AD66" s="218">
        <f t="shared" si="410"/>
        <v>0</v>
      </c>
      <c r="AE66" s="218">
        <f t="shared" si="410"/>
        <v>0</v>
      </c>
      <c r="AF66" s="218">
        <f t="shared" si="410"/>
        <v>10</v>
      </c>
      <c r="AG66" s="218">
        <f t="shared" si="410"/>
        <v>20</v>
      </c>
      <c r="AH66" s="218">
        <f t="shared" si="410"/>
        <v>30</v>
      </c>
      <c r="AI66" s="218">
        <f t="shared" si="410"/>
        <v>40</v>
      </c>
      <c r="AJ66" s="218">
        <f t="shared" si="410"/>
        <v>50</v>
      </c>
      <c r="AK66" s="218">
        <f t="shared" si="410"/>
        <v>60</v>
      </c>
      <c r="AL66" s="218">
        <f t="shared" si="410"/>
        <v>70</v>
      </c>
      <c r="AM66" s="218">
        <f t="shared" si="410"/>
        <v>80</v>
      </c>
      <c r="AN66" s="218">
        <f t="shared" si="410"/>
        <v>90</v>
      </c>
      <c r="AO66" s="217">
        <f t="shared" si="410"/>
        <v>100</v>
      </c>
      <c r="AP66" s="218">
        <f t="shared" si="410"/>
        <v>110</v>
      </c>
      <c r="AQ66" s="218">
        <f t="shared" si="410"/>
        <v>120</v>
      </c>
      <c r="AR66" s="218">
        <f t="shared" si="410"/>
        <v>130</v>
      </c>
      <c r="AS66" s="218">
        <f t="shared" si="410"/>
        <v>140</v>
      </c>
      <c r="AT66" s="218">
        <f t="shared" si="410"/>
        <v>150</v>
      </c>
      <c r="AU66" s="218">
        <f t="shared" si="410"/>
        <v>160</v>
      </c>
      <c r="AV66" s="218">
        <f t="shared" si="410"/>
        <v>170</v>
      </c>
      <c r="AW66" s="218">
        <f t="shared" si="410"/>
        <v>180</v>
      </c>
      <c r="AX66" s="218">
        <f t="shared" si="410"/>
        <v>190</v>
      </c>
      <c r="AY66" s="218">
        <f t="shared" si="410"/>
        <v>200</v>
      </c>
      <c r="AZ66" s="218">
        <f t="shared" si="410"/>
        <v>210</v>
      </c>
      <c r="BA66" s="217">
        <f t="shared" si="410"/>
        <v>220</v>
      </c>
      <c r="BB66" s="218">
        <f t="shared" ref="BB66:BM66" si="411">BB65*$C66</f>
        <v>230</v>
      </c>
      <c r="BC66" s="218">
        <f t="shared" si="411"/>
        <v>240</v>
      </c>
      <c r="BD66" s="218">
        <f t="shared" si="411"/>
        <v>250</v>
      </c>
      <c r="BE66" s="218">
        <f t="shared" si="411"/>
        <v>260</v>
      </c>
      <c r="BF66" s="218">
        <f t="shared" si="411"/>
        <v>270</v>
      </c>
      <c r="BG66" s="218">
        <f t="shared" si="411"/>
        <v>280</v>
      </c>
      <c r="BH66" s="218">
        <f t="shared" si="411"/>
        <v>290</v>
      </c>
      <c r="BI66" s="218">
        <f t="shared" si="411"/>
        <v>300</v>
      </c>
      <c r="BJ66" s="218">
        <f t="shared" si="411"/>
        <v>310</v>
      </c>
      <c r="BK66" s="218">
        <f t="shared" si="411"/>
        <v>320</v>
      </c>
      <c r="BL66" s="218">
        <f t="shared" si="411"/>
        <v>330</v>
      </c>
      <c r="BM66" s="217">
        <f t="shared" si="411"/>
        <v>340</v>
      </c>
      <c r="BN66" s="218">
        <f t="shared" ref="BN66:BY66" si="412">BN65*$C66</f>
        <v>350</v>
      </c>
      <c r="BO66" s="218">
        <f t="shared" si="412"/>
        <v>360</v>
      </c>
      <c r="BP66" s="218">
        <f t="shared" si="412"/>
        <v>370</v>
      </c>
      <c r="BQ66" s="218">
        <f t="shared" si="412"/>
        <v>380</v>
      </c>
      <c r="BR66" s="218">
        <f t="shared" si="412"/>
        <v>390</v>
      </c>
      <c r="BS66" s="218">
        <f t="shared" si="412"/>
        <v>400</v>
      </c>
      <c r="BT66" s="218">
        <f t="shared" si="412"/>
        <v>410</v>
      </c>
      <c r="BU66" s="218">
        <f t="shared" si="412"/>
        <v>420</v>
      </c>
      <c r="BV66" s="218">
        <f t="shared" si="412"/>
        <v>430</v>
      </c>
      <c r="BW66" s="218">
        <f t="shared" si="412"/>
        <v>440</v>
      </c>
      <c r="BX66" s="218">
        <f t="shared" si="412"/>
        <v>450</v>
      </c>
      <c r="BY66" s="217">
        <f t="shared" si="412"/>
        <v>460</v>
      </c>
      <c r="BZ66" s="218">
        <f t="shared" ref="BZ66:CK66" si="413">BZ65*$C66</f>
        <v>470</v>
      </c>
      <c r="CA66" s="218">
        <f t="shared" si="413"/>
        <v>480</v>
      </c>
      <c r="CB66" s="218">
        <f t="shared" si="413"/>
        <v>490</v>
      </c>
      <c r="CC66" s="218">
        <f t="shared" si="413"/>
        <v>500</v>
      </c>
      <c r="CD66" s="218">
        <f t="shared" si="413"/>
        <v>510</v>
      </c>
      <c r="CE66" s="218">
        <f t="shared" si="413"/>
        <v>520</v>
      </c>
      <c r="CF66" s="218">
        <f t="shared" si="413"/>
        <v>530</v>
      </c>
      <c r="CG66" s="218">
        <f t="shared" si="413"/>
        <v>540</v>
      </c>
      <c r="CH66" s="218">
        <f t="shared" si="413"/>
        <v>550</v>
      </c>
      <c r="CI66" s="218">
        <f t="shared" si="413"/>
        <v>560</v>
      </c>
      <c r="CJ66" s="218">
        <f t="shared" si="413"/>
        <v>570</v>
      </c>
      <c r="CK66" s="217">
        <f t="shared" si="413"/>
        <v>580</v>
      </c>
    </row>
    <row r="67" spans="2:89" s="17" customFormat="1" x14ac:dyDescent="0.2">
      <c r="B67" s="121" t="s">
        <v>59</v>
      </c>
      <c r="C67" s="220">
        <v>1.7500000000000002E-2</v>
      </c>
      <c r="E67" s="219"/>
      <c r="F67" s="427"/>
      <c r="G67" s="427"/>
      <c r="H67" s="427"/>
      <c r="I67" s="427"/>
      <c r="J67" s="427"/>
      <c r="K67" s="427"/>
      <c r="L67" s="427"/>
      <c r="M67" s="427"/>
      <c r="N67" s="428"/>
      <c r="O67" s="428"/>
      <c r="P67" s="428">
        <f t="shared" ref="P67:BA67" si="414">N68*$C67</f>
        <v>0</v>
      </c>
      <c r="Q67" s="429">
        <f t="shared" si="414"/>
        <v>0</v>
      </c>
      <c r="R67" s="218">
        <f t="shared" si="414"/>
        <v>0</v>
      </c>
      <c r="S67" s="218">
        <f t="shared" si="414"/>
        <v>0</v>
      </c>
      <c r="T67" s="218">
        <f t="shared" si="414"/>
        <v>0</v>
      </c>
      <c r="U67" s="218">
        <f t="shared" si="414"/>
        <v>0</v>
      </c>
      <c r="V67" s="218">
        <f t="shared" si="414"/>
        <v>0</v>
      </c>
      <c r="W67" s="218">
        <f t="shared" si="414"/>
        <v>0</v>
      </c>
      <c r="X67" s="218">
        <f t="shared" si="414"/>
        <v>0</v>
      </c>
      <c r="Y67" s="218">
        <f t="shared" si="414"/>
        <v>0</v>
      </c>
      <c r="Z67" s="218">
        <f t="shared" si="414"/>
        <v>0</v>
      </c>
      <c r="AA67" s="218">
        <f t="shared" si="414"/>
        <v>0</v>
      </c>
      <c r="AB67" s="218">
        <f t="shared" si="414"/>
        <v>0</v>
      </c>
      <c r="AC67" s="217">
        <f t="shared" si="414"/>
        <v>0</v>
      </c>
      <c r="AD67" s="218">
        <f t="shared" si="414"/>
        <v>0</v>
      </c>
      <c r="AE67" s="218">
        <f t="shared" si="414"/>
        <v>0</v>
      </c>
      <c r="AF67" s="218">
        <f t="shared" si="414"/>
        <v>0</v>
      </c>
      <c r="AG67" s="218">
        <f t="shared" si="414"/>
        <v>0</v>
      </c>
      <c r="AH67" s="218">
        <f t="shared" si="414"/>
        <v>0.17500000000000002</v>
      </c>
      <c r="AI67" s="218">
        <f t="shared" si="414"/>
        <v>0.52500000000000002</v>
      </c>
      <c r="AJ67" s="218">
        <f t="shared" si="414"/>
        <v>1.0469375000000001</v>
      </c>
      <c r="AK67" s="218">
        <f t="shared" si="414"/>
        <v>1.7377500000000001</v>
      </c>
      <c r="AL67" s="218">
        <f t="shared" si="414"/>
        <v>2.59442859375</v>
      </c>
      <c r="AM67" s="218">
        <f t="shared" si="414"/>
        <v>3.6140179687500003</v>
      </c>
      <c r="AN67" s="218">
        <f t="shared" si="414"/>
        <v>4.7936154683593752</v>
      </c>
      <c r="AO67" s="217">
        <f t="shared" si="414"/>
        <v>6.1303701539062505</v>
      </c>
      <c r="AP67" s="218">
        <f t="shared" si="414"/>
        <v>7.6214818832099622</v>
      </c>
      <c r="AQ67" s="218">
        <f t="shared" si="414"/>
        <v>9.2642004055166023</v>
      </c>
      <c r="AR67" s="218">
        <f t="shared" si="414"/>
        <v>11.055824472560428</v>
      </c>
      <c r="AS67" s="218">
        <f t="shared" si="414"/>
        <v>12.993700965463889</v>
      </c>
      <c r="AT67" s="218">
        <f t="shared" si="414"/>
        <v>15.075224037194081</v>
      </c>
      <c r="AU67" s="218">
        <f t="shared" si="414"/>
        <v>17.297834270298463</v>
      </c>
      <c r="AV67" s="218">
        <f t="shared" si="414"/>
        <v>19.659017849647565</v>
      </c>
      <c r="AW67" s="218">
        <f t="shared" si="414"/>
        <v>22.156305749917344</v>
      </c>
      <c r="AX67" s="218">
        <f t="shared" si="414"/>
        <v>24.787272937548511</v>
      </c>
      <c r="AY67" s="218">
        <f t="shared" si="414"/>
        <v>27.549537586924959</v>
      </c>
      <c r="AZ67" s="218">
        <f t="shared" si="414"/>
        <v>30.440760310517859</v>
      </c>
      <c r="BA67" s="217">
        <f t="shared" si="414"/>
        <v>33.458643402746674</v>
      </c>
      <c r="BB67" s="218">
        <f t="shared" ref="BB67" si="415">AZ68*$C67</f>
        <v>36.600930097312613</v>
      </c>
      <c r="BC67" s="218">
        <f t="shared" ref="BC67" si="416">BA68*$C67</f>
        <v>39.865403837764546</v>
      </c>
      <c r="BD67" s="218">
        <f t="shared" ref="BD67" si="417">BB68*$C67</f>
        <v>43.249887561061577</v>
      </c>
      <c r="BE67" s="218">
        <f t="shared" ref="BE67" si="418">BC68*$C67</f>
        <v>46.752242993900694</v>
      </c>
      <c r="BF67" s="218">
        <f t="shared" ref="BF67" si="419">BD68*$C67</f>
        <v>50.370369961582114</v>
      </c>
      <c r="BG67" s="218">
        <f t="shared" ref="BG67" si="420">BE68*$C67</f>
        <v>54.102205709188851</v>
      </c>
      <c r="BH67" s="218">
        <f t="shared" ref="BH67" si="421">BF68*$C67</f>
        <v>57.945724234861167</v>
      </c>
      <c r="BI67" s="218">
        <f t="shared" ref="BI67" si="422">BG68*$C67</f>
        <v>61.898935634950362</v>
      </c>
      <c r="BJ67" s="218">
        <f t="shared" ref="BJ67" si="423">BH68*$C67</f>
        <v>65.959885460840297</v>
      </c>
      <c r="BK67" s="218">
        <f t="shared" ref="BK67" si="424">BI68*$C67</f>
        <v>70.126654087228658</v>
      </c>
      <c r="BL67" s="218">
        <f t="shared" ref="BL67" si="425">BJ68*$C67</f>
        <v>74.397356091663966</v>
      </c>
      <c r="BM67" s="217">
        <f t="shared" ref="BM67" si="426">BK68*$C67</f>
        <v>78.770139645137462</v>
      </c>
      <c r="BN67" s="218">
        <f t="shared" ref="BN67" si="427">BL68*$C67</f>
        <v>83.243185913533353</v>
      </c>
      <c r="BO67" s="218">
        <f t="shared" ref="BO67" si="428">BM68*$C67</f>
        <v>87.814708469743437</v>
      </c>
      <c r="BP67" s="218">
        <f t="shared" ref="BP67" si="429">BN68*$C67</f>
        <v>92.482952716256605</v>
      </c>
      <c r="BQ67" s="218">
        <f t="shared" ref="BQ67" si="430">BO68*$C67</f>
        <v>97.246195318036087</v>
      </c>
      <c r="BR67" s="218">
        <f t="shared" ref="BR67" si="431">BP68*$C67</f>
        <v>102.1027436455016</v>
      </c>
      <c r="BS67" s="218">
        <f t="shared" ref="BS67" si="432">BQ68*$C67</f>
        <v>107.05093522743597</v>
      </c>
      <c r="BT67" s="218">
        <f t="shared" ref="BT67" si="433">BR68*$C67</f>
        <v>112.08913721363969</v>
      </c>
      <c r="BU67" s="218">
        <f t="shared" ref="BU67" si="434">BS68*$C67</f>
        <v>117.21574584715957</v>
      </c>
      <c r="BV67" s="218">
        <f t="shared" ref="BV67" si="435">BT68*$C67</f>
        <v>122.42918594592088</v>
      </c>
      <c r="BW67" s="218">
        <f t="shared" ref="BW67" si="436">BU68*$C67</f>
        <v>127.72791039359559</v>
      </c>
      <c r="BX67" s="218">
        <f t="shared" ref="BX67" si="437">BV68*$C67</f>
        <v>133.11039963954198</v>
      </c>
      <c r="BY67" s="217">
        <f t="shared" ref="BY67" si="438">BW68*$C67</f>
        <v>138.57516120765408</v>
      </c>
      <c r="BZ67" s="218">
        <f t="shared" ref="BZ67" si="439">BX68*$C67</f>
        <v>144.12072921396208</v>
      </c>
      <c r="CA67" s="218">
        <f t="shared" ref="CA67" si="440">BY68*$C67</f>
        <v>149.74566389282813</v>
      </c>
      <c r="CB67" s="218">
        <f t="shared" ref="CB67" si="441">BZ68*$C67</f>
        <v>155.4485511315838</v>
      </c>
      <c r="CC67" s="218">
        <f t="shared" ref="CC67" si="442">CA68*$C67</f>
        <v>161.22800201345927</v>
      </c>
      <c r="CD67" s="218">
        <f t="shared" ref="CD67" si="443">CB68*$C67</f>
        <v>167.08265236865657</v>
      </c>
      <c r="CE67" s="218">
        <f t="shared" ref="CE67" si="444">CC68*$C67</f>
        <v>173.01116233342105</v>
      </c>
      <c r="CF67" s="218">
        <f t="shared" ref="CF67" si="445">CD68*$C67</f>
        <v>179.01221591696955</v>
      </c>
      <c r="CG67" s="218">
        <f t="shared" ref="CG67" si="446">CE68*$C67</f>
        <v>185.08452057613468</v>
      </c>
      <c r="CH67" s="218">
        <f t="shared" ref="CH67" si="447">CF68*$C67</f>
        <v>191.2268067975877</v>
      </c>
      <c r="CI67" s="218">
        <f t="shared" ref="CI67" si="448">CG68*$C67</f>
        <v>197.43782768750535</v>
      </c>
      <c r="CJ67" s="218">
        <f t="shared" ref="CJ67" si="449">CH68*$C67</f>
        <v>203.71635856854758</v>
      </c>
      <c r="CK67" s="217">
        <f t="shared" ref="CK67" si="450">CI68*$C67</f>
        <v>210.06119658401624</v>
      </c>
    </row>
    <row r="68" spans="2:89" x14ac:dyDescent="0.2">
      <c r="B68" s="21" t="s">
        <v>72</v>
      </c>
      <c r="C68" s="211"/>
      <c r="F68" s="407"/>
      <c r="G68" s="407"/>
      <c r="H68" s="407"/>
      <c r="I68" s="407"/>
      <c r="J68" s="407"/>
      <c r="K68" s="407"/>
      <c r="L68" s="407"/>
      <c r="M68" s="430">
        <v>0</v>
      </c>
      <c r="N68" s="431">
        <f>M68+N66</f>
        <v>0</v>
      </c>
      <c r="O68" s="431">
        <f>N68+O66</f>
        <v>0</v>
      </c>
      <c r="P68" s="431">
        <f t="shared" ref="P68:BA68" si="451">O68+P66-P67</f>
        <v>0</v>
      </c>
      <c r="Q68" s="432">
        <f t="shared" si="451"/>
        <v>0</v>
      </c>
      <c r="R68" s="216">
        <f t="shared" si="451"/>
        <v>0</v>
      </c>
      <c r="S68" s="216">
        <f t="shared" si="451"/>
        <v>0</v>
      </c>
      <c r="T68" s="216">
        <f t="shared" si="451"/>
        <v>0</v>
      </c>
      <c r="U68" s="216">
        <f t="shared" si="451"/>
        <v>0</v>
      </c>
      <c r="V68" s="216">
        <f t="shared" si="451"/>
        <v>0</v>
      </c>
      <c r="W68" s="216">
        <f t="shared" si="451"/>
        <v>0</v>
      </c>
      <c r="X68" s="216">
        <f t="shared" si="451"/>
        <v>0</v>
      </c>
      <c r="Y68" s="216">
        <f t="shared" si="451"/>
        <v>0</v>
      </c>
      <c r="Z68" s="216">
        <f t="shared" si="451"/>
        <v>0</v>
      </c>
      <c r="AA68" s="216">
        <f t="shared" si="451"/>
        <v>0</v>
      </c>
      <c r="AB68" s="216">
        <f t="shared" si="451"/>
        <v>0</v>
      </c>
      <c r="AC68" s="215">
        <f t="shared" si="451"/>
        <v>0</v>
      </c>
      <c r="AD68" s="216">
        <f t="shared" si="451"/>
        <v>0</v>
      </c>
      <c r="AE68" s="216">
        <f t="shared" si="451"/>
        <v>0</v>
      </c>
      <c r="AF68" s="216">
        <f t="shared" si="451"/>
        <v>10</v>
      </c>
      <c r="AG68" s="216">
        <f t="shared" si="451"/>
        <v>30</v>
      </c>
      <c r="AH68" s="216">
        <f t="shared" si="451"/>
        <v>59.825000000000003</v>
      </c>
      <c r="AI68" s="216">
        <f t="shared" si="451"/>
        <v>99.3</v>
      </c>
      <c r="AJ68" s="216">
        <f t="shared" si="451"/>
        <v>148.2530625</v>
      </c>
      <c r="AK68" s="216">
        <f t="shared" si="451"/>
        <v>206.51531249999999</v>
      </c>
      <c r="AL68" s="216">
        <f t="shared" si="451"/>
        <v>273.92088390624997</v>
      </c>
      <c r="AM68" s="216">
        <f t="shared" si="451"/>
        <v>350.30686593749999</v>
      </c>
      <c r="AN68" s="216">
        <f t="shared" si="451"/>
        <v>435.51325046914064</v>
      </c>
      <c r="AO68" s="215">
        <f t="shared" si="451"/>
        <v>529.38288031523439</v>
      </c>
      <c r="AP68" s="216">
        <f t="shared" si="451"/>
        <v>631.76139843202441</v>
      </c>
      <c r="AQ68" s="216">
        <f t="shared" si="451"/>
        <v>742.49719802650782</v>
      </c>
      <c r="AR68" s="216">
        <f t="shared" si="451"/>
        <v>861.44137355394741</v>
      </c>
      <c r="AS68" s="216">
        <f t="shared" si="451"/>
        <v>988.44767258848356</v>
      </c>
      <c r="AT68" s="216">
        <f t="shared" si="451"/>
        <v>1123.3724485512894</v>
      </c>
      <c r="AU68" s="216">
        <f t="shared" si="451"/>
        <v>1266.074614280991</v>
      </c>
      <c r="AV68" s="216">
        <f t="shared" si="451"/>
        <v>1416.4155964313434</v>
      </c>
      <c r="AW68" s="216">
        <f t="shared" si="451"/>
        <v>1574.2592906814261</v>
      </c>
      <c r="AX68" s="216">
        <f t="shared" si="451"/>
        <v>1739.4720177438776</v>
      </c>
      <c r="AY68" s="216">
        <f t="shared" si="451"/>
        <v>1911.9224801569526</v>
      </c>
      <c r="AZ68" s="216">
        <f t="shared" si="451"/>
        <v>2091.4817198464348</v>
      </c>
      <c r="BA68" s="215">
        <f t="shared" si="451"/>
        <v>2278.0230764436883</v>
      </c>
      <c r="BB68" s="216">
        <f t="shared" ref="BB68" si="452">BA68+BB66-BB67</f>
        <v>2471.4221463463755</v>
      </c>
      <c r="BC68" s="216">
        <f t="shared" ref="BC68" si="453">BB68+BC66-BC67</f>
        <v>2671.556742508611</v>
      </c>
      <c r="BD68" s="216">
        <f t="shared" ref="BD68" si="454">BC68+BD66-BD67</f>
        <v>2878.3068549475493</v>
      </c>
      <c r="BE68" s="216">
        <f t="shared" ref="BE68" si="455">BD68+BE66-BE67</f>
        <v>3091.5546119536484</v>
      </c>
      <c r="BF68" s="216">
        <f t="shared" ref="BF68" si="456">BE68+BF66-BF67</f>
        <v>3311.1842419920663</v>
      </c>
      <c r="BG68" s="216">
        <f t="shared" ref="BG68" si="457">BF68+BG66-BG67</f>
        <v>3537.0820362828777</v>
      </c>
      <c r="BH68" s="216">
        <f t="shared" ref="BH68" si="458">BG68+BH66-BH67</f>
        <v>3769.1363120480164</v>
      </c>
      <c r="BI68" s="216">
        <f t="shared" ref="BI68" si="459">BH68+BI66-BI67</f>
        <v>4007.2373764130662</v>
      </c>
      <c r="BJ68" s="216">
        <f t="shared" ref="BJ68" si="460">BI68+BJ66-BJ67</f>
        <v>4251.2774909522259</v>
      </c>
      <c r="BK68" s="216">
        <f t="shared" ref="BK68" si="461">BJ68+BK66-BK67</f>
        <v>4501.1508368649975</v>
      </c>
      <c r="BL68" s="216">
        <f t="shared" ref="BL68" si="462">BK68+BL66-BL67</f>
        <v>4756.7534807733336</v>
      </c>
      <c r="BM68" s="215">
        <f t="shared" ref="BM68" si="463">BL68+BM66-BM67</f>
        <v>5017.9833411281961</v>
      </c>
      <c r="BN68" s="216">
        <f t="shared" ref="BN68" si="464">BM68+BN66-BN67</f>
        <v>5284.740155214663</v>
      </c>
      <c r="BO68" s="216">
        <f t="shared" ref="BO68" si="465">BN68+BO66-BO67</f>
        <v>5556.9254467449191</v>
      </c>
      <c r="BP68" s="216">
        <f t="shared" ref="BP68" si="466">BO68+BP66-BP67</f>
        <v>5834.4424940286626</v>
      </c>
      <c r="BQ68" s="216">
        <f t="shared" ref="BQ68" si="467">BP68+BQ66-BQ67</f>
        <v>6117.1962987106263</v>
      </c>
      <c r="BR68" s="216">
        <f t="shared" ref="BR68" si="468">BQ68+BR66-BR67</f>
        <v>6405.0935550651247</v>
      </c>
      <c r="BS68" s="216">
        <f t="shared" ref="BS68" si="469">BR68+BS66-BS67</f>
        <v>6698.042619837689</v>
      </c>
      <c r="BT68" s="216">
        <f t="shared" ref="BT68" si="470">BS68+BT66-BT67</f>
        <v>6995.9534826240497</v>
      </c>
      <c r="BU68" s="216">
        <f t="shared" ref="BU68" si="471">BT68+BU66-BU67</f>
        <v>7298.7377367768904</v>
      </c>
      <c r="BV68" s="216">
        <f t="shared" ref="BV68" si="472">BU68+BV66-BV67</f>
        <v>7606.3085508309696</v>
      </c>
      <c r="BW68" s="216">
        <f t="shared" ref="BW68" si="473">BV68+BW66-BW67</f>
        <v>7918.5806404373743</v>
      </c>
      <c r="BX68" s="216">
        <f t="shared" ref="BX68" si="474">BW68+BX66-BX67</f>
        <v>8235.470240797833</v>
      </c>
      <c r="BY68" s="215">
        <f t="shared" ref="BY68" si="475">BX68+BY66-BY67</f>
        <v>8556.8950795901783</v>
      </c>
      <c r="BZ68" s="216">
        <f t="shared" ref="BZ68" si="476">BY68+BZ66-BZ67</f>
        <v>8882.7743503762158</v>
      </c>
      <c r="CA68" s="216">
        <f t="shared" ref="CA68" si="477">BZ68+CA66-CA67</f>
        <v>9213.028686483387</v>
      </c>
      <c r="CB68" s="216">
        <f t="shared" ref="CB68" si="478">CA68+CB66-CB67</f>
        <v>9547.5801353518036</v>
      </c>
      <c r="CC68" s="216">
        <f t="shared" ref="CC68" si="479">CB68+CC66-CC67</f>
        <v>9886.3521333383451</v>
      </c>
      <c r="CD68" s="216">
        <f t="shared" ref="CD68" si="480">CC68+CD66-CD67</f>
        <v>10229.269480969688</v>
      </c>
      <c r="CE68" s="216">
        <f t="shared" ref="CE68" si="481">CD68+CE66-CE67</f>
        <v>10576.258318636266</v>
      </c>
      <c r="CF68" s="216">
        <f t="shared" ref="CF68" si="482">CE68+CF66-CF67</f>
        <v>10927.246102719297</v>
      </c>
      <c r="CG68" s="216">
        <f t="shared" ref="CG68" si="483">CF68+CG66-CG67</f>
        <v>11282.161582143162</v>
      </c>
      <c r="CH68" s="216">
        <f t="shared" ref="CH68" si="484">CG68+CH66-CH67</f>
        <v>11640.934775345575</v>
      </c>
      <c r="CI68" s="216">
        <f t="shared" ref="CI68" si="485">CH68+CI66-CI67</f>
        <v>12003.49694765807</v>
      </c>
      <c r="CJ68" s="216">
        <f t="shared" ref="CJ68" si="486">CI68+CJ66-CJ67</f>
        <v>12369.780589089522</v>
      </c>
      <c r="CK68" s="215">
        <f t="shared" ref="CK68" si="487">CJ68+CK66-CK67</f>
        <v>12739.719392505505</v>
      </c>
    </row>
    <row r="69" spans="2:89" x14ac:dyDescent="0.2">
      <c r="B69" s="121" t="s">
        <v>82</v>
      </c>
      <c r="C69" s="214">
        <v>75</v>
      </c>
      <c r="F69" s="407"/>
      <c r="G69" s="407"/>
      <c r="H69" s="407"/>
      <c r="I69" s="407"/>
      <c r="J69" s="407"/>
      <c r="K69" s="407"/>
      <c r="L69" s="407"/>
      <c r="M69" s="407"/>
      <c r="N69" s="433"/>
      <c r="O69" s="433"/>
      <c r="P69" s="433"/>
      <c r="Q69" s="434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70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70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70"/>
      <c r="BB69" s="169"/>
      <c r="BC69" s="169"/>
      <c r="BD69" s="169"/>
      <c r="BE69" s="169"/>
      <c r="BF69" s="169"/>
      <c r="BG69" s="169"/>
      <c r="BH69" s="169"/>
      <c r="BI69" s="169"/>
      <c r="BJ69" s="169"/>
      <c r="BK69" s="169"/>
      <c r="BL69" s="169"/>
      <c r="BM69" s="170"/>
      <c r="BN69" s="169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70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70"/>
    </row>
    <row r="70" spans="2:89" s="107" customFormat="1" x14ac:dyDescent="0.2">
      <c r="B70" s="142" t="s">
        <v>83</v>
      </c>
      <c r="E70" s="143"/>
      <c r="F70" s="407"/>
      <c r="G70" s="407"/>
      <c r="H70" s="407"/>
      <c r="I70" s="407"/>
      <c r="J70" s="407"/>
      <c r="K70" s="407"/>
      <c r="L70" s="407"/>
      <c r="M70" s="407"/>
      <c r="N70" s="433">
        <f t="shared" ref="N70:BA70" si="488">$C69*N68</f>
        <v>0</v>
      </c>
      <c r="O70" s="433">
        <f t="shared" si="488"/>
        <v>0</v>
      </c>
      <c r="P70" s="433">
        <f t="shared" si="488"/>
        <v>0</v>
      </c>
      <c r="Q70" s="434">
        <f t="shared" si="488"/>
        <v>0</v>
      </c>
      <c r="R70" s="213">
        <f t="shared" si="488"/>
        <v>0</v>
      </c>
      <c r="S70" s="213">
        <f t="shared" si="488"/>
        <v>0</v>
      </c>
      <c r="T70" s="213">
        <f t="shared" si="488"/>
        <v>0</v>
      </c>
      <c r="U70" s="213">
        <f t="shared" si="488"/>
        <v>0</v>
      </c>
      <c r="V70" s="213">
        <f t="shared" si="488"/>
        <v>0</v>
      </c>
      <c r="W70" s="213">
        <f t="shared" si="488"/>
        <v>0</v>
      </c>
      <c r="X70" s="213">
        <f t="shared" si="488"/>
        <v>0</v>
      </c>
      <c r="Y70" s="213">
        <f t="shared" si="488"/>
        <v>0</v>
      </c>
      <c r="Z70" s="213">
        <f t="shared" si="488"/>
        <v>0</v>
      </c>
      <c r="AA70" s="213">
        <f t="shared" si="488"/>
        <v>0</v>
      </c>
      <c r="AB70" s="213">
        <f t="shared" si="488"/>
        <v>0</v>
      </c>
      <c r="AC70" s="212">
        <f t="shared" si="488"/>
        <v>0</v>
      </c>
      <c r="AD70" s="213">
        <f t="shared" si="488"/>
        <v>0</v>
      </c>
      <c r="AE70" s="213">
        <f t="shared" si="488"/>
        <v>0</v>
      </c>
      <c r="AF70" s="213">
        <f t="shared" si="488"/>
        <v>750</v>
      </c>
      <c r="AG70" s="213">
        <f t="shared" si="488"/>
        <v>2250</v>
      </c>
      <c r="AH70" s="213">
        <f t="shared" si="488"/>
        <v>4486.875</v>
      </c>
      <c r="AI70" s="213">
        <f t="shared" si="488"/>
        <v>7447.5</v>
      </c>
      <c r="AJ70" s="213">
        <f t="shared" si="488"/>
        <v>11118.979687499999</v>
      </c>
      <c r="AK70" s="213">
        <f t="shared" si="488"/>
        <v>15488.6484375</v>
      </c>
      <c r="AL70" s="213">
        <f t="shared" si="488"/>
        <v>20544.066292968746</v>
      </c>
      <c r="AM70" s="213">
        <f t="shared" si="488"/>
        <v>26273.014945312498</v>
      </c>
      <c r="AN70" s="213">
        <f t="shared" si="488"/>
        <v>32663.493785185547</v>
      </c>
      <c r="AO70" s="212">
        <f t="shared" si="488"/>
        <v>39703.716023642577</v>
      </c>
      <c r="AP70" s="213">
        <f t="shared" si="488"/>
        <v>47382.104882401829</v>
      </c>
      <c r="AQ70" s="213">
        <f t="shared" si="488"/>
        <v>55687.289851988084</v>
      </c>
      <c r="AR70" s="213">
        <f t="shared" si="488"/>
        <v>64608.103016546054</v>
      </c>
      <c r="AS70" s="213">
        <f t="shared" si="488"/>
        <v>74133.575444136266</v>
      </c>
      <c r="AT70" s="213">
        <f t="shared" si="488"/>
        <v>84252.93364134671</v>
      </c>
      <c r="AU70" s="213">
        <f t="shared" si="488"/>
        <v>94955.596071074324</v>
      </c>
      <c r="AV70" s="213">
        <f t="shared" si="488"/>
        <v>106231.16973235075</v>
      </c>
      <c r="AW70" s="213">
        <f t="shared" si="488"/>
        <v>118069.44680110695</v>
      </c>
      <c r="AX70" s="213">
        <f t="shared" si="488"/>
        <v>130460.40133079082</v>
      </c>
      <c r="AY70" s="213">
        <f t="shared" si="488"/>
        <v>143394.18601177144</v>
      </c>
      <c r="AZ70" s="213">
        <f t="shared" si="488"/>
        <v>156861.12898848261</v>
      </c>
      <c r="BA70" s="212">
        <f t="shared" si="488"/>
        <v>170851.73073327664</v>
      </c>
      <c r="BB70" s="213">
        <f t="shared" ref="BB70:BM70" si="489">$C69*BB68</f>
        <v>185356.66097597816</v>
      </c>
      <c r="BC70" s="213">
        <f t="shared" si="489"/>
        <v>200366.75568814581</v>
      </c>
      <c r="BD70" s="213">
        <f t="shared" si="489"/>
        <v>215873.0141210662</v>
      </c>
      <c r="BE70" s="213">
        <f t="shared" si="489"/>
        <v>231866.59589652362</v>
      </c>
      <c r="BF70" s="213">
        <f t="shared" si="489"/>
        <v>248338.81814940498</v>
      </c>
      <c r="BG70" s="213">
        <f t="shared" si="489"/>
        <v>265281.1527212158</v>
      </c>
      <c r="BH70" s="213">
        <f t="shared" si="489"/>
        <v>282685.22340360121</v>
      </c>
      <c r="BI70" s="213">
        <f t="shared" si="489"/>
        <v>300542.80323097995</v>
      </c>
      <c r="BJ70" s="213">
        <f t="shared" si="489"/>
        <v>318845.81182141695</v>
      </c>
      <c r="BK70" s="213">
        <f t="shared" si="489"/>
        <v>337586.31276487483</v>
      </c>
      <c r="BL70" s="213">
        <f t="shared" si="489"/>
        <v>356756.51105800003</v>
      </c>
      <c r="BM70" s="212">
        <f t="shared" si="489"/>
        <v>376348.7505846147</v>
      </c>
      <c r="BN70" s="213">
        <f t="shared" ref="BN70:BY70" si="490">$C69*BN68</f>
        <v>396355.5116410997</v>
      </c>
      <c r="BO70" s="213">
        <f t="shared" si="490"/>
        <v>416769.40850586892</v>
      </c>
      <c r="BP70" s="213">
        <f t="shared" si="490"/>
        <v>437583.18705214967</v>
      </c>
      <c r="BQ70" s="213">
        <f t="shared" si="490"/>
        <v>458789.72240329697</v>
      </c>
      <c r="BR70" s="213">
        <f t="shared" si="490"/>
        <v>480382.01662988437</v>
      </c>
      <c r="BS70" s="213">
        <f t="shared" si="490"/>
        <v>502353.1964878267</v>
      </c>
      <c r="BT70" s="213">
        <f t="shared" si="490"/>
        <v>524696.51119680377</v>
      </c>
      <c r="BU70" s="213">
        <f t="shared" si="490"/>
        <v>547405.33025826677</v>
      </c>
      <c r="BV70" s="213">
        <f t="shared" si="490"/>
        <v>570473.1413123227</v>
      </c>
      <c r="BW70" s="213">
        <f t="shared" si="490"/>
        <v>593893.54803280311</v>
      </c>
      <c r="BX70" s="213">
        <f t="shared" si="490"/>
        <v>617660.26805983752</v>
      </c>
      <c r="BY70" s="212">
        <f t="shared" si="490"/>
        <v>641767.13096926338</v>
      </c>
      <c r="BZ70" s="213">
        <f t="shared" ref="BZ70:CK70" si="491">$C69*BZ68</f>
        <v>666208.07627821621</v>
      </c>
      <c r="CA70" s="213">
        <f t="shared" si="491"/>
        <v>690977.15148625406</v>
      </c>
      <c r="CB70" s="213">
        <f t="shared" si="491"/>
        <v>716068.51015138533</v>
      </c>
      <c r="CC70" s="213">
        <f t="shared" si="491"/>
        <v>741476.41000037594</v>
      </c>
      <c r="CD70" s="213">
        <f t="shared" si="491"/>
        <v>767195.21107272652</v>
      </c>
      <c r="CE70" s="213">
        <f t="shared" si="491"/>
        <v>793219.37389772001</v>
      </c>
      <c r="CF70" s="213">
        <f t="shared" si="491"/>
        <v>819543.45770394721</v>
      </c>
      <c r="CG70" s="213">
        <f t="shared" si="491"/>
        <v>846162.11866073718</v>
      </c>
      <c r="CH70" s="213">
        <f t="shared" si="491"/>
        <v>873070.10815091815</v>
      </c>
      <c r="CI70" s="213">
        <f t="shared" si="491"/>
        <v>900262.27107435523</v>
      </c>
      <c r="CJ70" s="213">
        <f t="shared" si="491"/>
        <v>927733.54418171407</v>
      </c>
      <c r="CK70" s="212">
        <f t="shared" si="491"/>
        <v>955478.95443791291</v>
      </c>
    </row>
    <row r="71" spans="2:89" x14ac:dyDescent="0.2">
      <c r="B71" s="121"/>
      <c r="C71" s="211"/>
      <c r="E71" s="205"/>
      <c r="F71" s="407"/>
      <c r="G71" s="407"/>
      <c r="H71" s="407"/>
      <c r="I71" s="407"/>
      <c r="J71" s="407"/>
      <c r="K71" s="407"/>
      <c r="L71" s="407"/>
      <c r="M71" s="407"/>
      <c r="N71" s="433"/>
      <c r="O71" s="433"/>
      <c r="P71" s="433"/>
      <c r="Q71" s="434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70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70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170"/>
      <c r="BB71" s="169"/>
      <c r="BC71" s="169"/>
      <c r="BD71" s="169"/>
      <c r="BE71" s="169"/>
      <c r="BF71" s="169"/>
      <c r="BG71" s="169"/>
      <c r="BH71" s="169"/>
      <c r="BI71" s="169"/>
      <c r="BJ71" s="169"/>
      <c r="BK71" s="169"/>
      <c r="BL71" s="169"/>
      <c r="BM71" s="170"/>
      <c r="BN71" s="169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70"/>
      <c r="BZ71" s="169"/>
      <c r="CA71" s="169"/>
      <c r="CB71" s="169"/>
      <c r="CC71" s="169"/>
      <c r="CD71" s="169"/>
      <c r="CE71" s="169"/>
      <c r="CF71" s="169"/>
      <c r="CG71" s="169"/>
      <c r="CH71" s="169"/>
      <c r="CI71" s="169"/>
      <c r="CJ71" s="169"/>
      <c r="CK71" s="170"/>
    </row>
    <row r="72" spans="2:89" s="2" customFormat="1" x14ac:dyDescent="0.2">
      <c r="B72" s="118" t="s">
        <v>84</v>
      </c>
      <c r="C72" s="210">
        <v>0.17499999999999999</v>
      </c>
      <c r="E72" s="209"/>
      <c r="F72" s="18"/>
      <c r="G72" s="18"/>
      <c r="H72" s="18"/>
      <c r="I72" s="18"/>
      <c r="J72" s="18"/>
      <c r="K72" s="18"/>
      <c r="L72" s="18"/>
      <c r="M72" s="18"/>
      <c r="N72" s="435">
        <f t="shared" ref="N72:BA72" si="492">N70*$C72</f>
        <v>0</v>
      </c>
      <c r="O72" s="435">
        <f t="shared" si="492"/>
        <v>0</v>
      </c>
      <c r="P72" s="435">
        <f t="shared" si="492"/>
        <v>0</v>
      </c>
      <c r="Q72" s="436">
        <f t="shared" si="492"/>
        <v>0</v>
      </c>
      <c r="R72" s="208">
        <f t="shared" si="492"/>
        <v>0</v>
      </c>
      <c r="S72" s="208">
        <f t="shared" si="492"/>
        <v>0</v>
      </c>
      <c r="T72" s="208">
        <f t="shared" si="492"/>
        <v>0</v>
      </c>
      <c r="U72" s="208">
        <f t="shared" si="492"/>
        <v>0</v>
      </c>
      <c r="V72" s="208">
        <f t="shared" si="492"/>
        <v>0</v>
      </c>
      <c r="W72" s="208">
        <f t="shared" si="492"/>
        <v>0</v>
      </c>
      <c r="X72" s="208">
        <f t="shared" si="492"/>
        <v>0</v>
      </c>
      <c r="Y72" s="208">
        <f t="shared" si="492"/>
        <v>0</v>
      </c>
      <c r="Z72" s="208">
        <f t="shared" si="492"/>
        <v>0</v>
      </c>
      <c r="AA72" s="208">
        <f t="shared" si="492"/>
        <v>0</v>
      </c>
      <c r="AB72" s="208">
        <f t="shared" si="492"/>
        <v>0</v>
      </c>
      <c r="AC72" s="207">
        <f t="shared" si="492"/>
        <v>0</v>
      </c>
      <c r="AD72" s="208">
        <f t="shared" si="492"/>
        <v>0</v>
      </c>
      <c r="AE72" s="208">
        <f t="shared" si="492"/>
        <v>0</v>
      </c>
      <c r="AF72" s="208">
        <f t="shared" si="492"/>
        <v>131.25</v>
      </c>
      <c r="AG72" s="208">
        <f t="shared" si="492"/>
        <v>393.75</v>
      </c>
      <c r="AH72" s="208">
        <f t="shared" si="492"/>
        <v>785.203125</v>
      </c>
      <c r="AI72" s="208">
        <f t="shared" si="492"/>
        <v>1303.3125</v>
      </c>
      <c r="AJ72" s="208">
        <f t="shared" si="492"/>
        <v>1945.8214453124997</v>
      </c>
      <c r="AK72" s="208">
        <f t="shared" si="492"/>
        <v>2710.5134765624998</v>
      </c>
      <c r="AL72" s="208">
        <f t="shared" si="492"/>
        <v>3595.2116012695301</v>
      </c>
      <c r="AM72" s="208">
        <f t="shared" si="492"/>
        <v>4597.7776154296871</v>
      </c>
      <c r="AN72" s="208">
        <f t="shared" si="492"/>
        <v>5716.1114124074702</v>
      </c>
      <c r="AO72" s="207">
        <f t="shared" si="492"/>
        <v>6948.1503041374508</v>
      </c>
      <c r="AP72" s="208">
        <f t="shared" si="492"/>
        <v>8291.8683544203195</v>
      </c>
      <c r="AQ72" s="208">
        <f t="shared" si="492"/>
        <v>9745.2757240979136</v>
      </c>
      <c r="AR72" s="208">
        <f t="shared" si="492"/>
        <v>11306.418027895559</v>
      </c>
      <c r="AS72" s="208">
        <f t="shared" si="492"/>
        <v>12973.375702723846</v>
      </c>
      <c r="AT72" s="208">
        <f t="shared" si="492"/>
        <v>14744.263387235673</v>
      </c>
      <c r="AU72" s="208">
        <f t="shared" si="492"/>
        <v>16617.229312438005</v>
      </c>
      <c r="AV72" s="208">
        <f t="shared" si="492"/>
        <v>18590.45470316138</v>
      </c>
      <c r="AW72" s="208">
        <f t="shared" si="492"/>
        <v>20662.153190193716</v>
      </c>
      <c r="AX72" s="208">
        <f t="shared" si="492"/>
        <v>22830.570232888393</v>
      </c>
      <c r="AY72" s="208">
        <f t="shared" si="492"/>
        <v>25093.982552059999</v>
      </c>
      <c r="AZ72" s="208">
        <f t="shared" si="492"/>
        <v>27450.697572984456</v>
      </c>
      <c r="BA72" s="207">
        <f t="shared" si="492"/>
        <v>29899.052878323408</v>
      </c>
      <c r="BB72" s="208">
        <f t="shared" ref="BB72:BM72" si="493">BB70*$C72</f>
        <v>32437.415670796174</v>
      </c>
      <c r="BC72" s="208">
        <f t="shared" si="493"/>
        <v>35064.182245425516</v>
      </c>
      <c r="BD72" s="208">
        <f t="shared" si="493"/>
        <v>37777.777471186579</v>
      </c>
      <c r="BE72" s="208">
        <f t="shared" si="493"/>
        <v>40576.654281891628</v>
      </c>
      <c r="BF72" s="208">
        <f t="shared" si="493"/>
        <v>43459.293176145868</v>
      </c>
      <c r="BG72" s="208">
        <f t="shared" si="493"/>
        <v>46424.201726212763</v>
      </c>
      <c r="BH72" s="208">
        <f t="shared" si="493"/>
        <v>49469.914095630207</v>
      </c>
      <c r="BI72" s="208">
        <f t="shared" si="493"/>
        <v>52594.990565421489</v>
      </c>
      <c r="BJ72" s="208">
        <f t="shared" si="493"/>
        <v>55798.017068747962</v>
      </c>
      <c r="BK72" s="208">
        <f t="shared" si="493"/>
        <v>59077.604733853092</v>
      </c>
      <c r="BL72" s="208">
        <f t="shared" si="493"/>
        <v>62432.389435149998</v>
      </c>
      <c r="BM72" s="207">
        <f t="shared" si="493"/>
        <v>65861.031352307575</v>
      </c>
      <c r="BN72" s="208">
        <f t="shared" ref="BN72:BY72" si="494">BN70*$C72</f>
        <v>69362.214537192442</v>
      </c>
      <c r="BO72" s="208">
        <f t="shared" si="494"/>
        <v>72934.646488527054</v>
      </c>
      <c r="BP72" s="208">
        <f t="shared" si="494"/>
        <v>76577.057734126181</v>
      </c>
      <c r="BQ72" s="208">
        <f t="shared" si="494"/>
        <v>80288.201420576966</v>
      </c>
      <c r="BR72" s="208">
        <f t="shared" si="494"/>
        <v>84066.852910229762</v>
      </c>
      <c r="BS72" s="208">
        <f t="shared" si="494"/>
        <v>87911.809385369663</v>
      </c>
      <c r="BT72" s="208">
        <f t="shared" si="494"/>
        <v>91821.889459440659</v>
      </c>
      <c r="BU72" s="208">
        <f t="shared" si="494"/>
        <v>95795.932795196684</v>
      </c>
      <c r="BV72" s="208">
        <f t="shared" si="494"/>
        <v>99832.799729656472</v>
      </c>
      <c r="BW72" s="208">
        <f t="shared" si="494"/>
        <v>103931.37090574054</v>
      </c>
      <c r="BX72" s="208">
        <f t="shared" si="494"/>
        <v>108090.54691047156</v>
      </c>
      <c r="BY72" s="207">
        <f t="shared" si="494"/>
        <v>112309.24791962109</v>
      </c>
      <c r="BZ72" s="208">
        <f t="shared" ref="BZ72:CK72" si="495">BZ70*$C72</f>
        <v>116586.41334868783</v>
      </c>
      <c r="CA72" s="208">
        <f t="shared" si="495"/>
        <v>120921.00151009446</v>
      </c>
      <c r="CB72" s="208">
        <f t="shared" si="495"/>
        <v>125311.98927649243</v>
      </c>
      <c r="CC72" s="208">
        <f t="shared" si="495"/>
        <v>129758.37175006578</v>
      </c>
      <c r="CD72" s="208">
        <f t="shared" si="495"/>
        <v>134259.16193772713</v>
      </c>
      <c r="CE72" s="208">
        <f t="shared" si="495"/>
        <v>138813.390432101</v>
      </c>
      <c r="CF72" s="208">
        <f t="shared" si="495"/>
        <v>143420.10509819075</v>
      </c>
      <c r="CG72" s="208">
        <f t="shared" si="495"/>
        <v>148078.37076562899</v>
      </c>
      <c r="CH72" s="208">
        <f t="shared" si="495"/>
        <v>152787.26892641067</v>
      </c>
      <c r="CI72" s="208">
        <f t="shared" si="495"/>
        <v>157545.89743801215</v>
      </c>
      <c r="CJ72" s="208">
        <f t="shared" si="495"/>
        <v>162353.37023179996</v>
      </c>
      <c r="CK72" s="207">
        <f t="shared" si="495"/>
        <v>167208.81702663476</v>
      </c>
    </row>
    <row r="73" spans="2:89" x14ac:dyDescent="0.2">
      <c r="B73" s="121" t="s">
        <v>85</v>
      </c>
      <c r="C73" s="206">
        <v>3</v>
      </c>
      <c r="E73" s="205"/>
      <c r="F73" s="407"/>
      <c r="G73" s="407"/>
      <c r="H73" s="407"/>
      <c r="I73" s="407"/>
      <c r="J73" s="407"/>
      <c r="K73" s="407"/>
      <c r="L73" s="407"/>
      <c r="M73" s="407"/>
      <c r="N73" s="433"/>
      <c r="O73" s="433"/>
      <c r="P73" s="433"/>
      <c r="Q73" s="434"/>
      <c r="R73" s="659">
        <f t="shared" ref="R73:AZ73" si="496">R68*$C$73</f>
        <v>0</v>
      </c>
      <c r="S73" s="659">
        <f t="shared" si="496"/>
        <v>0</v>
      </c>
      <c r="T73" s="659">
        <f t="shared" si="496"/>
        <v>0</v>
      </c>
      <c r="U73" s="659">
        <f t="shared" si="496"/>
        <v>0</v>
      </c>
      <c r="V73" s="659">
        <f t="shared" si="496"/>
        <v>0</v>
      </c>
      <c r="W73" s="659">
        <f t="shared" si="496"/>
        <v>0</v>
      </c>
      <c r="X73" s="659">
        <f t="shared" si="496"/>
        <v>0</v>
      </c>
      <c r="Y73" s="659">
        <f t="shared" si="496"/>
        <v>0</v>
      </c>
      <c r="Z73" s="659">
        <f t="shared" si="496"/>
        <v>0</v>
      </c>
      <c r="AA73" s="659">
        <f t="shared" si="496"/>
        <v>0</v>
      </c>
      <c r="AB73" s="659">
        <f t="shared" si="496"/>
        <v>0</v>
      </c>
      <c r="AC73" s="291">
        <f t="shared" si="496"/>
        <v>0</v>
      </c>
      <c r="AD73" s="659">
        <f t="shared" si="496"/>
        <v>0</v>
      </c>
      <c r="AE73" s="659">
        <f t="shared" si="496"/>
        <v>0</v>
      </c>
      <c r="AF73" s="659">
        <f t="shared" si="496"/>
        <v>30</v>
      </c>
      <c r="AG73" s="659">
        <f t="shared" si="496"/>
        <v>90</v>
      </c>
      <c r="AH73" s="659">
        <f t="shared" si="496"/>
        <v>179.47500000000002</v>
      </c>
      <c r="AI73" s="659">
        <f t="shared" si="496"/>
        <v>297.89999999999998</v>
      </c>
      <c r="AJ73" s="659">
        <f t="shared" si="496"/>
        <v>444.7591875</v>
      </c>
      <c r="AK73" s="659">
        <f t="shared" si="496"/>
        <v>619.54593750000004</v>
      </c>
      <c r="AL73" s="659">
        <f t="shared" si="496"/>
        <v>821.76265171874991</v>
      </c>
      <c r="AM73" s="659">
        <f t="shared" si="496"/>
        <v>1050.9205978125001</v>
      </c>
      <c r="AN73" s="659">
        <f t="shared" si="496"/>
        <v>1306.539751407422</v>
      </c>
      <c r="AO73" s="291">
        <f t="shared" si="496"/>
        <v>1588.1486409457032</v>
      </c>
      <c r="AP73" s="291">
        <f t="shared" si="496"/>
        <v>1895.2841952960732</v>
      </c>
      <c r="AQ73" s="291">
        <f t="shared" si="496"/>
        <v>2227.4915940795236</v>
      </c>
      <c r="AR73" s="291">
        <f t="shared" si="496"/>
        <v>2584.3241206618422</v>
      </c>
      <c r="AS73" s="291">
        <f t="shared" si="496"/>
        <v>2965.3430177654509</v>
      </c>
      <c r="AT73" s="291">
        <f t="shared" si="496"/>
        <v>3370.1173456538681</v>
      </c>
      <c r="AU73" s="291">
        <f t="shared" si="496"/>
        <v>3798.2238428429728</v>
      </c>
      <c r="AV73" s="291">
        <f t="shared" si="496"/>
        <v>4249.2467892940303</v>
      </c>
      <c r="AW73" s="291">
        <f t="shared" si="496"/>
        <v>4722.7778720442784</v>
      </c>
      <c r="AX73" s="291">
        <f t="shared" si="496"/>
        <v>5218.4160532316328</v>
      </c>
      <c r="AY73" s="291">
        <f t="shared" si="496"/>
        <v>5735.7674404708578</v>
      </c>
      <c r="AZ73" s="291">
        <f t="shared" si="496"/>
        <v>6274.4451595393039</v>
      </c>
      <c r="BA73" s="291">
        <f>BA68*$C$73</f>
        <v>6834.0692293310649</v>
      </c>
      <c r="BB73" s="291">
        <f t="shared" ref="BB73:BL73" si="497">BB68*$C$73</f>
        <v>7414.2664390391265</v>
      </c>
      <c r="BC73" s="291">
        <f t="shared" si="497"/>
        <v>8014.6702275258331</v>
      </c>
      <c r="BD73" s="291">
        <f t="shared" si="497"/>
        <v>8634.9205648426469</v>
      </c>
      <c r="BE73" s="291">
        <f t="shared" si="497"/>
        <v>9274.6638358609453</v>
      </c>
      <c r="BF73" s="291">
        <f t="shared" si="497"/>
        <v>9933.5527259761984</v>
      </c>
      <c r="BG73" s="291">
        <f t="shared" si="497"/>
        <v>10611.246108848633</v>
      </c>
      <c r="BH73" s="291">
        <f t="shared" si="497"/>
        <v>11307.408936144049</v>
      </c>
      <c r="BI73" s="291">
        <f t="shared" si="497"/>
        <v>12021.712129239198</v>
      </c>
      <c r="BJ73" s="291">
        <f t="shared" si="497"/>
        <v>12753.832472856677</v>
      </c>
      <c r="BK73" s="291">
        <f t="shared" si="497"/>
        <v>13503.452510594992</v>
      </c>
      <c r="BL73" s="291">
        <f t="shared" si="497"/>
        <v>14270.260442320001</v>
      </c>
      <c r="BM73" s="291">
        <f>BM68*$C$73</f>
        <v>15053.950023384588</v>
      </c>
      <c r="BN73" s="291">
        <f t="shared" ref="BN73:BX73" si="498">BN68*$C$73</f>
        <v>15854.22046564399</v>
      </c>
      <c r="BO73" s="291">
        <f t="shared" si="498"/>
        <v>16670.776340234755</v>
      </c>
      <c r="BP73" s="291">
        <f t="shared" si="498"/>
        <v>17503.327482085988</v>
      </c>
      <c r="BQ73" s="291">
        <f t="shared" si="498"/>
        <v>18351.588896131878</v>
      </c>
      <c r="BR73" s="291">
        <f t="shared" si="498"/>
        <v>19215.280665195372</v>
      </c>
      <c r="BS73" s="291">
        <f t="shared" si="498"/>
        <v>20094.127859513068</v>
      </c>
      <c r="BT73" s="291">
        <f t="shared" si="498"/>
        <v>20987.86044787215</v>
      </c>
      <c r="BU73" s="291">
        <f t="shared" si="498"/>
        <v>21896.213210330672</v>
      </c>
      <c r="BV73" s="291">
        <f t="shared" si="498"/>
        <v>22818.925652492908</v>
      </c>
      <c r="BW73" s="291">
        <f t="shared" si="498"/>
        <v>23755.741921312125</v>
      </c>
      <c r="BX73" s="291">
        <f t="shared" si="498"/>
        <v>24706.410722393499</v>
      </c>
      <c r="BY73" s="291">
        <f>BY68*$C$73</f>
        <v>25670.685238770537</v>
      </c>
      <c r="BZ73" s="291">
        <f t="shared" ref="BZ73:CJ73" si="499">BZ68*$C$73</f>
        <v>26648.323051128646</v>
      </c>
      <c r="CA73" s="291">
        <f t="shared" si="499"/>
        <v>27639.086059450161</v>
      </c>
      <c r="CB73" s="291">
        <f t="shared" si="499"/>
        <v>28642.740406055411</v>
      </c>
      <c r="CC73" s="291">
        <f t="shared" si="499"/>
        <v>29659.056400015033</v>
      </c>
      <c r="CD73" s="291">
        <f t="shared" si="499"/>
        <v>30687.808442909063</v>
      </c>
      <c r="CE73" s="291">
        <f t="shared" si="499"/>
        <v>31728.774955908797</v>
      </c>
      <c r="CF73" s="291">
        <f t="shared" si="499"/>
        <v>32781.738308157888</v>
      </c>
      <c r="CG73" s="291">
        <f t="shared" si="499"/>
        <v>33846.484746429487</v>
      </c>
      <c r="CH73" s="291">
        <f t="shared" si="499"/>
        <v>34922.804326036727</v>
      </c>
      <c r="CI73" s="291">
        <f t="shared" si="499"/>
        <v>36010.490842974206</v>
      </c>
      <c r="CJ73" s="291">
        <f t="shared" si="499"/>
        <v>37109.341767268561</v>
      </c>
      <c r="CK73" s="291">
        <f>CK68*$C$73</f>
        <v>38219.158177516518</v>
      </c>
    </row>
    <row r="74" spans="2:89" x14ac:dyDescent="0.2">
      <c r="B74" s="21"/>
      <c r="F74" s="407"/>
      <c r="G74" s="407"/>
      <c r="H74" s="407"/>
      <c r="I74" s="407"/>
      <c r="J74" s="407"/>
      <c r="K74" s="407"/>
      <c r="L74" s="407"/>
      <c r="M74" s="407"/>
      <c r="N74" s="407"/>
      <c r="O74" s="407"/>
      <c r="P74" s="407"/>
      <c r="Q74" s="408"/>
    </row>
    <row r="75" spans="2:89" ht="21" x14ac:dyDescent="0.25">
      <c r="B75" s="139" t="s">
        <v>88</v>
      </c>
      <c r="C75" s="119"/>
      <c r="D75" s="119"/>
      <c r="E75" s="120"/>
      <c r="F75" s="425"/>
      <c r="G75" s="425"/>
      <c r="H75" s="425"/>
      <c r="I75" s="425"/>
      <c r="J75" s="425"/>
      <c r="K75" s="425"/>
      <c r="L75" s="425"/>
      <c r="M75" s="425"/>
      <c r="N75" s="425"/>
      <c r="O75" s="425"/>
      <c r="P75" s="425"/>
      <c r="Q75" s="426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20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20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20"/>
      <c r="BB75" s="119"/>
      <c r="BC75" s="119"/>
      <c r="BD75" s="119"/>
      <c r="BE75" s="119"/>
      <c r="BF75" s="119"/>
      <c r="BG75" s="119"/>
      <c r="BH75" s="119"/>
      <c r="BI75" s="119"/>
      <c r="BJ75" s="119"/>
      <c r="BK75" s="119"/>
      <c r="BL75" s="119"/>
      <c r="BM75" s="120"/>
      <c r="BN75" s="119"/>
      <c r="BO75" s="119"/>
      <c r="BP75" s="119"/>
      <c r="BQ75" s="119"/>
      <c r="BR75" s="119"/>
      <c r="BS75" s="119"/>
      <c r="BT75" s="119"/>
      <c r="BU75" s="119"/>
      <c r="BV75" s="119"/>
      <c r="BW75" s="119"/>
      <c r="BX75" s="119"/>
      <c r="BY75" s="120"/>
      <c r="BZ75" s="119"/>
      <c r="CA75" s="119"/>
      <c r="CB75" s="119"/>
      <c r="CC75" s="119"/>
      <c r="CD75" s="119"/>
      <c r="CE75" s="119"/>
      <c r="CF75" s="119"/>
      <c r="CG75" s="119"/>
      <c r="CH75" s="119"/>
      <c r="CI75" s="119"/>
      <c r="CJ75" s="119"/>
      <c r="CK75" s="120"/>
    </row>
    <row r="76" spans="2:89" x14ac:dyDescent="0.2">
      <c r="B76" s="118"/>
      <c r="E76" s="140"/>
      <c r="F76" s="407"/>
      <c r="G76" s="407"/>
      <c r="H76" s="407"/>
      <c r="I76" s="407"/>
      <c r="J76" s="407"/>
      <c r="K76" s="407"/>
      <c r="L76" s="407"/>
      <c r="M76" s="407"/>
      <c r="N76" s="421"/>
      <c r="O76" s="421"/>
      <c r="P76" s="421"/>
      <c r="Q76" s="422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17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17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17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17"/>
      <c r="BN76" s="103"/>
      <c r="BO76" s="103"/>
      <c r="BP76" s="103"/>
      <c r="BQ76" s="103"/>
      <c r="BR76" s="103"/>
      <c r="BS76" s="103"/>
      <c r="BT76" s="103"/>
      <c r="BU76" s="103"/>
      <c r="BV76" s="103"/>
      <c r="BW76" s="103"/>
      <c r="BX76" s="103"/>
      <c r="BY76" s="117"/>
      <c r="BZ76" s="103"/>
      <c r="CA76" s="103"/>
      <c r="CB76" s="103"/>
      <c r="CC76" s="103"/>
      <c r="CD76" s="103"/>
      <c r="CE76" s="103"/>
      <c r="CF76" s="103"/>
      <c r="CG76" s="103"/>
      <c r="CH76" s="103"/>
      <c r="CI76" s="103"/>
      <c r="CJ76" s="103"/>
      <c r="CK76" s="117"/>
    </row>
    <row r="77" spans="2:89" s="17" customFormat="1" x14ac:dyDescent="0.2">
      <c r="B77" s="121" t="s">
        <v>79</v>
      </c>
      <c r="C77" s="224"/>
      <c r="E77" s="141"/>
      <c r="F77" s="427"/>
      <c r="G77" s="427"/>
      <c r="H77" s="427"/>
      <c r="I77" s="427"/>
      <c r="J77" s="427"/>
      <c r="K77" s="427"/>
      <c r="L77" s="427"/>
      <c r="M77" s="427"/>
      <c r="N77" s="437">
        <v>0</v>
      </c>
      <c r="O77" s="437">
        <v>0</v>
      </c>
      <c r="P77" s="437">
        <v>0</v>
      </c>
      <c r="Q77" s="438">
        <v>0</v>
      </c>
      <c r="R77" s="223">
        <v>0</v>
      </c>
      <c r="S77" s="223">
        <v>0</v>
      </c>
      <c r="T77" s="223">
        <v>0</v>
      </c>
      <c r="U77" s="223">
        <v>0</v>
      </c>
      <c r="V77" s="223">
        <v>0</v>
      </c>
      <c r="W77" s="223">
        <v>0</v>
      </c>
      <c r="X77" s="223">
        <v>0</v>
      </c>
      <c r="Y77" s="223">
        <v>0</v>
      </c>
      <c r="Z77" s="223">
        <v>0</v>
      </c>
      <c r="AA77" s="223">
        <v>0</v>
      </c>
      <c r="AB77" s="223">
        <v>0</v>
      </c>
      <c r="AC77" s="222">
        <v>0</v>
      </c>
      <c r="AD77" s="223">
        <v>0</v>
      </c>
      <c r="AE77" s="223">
        <v>0</v>
      </c>
      <c r="AF77" s="223"/>
      <c r="AG77" s="223"/>
      <c r="AH77" s="223">
        <f t="shared" ref="AH77:AK77" si="500">AG77+1</f>
        <v>1</v>
      </c>
      <c r="AI77" s="223">
        <f t="shared" si="500"/>
        <v>2</v>
      </c>
      <c r="AJ77" s="223">
        <f t="shared" si="500"/>
        <v>3</v>
      </c>
      <c r="AK77" s="223">
        <f t="shared" si="500"/>
        <v>4</v>
      </c>
      <c r="AL77" s="223">
        <v>20</v>
      </c>
      <c r="AM77" s="223">
        <v>20</v>
      </c>
      <c r="AN77" s="223">
        <v>20</v>
      </c>
      <c r="AO77" s="222">
        <v>20</v>
      </c>
      <c r="AP77" s="223">
        <v>20</v>
      </c>
      <c r="AQ77" s="223">
        <v>20</v>
      </c>
      <c r="AR77" s="223">
        <v>20</v>
      </c>
      <c r="AS77" s="223">
        <v>20</v>
      </c>
      <c r="AT77" s="223">
        <v>20</v>
      </c>
      <c r="AU77" s="223">
        <v>20</v>
      </c>
      <c r="AV77" s="223">
        <v>20</v>
      </c>
      <c r="AW77" s="223">
        <v>20</v>
      </c>
      <c r="AX77" s="223">
        <v>20</v>
      </c>
      <c r="AY77" s="223">
        <v>20</v>
      </c>
      <c r="AZ77" s="223">
        <v>20</v>
      </c>
      <c r="BA77" s="222">
        <v>20</v>
      </c>
      <c r="BB77" s="223">
        <v>20</v>
      </c>
      <c r="BC77" s="223">
        <v>20</v>
      </c>
      <c r="BD77" s="223">
        <v>20</v>
      </c>
      <c r="BE77" s="223">
        <v>20</v>
      </c>
      <c r="BF77" s="223">
        <v>20</v>
      </c>
      <c r="BG77" s="223">
        <v>20</v>
      </c>
      <c r="BH77" s="223">
        <v>20</v>
      </c>
      <c r="BI77" s="223">
        <v>20</v>
      </c>
      <c r="BJ77" s="223">
        <v>20</v>
      </c>
      <c r="BK77" s="223">
        <v>20</v>
      </c>
      <c r="BL77" s="223">
        <v>20</v>
      </c>
      <c r="BM77" s="222">
        <v>20</v>
      </c>
      <c r="BN77" s="223">
        <v>20</v>
      </c>
      <c r="BO77" s="223">
        <v>20</v>
      </c>
      <c r="BP77" s="223">
        <v>20</v>
      </c>
      <c r="BQ77" s="223">
        <v>20</v>
      </c>
      <c r="BR77" s="223">
        <v>20</v>
      </c>
      <c r="BS77" s="223">
        <v>20</v>
      </c>
      <c r="BT77" s="223">
        <v>20</v>
      </c>
      <c r="BU77" s="223">
        <v>20</v>
      </c>
      <c r="BV77" s="223">
        <v>20</v>
      </c>
      <c r="BW77" s="223">
        <v>20</v>
      </c>
      <c r="BX77" s="223">
        <v>20</v>
      </c>
      <c r="BY77" s="222">
        <v>20</v>
      </c>
      <c r="BZ77" s="223">
        <v>20</v>
      </c>
      <c r="CA77" s="223">
        <v>20</v>
      </c>
      <c r="CB77" s="223">
        <v>20</v>
      </c>
      <c r="CC77" s="223">
        <v>20</v>
      </c>
      <c r="CD77" s="223">
        <v>20</v>
      </c>
      <c r="CE77" s="223">
        <v>20</v>
      </c>
      <c r="CF77" s="223">
        <v>20</v>
      </c>
      <c r="CG77" s="223">
        <v>20</v>
      </c>
      <c r="CH77" s="223">
        <v>20</v>
      </c>
      <c r="CI77" s="223">
        <v>20</v>
      </c>
      <c r="CJ77" s="223">
        <v>20</v>
      </c>
      <c r="CK77" s="222">
        <v>20</v>
      </c>
    </row>
    <row r="78" spans="2:89" s="17" customFormat="1" x14ac:dyDescent="0.2">
      <c r="B78" s="121" t="s">
        <v>80</v>
      </c>
      <c r="C78" s="221">
        <v>20</v>
      </c>
      <c r="D78" s="17" t="s">
        <v>81</v>
      </c>
      <c r="E78" s="219"/>
      <c r="F78" s="427"/>
      <c r="G78" s="427"/>
      <c r="H78" s="427"/>
      <c r="I78" s="427"/>
      <c r="J78" s="427"/>
      <c r="K78" s="427"/>
      <c r="L78" s="427"/>
      <c r="M78" s="427"/>
      <c r="N78" s="428">
        <f t="shared" ref="N78:BA78" si="501">N77*$C78</f>
        <v>0</v>
      </c>
      <c r="O78" s="428">
        <f t="shared" si="501"/>
        <v>0</v>
      </c>
      <c r="P78" s="428">
        <f t="shared" si="501"/>
        <v>0</v>
      </c>
      <c r="Q78" s="429">
        <f t="shared" si="501"/>
        <v>0</v>
      </c>
      <c r="R78" s="218">
        <f t="shared" si="501"/>
        <v>0</v>
      </c>
      <c r="S78" s="218">
        <f t="shared" si="501"/>
        <v>0</v>
      </c>
      <c r="T78" s="218">
        <f t="shared" si="501"/>
        <v>0</v>
      </c>
      <c r="U78" s="218">
        <f t="shared" si="501"/>
        <v>0</v>
      </c>
      <c r="V78" s="218">
        <f t="shared" si="501"/>
        <v>0</v>
      </c>
      <c r="W78" s="218">
        <f t="shared" si="501"/>
        <v>0</v>
      </c>
      <c r="X78" s="218">
        <f t="shared" si="501"/>
        <v>0</v>
      </c>
      <c r="Y78" s="218">
        <f t="shared" si="501"/>
        <v>0</v>
      </c>
      <c r="Z78" s="218">
        <f t="shared" si="501"/>
        <v>0</v>
      </c>
      <c r="AA78" s="218">
        <f t="shared" si="501"/>
        <v>0</v>
      </c>
      <c r="AB78" s="218">
        <f t="shared" si="501"/>
        <v>0</v>
      </c>
      <c r="AC78" s="217">
        <f t="shared" si="501"/>
        <v>0</v>
      </c>
      <c r="AD78" s="218">
        <f t="shared" si="501"/>
        <v>0</v>
      </c>
      <c r="AE78" s="218">
        <f t="shared" si="501"/>
        <v>0</v>
      </c>
      <c r="AF78" s="218">
        <f t="shared" si="501"/>
        <v>0</v>
      </c>
      <c r="AG78" s="218">
        <f t="shared" si="501"/>
        <v>0</v>
      </c>
      <c r="AH78" s="218">
        <f t="shared" si="501"/>
        <v>20</v>
      </c>
      <c r="AI78" s="218">
        <f t="shared" si="501"/>
        <v>40</v>
      </c>
      <c r="AJ78" s="218">
        <f t="shared" si="501"/>
        <v>60</v>
      </c>
      <c r="AK78" s="218">
        <f t="shared" si="501"/>
        <v>80</v>
      </c>
      <c r="AL78" s="218">
        <f t="shared" si="501"/>
        <v>400</v>
      </c>
      <c r="AM78" s="218">
        <f t="shared" si="501"/>
        <v>400</v>
      </c>
      <c r="AN78" s="218">
        <f t="shared" si="501"/>
        <v>400</v>
      </c>
      <c r="AO78" s="217">
        <f t="shared" si="501"/>
        <v>400</v>
      </c>
      <c r="AP78" s="218">
        <f t="shared" si="501"/>
        <v>400</v>
      </c>
      <c r="AQ78" s="218">
        <f t="shared" si="501"/>
        <v>400</v>
      </c>
      <c r="AR78" s="218">
        <f t="shared" si="501"/>
        <v>400</v>
      </c>
      <c r="AS78" s="218">
        <f t="shared" si="501"/>
        <v>400</v>
      </c>
      <c r="AT78" s="218">
        <f t="shared" si="501"/>
        <v>400</v>
      </c>
      <c r="AU78" s="218">
        <f t="shared" si="501"/>
        <v>400</v>
      </c>
      <c r="AV78" s="218">
        <f t="shared" si="501"/>
        <v>400</v>
      </c>
      <c r="AW78" s="218">
        <f t="shared" si="501"/>
        <v>400</v>
      </c>
      <c r="AX78" s="218">
        <f t="shared" si="501"/>
        <v>400</v>
      </c>
      <c r="AY78" s="218">
        <f t="shared" si="501"/>
        <v>400</v>
      </c>
      <c r="AZ78" s="218">
        <f t="shared" si="501"/>
        <v>400</v>
      </c>
      <c r="BA78" s="217">
        <f t="shared" si="501"/>
        <v>400</v>
      </c>
      <c r="BB78" s="218">
        <f t="shared" ref="BB78:BM78" si="502">BB77*$C78</f>
        <v>400</v>
      </c>
      <c r="BC78" s="218">
        <f t="shared" si="502"/>
        <v>400</v>
      </c>
      <c r="BD78" s="218">
        <f t="shared" si="502"/>
        <v>400</v>
      </c>
      <c r="BE78" s="218">
        <f t="shared" si="502"/>
        <v>400</v>
      </c>
      <c r="BF78" s="218">
        <f t="shared" si="502"/>
        <v>400</v>
      </c>
      <c r="BG78" s="218">
        <f t="shared" si="502"/>
        <v>400</v>
      </c>
      <c r="BH78" s="218">
        <f t="shared" si="502"/>
        <v>400</v>
      </c>
      <c r="BI78" s="218">
        <f t="shared" si="502"/>
        <v>400</v>
      </c>
      <c r="BJ78" s="218">
        <f t="shared" si="502"/>
        <v>400</v>
      </c>
      <c r="BK78" s="218">
        <f t="shared" si="502"/>
        <v>400</v>
      </c>
      <c r="BL78" s="218">
        <f t="shared" si="502"/>
        <v>400</v>
      </c>
      <c r="BM78" s="217">
        <f t="shared" si="502"/>
        <v>400</v>
      </c>
      <c r="BN78" s="218">
        <f t="shared" ref="BN78:BY78" si="503">BN77*$C78</f>
        <v>400</v>
      </c>
      <c r="BO78" s="218">
        <f t="shared" si="503"/>
        <v>400</v>
      </c>
      <c r="BP78" s="218">
        <f t="shared" si="503"/>
        <v>400</v>
      </c>
      <c r="BQ78" s="218">
        <f t="shared" si="503"/>
        <v>400</v>
      </c>
      <c r="BR78" s="218">
        <f t="shared" si="503"/>
        <v>400</v>
      </c>
      <c r="BS78" s="218">
        <f t="shared" si="503"/>
        <v>400</v>
      </c>
      <c r="BT78" s="218">
        <f t="shared" si="503"/>
        <v>400</v>
      </c>
      <c r="BU78" s="218">
        <f t="shared" si="503"/>
        <v>400</v>
      </c>
      <c r="BV78" s="218">
        <f t="shared" si="503"/>
        <v>400</v>
      </c>
      <c r="BW78" s="218">
        <f t="shared" si="503"/>
        <v>400</v>
      </c>
      <c r="BX78" s="218">
        <f t="shared" si="503"/>
        <v>400</v>
      </c>
      <c r="BY78" s="217">
        <f t="shared" si="503"/>
        <v>400</v>
      </c>
      <c r="BZ78" s="218">
        <f t="shared" ref="BZ78:CK78" si="504">BZ77*$C78</f>
        <v>400</v>
      </c>
      <c r="CA78" s="218">
        <f t="shared" si="504"/>
        <v>400</v>
      </c>
      <c r="CB78" s="218">
        <f t="shared" si="504"/>
        <v>400</v>
      </c>
      <c r="CC78" s="218">
        <f t="shared" si="504"/>
        <v>400</v>
      </c>
      <c r="CD78" s="218">
        <f t="shared" si="504"/>
        <v>400</v>
      </c>
      <c r="CE78" s="218">
        <f t="shared" si="504"/>
        <v>400</v>
      </c>
      <c r="CF78" s="218">
        <f t="shared" si="504"/>
        <v>400</v>
      </c>
      <c r="CG78" s="218">
        <f t="shared" si="504"/>
        <v>400</v>
      </c>
      <c r="CH78" s="218">
        <f t="shared" si="504"/>
        <v>400</v>
      </c>
      <c r="CI78" s="218">
        <f t="shared" si="504"/>
        <v>400</v>
      </c>
      <c r="CJ78" s="218">
        <f t="shared" si="504"/>
        <v>400</v>
      </c>
      <c r="CK78" s="217">
        <f t="shared" si="504"/>
        <v>400</v>
      </c>
    </row>
    <row r="79" spans="2:89" s="17" customFormat="1" x14ac:dyDescent="0.2">
      <c r="B79" s="121" t="s">
        <v>59</v>
      </c>
      <c r="C79" s="220">
        <v>1.7500000000000002E-2</v>
      </c>
      <c r="E79" s="219"/>
      <c r="F79" s="427"/>
      <c r="G79" s="427"/>
      <c r="H79" s="427"/>
      <c r="I79" s="427"/>
      <c r="J79" s="427"/>
      <c r="K79" s="427"/>
      <c r="L79" s="427"/>
      <c r="M79" s="427"/>
      <c r="N79" s="428"/>
      <c r="O79" s="428"/>
      <c r="P79" s="428">
        <f t="shared" ref="P79:BA79" si="505">N80*$C79</f>
        <v>0</v>
      </c>
      <c r="Q79" s="429">
        <f t="shared" si="505"/>
        <v>0</v>
      </c>
      <c r="R79" s="218">
        <f t="shared" si="505"/>
        <v>0</v>
      </c>
      <c r="S79" s="218">
        <f t="shared" si="505"/>
        <v>0</v>
      </c>
      <c r="T79" s="218">
        <f t="shared" si="505"/>
        <v>0</v>
      </c>
      <c r="U79" s="218">
        <f t="shared" si="505"/>
        <v>0</v>
      </c>
      <c r="V79" s="218">
        <f t="shared" si="505"/>
        <v>0</v>
      </c>
      <c r="W79" s="218">
        <f t="shared" si="505"/>
        <v>0</v>
      </c>
      <c r="X79" s="218">
        <f t="shared" si="505"/>
        <v>0</v>
      </c>
      <c r="Y79" s="218">
        <f t="shared" si="505"/>
        <v>0</v>
      </c>
      <c r="Z79" s="218">
        <f t="shared" si="505"/>
        <v>0</v>
      </c>
      <c r="AA79" s="218">
        <f t="shared" si="505"/>
        <v>0</v>
      </c>
      <c r="AB79" s="218">
        <f t="shared" si="505"/>
        <v>0</v>
      </c>
      <c r="AC79" s="217">
        <f t="shared" si="505"/>
        <v>0</v>
      </c>
      <c r="AD79" s="218">
        <f t="shared" si="505"/>
        <v>0</v>
      </c>
      <c r="AE79" s="218">
        <f t="shared" si="505"/>
        <v>0</v>
      </c>
      <c r="AF79" s="218">
        <f t="shared" si="505"/>
        <v>0</v>
      </c>
      <c r="AG79" s="218">
        <f t="shared" si="505"/>
        <v>0</v>
      </c>
      <c r="AH79" s="218">
        <f t="shared" si="505"/>
        <v>0</v>
      </c>
      <c r="AI79" s="218">
        <f t="shared" si="505"/>
        <v>0</v>
      </c>
      <c r="AJ79" s="218">
        <f t="shared" si="505"/>
        <v>0.35000000000000003</v>
      </c>
      <c r="AK79" s="218">
        <f t="shared" si="505"/>
        <v>1.05</v>
      </c>
      <c r="AL79" s="218">
        <f t="shared" si="505"/>
        <v>2.0938750000000002</v>
      </c>
      <c r="AM79" s="218">
        <f t="shared" si="505"/>
        <v>3.4755000000000003</v>
      </c>
      <c r="AN79" s="218">
        <f t="shared" si="505"/>
        <v>10.438857187500002</v>
      </c>
      <c r="AO79" s="217">
        <f t="shared" si="505"/>
        <v>17.378035937500002</v>
      </c>
      <c r="AP79" s="218">
        <f t="shared" si="505"/>
        <v>24.195355936718752</v>
      </c>
      <c r="AQ79" s="218">
        <f t="shared" si="505"/>
        <v>30.891240307812502</v>
      </c>
      <c r="AR79" s="218">
        <f t="shared" si="505"/>
        <v>37.467821578919924</v>
      </c>
      <c r="AS79" s="218">
        <f t="shared" si="505"/>
        <v>43.927224873533206</v>
      </c>
      <c r="AT79" s="218">
        <f t="shared" si="505"/>
        <v>50.271537995902108</v>
      </c>
      <c r="AU79" s="218">
        <f t="shared" si="505"/>
        <v>56.502811560615278</v>
      </c>
      <c r="AV79" s="218">
        <f t="shared" si="505"/>
        <v>62.623059645686986</v>
      </c>
      <c r="AW79" s="218">
        <f t="shared" si="505"/>
        <v>68.63426044337622</v>
      </c>
      <c r="AX79" s="218">
        <f t="shared" si="505"/>
        <v>74.538356899576698</v>
      </c>
      <c r="AY79" s="218">
        <f t="shared" si="505"/>
        <v>80.337257341817605</v>
      </c>
      <c r="AZ79" s="218">
        <f t="shared" si="505"/>
        <v>86.032836096075016</v>
      </c>
      <c r="BA79" s="217">
        <f t="shared" si="505"/>
        <v>91.626934092593217</v>
      </c>
      <c r="BB79" s="218">
        <f t="shared" ref="BB79" si="506">AZ80*$C79</f>
        <v>97.121359460911904</v>
      </c>
      <c r="BC79" s="218">
        <f t="shared" ref="BC79" si="507">BA80*$C79</f>
        <v>102.51788811429154</v>
      </c>
      <c r="BD79" s="218">
        <f t="shared" ref="BD79" si="508">BB80*$C79</f>
        <v>107.81826432372557</v>
      </c>
      <c r="BE79" s="218">
        <f t="shared" ref="BE79" si="509">BC80*$C79</f>
        <v>113.02420128172547</v>
      </c>
      <c r="BF79" s="218">
        <f t="shared" ref="BF79" si="510">BD80*$C79</f>
        <v>118.13738165606027</v>
      </c>
      <c r="BG79" s="218">
        <f t="shared" ref="BG79" si="511">BE80*$C79</f>
        <v>123.15945813363007</v>
      </c>
      <c r="BH79" s="218">
        <f t="shared" ref="BH79" si="512">BF80*$C79</f>
        <v>128.09205395464903</v>
      </c>
      <c r="BI79" s="218">
        <f t="shared" ref="BI79" si="513">BG80*$C79</f>
        <v>132.9367634373105</v>
      </c>
      <c r="BJ79" s="218">
        <f t="shared" ref="BJ79" si="514">BH80*$C79</f>
        <v>137.69515249310413</v>
      </c>
      <c r="BK79" s="218">
        <f t="shared" ref="BK79" si="515">BI80*$C79</f>
        <v>142.3687591329512</v>
      </c>
      <c r="BL79" s="218">
        <f t="shared" ref="BL79" si="516">BJ80*$C79</f>
        <v>146.95909396432188</v>
      </c>
      <c r="BM79" s="217">
        <f t="shared" ref="BM79" si="517">BK80*$C79</f>
        <v>151.46764067949522</v>
      </c>
      <c r="BN79" s="218">
        <f t="shared" ref="BN79" si="518">BL80*$C79</f>
        <v>155.89585653511961</v>
      </c>
      <c r="BO79" s="218">
        <f t="shared" ref="BO79" si="519">BM80*$C79</f>
        <v>160.24517282322842</v>
      </c>
      <c r="BP79" s="218">
        <f t="shared" ref="BP79" si="520">BN80*$C79</f>
        <v>164.51699533386383</v>
      </c>
      <c r="BQ79" s="218">
        <f t="shared" ref="BQ79" si="521">BO80*$C79</f>
        <v>168.71270480945734</v>
      </c>
      <c r="BR79" s="218">
        <f t="shared" ref="BR79" si="522">BP80*$C79</f>
        <v>172.83365739111471</v>
      </c>
      <c r="BS79" s="218">
        <f t="shared" ref="BS79" si="523">BQ80*$C79</f>
        <v>176.88118505694919</v>
      </c>
      <c r="BT79" s="218">
        <f t="shared" ref="BT79" si="524">BR80*$C79</f>
        <v>180.85659605260469</v>
      </c>
      <c r="BU79" s="218">
        <f t="shared" ref="BU79" si="525">BS80*$C79</f>
        <v>184.76117531410807</v>
      </c>
      <c r="BV79" s="218">
        <f t="shared" ref="BV79" si="526">BT80*$C79</f>
        <v>188.5961848831875</v>
      </c>
      <c r="BW79" s="218">
        <f t="shared" ref="BW79" si="527">BU80*$C79</f>
        <v>192.36286431519062</v>
      </c>
      <c r="BX79" s="218">
        <f t="shared" ref="BX79" si="528">BV80*$C79</f>
        <v>196.06243107973484</v>
      </c>
      <c r="BY79" s="217">
        <f t="shared" ref="BY79" si="529">BW80*$C79</f>
        <v>199.69608095421898</v>
      </c>
      <c r="BZ79" s="218">
        <f t="shared" ref="BZ79" si="530">BX80*$C79</f>
        <v>203.26498841032361</v>
      </c>
      <c r="CA79" s="218">
        <f t="shared" ref="CA79" si="531">BY80*$C79</f>
        <v>206.77030699362479</v>
      </c>
      <c r="CB79" s="218">
        <f t="shared" ref="CB79" si="532">BZ80*$C79</f>
        <v>210.21316969644411</v>
      </c>
      <c r="CC79" s="218">
        <f t="shared" ref="CC79" si="533">CA80*$C79</f>
        <v>213.59468932405568</v>
      </c>
      <c r="CD79" s="218">
        <f t="shared" ref="CD79" si="534">CB80*$C79</f>
        <v>216.91595885436791</v>
      </c>
      <c r="CE79" s="218">
        <f t="shared" ref="CE79" si="535">CC80*$C79</f>
        <v>220.17805179119694</v>
      </c>
      <c r="CF79" s="218">
        <f t="shared" ref="CF79" si="536">CD80*$C79</f>
        <v>223.38202251124548</v>
      </c>
      <c r="CG79" s="218">
        <f t="shared" ref="CG79" si="537">CE80*$C79</f>
        <v>226.52890660489953</v>
      </c>
      <c r="CH79" s="218">
        <f t="shared" ref="CH79" si="538">CF80*$C79</f>
        <v>229.61972121095275</v>
      </c>
      <c r="CI79" s="218">
        <f t="shared" ref="CI79" si="539">CG80*$C79</f>
        <v>232.65546534536702</v>
      </c>
      <c r="CJ79" s="218">
        <f t="shared" ref="CJ79" si="540">CH80*$C79</f>
        <v>235.63712022417533</v>
      </c>
      <c r="CK79" s="217">
        <f t="shared" ref="CK79" si="541">CI80*$C79</f>
        <v>238.5656495806314</v>
      </c>
    </row>
    <row r="80" spans="2:89" x14ac:dyDescent="0.2">
      <c r="B80" s="21" t="s">
        <v>72</v>
      </c>
      <c r="C80" s="211"/>
      <c r="F80" s="407"/>
      <c r="G80" s="407"/>
      <c r="H80" s="407"/>
      <c r="I80" s="407"/>
      <c r="J80" s="407"/>
      <c r="K80" s="407"/>
      <c r="L80" s="407"/>
      <c r="M80" s="430">
        <v>0</v>
      </c>
      <c r="N80" s="431">
        <f>M80+N78</f>
        <v>0</v>
      </c>
      <c r="O80" s="431">
        <f>N80+O78</f>
        <v>0</v>
      </c>
      <c r="P80" s="431">
        <f t="shared" ref="P80:BA80" si="542">O80+P78-P79</f>
        <v>0</v>
      </c>
      <c r="Q80" s="432">
        <f t="shared" si="542"/>
        <v>0</v>
      </c>
      <c r="R80" s="216">
        <f t="shared" si="542"/>
        <v>0</v>
      </c>
      <c r="S80" s="216">
        <f t="shared" si="542"/>
        <v>0</v>
      </c>
      <c r="T80" s="216">
        <f t="shared" si="542"/>
        <v>0</v>
      </c>
      <c r="U80" s="216">
        <f t="shared" si="542"/>
        <v>0</v>
      </c>
      <c r="V80" s="216">
        <f t="shared" si="542"/>
        <v>0</v>
      </c>
      <c r="W80" s="216">
        <f t="shared" si="542"/>
        <v>0</v>
      </c>
      <c r="X80" s="216">
        <f t="shared" si="542"/>
        <v>0</v>
      </c>
      <c r="Y80" s="216">
        <f t="shared" si="542"/>
        <v>0</v>
      </c>
      <c r="Z80" s="216">
        <f t="shared" si="542"/>
        <v>0</v>
      </c>
      <c r="AA80" s="216">
        <f t="shared" si="542"/>
        <v>0</v>
      </c>
      <c r="AB80" s="216">
        <f t="shared" si="542"/>
        <v>0</v>
      </c>
      <c r="AC80" s="215">
        <f t="shared" si="542"/>
        <v>0</v>
      </c>
      <c r="AD80" s="216">
        <f t="shared" si="542"/>
        <v>0</v>
      </c>
      <c r="AE80" s="216">
        <f t="shared" si="542"/>
        <v>0</v>
      </c>
      <c r="AF80" s="216">
        <f t="shared" si="542"/>
        <v>0</v>
      </c>
      <c r="AG80" s="216">
        <f t="shared" si="542"/>
        <v>0</v>
      </c>
      <c r="AH80" s="216">
        <f t="shared" si="542"/>
        <v>20</v>
      </c>
      <c r="AI80" s="216">
        <f t="shared" si="542"/>
        <v>60</v>
      </c>
      <c r="AJ80" s="216">
        <f t="shared" si="542"/>
        <v>119.65</v>
      </c>
      <c r="AK80" s="216">
        <f t="shared" si="542"/>
        <v>198.6</v>
      </c>
      <c r="AL80" s="216">
        <f t="shared" si="542"/>
        <v>596.506125</v>
      </c>
      <c r="AM80" s="216">
        <f t="shared" si="542"/>
        <v>993.03062499999999</v>
      </c>
      <c r="AN80" s="216">
        <f t="shared" si="542"/>
        <v>1382.5917678124999</v>
      </c>
      <c r="AO80" s="215">
        <f t="shared" si="542"/>
        <v>1765.2137318749999</v>
      </c>
      <c r="AP80" s="216">
        <f t="shared" si="542"/>
        <v>2141.0183759382812</v>
      </c>
      <c r="AQ80" s="216">
        <f t="shared" si="542"/>
        <v>2510.1271356304687</v>
      </c>
      <c r="AR80" s="216">
        <f t="shared" si="542"/>
        <v>2872.6593140515488</v>
      </c>
      <c r="AS80" s="216">
        <f t="shared" si="542"/>
        <v>3228.7320891780155</v>
      </c>
      <c r="AT80" s="216">
        <f t="shared" si="542"/>
        <v>3578.4605511821132</v>
      </c>
      <c r="AU80" s="216">
        <f t="shared" si="542"/>
        <v>3921.9577396214981</v>
      </c>
      <c r="AV80" s="216">
        <f t="shared" si="542"/>
        <v>4259.334679975811</v>
      </c>
      <c r="AW80" s="216">
        <f t="shared" si="542"/>
        <v>4590.7004195324344</v>
      </c>
      <c r="AX80" s="216">
        <f t="shared" si="542"/>
        <v>4916.1620626328577</v>
      </c>
      <c r="AY80" s="216">
        <f t="shared" si="542"/>
        <v>5235.8248052910403</v>
      </c>
      <c r="AZ80" s="216">
        <f t="shared" si="542"/>
        <v>5549.7919691949655</v>
      </c>
      <c r="BA80" s="215">
        <f t="shared" si="542"/>
        <v>5858.1650351023727</v>
      </c>
      <c r="BB80" s="216">
        <f t="shared" ref="BB80" si="543">BA80+BB78-BB79</f>
        <v>6161.043675641461</v>
      </c>
      <c r="BC80" s="216">
        <f t="shared" ref="BC80" si="544">BB80+BC78-BC79</f>
        <v>6458.5257875271691</v>
      </c>
      <c r="BD80" s="216">
        <f t="shared" ref="BD80" si="545">BC80+BD78-BD79</f>
        <v>6750.7075232034431</v>
      </c>
      <c r="BE80" s="216">
        <f t="shared" ref="BE80" si="546">BD80+BE78-BE79</f>
        <v>7037.6833219217178</v>
      </c>
      <c r="BF80" s="216">
        <f t="shared" ref="BF80" si="547">BE80+BF78-BF79</f>
        <v>7319.5459402656579</v>
      </c>
      <c r="BG80" s="216">
        <f t="shared" ref="BG80" si="548">BF80+BG78-BG79</f>
        <v>7596.3864821320276</v>
      </c>
      <c r="BH80" s="216">
        <f t="shared" ref="BH80" si="549">BG80+BH78-BH79</f>
        <v>7868.2944281773789</v>
      </c>
      <c r="BI80" s="216">
        <f t="shared" ref="BI80" si="550">BH80+BI78-BI79</f>
        <v>8135.3576647400678</v>
      </c>
      <c r="BJ80" s="216">
        <f t="shared" ref="BJ80" si="551">BI80+BJ78-BJ79</f>
        <v>8397.6625122469632</v>
      </c>
      <c r="BK80" s="216">
        <f t="shared" ref="BK80" si="552">BJ80+BK78-BK79</f>
        <v>8655.2937531140124</v>
      </c>
      <c r="BL80" s="216">
        <f t="shared" ref="BL80" si="553">BK80+BL78-BL79</f>
        <v>8908.3346591496902</v>
      </c>
      <c r="BM80" s="215">
        <f t="shared" ref="BM80" si="554">BL80+BM78-BM79</f>
        <v>9156.867018470195</v>
      </c>
      <c r="BN80" s="216">
        <f t="shared" ref="BN80" si="555">BM80+BN78-BN79</f>
        <v>9400.9711619350746</v>
      </c>
      <c r="BO80" s="216">
        <f t="shared" ref="BO80" si="556">BN80+BO78-BO79</f>
        <v>9640.7259891118465</v>
      </c>
      <c r="BP80" s="216">
        <f t="shared" ref="BP80" si="557">BO80+BP78-BP79</f>
        <v>9876.208993777982</v>
      </c>
      <c r="BQ80" s="216">
        <f t="shared" ref="BQ80" si="558">BP80+BQ78-BQ79</f>
        <v>10107.496288968525</v>
      </c>
      <c r="BR80" s="216">
        <f t="shared" ref="BR80" si="559">BQ80+BR78-BR79</f>
        <v>10334.66263157741</v>
      </c>
      <c r="BS80" s="216">
        <f t="shared" ref="BS80" si="560">BR80+BS78-BS79</f>
        <v>10557.781446520461</v>
      </c>
      <c r="BT80" s="216">
        <f t="shared" ref="BT80" si="561">BS80+BT78-BT79</f>
        <v>10776.924850467856</v>
      </c>
      <c r="BU80" s="216">
        <f t="shared" ref="BU80" si="562">BT80+BU78-BU79</f>
        <v>10992.163675153748</v>
      </c>
      <c r="BV80" s="216">
        <f t="shared" ref="BV80" si="563">BU80+BV78-BV79</f>
        <v>11203.567490270561</v>
      </c>
      <c r="BW80" s="216">
        <f t="shared" ref="BW80" si="564">BV80+BW78-BW79</f>
        <v>11411.20462595537</v>
      </c>
      <c r="BX80" s="216">
        <f t="shared" ref="BX80" si="565">BW80+BX78-BX79</f>
        <v>11615.142194875634</v>
      </c>
      <c r="BY80" s="215">
        <f t="shared" ref="BY80" si="566">BX80+BY78-BY79</f>
        <v>11815.446113921415</v>
      </c>
      <c r="BZ80" s="216">
        <f t="shared" ref="BZ80" si="567">BY80+BZ78-BZ79</f>
        <v>12012.181125511092</v>
      </c>
      <c r="CA80" s="216">
        <f t="shared" ref="CA80" si="568">BZ80+CA78-CA79</f>
        <v>12205.410818517466</v>
      </c>
      <c r="CB80" s="216">
        <f t="shared" ref="CB80" si="569">CA80+CB78-CB79</f>
        <v>12395.197648821022</v>
      </c>
      <c r="CC80" s="216">
        <f t="shared" ref="CC80" si="570">CB80+CC78-CC79</f>
        <v>12581.602959496966</v>
      </c>
      <c r="CD80" s="216">
        <f t="shared" ref="CD80" si="571">CC80+CD78-CD79</f>
        <v>12764.687000642598</v>
      </c>
      <c r="CE80" s="216">
        <f t="shared" ref="CE80" si="572">CD80+CE78-CE79</f>
        <v>12944.5089488514</v>
      </c>
      <c r="CF80" s="216">
        <f t="shared" ref="CF80" si="573">CE80+CF78-CF79</f>
        <v>13121.126926340155</v>
      </c>
      <c r="CG80" s="216">
        <f t="shared" ref="CG80" si="574">CF80+CG78-CG79</f>
        <v>13294.598019735256</v>
      </c>
      <c r="CH80" s="216">
        <f t="shared" ref="CH80" si="575">CG80+CH78-CH79</f>
        <v>13464.978298524304</v>
      </c>
      <c r="CI80" s="216">
        <f t="shared" ref="CI80" si="576">CH80+CI78-CI79</f>
        <v>13632.322833178936</v>
      </c>
      <c r="CJ80" s="216">
        <f t="shared" ref="CJ80" si="577">CI80+CJ78-CJ79</f>
        <v>13796.685712954761</v>
      </c>
      <c r="CK80" s="215">
        <f t="shared" ref="CK80" si="578">CJ80+CK78-CK79</f>
        <v>13958.12006337413</v>
      </c>
    </row>
    <row r="81" spans="2:89" x14ac:dyDescent="0.2">
      <c r="B81" s="121" t="s">
        <v>82</v>
      </c>
      <c r="C81" s="214">
        <v>75</v>
      </c>
      <c r="F81" s="407"/>
      <c r="G81" s="407"/>
      <c r="H81" s="407"/>
      <c r="I81" s="407"/>
      <c r="J81" s="407"/>
      <c r="K81" s="407"/>
      <c r="L81" s="407"/>
      <c r="M81" s="407"/>
      <c r="N81" s="433"/>
      <c r="O81" s="433"/>
      <c r="P81" s="433"/>
      <c r="Q81" s="434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70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70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170"/>
      <c r="BB81" s="169"/>
      <c r="BC81" s="169"/>
      <c r="BD81" s="169"/>
      <c r="BE81" s="169"/>
      <c r="BF81" s="169"/>
      <c r="BG81" s="169"/>
      <c r="BH81" s="169"/>
      <c r="BI81" s="169"/>
      <c r="BJ81" s="169"/>
      <c r="BK81" s="169"/>
      <c r="BL81" s="169"/>
      <c r="BM81" s="170"/>
      <c r="BN81" s="169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70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70"/>
    </row>
    <row r="82" spans="2:89" s="107" customFormat="1" x14ac:dyDescent="0.2">
      <c r="B82" s="142" t="s">
        <v>83</v>
      </c>
      <c r="E82" s="143"/>
      <c r="F82" s="407"/>
      <c r="G82" s="407"/>
      <c r="H82" s="407"/>
      <c r="I82" s="407"/>
      <c r="J82" s="407"/>
      <c r="K82" s="407"/>
      <c r="L82" s="407"/>
      <c r="M82" s="407"/>
      <c r="N82" s="433">
        <f t="shared" ref="N82:BA82" si="579">$C81*N80</f>
        <v>0</v>
      </c>
      <c r="O82" s="433">
        <f t="shared" si="579"/>
        <v>0</v>
      </c>
      <c r="P82" s="433">
        <f t="shared" si="579"/>
        <v>0</v>
      </c>
      <c r="Q82" s="434">
        <f t="shared" si="579"/>
        <v>0</v>
      </c>
      <c r="R82" s="213">
        <f t="shared" si="579"/>
        <v>0</v>
      </c>
      <c r="S82" s="213">
        <f t="shared" si="579"/>
        <v>0</v>
      </c>
      <c r="T82" s="213">
        <f t="shared" si="579"/>
        <v>0</v>
      </c>
      <c r="U82" s="213">
        <f t="shared" si="579"/>
        <v>0</v>
      </c>
      <c r="V82" s="213">
        <f t="shared" si="579"/>
        <v>0</v>
      </c>
      <c r="W82" s="213">
        <f t="shared" si="579"/>
        <v>0</v>
      </c>
      <c r="X82" s="213">
        <f t="shared" si="579"/>
        <v>0</v>
      </c>
      <c r="Y82" s="213">
        <f t="shared" si="579"/>
        <v>0</v>
      </c>
      <c r="Z82" s="213">
        <f t="shared" si="579"/>
        <v>0</v>
      </c>
      <c r="AA82" s="213">
        <f t="shared" si="579"/>
        <v>0</v>
      </c>
      <c r="AB82" s="213">
        <f t="shared" si="579"/>
        <v>0</v>
      </c>
      <c r="AC82" s="212">
        <f t="shared" si="579"/>
        <v>0</v>
      </c>
      <c r="AD82" s="213">
        <f t="shared" si="579"/>
        <v>0</v>
      </c>
      <c r="AE82" s="213">
        <f t="shared" si="579"/>
        <v>0</v>
      </c>
      <c r="AF82" s="213">
        <f t="shared" si="579"/>
        <v>0</v>
      </c>
      <c r="AG82" s="213">
        <f t="shared" si="579"/>
        <v>0</v>
      </c>
      <c r="AH82" s="213">
        <f t="shared" si="579"/>
        <v>1500</v>
      </c>
      <c r="AI82" s="213">
        <f t="shared" si="579"/>
        <v>4500</v>
      </c>
      <c r="AJ82" s="213">
        <f t="shared" si="579"/>
        <v>8973.75</v>
      </c>
      <c r="AK82" s="213">
        <f t="shared" si="579"/>
        <v>14895</v>
      </c>
      <c r="AL82" s="213">
        <f t="shared" si="579"/>
        <v>44737.959374999999</v>
      </c>
      <c r="AM82" s="213">
        <f t="shared" si="579"/>
        <v>74477.296875</v>
      </c>
      <c r="AN82" s="213">
        <f t="shared" si="579"/>
        <v>103694.38258593749</v>
      </c>
      <c r="AO82" s="212">
        <f t="shared" si="579"/>
        <v>132391.02989062498</v>
      </c>
      <c r="AP82" s="213">
        <f t="shared" si="579"/>
        <v>160576.3781953711</v>
      </c>
      <c r="AQ82" s="213">
        <f t="shared" si="579"/>
        <v>188259.53517228516</v>
      </c>
      <c r="AR82" s="213">
        <f t="shared" si="579"/>
        <v>215449.44855386615</v>
      </c>
      <c r="AS82" s="213">
        <f t="shared" si="579"/>
        <v>242154.90668835116</v>
      </c>
      <c r="AT82" s="213">
        <f t="shared" si="579"/>
        <v>268384.54133865848</v>
      </c>
      <c r="AU82" s="213">
        <f t="shared" si="579"/>
        <v>294146.83047161234</v>
      </c>
      <c r="AV82" s="213">
        <f t="shared" si="579"/>
        <v>319450.10099818581</v>
      </c>
      <c r="AW82" s="213">
        <f t="shared" si="579"/>
        <v>344302.5314649326</v>
      </c>
      <c r="AX82" s="213">
        <f t="shared" si="579"/>
        <v>368712.15469746431</v>
      </c>
      <c r="AY82" s="213">
        <f t="shared" si="579"/>
        <v>392686.86039682804</v>
      </c>
      <c r="AZ82" s="213">
        <f t="shared" si="579"/>
        <v>416234.39768962242</v>
      </c>
      <c r="BA82" s="212">
        <f t="shared" si="579"/>
        <v>439362.37763267796</v>
      </c>
      <c r="BB82" s="213">
        <f t="shared" ref="BB82:BM82" si="580">$C81*BB80</f>
        <v>462078.27567310957</v>
      </c>
      <c r="BC82" s="213">
        <f t="shared" si="580"/>
        <v>484389.43406453769</v>
      </c>
      <c r="BD82" s="213">
        <f t="shared" si="580"/>
        <v>506303.06424025825</v>
      </c>
      <c r="BE82" s="213">
        <f t="shared" si="580"/>
        <v>527826.24914412887</v>
      </c>
      <c r="BF82" s="213">
        <f t="shared" si="580"/>
        <v>548965.9455199244</v>
      </c>
      <c r="BG82" s="213">
        <f t="shared" si="580"/>
        <v>569728.98615990207</v>
      </c>
      <c r="BH82" s="213">
        <f t="shared" si="580"/>
        <v>590122.08211330336</v>
      </c>
      <c r="BI82" s="213">
        <f t="shared" si="580"/>
        <v>610151.82485550514</v>
      </c>
      <c r="BJ82" s="213">
        <f t="shared" si="580"/>
        <v>629824.68841852224</v>
      </c>
      <c r="BK82" s="213">
        <f t="shared" si="580"/>
        <v>649147.03148355091</v>
      </c>
      <c r="BL82" s="213">
        <f t="shared" si="580"/>
        <v>668125.09943622677</v>
      </c>
      <c r="BM82" s="212">
        <f t="shared" si="580"/>
        <v>686765.02638526459</v>
      </c>
      <c r="BN82" s="213">
        <f t="shared" ref="BN82:BY82" si="581">$C81*BN80</f>
        <v>705072.83714513062</v>
      </c>
      <c r="BO82" s="213">
        <f t="shared" si="581"/>
        <v>723054.4491833885</v>
      </c>
      <c r="BP82" s="213">
        <f t="shared" si="581"/>
        <v>740715.67453334865</v>
      </c>
      <c r="BQ82" s="213">
        <f t="shared" si="581"/>
        <v>758062.22167263937</v>
      </c>
      <c r="BR82" s="213">
        <f t="shared" si="581"/>
        <v>775099.69736830576</v>
      </c>
      <c r="BS82" s="213">
        <f t="shared" si="581"/>
        <v>791833.60848903458</v>
      </c>
      <c r="BT82" s="213">
        <f t="shared" si="581"/>
        <v>808269.36378508923</v>
      </c>
      <c r="BU82" s="213">
        <f t="shared" si="581"/>
        <v>824412.27563653106</v>
      </c>
      <c r="BV82" s="213">
        <f t="shared" si="581"/>
        <v>840267.56177029212</v>
      </c>
      <c r="BW82" s="213">
        <f t="shared" si="581"/>
        <v>855840.34694665275</v>
      </c>
      <c r="BX82" s="213">
        <f t="shared" si="581"/>
        <v>871135.66461567255</v>
      </c>
      <c r="BY82" s="212">
        <f t="shared" si="581"/>
        <v>886158.45854410611</v>
      </c>
      <c r="BZ82" s="213">
        <f t="shared" ref="BZ82:CK82" si="582">$C81*BZ80</f>
        <v>900913.58441333182</v>
      </c>
      <c r="CA82" s="213">
        <f t="shared" si="582"/>
        <v>915405.81138880993</v>
      </c>
      <c r="CB82" s="213">
        <f t="shared" si="582"/>
        <v>929639.82366157661</v>
      </c>
      <c r="CC82" s="213">
        <f t="shared" si="582"/>
        <v>943620.22196227242</v>
      </c>
      <c r="CD82" s="213">
        <f t="shared" si="582"/>
        <v>957351.5250481948</v>
      </c>
      <c r="CE82" s="213">
        <f t="shared" si="582"/>
        <v>970838.171163855</v>
      </c>
      <c r="CF82" s="213">
        <f t="shared" si="582"/>
        <v>984084.51947551162</v>
      </c>
      <c r="CG82" s="213">
        <f t="shared" si="582"/>
        <v>997094.85148014419</v>
      </c>
      <c r="CH82" s="213">
        <f t="shared" si="582"/>
        <v>1009873.3723893227</v>
      </c>
      <c r="CI82" s="213">
        <f t="shared" si="582"/>
        <v>1022424.2124884202</v>
      </c>
      <c r="CJ82" s="213">
        <f t="shared" si="582"/>
        <v>1034751.428471607</v>
      </c>
      <c r="CK82" s="212">
        <f t="shared" si="582"/>
        <v>1046859.0047530597</v>
      </c>
    </row>
    <row r="83" spans="2:89" x14ac:dyDescent="0.2">
      <c r="B83" s="121"/>
      <c r="C83" s="211"/>
      <c r="E83" s="205"/>
      <c r="F83" s="407"/>
      <c r="G83" s="407"/>
      <c r="H83" s="407"/>
      <c r="I83" s="407"/>
      <c r="J83" s="407"/>
      <c r="K83" s="407"/>
      <c r="L83" s="407"/>
      <c r="M83" s="407"/>
      <c r="N83" s="433"/>
      <c r="O83" s="433"/>
      <c r="P83" s="433"/>
      <c r="Q83" s="434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70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70"/>
      <c r="AP83" s="169"/>
      <c r="AQ83" s="169"/>
      <c r="AR83" s="169"/>
      <c r="AS83" s="169"/>
      <c r="AT83" s="169"/>
      <c r="AU83" s="169"/>
      <c r="AV83" s="169"/>
      <c r="AW83" s="169"/>
      <c r="AX83" s="169"/>
      <c r="AY83" s="169"/>
      <c r="AZ83" s="169"/>
      <c r="BA83" s="170"/>
      <c r="BB83" s="169"/>
      <c r="BC83" s="169"/>
      <c r="BD83" s="169"/>
      <c r="BE83" s="169"/>
      <c r="BF83" s="169"/>
      <c r="BG83" s="169"/>
      <c r="BH83" s="169"/>
      <c r="BI83" s="169"/>
      <c r="BJ83" s="169"/>
      <c r="BK83" s="169"/>
      <c r="BL83" s="169"/>
      <c r="BM83" s="170"/>
      <c r="BN83" s="169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70"/>
      <c r="BZ83" s="169"/>
      <c r="CA83" s="169"/>
      <c r="CB83" s="169"/>
      <c r="CC83" s="169"/>
      <c r="CD83" s="169"/>
      <c r="CE83" s="169"/>
      <c r="CF83" s="169"/>
      <c r="CG83" s="169"/>
      <c r="CH83" s="169"/>
      <c r="CI83" s="169"/>
      <c r="CJ83" s="169"/>
      <c r="CK83" s="170"/>
    </row>
    <row r="84" spans="2:89" s="2" customFormat="1" x14ac:dyDescent="0.2">
      <c r="B84" s="118" t="s">
        <v>84</v>
      </c>
      <c r="C84" s="210">
        <v>0.17499999999999999</v>
      </c>
      <c r="E84" s="209"/>
      <c r="F84" s="18"/>
      <c r="G84" s="18"/>
      <c r="H84" s="18"/>
      <c r="I84" s="18"/>
      <c r="J84" s="18"/>
      <c r="K84" s="18"/>
      <c r="L84" s="18"/>
      <c r="M84" s="18"/>
      <c r="N84" s="435">
        <f t="shared" ref="N84:BA84" si="583">N82*$C84</f>
        <v>0</v>
      </c>
      <c r="O84" s="435">
        <f t="shared" si="583"/>
        <v>0</v>
      </c>
      <c r="P84" s="435">
        <f t="shared" si="583"/>
        <v>0</v>
      </c>
      <c r="Q84" s="436">
        <f t="shared" si="583"/>
        <v>0</v>
      </c>
      <c r="R84" s="208">
        <f t="shared" si="583"/>
        <v>0</v>
      </c>
      <c r="S84" s="208">
        <f t="shared" si="583"/>
        <v>0</v>
      </c>
      <c r="T84" s="208">
        <f t="shared" si="583"/>
        <v>0</v>
      </c>
      <c r="U84" s="208">
        <f t="shared" si="583"/>
        <v>0</v>
      </c>
      <c r="V84" s="208">
        <f t="shared" si="583"/>
        <v>0</v>
      </c>
      <c r="W84" s="208">
        <f t="shared" si="583"/>
        <v>0</v>
      </c>
      <c r="X84" s="208">
        <f t="shared" si="583"/>
        <v>0</v>
      </c>
      <c r="Y84" s="208">
        <f t="shared" si="583"/>
        <v>0</v>
      </c>
      <c r="Z84" s="208">
        <f t="shared" si="583"/>
        <v>0</v>
      </c>
      <c r="AA84" s="208">
        <f t="shared" si="583"/>
        <v>0</v>
      </c>
      <c r="AB84" s="208">
        <f t="shared" si="583"/>
        <v>0</v>
      </c>
      <c r="AC84" s="207">
        <f t="shared" si="583"/>
        <v>0</v>
      </c>
      <c r="AD84" s="208">
        <f t="shared" si="583"/>
        <v>0</v>
      </c>
      <c r="AE84" s="208">
        <f t="shared" si="583"/>
        <v>0</v>
      </c>
      <c r="AF84" s="208">
        <f t="shared" si="583"/>
        <v>0</v>
      </c>
      <c r="AG84" s="208">
        <f t="shared" si="583"/>
        <v>0</v>
      </c>
      <c r="AH84" s="208">
        <f t="shared" si="583"/>
        <v>262.5</v>
      </c>
      <c r="AI84" s="208">
        <f t="shared" si="583"/>
        <v>787.5</v>
      </c>
      <c r="AJ84" s="208">
        <f t="shared" si="583"/>
        <v>1570.40625</v>
      </c>
      <c r="AK84" s="208">
        <f t="shared" si="583"/>
        <v>2606.625</v>
      </c>
      <c r="AL84" s="208">
        <f t="shared" si="583"/>
        <v>7829.1428906249994</v>
      </c>
      <c r="AM84" s="208">
        <f t="shared" si="583"/>
        <v>13033.526953125</v>
      </c>
      <c r="AN84" s="208">
        <f t="shared" si="583"/>
        <v>18146.516952539059</v>
      </c>
      <c r="AO84" s="207">
        <f t="shared" si="583"/>
        <v>23168.430230859369</v>
      </c>
      <c r="AP84" s="208">
        <f t="shared" si="583"/>
        <v>28100.866184189941</v>
      </c>
      <c r="AQ84" s="208">
        <f t="shared" si="583"/>
        <v>32945.418655149901</v>
      </c>
      <c r="AR84" s="208">
        <f t="shared" si="583"/>
        <v>37703.653496926578</v>
      </c>
      <c r="AS84" s="208">
        <f t="shared" si="583"/>
        <v>42377.10867046145</v>
      </c>
      <c r="AT84" s="208">
        <f t="shared" si="583"/>
        <v>46967.294734265233</v>
      </c>
      <c r="AU84" s="208">
        <f t="shared" si="583"/>
        <v>51475.695332532159</v>
      </c>
      <c r="AV84" s="208">
        <f t="shared" si="583"/>
        <v>55903.767674682516</v>
      </c>
      <c r="AW84" s="208">
        <f t="shared" si="583"/>
        <v>60252.943006363203</v>
      </c>
      <c r="AX84" s="208">
        <f t="shared" si="583"/>
        <v>64524.627072056253</v>
      </c>
      <c r="AY84" s="208">
        <f t="shared" si="583"/>
        <v>68720.200569444904</v>
      </c>
      <c r="AZ84" s="208">
        <f t="shared" si="583"/>
        <v>72841.019595683916</v>
      </c>
      <c r="BA84" s="207">
        <f t="shared" si="583"/>
        <v>76888.416085718636</v>
      </c>
      <c r="BB84" s="208">
        <f t="shared" ref="BB84:BM84" si="584">BB82*$C84</f>
        <v>80863.698242794169</v>
      </c>
      <c r="BC84" s="208">
        <f t="shared" si="584"/>
        <v>84768.150961294086</v>
      </c>
      <c r="BD84" s="208">
        <f t="shared" si="584"/>
        <v>88603.036242045186</v>
      </c>
      <c r="BE84" s="208">
        <f t="shared" si="584"/>
        <v>92369.59360022255</v>
      </c>
      <c r="BF84" s="208">
        <f t="shared" si="584"/>
        <v>96069.040465986764</v>
      </c>
      <c r="BG84" s="208">
        <f t="shared" si="584"/>
        <v>99702.57257798285</v>
      </c>
      <c r="BH84" s="208">
        <f t="shared" si="584"/>
        <v>103271.36436982808</v>
      </c>
      <c r="BI84" s="208">
        <f t="shared" si="584"/>
        <v>106776.56934971339</v>
      </c>
      <c r="BJ84" s="208">
        <f t="shared" si="584"/>
        <v>110219.32047324139</v>
      </c>
      <c r="BK84" s="208">
        <f t="shared" si="584"/>
        <v>113600.7305096214</v>
      </c>
      <c r="BL84" s="208">
        <f t="shared" si="584"/>
        <v>116921.89240133968</v>
      </c>
      <c r="BM84" s="207">
        <f t="shared" si="584"/>
        <v>120183.87961742129</v>
      </c>
      <c r="BN84" s="208">
        <f t="shared" ref="BN84:BY84" si="585">BN82*$C84</f>
        <v>123387.74650039784</v>
      </c>
      <c r="BO84" s="208">
        <f t="shared" si="585"/>
        <v>126534.52860709297</v>
      </c>
      <c r="BP84" s="208">
        <f t="shared" si="585"/>
        <v>129625.243043336</v>
      </c>
      <c r="BQ84" s="208">
        <f t="shared" si="585"/>
        <v>132660.88879271189</v>
      </c>
      <c r="BR84" s="208">
        <f t="shared" si="585"/>
        <v>135642.44703945349</v>
      </c>
      <c r="BS84" s="208">
        <f t="shared" si="585"/>
        <v>138570.88148558105</v>
      </c>
      <c r="BT84" s="208">
        <f t="shared" si="585"/>
        <v>141447.13866239061</v>
      </c>
      <c r="BU84" s="208">
        <f t="shared" si="585"/>
        <v>144272.14823639294</v>
      </c>
      <c r="BV84" s="208">
        <f t="shared" si="585"/>
        <v>147046.82330980111</v>
      </c>
      <c r="BW84" s="208">
        <f t="shared" si="585"/>
        <v>149772.06071566421</v>
      </c>
      <c r="BX84" s="208">
        <f t="shared" si="585"/>
        <v>152448.74130774269</v>
      </c>
      <c r="BY84" s="207">
        <f t="shared" si="585"/>
        <v>155077.73024521855</v>
      </c>
      <c r="BZ84" s="208">
        <f t="shared" ref="BZ84:CK84" si="586">BZ82*$C84</f>
        <v>157659.87727233305</v>
      </c>
      <c r="CA84" s="208">
        <f t="shared" si="586"/>
        <v>160196.01699304173</v>
      </c>
      <c r="CB84" s="208">
        <f t="shared" si="586"/>
        <v>162686.96914077591</v>
      </c>
      <c r="CC84" s="208">
        <f t="shared" si="586"/>
        <v>165133.53884339766</v>
      </c>
      <c r="CD84" s="208">
        <f t="shared" si="586"/>
        <v>167536.51688343409</v>
      </c>
      <c r="CE84" s="208">
        <f t="shared" si="586"/>
        <v>169896.67995367461</v>
      </c>
      <c r="CF84" s="208">
        <f t="shared" si="586"/>
        <v>172214.79090821452</v>
      </c>
      <c r="CG84" s="208">
        <f t="shared" si="586"/>
        <v>174491.59900902523</v>
      </c>
      <c r="CH84" s="208">
        <f t="shared" si="586"/>
        <v>176727.84016813146</v>
      </c>
      <c r="CI84" s="208">
        <f t="shared" si="586"/>
        <v>178924.23718547352</v>
      </c>
      <c r="CJ84" s="208">
        <f t="shared" si="586"/>
        <v>181081.49998253121</v>
      </c>
      <c r="CK84" s="207">
        <f t="shared" si="586"/>
        <v>183200.32583178545</v>
      </c>
    </row>
    <row r="85" spans="2:89" x14ac:dyDescent="0.2">
      <c r="B85" s="121" t="s">
        <v>85</v>
      </c>
      <c r="C85" s="206">
        <v>3</v>
      </c>
      <c r="E85" s="205"/>
      <c r="F85" s="407"/>
      <c r="G85" s="407"/>
      <c r="H85" s="407"/>
      <c r="I85" s="407"/>
      <c r="J85" s="407"/>
      <c r="K85" s="407"/>
      <c r="L85" s="407"/>
      <c r="M85" s="407"/>
      <c r="N85" s="433">
        <f t="shared" ref="N85:BA85" si="587">N80*$C85</f>
        <v>0</v>
      </c>
      <c r="O85" s="433">
        <f t="shared" si="587"/>
        <v>0</v>
      </c>
      <c r="P85" s="433">
        <f t="shared" si="587"/>
        <v>0</v>
      </c>
      <c r="Q85" s="434">
        <f t="shared" si="587"/>
        <v>0</v>
      </c>
      <c r="R85" s="169">
        <f t="shared" si="587"/>
        <v>0</v>
      </c>
      <c r="S85" s="169">
        <f t="shared" si="587"/>
        <v>0</v>
      </c>
      <c r="T85" s="169">
        <f t="shared" si="587"/>
        <v>0</v>
      </c>
      <c r="U85" s="169">
        <f t="shared" si="587"/>
        <v>0</v>
      </c>
      <c r="V85" s="169">
        <f t="shared" si="587"/>
        <v>0</v>
      </c>
      <c r="W85" s="169">
        <f t="shared" si="587"/>
        <v>0</v>
      </c>
      <c r="X85" s="169">
        <f t="shared" si="587"/>
        <v>0</v>
      </c>
      <c r="Y85" s="169">
        <f t="shared" si="587"/>
        <v>0</v>
      </c>
      <c r="Z85" s="169">
        <f t="shared" si="587"/>
        <v>0</v>
      </c>
      <c r="AA85" s="169">
        <f t="shared" si="587"/>
        <v>0</v>
      </c>
      <c r="AB85" s="169">
        <f t="shared" si="587"/>
        <v>0</v>
      </c>
      <c r="AC85" s="170">
        <f t="shared" si="587"/>
        <v>0</v>
      </c>
      <c r="AD85" s="169">
        <f t="shared" si="587"/>
        <v>0</v>
      </c>
      <c r="AE85" s="169">
        <f t="shared" si="587"/>
        <v>0</v>
      </c>
      <c r="AF85" s="169">
        <f t="shared" si="587"/>
        <v>0</v>
      </c>
      <c r="AG85" s="169">
        <f t="shared" si="587"/>
        <v>0</v>
      </c>
      <c r="AH85" s="169">
        <f t="shared" si="587"/>
        <v>60</v>
      </c>
      <c r="AI85" s="169">
        <f t="shared" si="587"/>
        <v>180</v>
      </c>
      <c r="AJ85" s="169">
        <f t="shared" si="587"/>
        <v>358.95000000000005</v>
      </c>
      <c r="AK85" s="169">
        <f t="shared" si="587"/>
        <v>595.79999999999995</v>
      </c>
      <c r="AL85" s="169">
        <f t="shared" si="587"/>
        <v>1789.5183750000001</v>
      </c>
      <c r="AM85" s="169">
        <f t="shared" si="587"/>
        <v>2979.0918750000001</v>
      </c>
      <c r="AN85" s="169">
        <f t="shared" si="587"/>
        <v>4147.7753034375</v>
      </c>
      <c r="AO85" s="170">
        <f t="shared" si="587"/>
        <v>5295.6411956249995</v>
      </c>
      <c r="AP85" s="169">
        <f t="shared" si="587"/>
        <v>6423.0551278148432</v>
      </c>
      <c r="AQ85" s="169">
        <f t="shared" si="587"/>
        <v>7530.3814068914062</v>
      </c>
      <c r="AR85" s="169">
        <f t="shared" si="587"/>
        <v>8617.9779421546464</v>
      </c>
      <c r="AS85" s="169">
        <f t="shared" si="587"/>
        <v>9686.1962675340474</v>
      </c>
      <c r="AT85" s="169">
        <f t="shared" si="587"/>
        <v>10735.381653546339</v>
      </c>
      <c r="AU85" s="169">
        <f t="shared" si="587"/>
        <v>11765.873218864494</v>
      </c>
      <c r="AV85" s="169">
        <f t="shared" si="587"/>
        <v>12778.004039927433</v>
      </c>
      <c r="AW85" s="169">
        <f t="shared" si="587"/>
        <v>13772.101258597304</v>
      </c>
      <c r="AX85" s="169">
        <f t="shared" si="587"/>
        <v>14748.486187898572</v>
      </c>
      <c r="AY85" s="169">
        <f t="shared" si="587"/>
        <v>15707.474415873121</v>
      </c>
      <c r="AZ85" s="169">
        <f t="shared" si="587"/>
        <v>16649.375907584898</v>
      </c>
      <c r="BA85" s="170">
        <f t="shared" si="587"/>
        <v>17574.49510530712</v>
      </c>
      <c r="BB85" s="169">
        <f t="shared" ref="BB85:BM85" si="588">BB80*$C85</f>
        <v>18483.131026924384</v>
      </c>
      <c r="BC85" s="169">
        <f t="shared" si="588"/>
        <v>19375.577362581505</v>
      </c>
      <c r="BD85" s="169">
        <f t="shared" si="588"/>
        <v>20252.122569610328</v>
      </c>
      <c r="BE85" s="169">
        <f t="shared" si="588"/>
        <v>21113.049965765153</v>
      </c>
      <c r="BF85" s="169">
        <f t="shared" si="588"/>
        <v>21958.637820796976</v>
      </c>
      <c r="BG85" s="169">
        <f t="shared" si="588"/>
        <v>22789.159446396083</v>
      </c>
      <c r="BH85" s="169">
        <f t="shared" si="588"/>
        <v>23604.883284532138</v>
      </c>
      <c r="BI85" s="169">
        <f t="shared" si="588"/>
        <v>24406.072994220202</v>
      </c>
      <c r="BJ85" s="169">
        <f t="shared" si="588"/>
        <v>25192.987536740889</v>
      </c>
      <c r="BK85" s="169">
        <f t="shared" si="588"/>
        <v>25965.881259342037</v>
      </c>
      <c r="BL85" s="169">
        <f t="shared" si="588"/>
        <v>26725.003977449072</v>
      </c>
      <c r="BM85" s="170">
        <f t="shared" si="588"/>
        <v>27470.601055410585</v>
      </c>
      <c r="BN85" s="169">
        <f t="shared" ref="BN85:BY85" si="589">BN80*$C85</f>
        <v>28202.913485805224</v>
      </c>
      <c r="BO85" s="169">
        <f t="shared" si="589"/>
        <v>28922.177967335541</v>
      </c>
      <c r="BP85" s="169">
        <f t="shared" si="589"/>
        <v>29628.626981333946</v>
      </c>
      <c r="BQ85" s="169">
        <f t="shared" si="589"/>
        <v>30322.488866905573</v>
      </c>
      <c r="BR85" s="169">
        <f t="shared" si="589"/>
        <v>31003.987894732229</v>
      </c>
      <c r="BS85" s="169">
        <f t="shared" si="589"/>
        <v>31673.344339561383</v>
      </c>
      <c r="BT85" s="169">
        <f t="shared" si="589"/>
        <v>32330.774551403571</v>
      </c>
      <c r="BU85" s="169">
        <f t="shared" si="589"/>
        <v>32976.491025461248</v>
      </c>
      <c r="BV85" s="169">
        <f t="shared" si="589"/>
        <v>33610.702470811681</v>
      </c>
      <c r="BW85" s="169">
        <f t="shared" si="589"/>
        <v>34233.613877866112</v>
      </c>
      <c r="BX85" s="169">
        <f t="shared" si="589"/>
        <v>34845.426584626905</v>
      </c>
      <c r="BY85" s="170">
        <f t="shared" si="589"/>
        <v>35446.338341764247</v>
      </c>
      <c r="BZ85" s="169">
        <f t="shared" ref="BZ85:CK85" si="590">BZ80*$C85</f>
        <v>36036.543376533271</v>
      </c>
      <c r="CA85" s="169">
        <f t="shared" si="590"/>
        <v>36616.232455552396</v>
      </c>
      <c r="CB85" s="169">
        <f t="shared" si="590"/>
        <v>37185.592946463068</v>
      </c>
      <c r="CC85" s="169">
        <f t="shared" si="590"/>
        <v>37744.808878490898</v>
      </c>
      <c r="CD85" s="169">
        <f t="shared" si="590"/>
        <v>38294.061001927796</v>
      </c>
      <c r="CE85" s="169">
        <f t="shared" si="590"/>
        <v>38833.526846554203</v>
      </c>
      <c r="CF85" s="169">
        <f t="shared" si="590"/>
        <v>39363.380779020466</v>
      </c>
      <c r="CG85" s="169">
        <f t="shared" si="590"/>
        <v>39883.794059205771</v>
      </c>
      <c r="CH85" s="169">
        <f t="shared" si="590"/>
        <v>40394.934895572907</v>
      </c>
      <c r="CI85" s="169">
        <f t="shared" si="590"/>
        <v>40896.968499536808</v>
      </c>
      <c r="CJ85" s="169">
        <f t="shared" si="590"/>
        <v>41390.057138864286</v>
      </c>
      <c r="CK85" s="170">
        <f t="shared" si="590"/>
        <v>41874.360190122388</v>
      </c>
    </row>
    <row r="86" spans="2:89" x14ac:dyDescent="0.2">
      <c r="B86" s="21"/>
      <c r="F86" s="407"/>
      <c r="G86" s="407"/>
      <c r="H86" s="407"/>
      <c r="I86" s="407"/>
      <c r="J86" s="407"/>
      <c r="K86" s="407"/>
      <c r="L86" s="407"/>
      <c r="M86" s="407"/>
      <c r="N86" s="407"/>
      <c r="O86" s="407"/>
      <c r="P86" s="407"/>
      <c r="Q86" s="408"/>
    </row>
    <row r="87" spans="2:89" x14ac:dyDescent="0.2">
      <c r="B87" s="21"/>
      <c r="F87" s="407"/>
      <c r="G87" s="407"/>
      <c r="H87" s="407"/>
      <c r="I87" s="407"/>
      <c r="J87" s="407"/>
      <c r="K87" s="407"/>
      <c r="L87" s="407"/>
      <c r="M87" s="407"/>
      <c r="N87" s="407"/>
      <c r="O87" s="407"/>
      <c r="P87" s="407"/>
      <c r="Q87" s="408"/>
    </row>
    <row r="88" spans="2:89" ht="21" x14ac:dyDescent="0.25">
      <c r="B88" s="144" t="s">
        <v>370</v>
      </c>
      <c r="C88" s="122"/>
      <c r="D88" s="122"/>
      <c r="E88" s="123"/>
      <c r="F88" s="439"/>
      <c r="G88" s="439"/>
      <c r="H88" s="439"/>
      <c r="I88" s="439"/>
      <c r="J88" s="439"/>
      <c r="K88" s="439"/>
      <c r="L88" s="439"/>
      <c r="M88" s="439"/>
      <c r="N88" s="439"/>
      <c r="O88" s="439"/>
      <c r="P88" s="439"/>
      <c r="Q88" s="440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3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3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3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3"/>
      <c r="BN88" s="122"/>
      <c r="BO88" s="122"/>
      <c r="BP88" s="122"/>
      <c r="BQ88" s="122"/>
      <c r="BR88" s="122"/>
      <c r="BS88" s="122"/>
      <c r="BT88" s="122"/>
      <c r="BU88" s="122"/>
      <c r="BV88" s="122"/>
      <c r="BW88" s="122"/>
      <c r="BX88" s="122"/>
      <c r="BY88" s="123"/>
      <c r="BZ88" s="122"/>
      <c r="CA88" s="122"/>
      <c r="CB88" s="122"/>
      <c r="CC88" s="122"/>
      <c r="CD88" s="122"/>
      <c r="CE88" s="122"/>
      <c r="CF88" s="122"/>
      <c r="CG88" s="122"/>
      <c r="CH88" s="122"/>
      <c r="CI88" s="122"/>
      <c r="CJ88" s="122"/>
      <c r="CK88" s="123"/>
    </row>
    <row r="89" spans="2:89" x14ac:dyDescent="0.2">
      <c r="B89" s="118"/>
      <c r="E89" s="140"/>
      <c r="F89" s="407"/>
      <c r="G89" s="407"/>
      <c r="H89" s="407"/>
      <c r="I89" s="407"/>
      <c r="J89" s="407"/>
      <c r="K89" s="407"/>
      <c r="L89" s="407"/>
      <c r="M89" s="407"/>
      <c r="N89" s="421"/>
      <c r="O89" s="421"/>
      <c r="P89" s="421"/>
      <c r="Q89" s="422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17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17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17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17"/>
      <c r="BN89" s="103"/>
      <c r="BO89" s="103"/>
      <c r="BP89" s="103"/>
      <c r="BQ89" s="103"/>
      <c r="BR89" s="103"/>
      <c r="BS89" s="103"/>
      <c r="BT89" s="103"/>
      <c r="BU89" s="103"/>
      <c r="BV89" s="103"/>
      <c r="BW89" s="103"/>
      <c r="BX89" s="103"/>
      <c r="BY89" s="117"/>
      <c r="BZ89" s="103"/>
      <c r="CA89" s="103"/>
      <c r="CB89" s="103"/>
      <c r="CC89" s="103"/>
      <c r="CD89" s="103"/>
      <c r="CE89" s="103"/>
      <c r="CF89" s="103"/>
      <c r="CG89" s="103"/>
      <c r="CH89" s="103"/>
      <c r="CI89" s="103"/>
      <c r="CJ89" s="103"/>
      <c r="CK89" s="117"/>
    </row>
    <row r="90" spans="2:89" s="17" customFormat="1" x14ac:dyDescent="0.2">
      <c r="B90" s="121" t="s">
        <v>79</v>
      </c>
      <c r="C90" s="224"/>
      <c r="E90" s="141"/>
      <c r="F90" s="427"/>
      <c r="G90" s="427"/>
      <c r="H90" s="427"/>
      <c r="I90" s="427"/>
      <c r="J90" s="427"/>
      <c r="K90" s="427"/>
      <c r="L90" s="427"/>
      <c r="M90" s="427"/>
      <c r="N90" s="437">
        <v>0</v>
      </c>
      <c r="O90" s="437">
        <v>0</v>
      </c>
      <c r="P90" s="437">
        <v>0</v>
      </c>
      <c r="Q90" s="438">
        <v>0</v>
      </c>
      <c r="R90" s="223">
        <v>0</v>
      </c>
      <c r="S90" s="223">
        <v>0</v>
      </c>
      <c r="T90" s="223">
        <v>0</v>
      </c>
      <c r="U90" s="223">
        <v>0</v>
      </c>
      <c r="V90" s="223">
        <v>0</v>
      </c>
      <c r="W90" s="660">
        <v>0</v>
      </c>
      <c r="X90" s="660">
        <v>0</v>
      </c>
      <c r="Y90" s="660">
        <v>0</v>
      </c>
      <c r="Z90" s="660">
        <v>0</v>
      </c>
      <c r="AA90" s="660">
        <v>0</v>
      </c>
      <c r="AB90" s="660">
        <v>0</v>
      </c>
      <c r="AC90" s="661">
        <v>0</v>
      </c>
      <c r="AD90" s="660">
        <v>0</v>
      </c>
      <c r="AE90" s="223"/>
      <c r="AF90" s="223"/>
      <c r="AG90" s="223"/>
      <c r="AH90" s="223"/>
      <c r="AI90" s="223"/>
      <c r="AJ90" s="223"/>
      <c r="AK90" s="223"/>
      <c r="AL90" s="223">
        <f t="shared" ref="AL90:BA90" si="591">AK90+1</f>
        <v>1</v>
      </c>
      <c r="AM90" s="223">
        <f t="shared" si="591"/>
        <v>2</v>
      </c>
      <c r="AN90" s="223">
        <f t="shared" si="591"/>
        <v>3</v>
      </c>
      <c r="AO90" s="222">
        <f t="shared" si="591"/>
        <v>4</v>
      </c>
      <c r="AP90" s="223">
        <f t="shared" si="591"/>
        <v>5</v>
      </c>
      <c r="AQ90" s="223">
        <f t="shared" si="591"/>
        <v>6</v>
      </c>
      <c r="AR90" s="223">
        <f t="shared" si="591"/>
        <v>7</v>
      </c>
      <c r="AS90" s="223">
        <f t="shared" si="591"/>
        <v>8</v>
      </c>
      <c r="AT90" s="223">
        <f t="shared" si="591"/>
        <v>9</v>
      </c>
      <c r="AU90" s="223">
        <f t="shared" si="591"/>
        <v>10</v>
      </c>
      <c r="AV90" s="223">
        <f t="shared" si="591"/>
        <v>11</v>
      </c>
      <c r="AW90" s="223">
        <f t="shared" si="591"/>
        <v>12</v>
      </c>
      <c r="AX90" s="223">
        <f t="shared" si="591"/>
        <v>13</v>
      </c>
      <c r="AY90" s="223">
        <f t="shared" si="591"/>
        <v>14</v>
      </c>
      <c r="AZ90" s="223">
        <f t="shared" si="591"/>
        <v>15</v>
      </c>
      <c r="BA90" s="222">
        <f t="shared" si="591"/>
        <v>16</v>
      </c>
      <c r="BB90" s="223">
        <f t="shared" ref="BB90" si="592">BA90+1</f>
        <v>17</v>
      </c>
      <c r="BC90" s="223">
        <f t="shared" ref="BC90" si="593">BB90+1</f>
        <v>18</v>
      </c>
      <c r="BD90" s="223">
        <f t="shared" ref="BD90" si="594">BC90+1</f>
        <v>19</v>
      </c>
      <c r="BE90" s="223">
        <f t="shared" ref="BE90" si="595">BD90+1</f>
        <v>20</v>
      </c>
      <c r="BF90" s="223">
        <f t="shared" ref="BF90" si="596">BE90+1</f>
        <v>21</v>
      </c>
      <c r="BG90" s="223">
        <f t="shared" ref="BG90" si="597">BF90+1</f>
        <v>22</v>
      </c>
      <c r="BH90" s="223">
        <f t="shared" ref="BH90" si="598">BG90+1</f>
        <v>23</v>
      </c>
      <c r="BI90" s="223">
        <f t="shared" ref="BI90" si="599">BH90+1</f>
        <v>24</v>
      </c>
      <c r="BJ90" s="223">
        <f t="shared" ref="BJ90" si="600">BI90+1</f>
        <v>25</v>
      </c>
      <c r="BK90" s="223">
        <f t="shared" ref="BK90" si="601">BJ90+1</f>
        <v>26</v>
      </c>
      <c r="BL90" s="223">
        <f t="shared" ref="BL90" si="602">BK90+1</f>
        <v>27</v>
      </c>
      <c r="BM90" s="222">
        <f t="shared" ref="BM90" si="603">BL90+1</f>
        <v>28</v>
      </c>
      <c r="BN90" s="223">
        <f t="shared" ref="BN90" si="604">BM90+1</f>
        <v>29</v>
      </c>
      <c r="BO90" s="223">
        <f t="shared" ref="BO90" si="605">BN90+1</f>
        <v>30</v>
      </c>
      <c r="BP90" s="223">
        <f t="shared" ref="BP90" si="606">BO90+1</f>
        <v>31</v>
      </c>
      <c r="BQ90" s="223">
        <f t="shared" ref="BQ90" si="607">BP90+1</f>
        <v>32</v>
      </c>
      <c r="BR90" s="223">
        <f t="shared" ref="BR90" si="608">BQ90+1</f>
        <v>33</v>
      </c>
      <c r="BS90" s="223">
        <f t="shared" ref="BS90" si="609">BR90+1</f>
        <v>34</v>
      </c>
      <c r="BT90" s="223">
        <f t="shared" ref="BT90" si="610">BS90+1</f>
        <v>35</v>
      </c>
      <c r="BU90" s="223">
        <f t="shared" ref="BU90" si="611">BT90+1</f>
        <v>36</v>
      </c>
      <c r="BV90" s="223">
        <f t="shared" ref="BV90" si="612">BU90+1</f>
        <v>37</v>
      </c>
      <c r="BW90" s="223">
        <f t="shared" ref="BW90" si="613">BV90+1</f>
        <v>38</v>
      </c>
      <c r="BX90" s="223">
        <f t="shared" ref="BX90" si="614">BW90+1</f>
        <v>39</v>
      </c>
      <c r="BY90" s="222">
        <f t="shared" ref="BY90" si="615">BX90+1</f>
        <v>40</v>
      </c>
      <c r="BZ90" s="223">
        <f t="shared" ref="BZ90" si="616">BY90+1</f>
        <v>41</v>
      </c>
      <c r="CA90" s="223">
        <f t="shared" ref="CA90" si="617">BZ90+1</f>
        <v>42</v>
      </c>
      <c r="CB90" s="223">
        <f t="shared" ref="CB90" si="618">CA90+1</f>
        <v>43</v>
      </c>
      <c r="CC90" s="223">
        <f t="shared" ref="CC90" si="619">CB90+1</f>
        <v>44</v>
      </c>
      <c r="CD90" s="223">
        <f t="shared" ref="CD90" si="620">CC90+1</f>
        <v>45</v>
      </c>
      <c r="CE90" s="223">
        <f t="shared" ref="CE90" si="621">CD90+1</f>
        <v>46</v>
      </c>
      <c r="CF90" s="223">
        <f t="shared" ref="CF90" si="622">CE90+1</f>
        <v>47</v>
      </c>
      <c r="CG90" s="223">
        <f t="shared" ref="CG90" si="623">CF90+1</f>
        <v>48</v>
      </c>
      <c r="CH90" s="223">
        <f t="shared" ref="CH90" si="624">CG90+1</f>
        <v>49</v>
      </c>
      <c r="CI90" s="223">
        <f t="shared" ref="CI90" si="625">CH90+1</f>
        <v>50</v>
      </c>
      <c r="CJ90" s="223">
        <f t="shared" ref="CJ90" si="626">CI90+1</f>
        <v>51</v>
      </c>
      <c r="CK90" s="222">
        <f t="shared" ref="CK90" si="627">CJ90+1</f>
        <v>52</v>
      </c>
    </row>
    <row r="91" spans="2:89" s="17" customFormat="1" x14ac:dyDescent="0.2">
      <c r="B91" s="121" t="s">
        <v>80</v>
      </c>
      <c r="C91" s="221">
        <v>20</v>
      </c>
      <c r="D91" s="17" t="s">
        <v>81</v>
      </c>
      <c r="E91" s="219"/>
      <c r="F91" s="427"/>
      <c r="G91" s="427"/>
      <c r="H91" s="427"/>
      <c r="I91" s="427"/>
      <c r="J91" s="427"/>
      <c r="K91" s="427"/>
      <c r="L91" s="427"/>
      <c r="M91" s="427"/>
      <c r="N91" s="428">
        <f t="shared" ref="N91:BA91" si="628">N90*$C91</f>
        <v>0</v>
      </c>
      <c r="O91" s="428">
        <f t="shared" si="628"/>
        <v>0</v>
      </c>
      <c r="P91" s="428">
        <f t="shared" si="628"/>
        <v>0</v>
      </c>
      <c r="Q91" s="429">
        <f t="shared" si="628"/>
        <v>0</v>
      </c>
      <c r="R91" s="218">
        <f t="shared" si="628"/>
        <v>0</v>
      </c>
      <c r="S91" s="218">
        <f t="shared" si="628"/>
        <v>0</v>
      </c>
      <c r="T91" s="218">
        <f t="shared" si="628"/>
        <v>0</v>
      </c>
      <c r="U91" s="218">
        <f t="shared" si="628"/>
        <v>0</v>
      </c>
      <c r="V91" s="218">
        <f t="shared" si="628"/>
        <v>0</v>
      </c>
      <c r="W91" s="218">
        <f t="shared" si="628"/>
        <v>0</v>
      </c>
      <c r="X91" s="218">
        <f t="shared" si="628"/>
        <v>0</v>
      </c>
      <c r="Y91" s="218">
        <f t="shared" si="628"/>
        <v>0</v>
      </c>
      <c r="Z91" s="218">
        <f t="shared" si="628"/>
        <v>0</v>
      </c>
      <c r="AA91" s="218">
        <f t="shared" si="628"/>
        <v>0</v>
      </c>
      <c r="AB91" s="218">
        <f t="shared" si="628"/>
        <v>0</v>
      </c>
      <c r="AC91" s="217">
        <f t="shared" si="628"/>
        <v>0</v>
      </c>
      <c r="AD91" s="218">
        <f t="shared" si="628"/>
        <v>0</v>
      </c>
      <c r="AE91" s="218">
        <f t="shared" si="628"/>
        <v>0</v>
      </c>
      <c r="AF91" s="218">
        <f t="shared" si="628"/>
        <v>0</v>
      </c>
      <c r="AG91" s="218">
        <f t="shared" si="628"/>
        <v>0</v>
      </c>
      <c r="AH91" s="218">
        <f t="shared" si="628"/>
        <v>0</v>
      </c>
      <c r="AI91" s="218">
        <f t="shared" si="628"/>
        <v>0</v>
      </c>
      <c r="AJ91" s="218">
        <f t="shared" si="628"/>
        <v>0</v>
      </c>
      <c r="AK91" s="218">
        <f t="shared" si="628"/>
        <v>0</v>
      </c>
      <c r="AL91" s="218">
        <f t="shared" si="628"/>
        <v>20</v>
      </c>
      <c r="AM91" s="218">
        <f t="shared" si="628"/>
        <v>40</v>
      </c>
      <c r="AN91" s="218">
        <f t="shared" si="628"/>
        <v>60</v>
      </c>
      <c r="AO91" s="217">
        <f t="shared" si="628"/>
        <v>80</v>
      </c>
      <c r="AP91" s="218">
        <f t="shared" si="628"/>
        <v>100</v>
      </c>
      <c r="AQ91" s="218">
        <f t="shared" si="628"/>
        <v>120</v>
      </c>
      <c r="AR91" s="218">
        <f t="shared" si="628"/>
        <v>140</v>
      </c>
      <c r="AS91" s="218">
        <f t="shared" si="628"/>
        <v>160</v>
      </c>
      <c r="AT91" s="218">
        <f t="shared" si="628"/>
        <v>180</v>
      </c>
      <c r="AU91" s="218">
        <f t="shared" si="628"/>
        <v>200</v>
      </c>
      <c r="AV91" s="218">
        <f t="shared" si="628"/>
        <v>220</v>
      </c>
      <c r="AW91" s="218">
        <f t="shared" si="628"/>
        <v>240</v>
      </c>
      <c r="AX91" s="218">
        <f t="shared" si="628"/>
        <v>260</v>
      </c>
      <c r="AY91" s="218">
        <f t="shared" si="628"/>
        <v>280</v>
      </c>
      <c r="AZ91" s="218">
        <f t="shared" si="628"/>
        <v>300</v>
      </c>
      <c r="BA91" s="217">
        <f t="shared" si="628"/>
        <v>320</v>
      </c>
      <c r="BB91" s="218">
        <f t="shared" ref="BB91:BM91" si="629">BB90*$C91</f>
        <v>340</v>
      </c>
      <c r="BC91" s="218">
        <f t="shared" si="629"/>
        <v>360</v>
      </c>
      <c r="BD91" s="218">
        <f t="shared" si="629"/>
        <v>380</v>
      </c>
      <c r="BE91" s="218">
        <f t="shared" si="629"/>
        <v>400</v>
      </c>
      <c r="BF91" s="218">
        <f t="shared" si="629"/>
        <v>420</v>
      </c>
      <c r="BG91" s="218">
        <f t="shared" si="629"/>
        <v>440</v>
      </c>
      <c r="BH91" s="218">
        <f t="shared" si="629"/>
        <v>460</v>
      </c>
      <c r="BI91" s="218">
        <f t="shared" si="629"/>
        <v>480</v>
      </c>
      <c r="BJ91" s="218">
        <f t="shared" si="629"/>
        <v>500</v>
      </c>
      <c r="BK91" s="218">
        <f t="shared" si="629"/>
        <v>520</v>
      </c>
      <c r="BL91" s="218">
        <f t="shared" si="629"/>
        <v>540</v>
      </c>
      <c r="BM91" s="217">
        <f t="shared" si="629"/>
        <v>560</v>
      </c>
      <c r="BN91" s="218">
        <f t="shared" ref="BN91:BY91" si="630">BN90*$C91</f>
        <v>580</v>
      </c>
      <c r="BO91" s="218">
        <f t="shared" si="630"/>
        <v>600</v>
      </c>
      <c r="BP91" s="218">
        <f t="shared" si="630"/>
        <v>620</v>
      </c>
      <c r="BQ91" s="218">
        <f t="shared" si="630"/>
        <v>640</v>
      </c>
      <c r="BR91" s="218">
        <f t="shared" si="630"/>
        <v>660</v>
      </c>
      <c r="BS91" s="218">
        <f t="shared" si="630"/>
        <v>680</v>
      </c>
      <c r="BT91" s="218">
        <f t="shared" si="630"/>
        <v>700</v>
      </c>
      <c r="BU91" s="218">
        <f t="shared" si="630"/>
        <v>720</v>
      </c>
      <c r="BV91" s="218">
        <f t="shared" si="630"/>
        <v>740</v>
      </c>
      <c r="BW91" s="218">
        <f t="shared" si="630"/>
        <v>760</v>
      </c>
      <c r="BX91" s="218">
        <f t="shared" si="630"/>
        <v>780</v>
      </c>
      <c r="BY91" s="217">
        <f t="shared" si="630"/>
        <v>800</v>
      </c>
      <c r="BZ91" s="218">
        <f t="shared" ref="BZ91:CK91" si="631">BZ90*$C91</f>
        <v>820</v>
      </c>
      <c r="CA91" s="218">
        <f t="shared" si="631"/>
        <v>840</v>
      </c>
      <c r="CB91" s="218">
        <f t="shared" si="631"/>
        <v>860</v>
      </c>
      <c r="CC91" s="218">
        <f t="shared" si="631"/>
        <v>880</v>
      </c>
      <c r="CD91" s="218">
        <f t="shared" si="631"/>
        <v>900</v>
      </c>
      <c r="CE91" s="218">
        <f t="shared" si="631"/>
        <v>920</v>
      </c>
      <c r="CF91" s="218">
        <f t="shared" si="631"/>
        <v>940</v>
      </c>
      <c r="CG91" s="218">
        <f t="shared" si="631"/>
        <v>960</v>
      </c>
      <c r="CH91" s="218">
        <f t="shared" si="631"/>
        <v>980</v>
      </c>
      <c r="CI91" s="218">
        <f t="shared" si="631"/>
        <v>1000</v>
      </c>
      <c r="CJ91" s="218">
        <f t="shared" si="631"/>
        <v>1020</v>
      </c>
      <c r="CK91" s="217">
        <f t="shared" si="631"/>
        <v>1040</v>
      </c>
    </row>
    <row r="92" spans="2:89" s="17" customFormat="1" x14ac:dyDescent="0.2">
      <c r="B92" s="121" t="s">
        <v>59</v>
      </c>
      <c r="C92" s="220">
        <v>0.02</v>
      </c>
      <c r="E92" s="219"/>
      <c r="F92" s="427"/>
      <c r="G92" s="427"/>
      <c r="H92" s="427"/>
      <c r="I92" s="427"/>
      <c r="J92" s="427"/>
      <c r="K92" s="427"/>
      <c r="L92" s="427"/>
      <c r="M92" s="427"/>
      <c r="N92" s="428"/>
      <c r="O92" s="428"/>
      <c r="P92" s="428">
        <f t="shared" ref="P92:BA92" si="632">N93*$C92</f>
        <v>0</v>
      </c>
      <c r="Q92" s="429">
        <f t="shared" si="632"/>
        <v>0</v>
      </c>
      <c r="R92" s="218">
        <f t="shared" si="632"/>
        <v>0</v>
      </c>
      <c r="S92" s="218">
        <f t="shared" si="632"/>
        <v>0</v>
      </c>
      <c r="T92" s="218">
        <f t="shared" si="632"/>
        <v>0</v>
      </c>
      <c r="U92" s="218">
        <f t="shared" si="632"/>
        <v>0</v>
      </c>
      <c r="V92" s="218">
        <f t="shared" si="632"/>
        <v>0</v>
      </c>
      <c r="W92" s="218">
        <f t="shared" si="632"/>
        <v>0</v>
      </c>
      <c r="X92" s="218">
        <f t="shared" si="632"/>
        <v>0</v>
      </c>
      <c r="Y92" s="218">
        <f t="shared" si="632"/>
        <v>0</v>
      </c>
      <c r="Z92" s="218">
        <f t="shared" si="632"/>
        <v>0</v>
      </c>
      <c r="AA92" s="218">
        <f t="shared" si="632"/>
        <v>0</v>
      </c>
      <c r="AB92" s="218">
        <f t="shared" si="632"/>
        <v>0</v>
      </c>
      <c r="AC92" s="217">
        <f t="shared" si="632"/>
        <v>0</v>
      </c>
      <c r="AD92" s="218">
        <f t="shared" si="632"/>
        <v>0</v>
      </c>
      <c r="AE92" s="218">
        <f t="shared" si="632"/>
        <v>0</v>
      </c>
      <c r="AF92" s="218">
        <f t="shared" si="632"/>
        <v>0</v>
      </c>
      <c r="AG92" s="218">
        <f t="shared" si="632"/>
        <v>0</v>
      </c>
      <c r="AH92" s="218">
        <f t="shared" si="632"/>
        <v>0</v>
      </c>
      <c r="AI92" s="218">
        <f t="shared" si="632"/>
        <v>0</v>
      </c>
      <c r="AJ92" s="218">
        <f t="shared" si="632"/>
        <v>0</v>
      </c>
      <c r="AK92" s="218">
        <f t="shared" si="632"/>
        <v>0</v>
      </c>
      <c r="AL92" s="218">
        <f t="shared" si="632"/>
        <v>0</v>
      </c>
      <c r="AM92" s="218">
        <f t="shared" si="632"/>
        <v>0</v>
      </c>
      <c r="AN92" s="218">
        <f t="shared" si="632"/>
        <v>0.4</v>
      </c>
      <c r="AO92" s="217">
        <f t="shared" si="632"/>
        <v>1.2</v>
      </c>
      <c r="AP92" s="218">
        <f t="shared" si="632"/>
        <v>2.3919999999999999</v>
      </c>
      <c r="AQ92" s="218">
        <f t="shared" si="632"/>
        <v>3.9680000000000004</v>
      </c>
      <c r="AR92" s="218">
        <f t="shared" si="632"/>
        <v>5.9201600000000001</v>
      </c>
      <c r="AS92" s="218">
        <f t="shared" si="632"/>
        <v>8.2408000000000001</v>
      </c>
      <c r="AT92" s="218">
        <f t="shared" si="632"/>
        <v>10.9223968</v>
      </c>
      <c r="AU92" s="218">
        <f t="shared" si="632"/>
        <v>13.957580799999999</v>
      </c>
      <c r="AV92" s="218">
        <f t="shared" si="632"/>
        <v>17.339132864</v>
      </c>
      <c r="AW92" s="218">
        <f t="shared" si="632"/>
        <v>21.059981248</v>
      </c>
      <c r="AX92" s="218">
        <f t="shared" si="632"/>
        <v>25.11319859072</v>
      </c>
      <c r="AY92" s="218">
        <f t="shared" si="632"/>
        <v>29.491998965760001</v>
      </c>
      <c r="AZ92" s="218">
        <f t="shared" si="632"/>
        <v>34.189734993945599</v>
      </c>
      <c r="BA92" s="217">
        <f t="shared" si="632"/>
        <v>39.1998950146304</v>
      </c>
      <c r="BB92" s="218">
        <f t="shared" ref="BB92" si="633">AZ93*$C92</f>
        <v>44.51610031475149</v>
      </c>
      <c r="BC92" s="218">
        <f t="shared" ref="BC92" si="634">BA93*$C92</f>
        <v>50.132102414458885</v>
      </c>
      <c r="BD92" s="218">
        <f t="shared" ref="BD92" si="635">BB93*$C92</f>
        <v>56.041780408163859</v>
      </c>
      <c r="BE92" s="218">
        <f t="shared" ref="BE92" si="636">BC93*$C92</f>
        <v>62.23913835987468</v>
      </c>
      <c r="BF92" s="218">
        <f t="shared" ref="BF92" si="637">BD93*$C92</f>
        <v>68.718302751711406</v>
      </c>
      <c r="BG92" s="218">
        <f t="shared" ref="BG92" si="638">BE93*$C92</f>
        <v>75.473519984513914</v>
      </c>
      <c r="BH92" s="218">
        <f t="shared" ref="BH92" si="639">BF93*$C92</f>
        <v>82.499153929479689</v>
      </c>
      <c r="BI92" s="218">
        <f t="shared" ref="BI92" si="640">BG93*$C92</f>
        <v>89.789683529789414</v>
      </c>
      <c r="BJ92" s="218">
        <f t="shared" ref="BJ92" si="641">BH93*$C92</f>
        <v>97.339700451199832</v>
      </c>
      <c r="BK92" s="218">
        <f t="shared" ref="BK92" si="642">BI93*$C92</f>
        <v>105.14390678060403</v>
      </c>
      <c r="BL92" s="218">
        <f t="shared" ref="BL92" si="643">BJ93*$C92</f>
        <v>113.19711277158004</v>
      </c>
      <c r="BM92" s="217">
        <f t="shared" ref="BM92" si="644">BK93*$C92</f>
        <v>121.49423463596796</v>
      </c>
      <c r="BN92" s="218">
        <f t="shared" ref="BN92" si="645">BL93*$C92</f>
        <v>130.03029238053637</v>
      </c>
      <c r="BO92" s="218">
        <f t="shared" ref="BO92" si="646">BM93*$C92</f>
        <v>138.800407687817</v>
      </c>
      <c r="BP92" s="218">
        <f t="shared" ref="BP92" si="647">BN93*$C92</f>
        <v>147.79980184020627</v>
      </c>
      <c r="BQ92" s="218">
        <f t="shared" ref="BQ92" si="648">BO93*$C92</f>
        <v>157.02379368644995</v>
      </c>
      <c r="BR92" s="218">
        <f t="shared" ref="BR92" si="649">BP93*$C92</f>
        <v>166.4677976496458</v>
      </c>
      <c r="BS92" s="218">
        <f t="shared" ref="BS92" si="650">BQ93*$C92</f>
        <v>176.12732177591678</v>
      </c>
      <c r="BT92" s="218">
        <f t="shared" ref="BT92" si="651">BR93*$C92</f>
        <v>185.99796582292387</v>
      </c>
      <c r="BU92" s="218">
        <f t="shared" ref="BU92" si="652">BS93*$C92</f>
        <v>196.07541938740553</v>
      </c>
      <c r="BV92" s="218">
        <f t="shared" ref="BV92" si="653">BT93*$C92</f>
        <v>206.35546007094706</v>
      </c>
      <c r="BW92" s="218">
        <f t="shared" ref="BW92" si="654">BU93*$C92</f>
        <v>216.83395168319893</v>
      </c>
      <c r="BX92" s="218">
        <f t="shared" ref="BX92" si="655">BV93*$C92</f>
        <v>227.50684248178001</v>
      </c>
      <c r="BY92" s="217">
        <f t="shared" ref="BY92" si="656">BW93*$C92</f>
        <v>238.37016344811605</v>
      </c>
      <c r="BZ92" s="218">
        <f t="shared" ref="BZ92" si="657">BX93*$C92</f>
        <v>249.42002659848043</v>
      </c>
      <c r="CA92" s="218">
        <f t="shared" ref="CA92" si="658">BY93*$C92</f>
        <v>260.65262332951812</v>
      </c>
      <c r="CB92" s="218">
        <f t="shared" ref="CB92" si="659">BZ93*$C92</f>
        <v>272.0642227975485</v>
      </c>
      <c r="CC92" s="218">
        <f t="shared" ref="CC92" si="660">CA93*$C92</f>
        <v>283.65117033095811</v>
      </c>
      <c r="CD92" s="218">
        <f t="shared" ref="CD92" si="661">CB93*$C92</f>
        <v>295.40988587500715</v>
      </c>
      <c r="CE92" s="218">
        <f t="shared" ref="CE92" si="662">CC93*$C92</f>
        <v>307.33686246838801</v>
      </c>
      <c r="CF92" s="218">
        <f t="shared" ref="CF92" si="663">CD93*$C92</f>
        <v>319.42866475088783</v>
      </c>
      <c r="CG92" s="218">
        <f t="shared" ref="CG92" si="664">CE93*$C92</f>
        <v>331.68192750152014</v>
      </c>
      <c r="CH92" s="218">
        <f t="shared" ref="CH92" si="665">CF93*$C92</f>
        <v>344.09335420650234</v>
      </c>
      <c r="CI92" s="218">
        <f t="shared" ref="CI92" si="666">CG93*$C92</f>
        <v>356.65971565647197</v>
      </c>
      <c r="CJ92" s="218">
        <f t="shared" ref="CJ92" si="667">CH93*$C92</f>
        <v>369.37784857234192</v>
      </c>
      <c r="CK92" s="217">
        <f t="shared" ref="CK92" si="668">CI93*$C92</f>
        <v>382.2446542592125</v>
      </c>
    </row>
    <row r="93" spans="2:89" x14ac:dyDescent="0.2">
      <c r="B93" s="21" t="s">
        <v>72</v>
      </c>
      <c r="C93" s="211"/>
      <c r="F93" s="407"/>
      <c r="G93" s="407"/>
      <c r="H93" s="407"/>
      <c r="I93" s="407"/>
      <c r="J93" s="407"/>
      <c r="K93" s="407"/>
      <c r="L93" s="407"/>
      <c r="M93" s="430">
        <v>0</v>
      </c>
      <c r="N93" s="431">
        <f>M93+N91</f>
        <v>0</v>
      </c>
      <c r="O93" s="431">
        <f>N93+O91</f>
        <v>0</v>
      </c>
      <c r="P93" s="431">
        <f t="shared" ref="P93:BA93" si="669">O93+P91-P92</f>
        <v>0</v>
      </c>
      <c r="Q93" s="432">
        <f t="shared" si="669"/>
        <v>0</v>
      </c>
      <c r="R93" s="216">
        <f t="shared" si="669"/>
        <v>0</v>
      </c>
      <c r="S93" s="216">
        <f t="shared" si="669"/>
        <v>0</v>
      </c>
      <c r="T93" s="216">
        <f t="shared" si="669"/>
        <v>0</v>
      </c>
      <c r="U93" s="216">
        <f t="shared" si="669"/>
        <v>0</v>
      </c>
      <c r="V93" s="216">
        <f t="shared" si="669"/>
        <v>0</v>
      </c>
      <c r="W93" s="216">
        <f t="shared" si="669"/>
        <v>0</v>
      </c>
      <c r="X93" s="216">
        <f t="shared" si="669"/>
        <v>0</v>
      </c>
      <c r="Y93" s="216">
        <f t="shared" si="669"/>
        <v>0</v>
      </c>
      <c r="Z93" s="216">
        <f t="shared" si="669"/>
        <v>0</v>
      </c>
      <c r="AA93" s="216">
        <f t="shared" si="669"/>
        <v>0</v>
      </c>
      <c r="AB93" s="216">
        <f t="shared" si="669"/>
        <v>0</v>
      </c>
      <c r="AC93" s="215">
        <f t="shared" si="669"/>
        <v>0</v>
      </c>
      <c r="AD93" s="216">
        <f t="shared" si="669"/>
        <v>0</v>
      </c>
      <c r="AE93" s="216">
        <f t="shared" si="669"/>
        <v>0</v>
      </c>
      <c r="AF93" s="216">
        <f t="shared" si="669"/>
        <v>0</v>
      </c>
      <c r="AG93" s="216">
        <f t="shared" si="669"/>
        <v>0</v>
      </c>
      <c r="AH93" s="216">
        <f t="shared" si="669"/>
        <v>0</v>
      </c>
      <c r="AI93" s="216">
        <f t="shared" si="669"/>
        <v>0</v>
      </c>
      <c r="AJ93" s="216">
        <f t="shared" si="669"/>
        <v>0</v>
      </c>
      <c r="AK93" s="216">
        <f t="shared" si="669"/>
        <v>0</v>
      </c>
      <c r="AL93" s="216">
        <f t="shared" si="669"/>
        <v>20</v>
      </c>
      <c r="AM93" s="216">
        <f t="shared" si="669"/>
        <v>60</v>
      </c>
      <c r="AN93" s="216">
        <f t="shared" si="669"/>
        <v>119.6</v>
      </c>
      <c r="AO93" s="215">
        <f t="shared" si="669"/>
        <v>198.4</v>
      </c>
      <c r="AP93" s="216">
        <f t="shared" si="669"/>
        <v>296.00799999999998</v>
      </c>
      <c r="AQ93" s="216">
        <f t="shared" si="669"/>
        <v>412.03999999999996</v>
      </c>
      <c r="AR93" s="216">
        <f t="shared" si="669"/>
        <v>546.11983999999995</v>
      </c>
      <c r="AS93" s="216">
        <f t="shared" si="669"/>
        <v>697.87903999999992</v>
      </c>
      <c r="AT93" s="216">
        <f t="shared" si="669"/>
        <v>866.95664319999992</v>
      </c>
      <c r="AU93" s="216">
        <f t="shared" si="669"/>
        <v>1052.9990624</v>
      </c>
      <c r="AV93" s="216">
        <f t="shared" si="669"/>
        <v>1255.6599295359999</v>
      </c>
      <c r="AW93" s="216">
        <f t="shared" si="669"/>
        <v>1474.599948288</v>
      </c>
      <c r="AX93" s="216">
        <f t="shared" si="669"/>
        <v>1709.4867496972799</v>
      </c>
      <c r="AY93" s="216">
        <f t="shared" si="669"/>
        <v>1959.9947507315198</v>
      </c>
      <c r="AZ93" s="216">
        <f t="shared" si="669"/>
        <v>2225.8050157375746</v>
      </c>
      <c r="BA93" s="215">
        <f t="shared" si="669"/>
        <v>2506.6051207229443</v>
      </c>
      <c r="BB93" s="216">
        <f t="shared" ref="BB93" si="670">BA93+BB91-BB92</f>
        <v>2802.0890204081929</v>
      </c>
      <c r="BC93" s="216">
        <f t="shared" ref="BC93" si="671">BB93+BC91-BC92</f>
        <v>3111.9569179937339</v>
      </c>
      <c r="BD93" s="216">
        <f t="shared" ref="BD93" si="672">BC93+BD91-BD92</f>
        <v>3435.9151375855699</v>
      </c>
      <c r="BE93" s="216">
        <f t="shared" ref="BE93" si="673">BD93+BE91-BE92</f>
        <v>3773.6759992256953</v>
      </c>
      <c r="BF93" s="216">
        <f t="shared" ref="BF93" si="674">BE93+BF91-BF92</f>
        <v>4124.9576964739845</v>
      </c>
      <c r="BG93" s="216">
        <f t="shared" ref="BG93" si="675">BF93+BG91-BG92</f>
        <v>4489.4841764894709</v>
      </c>
      <c r="BH93" s="216">
        <f t="shared" ref="BH93" si="676">BG93+BH91-BH92</f>
        <v>4866.9850225599912</v>
      </c>
      <c r="BI93" s="216">
        <f t="shared" ref="BI93" si="677">BH93+BI91-BI92</f>
        <v>5257.1953390302015</v>
      </c>
      <c r="BJ93" s="216">
        <f t="shared" ref="BJ93" si="678">BI93+BJ91-BJ92</f>
        <v>5659.8556385790016</v>
      </c>
      <c r="BK93" s="216">
        <f t="shared" ref="BK93" si="679">BJ93+BK91-BK92</f>
        <v>6074.7117317983975</v>
      </c>
      <c r="BL93" s="216">
        <f t="shared" ref="BL93" si="680">BK93+BL91-BL92</f>
        <v>6501.5146190268179</v>
      </c>
      <c r="BM93" s="215">
        <f t="shared" ref="BM93" si="681">BL93+BM91-BM92</f>
        <v>6940.0203843908503</v>
      </c>
      <c r="BN93" s="216">
        <f t="shared" ref="BN93" si="682">BM93+BN91-BN92</f>
        <v>7389.9900920103137</v>
      </c>
      <c r="BO93" s="216">
        <f t="shared" ref="BO93" si="683">BN93+BO91-BO92</f>
        <v>7851.1896843224968</v>
      </c>
      <c r="BP93" s="216">
        <f t="shared" ref="BP93" si="684">BO93+BP91-BP92</f>
        <v>8323.38988248229</v>
      </c>
      <c r="BQ93" s="216">
        <f t="shared" ref="BQ93" si="685">BP93+BQ91-BQ92</f>
        <v>8806.3660887958395</v>
      </c>
      <c r="BR93" s="216">
        <f t="shared" ref="BR93" si="686">BQ93+BR91-BR92</f>
        <v>9299.8982911461935</v>
      </c>
      <c r="BS93" s="216">
        <f t="shared" ref="BS93" si="687">BR93+BS91-BS92</f>
        <v>9803.7709693702764</v>
      </c>
      <c r="BT93" s="216">
        <f t="shared" ref="BT93" si="688">BS93+BT91-BT92</f>
        <v>10317.773003547352</v>
      </c>
      <c r="BU93" s="216">
        <f t="shared" ref="BU93" si="689">BT93+BU91-BU92</f>
        <v>10841.697584159947</v>
      </c>
      <c r="BV93" s="216">
        <f t="shared" ref="BV93" si="690">BU93+BV91-BV92</f>
        <v>11375.342124089</v>
      </c>
      <c r="BW93" s="216">
        <f t="shared" ref="BW93" si="691">BV93+BW91-BW92</f>
        <v>11918.508172405802</v>
      </c>
      <c r="BX93" s="216">
        <f t="shared" ref="BX93" si="692">BW93+BX91-BX92</f>
        <v>12471.001329924022</v>
      </c>
      <c r="BY93" s="215">
        <f t="shared" ref="BY93" si="693">BX93+BY91-BY92</f>
        <v>13032.631166475905</v>
      </c>
      <c r="BZ93" s="216">
        <f t="shared" ref="BZ93" si="694">BY93+BZ91-BZ92</f>
        <v>13603.211139877425</v>
      </c>
      <c r="CA93" s="216">
        <f t="shared" ref="CA93" si="695">BZ93+CA91-CA92</f>
        <v>14182.558516547906</v>
      </c>
      <c r="CB93" s="216">
        <f t="shared" ref="CB93" si="696">CA93+CB91-CB92</f>
        <v>14770.494293750358</v>
      </c>
      <c r="CC93" s="216">
        <f t="shared" ref="CC93" si="697">CB93+CC91-CC92</f>
        <v>15366.843123419399</v>
      </c>
      <c r="CD93" s="216">
        <f t="shared" ref="CD93" si="698">CC93+CD91-CD92</f>
        <v>15971.433237544392</v>
      </c>
      <c r="CE93" s="216">
        <f t="shared" ref="CE93" si="699">CD93+CE91-CE92</f>
        <v>16584.096375076006</v>
      </c>
      <c r="CF93" s="216">
        <f t="shared" ref="CF93" si="700">CE93+CF91-CF92</f>
        <v>17204.667710325117</v>
      </c>
      <c r="CG93" s="216">
        <f t="shared" ref="CG93" si="701">CF93+CG91-CG92</f>
        <v>17832.985782823598</v>
      </c>
      <c r="CH93" s="216">
        <f t="shared" ref="CH93" si="702">CG93+CH91-CH92</f>
        <v>18468.892428617095</v>
      </c>
      <c r="CI93" s="216">
        <f t="shared" ref="CI93" si="703">CH93+CI91-CI92</f>
        <v>19112.232712960624</v>
      </c>
      <c r="CJ93" s="216">
        <f t="shared" ref="CJ93" si="704">CI93+CJ91-CJ92</f>
        <v>19762.854864388282</v>
      </c>
      <c r="CK93" s="215">
        <f t="shared" ref="CK93" si="705">CJ93+CK91-CK92</f>
        <v>20420.610210129071</v>
      </c>
    </row>
    <row r="94" spans="2:89" x14ac:dyDescent="0.2">
      <c r="B94" s="121" t="s">
        <v>82</v>
      </c>
      <c r="C94" s="214">
        <v>75</v>
      </c>
      <c r="F94" s="407"/>
      <c r="G94" s="407"/>
      <c r="H94" s="407"/>
      <c r="I94" s="407"/>
      <c r="J94" s="407"/>
      <c r="K94" s="407"/>
      <c r="L94" s="407"/>
      <c r="M94" s="407"/>
      <c r="N94" s="433"/>
      <c r="O94" s="433"/>
      <c r="P94" s="433"/>
      <c r="Q94" s="434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70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70"/>
      <c r="AP94" s="169"/>
      <c r="AQ94" s="169"/>
      <c r="AR94" s="169"/>
      <c r="AS94" s="169"/>
      <c r="AT94" s="169"/>
      <c r="AU94" s="169"/>
      <c r="AV94" s="169"/>
      <c r="AW94" s="169"/>
      <c r="AX94" s="169"/>
      <c r="AY94" s="169"/>
      <c r="AZ94" s="169"/>
      <c r="BA94" s="170"/>
      <c r="BB94" s="169"/>
      <c r="BC94" s="169"/>
      <c r="BD94" s="169"/>
      <c r="BE94" s="169"/>
      <c r="BF94" s="169"/>
      <c r="BG94" s="169"/>
      <c r="BH94" s="169"/>
      <c r="BI94" s="169"/>
      <c r="BJ94" s="169"/>
      <c r="BK94" s="169"/>
      <c r="BL94" s="169"/>
      <c r="BM94" s="170"/>
      <c r="BN94" s="169"/>
      <c r="BO94" s="169"/>
      <c r="BP94" s="169"/>
      <c r="BQ94" s="169"/>
      <c r="BR94" s="169"/>
      <c r="BS94" s="169"/>
      <c r="BT94" s="169"/>
      <c r="BU94" s="169"/>
      <c r="BV94" s="169"/>
      <c r="BW94" s="169"/>
      <c r="BX94" s="169"/>
      <c r="BY94" s="170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70"/>
    </row>
    <row r="95" spans="2:89" s="107" customFormat="1" x14ac:dyDescent="0.2">
      <c r="B95" s="142" t="s">
        <v>83</v>
      </c>
      <c r="E95" s="143"/>
      <c r="F95" s="407"/>
      <c r="G95" s="407"/>
      <c r="H95" s="407"/>
      <c r="I95" s="407"/>
      <c r="J95" s="407"/>
      <c r="K95" s="407"/>
      <c r="L95" s="407"/>
      <c r="M95" s="407"/>
      <c r="N95" s="433">
        <f t="shared" ref="N95:BA95" si="706">$C94*N93</f>
        <v>0</v>
      </c>
      <c r="O95" s="433">
        <f t="shared" si="706"/>
        <v>0</v>
      </c>
      <c r="P95" s="433">
        <f t="shared" si="706"/>
        <v>0</v>
      </c>
      <c r="Q95" s="434">
        <f t="shared" si="706"/>
        <v>0</v>
      </c>
      <c r="R95" s="213">
        <f t="shared" si="706"/>
        <v>0</v>
      </c>
      <c r="S95" s="213">
        <f t="shared" si="706"/>
        <v>0</v>
      </c>
      <c r="T95" s="213">
        <f t="shared" si="706"/>
        <v>0</v>
      </c>
      <c r="U95" s="213">
        <f t="shared" si="706"/>
        <v>0</v>
      </c>
      <c r="V95" s="213">
        <f t="shared" si="706"/>
        <v>0</v>
      </c>
      <c r="W95" s="213">
        <f t="shared" si="706"/>
        <v>0</v>
      </c>
      <c r="X95" s="213">
        <f t="shared" si="706"/>
        <v>0</v>
      </c>
      <c r="Y95" s="213">
        <f t="shared" si="706"/>
        <v>0</v>
      </c>
      <c r="Z95" s="213">
        <f t="shared" si="706"/>
        <v>0</v>
      </c>
      <c r="AA95" s="213">
        <f t="shared" si="706"/>
        <v>0</v>
      </c>
      <c r="AB95" s="213">
        <f t="shared" si="706"/>
        <v>0</v>
      </c>
      <c r="AC95" s="212">
        <f t="shared" si="706"/>
        <v>0</v>
      </c>
      <c r="AD95" s="213">
        <f t="shared" si="706"/>
        <v>0</v>
      </c>
      <c r="AE95" s="213">
        <f t="shared" si="706"/>
        <v>0</v>
      </c>
      <c r="AF95" s="213">
        <f t="shared" si="706"/>
        <v>0</v>
      </c>
      <c r="AG95" s="213">
        <f t="shared" si="706"/>
        <v>0</v>
      </c>
      <c r="AH95" s="213">
        <f t="shared" si="706"/>
        <v>0</v>
      </c>
      <c r="AI95" s="213">
        <f t="shared" si="706"/>
        <v>0</v>
      </c>
      <c r="AJ95" s="213">
        <f t="shared" si="706"/>
        <v>0</v>
      </c>
      <c r="AK95" s="213">
        <f t="shared" si="706"/>
        <v>0</v>
      </c>
      <c r="AL95" s="213">
        <f t="shared" si="706"/>
        <v>1500</v>
      </c>
      <c r="AM95" s="213">
        <f t="shared" si="706"/>
        <v>4500</v>
      </c>
      <c r="AN95" s="213">
        <f t="shared" si="706"/>
        <v>8970</v>
      </c>
      <c r="AO95" s="212">
        <f t="shared" si="706"/>
        <v>14880</v>
      </c>
      <c r="AP95" s="213">
        <f t="shared" si="706"/>
        <v>22200.6</v>
      </c>
      <c r="AQ95" s="213">
        <f t="shared" si="706"/>
        <v>30902.999999999996</v>
      </c>
      <c r="AR95" s="213">
        <f t="shared" si="706"/>
        <v>40958.987999999998</v>
      </c>
      <c r="AS95" s="213">
        <f t="shared" si="706"/>
        <v>52340.927999999993</v>
      </c>
      <c r="AT95" s="213">
        <f t="shared" si="706"/>
        <v>65021.748239999994</v>
      </c>
      <c r="AU95" s="213">
        <f t="shared" si="706"/>
        <v>78974.929680000001</v>
      </c>
      <c r="AV95" s="213">
        <f t="shared" si="706"/>
        <v>94174.494715199995</v>
      </c>
      <c r="AW95" s="213">
        <f t="shared" si="706"/>
        <v>110594.99612159999</v>
      </c>
      <c r="AX95" s="213">
        <f t="shared" si="706"/>
        <v>128211.50622729599</v>
      </c>
      <c r="AY95" s="213">
        <f t="shared" si="706"/>
        <v>146999.60630486399</v>
      </c>
      <c r="AZ95" s="213">
        <f t="shared" si="706"/>
        <v>166935.3761803181</v>
      </c>
      <c r="BA95" s="212">
        <f t="shared" si="706"/>
        <v>187995.38405422083</v>
      </c>
      <c r="BB95" s="213">
        <f t="shared" ref="BB95:BM95" si="707">$C94*BB93</f>
        <v>210156.67653061447</v>
      </c>
      <c r="BC95" s="213">
        <f t="shared" si="707"/>
        <v>233396.76884953005</v>
      </c>
      <c r="BD95" s="213">
        <f t="shared" si="707"/>
        <v>257693.63531891775</v>
      </c>
      <c r="BE95" s="213">
        <f t="shared" si="707"/>
        <v>283025.69994192716</v>
      </c>
      <c r="BF95" s="213">
        <f t="shared" si="707"/>
        <v>309371.82723554882</v>
      </c>
      <c r="BG95" s="213">
        <f t="shared" si="707"/>
        <v>336711.31323671032</v>
      </c>
      <c r="BH95" s="213">
        <f t="shared" si="707"/>
        <v>365023.87669199932</v>
      </c>
      <c r="BI95" s="213">
        <f t="shared" si="707"/>
        <v>394289.65042726509</v>
      </c>
      <c r="BJ95" s="213">
        <f t="shared" si="707"/>
        <v>424489.1728934251</v>
      </c>
      <c r="BK95" s="213">
        <f t="shared" si="707"/>
        <v>455603.3798848798</v>
      </c>
      <c r="BL95" s="213">
        <f t="shared" si="707"/>
        <v>487613.59642701136</v>
      </c>
      <c r="BM95" s="212">
        <f t="shared" si="707"/>
        <v>520501.52882931376</v>
      </c>
      <c r="BN95" s="213">
        <f t="shared" ref="BN95:BY95" si="708">$C94*BN93</f>
        <v>554249.2569007735</v>
      </c>
      <c r="BO95" s="213">
        <f t="shared" si="708"/>
        <v>588839.22632418724</v>
      </c>
      <c r="BP95" s="213">
        <f t="shared" si="708"/>
        <v>624254.24118617177</v>
      </c>
      <c r="BQ95" s="213">
        <f t="shared" si="708"/>
        <v>660477.45665968792</v>
      </c>
      <c r="BR95" s="213">
        <f t="shared" si="708"/>
        <v>697492.3718359645</v>
      </c>
      <c r="BS95" s="213">
        <f t="shared" si="708"/>
        <v>735282.8227027707</v>
      </c>
      <c r="BT95" s="213">
        <f t="shared" si="708"/>
        <v>773832.97526605148</v>
      </c>
      <c r="BU95" s="213">
        <f t="shared" si="708"/>
        <v>813127.31881199603</v>
      </c>
      <c r="BV95" s="213">
        <f t="shared" si="708"/>
        <v>853150.65930667496</v>
      </c>
      <c r="BW95" s="213">
        <f t="shared" si="708"/>
        <v>893888.11293043511</v>
      </c>
      <c r="BX95" s="213">
        <f t="shared" si="708"/>
        <v>935325.09974430164</v>
      </c>
      <c r="BY95" s="212">
        <f t="shared" si="708"/>
        <v>977447.33748569293</v>
      </c>
      <c r="BZ95" s="213">
        <f t="shared" ref="BZ95:CK95" si="709">$C94*BZ93</f>
        <v>1020240.8354908068</v>
      </c>
      <c r="CA95" s="213">
        <f t="shared" si="709"/>
        <v>1063691.888741093</v>
      </c>
      <c r="CB95" s="213">
        <f t="shared" si="709"/>
        <v>1107787.0720312768</v>
      </c>
      <c r="CC95" s="213">
        <f t="shared" si="709"/>
        <v>1152513.234256455</v>
      </c>
      <c r="CD95" s="213">
        <f t="shared" si="709"/>
        <v>1197857.4928158293</v>
      </c>
      <c r="CE95" s="213">
        <f t="shared" si="709"/>
        <v>1243807.2281307005</v>
      </c>
      <c r="CF95" s="213">
        <f t="shared" si="709"/>
        <v>1290350.0782743837</v>
      </c>
      <c r="CG95" s="213">
        <f t="shared" si="709"/>
        <v>1337473.9337117698</v>
      </c>
      <c r="CH95" s="213">
        <f t="shared" si="709"/>
        <v>1385166.9321462822</v>
      </c>
      <c r="CI95" s="213">
        <f t="shared" si="709"/>
        <v>1433417.4534720469</v>
      </c>
      <c r="CJ95" s="213">
        <f t="shared" si="709"/>
        <v>1482214.1148291212</v>
      </c>
      <c r="CK95" s="212">
        <f t="shared" si="709"/>
        <v>1531545.7657596804</v>
      </c>
    </row>
    <row r="96" spans="2:89" x14ac:dyDescent="0.2">
      <c r="B96" s="121"/>
      <c r="C96" s="211"/>
      <c r="E96" s="205"/>
      <c r="F96" s="407"/>
      <c r="G96" s="407"/>
      <c r="H96" s="407"/>
      <c r="I96" s="407"/>
      <c r="J96" s="407"/>
      <c r="K96" s="407"/>
      <c r="L96" s="407"/>
      <c r="M96" s="407"/>
      <c r="N96" s="433"/>
      <c r="O96" s="433"/>
      <c r="P96" s="433"/>
      <c r="Q96" s="434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70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70"/>
      <c r="AP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69"/>
      <c r="BA96" s="170"/>
      <c r="BB96" s="169"/>
      <c r="BC96" s="169"/>
      <c r="BD96" s="169"/>
      <c r="BE96" s="169"/>
      <c r="BF96" s="169"/>
      <c r="BG96" s="169"/>
      <c r="BH96" s="169"/>
      <c r="BI96" s="169"/>
      <c r="BJ96" s="169"/>
      <c r="BK96" s="169"/>
      <c r="BL96" s="169"/>
      <c r="BM96" s="170"/>
      <c r="BN96" s="169"/>
      <c r="BO96" s="169"/>
      <c r="BP96" s="169"/>
      <c r="BQ96" s="169"/>
      <c r="BR96" s="169"/>
      <c r="BS96" s="169"/>
      <c r="BT96" s="169"/>
      <c r="BU96" s="169"/>
      <c r="BV96" s="169"/>
      <c r="BW96" s="169"/>
      <c r="BX96" s="169"/>
      <c r="BY96" s="170"/>
      <c r="BZ96" s="169"/>
      <c r="CA96" s="169"/>
      <c r="CB96" s="169"/>
      <c r="CC96" s="169"/>
      <c r="CD96" s="169"/>
      <c r="CE96" s="169"/>
      <c r="CF96" s="169"/>
      <c r="CG96" s="169"/>
      <c r="CH96" s="169"/>
      <c r="CI96" s="169"/>
      <c r="CJ96" s="169"/>
      <c r="CK96" s="170"/>
    </row>
    <row r="97" spans="2:89" s="2" customFormat="1" x14ac:dyDescent="0.2">
      <c r="B97" s="118" t="s">
        <v>84</v>
      </c>
      <c r="C97" s="210">
        <v>0.17499999999999999</v>
      </c>
      <c r="E97" s="209"/>
      <c r="F97" s="18"/>
      <c r="G97" s="18"/>
      <c r="H97" s="18"/>
      <c r="I97" s="18"/>
      <c r="J97" s="18"/>
      <c r="K97" s="18"/>
      <c r="L97" s="18"/>
      <c r="M97" s="18"/>
      <c r="N97" s="435">
        <f t="shared" ref="N97:BA97" si="710">N95*$C97</f>
        <v>0</v>
      </c>
      <c r="O97" s="435">
        <f t="shared" si="710"/>
        <v>0</v>
      </c>
      <c r="P97" s="435">
        <f t="shared" si="710"/>
        <v>0</v>
      </c>
      <c r="Q97" s="436">
        <f t="shared" si="710"/>
        <v>0</v>
      </c>
      <c r="R97" s="208">
        <f t="shared" si="710"/>
        <v>0</v>
      </c>
      <c r="S97" s="208">
        <f t="shared" si="710"/>
        <v>0</v>
      </c>
      <c r="T97" s="208">
        <f t="shared" si="710"/>
        <v>0</v>
      </c>
      <c r="U97" s="208">
        <f t="shared" si="710"/>
        <v>0</v>
      </c>
      <c r="V97" s="208">
        <f t="shared" si="710"/>
        <v>0</v>
      </c>
      <c r="W97" s="208">
        <f t="shared" si="710"/>
        <v>0</v>
      </c>
      <c r="X97" s="208">
        <f t="shared" si="710"/>
        <v>0</v>
      </c>
      <c r="Y97" s="208">
        <f t="shared" si="710"/>
        <v>0</v>
      </c>
      <c r="Z97" s="208">
        <f t="shared" si="710"/>
        <v>0</v>
      </c>
      <c r="AA97" s="208">
        <f t="shared" si="710"/>
        <v>0</v>
      </c>
      <c r="AB97" s="208">
        <f t="shared" si="710"/>
        <v>0</v>
      </c>
      <c r="AC97" s="207">
        <f t="shared" si="710"/>
        <v>0</v>
      </c>
      <c r="AD97" s="208">
        <f t="shared" si="710"/>
        <v>0</v>
      </c>
      <c r="AE97" s="208">
        <f t="shared" si="710"/>
        <v>0</v>
      </c>
      <c r="AF97" s="208">
        <f t="shared" si="710"/>
        <v>0</v>
      </c>
      <c r="AG97" s="208">
        <f t="shared" si="710"/>
        <v>0</v>
      </c>
      <c r="AH97" s="208">
        <f t="shared" si="710"/>
        <v>0</v>
      </c>
      <c r="AI97" s="208">
        <f t="shared" si="710"/>
        <v>0</v>
      </c>
      <c r="AJ97" s="208">
        <f t="shared" si="710"/>
        <v>0</v>
      </c>
      <c r="AK97" s="208">
        <f t="shared" si="710"/>
        <v>0</v>
      </c>
      <c r="AL97" s="208">
        <f t="shared" si="710"/>
        <v>262.5</v>
      </c>
      <c r="AM97" s="208">
        <f t="shared" si="710"/>
        <v>787.5</v>
      </c>
      <c r="AN97" s="208">
        <f t="shared" si="710"/>
        <v>1569.75</v>
      </c>
      <c r="AO97" s="207">
        <f t="shared" si="710"/>
        <v>2604</v>
      </c>
      <c r="AP97" s="208">
        <f t="shared" si="710"/>
        <v>3885.1049999999996</v>
      </c>
      <c r="AQ97" s="208">
        <f t="shared" si="710"/>
        <v>5408.0249999999987</v>
      </c>
      <c r="AR97" s="208">
        <f t="shared" si="710"/>
        <v>7167.8228999999992</v>
      </c>
      <c r="AS97" s="208">
        <f t="shared" si="710"/>
        <v>9159.6623999999974</v>
      </c>
      <c r="AT97" s="208">
        <f t="shared" si="710"/>
        <v>11378.805941999999</v>
      </c>
      <c r="AU97" s="208">
        <f t="shared" si="710"/>
        <v>13820.612693999999</v>
      </c>
      <c r="AV97" s="208">
        <f t="shared" si="710"/>
        <v>16480.536575159997</v>
      </c>
      <c r="AW97" s="208">
        <f t="shared" si="710"/>
        <v>19354.124321279996</v>
      </c>
      <c r="AX97" s="208">
        <f t="shared" si="710"/>
        <v>22437.013589776798</v>
      </c>
      <c r="AY97" s="208">
        <f t="shared" si="710"/>
        <v>25724.931103351199</v>
      </c>
      <c r="AZ97" s="208">
        <f t="shared" si="710"/>
        <v>29213.690831555665</v>
      </c>
      <c r="BA97" s="207">
        <f t="shared" si="710"/>
        <v>32899.192209488647</v>
      </c>
      <c r="BB97" s="208">
        <f t="shared" ref="BB97:BM97" si="711">BB95*$C97</f>
        <v>36777.418392857529</v>
      </c>
      <c r="BC97" s="208">
        <f t="shared" si="711"/>
        <v>40844.434548667756</v>
      </c>
      <c r="BD97" s="208">
        <f t="shared" si="711"/>
        <v>45096.386180810601</v>
      </c>
      <c r="BE97" s="208">
        <f t="shared" si="711"/>
        <v>49529.497489837253</v>
      </c>
      <c r="BF97" s="208">
        <f t="shared" si="711"/>
        <v>54140.069766221037</v>
      </c>
      <c r="BG97" s="208">
        <f t="shared" si="711"/>
        <v>58924.479816424304</v>
      </c>
      <c r="BH97" s="208">
        <f t="shared" si="711"/>
        <v>63879.178421099874</v>
      </c>
      <c r="BI97" s="208">
        <f t="shared" si="711"/>
        <v>69000.68882477138</v>
      </c>
      <c r="BJ97" s="208">
        <f t="shared" si="711"/>
        <v>74285.605256349387</v>
      </c>
      <c r="BK97" s="208">
        <f t="shared" si="711"/>
        <v>79730.59147985396</v>
      </c>
      <c r="BL97" s="208">
        <f t="shared" si="711"/>
        <v>85332.379374726981</v>
      </c>
      <c r="BM97" s="207">
        <f t="shared" si="711"/>
        <v>91087.7675451299</v>
      </c>
      <c r="BN97" s="208">
        <f t="shared" ref="BN97:BY97" si="712">BN95*$C97</f>
        <v>96993.619957635354</v>
      </c>
      <c r="BO97" s="208">
        <f t="shared" si="712"/>
        <v>103046.86460673276</v>
      </c>
      <c r="BP97" s="208">
        <f t="shared" si="712"/>
        <v>109244.49220758006</v>
      </c>
      <c r="BQ97" s="208">
        <f t="shared" si="712"/>
        <v>115583.55491544538</v>
      </c>
      <c r="BR97" s="208">
        <f t="shared" si="712"/>
        <v>122061.16507129378</v>
      </c>
      <c r="BS97" s="208">
        <f t="shared" si="712"/>
        <v>128674.49397298487</v>
      </c>
      <c r="BT97" s="208">
        <f t="shared" si="712"/>
        <v>135420.770671559</v>
      </c>
      <c r="BU97" s="208">
        <f t="shared" si="712"/>
        <v>142297.28079209931</v>
      </c>
      <c r="BV97" s="208">
        <f t="shared" si="712"/>
        <v>149301.3653786681</v>
      </c>
      <c r="BW97" s="208">
        <f t="shared" si="712"/>
        <v>156430.41976282615</v>
      </c>
      <c r="BX97" s="208">
        <f t="shared" si="712"/>
        <v>163681.89245525279</v>
      </c>
      <c r="BY97" s="207">
        <f t="shared" si="712"/>
        <v>171053.28405999625</v>
      </c>
      <c r="BZ97" s="208">
        <f t="shared" ref="BZ97:CK97" si="713">BZ95*$C97</f>
        <v>178542.14621089119</v>
      </c>
      <c r="CA97" s="208">
        <f t="shared" si="713"/>
        <v>186146.08052969127</v>
      </c>
      <c r="CB97" s="208">
        <f t="shared" si="713"/>
        <v>193862.73760547343</v>
      </c>
      <c r="CC97" s="208">
        <f t="shared" si="713"/>
        <v>201689.81599487961</v>
      </c>
      <c r="CD97" s="208">
        <f t="shared" si="713"/>
        <v>209625.06124277011</v>
      </c>
      <c r="CE97" s="208">
        <f t="shared" si="713"/>
        <v>217666.26492287259</v>
      </c>
      <c r="CF97" s="208">
        <f t="shared" si="713"/>
        <v>225811.26369801714</v>
      </c>
      <c r="CG97" s="208">
        <f t="shared" si="713"/>
        <v>234057.9383995597</v>
      </c>
      <c r="CH97" s="208">
        <f t="shared" si="713"/>
        <v>242404.21312559937</v>
      </c>
      <c r="CI97" s="208">
        <f t="shared" si="713"/>
        <v>250848.0543576082</v>
      </c>
      <c r="CJ97" s="208">
        <f t="shared" si="713"/>
        <v>259387.47009509619</v>
      </c>
      <c r="CK97" s="207">
        <f t="shared" si="713"/>
        <v>268020.50900794409</v>
      </c>
    </row>
    <row r="98" spans="2:89" x14ac:dyDescent="0.2">
      <c r="B98" s="121" t="s">
        <v>85</v>
      </c>
      <c r="C98" s="206">
        <v>3</v>
      </c>
      <c r="E98" s="205"/>
      <c r="F98" s="407"/>
      <c r="G98" s="407"/>
      <c r="H98" s="407"/>
      <c r="I98" s="407"/>
      <c r="J98" s="407"/>
      <c r="K98" s="407"/>
      <c r="L98" s="407"/>
      <c r="M98" s="407"/>
      <c r="N98" s="433">
        <f t="shared" ref="N98:BA98" si="714">N93*$C98</f>
        <v>0</v>
      </c>
      <c r="O98" s="433">
        <f t="shared" si="714"/>
        <v>0</v>
      </c>
      <c r="P98" s="433">
        <f t="shared" si="714"/>
        <v>0</v>
      </c>
      <c r="Q98" s="434">
        <f t="shared" si="714"/>
        <v>0</v>
      </c>
      <c r="R98" s="169">
        <f t="shared" si="714"/>
        <v>0</v>
      </c>
      <c r="S98" s="169">
        <f t="shared" si="714"/>
        <v>0</v>
      </c>
      <c r="T98" s="169">
        <f t="shared" si="714"/>
        <v>0</v>
      </c>
      <c r="U98" s="169">
        <f t="shared" si="714"/>
        <v>0</v>
      </c>
      <c r="V98" s="169">
        <f t="shared" si="714"/>
        <v>0</v>
      </c>
      <c r="W98" s="169">
        <f t="shared" si="714"/>
        <v>0</v>
      </c>
      <c r="X98" s="169">
        <f t="shared" si="714"/>
        <v>0</v>
      </c>
      <c r="Y98" s="169">
        <f t="shared" si="714"/>
        <v>0</v>
      </c>
      <c r="Z98" s="169">
        <f t="shared" si="714"/>
        <v>0</v>
      </c>
      <c r="AA98" s="169">
        <f t="shared" si="714"/>
        <v>0</v>
      </c>
      <c r="AB98" s="169">
        <f t="shared" si="714"/>
        <v>0</v>
      </c>
      <c r="AC98" s="170">
        <f t="shared" si="714"/>
        <v>0</v>
      </c>
      <c r="AD98" s="169">
        <f t="shared" si="714"/>
        <v>0</v>
      </c>
      <c r="AE98" s="169">
        <f t="shared" si="714"/>
        <v>0</v>
      </c>
      <c r="AF98" s="169">
        <f t="shared" si="714"/>
        <v>0</v>
      </c>
      <c r="AG98" s="169">
        <f t="shared" si="714"/>
        <v>0</v>
      </c>
      <c r="AH98" s="169">
        <f t="shared" si="714"/>
        <v>0</v>
      </c>
      <c r="AI98" s="169">
        <f t="shared" si="714"/>
        <v>0</v>
      </c>
      <c r="AJ98" s="169">
        <f t="shared" si="714"/>
        <v>0</v>
      </c>
      <c r="AK98" s="169">
        <f t="shared" si="714"/>
        <v>0</v>
      </c>
      <c r="AL98" s="169">
        <f t="shared" si="714"/>
        <v>60</v>
      </c>
      <c r="AM98" s="169">
        <f t="shared" si="714"/>
        <v>180</v>
      </c>
      <c r="AN98" s="169">
        <f t="shared" si="714"/>
        <v>358.79999999999995</v>
      </c>
      <c r="AO98" s="170">
        <f t="shared" si="714"/>
        <v>595.20000000000005</v>
      </c>
      <c r="AP98" s="169">
        <f t="shared" si="714"/>
        <v>888.02399999999989</v>
      </c>
      <c r="AQ98" s="169">
        <f t="shared" si="714"/>
        <v>1236.1199999999999</v>
      </c>
      <c r="AR98" s="169">
        <f t="shared" si="714"/>
        <v>1638.35952</v>
      </c>
      <c r="AS98" s="169">
        <f t="shared" si="714"/>
        <v>2093.6371199999999</v>
      </c>
      <c r="AT98" s="169">
        <f t="shared" si="714"/>
        <v>2600.8699295999995</v>
      </c>
      <c r="AU98" s="169">
        <f t="shared" si="714"/>
        <v>3158.9971871999996</v>
      </c>
      <c r="AV98" s="169">
        <f t="shared" si="714"/>
        <v>3766.9797886079996</v>
      </c>
      <c r="AW98" s="169">
        <f t="shared" si="714"/>
        <v>4423.7998448640001</v>
      </c>
      <c r="AX98" s="169">
        <f t="shared" si="714"/>
        <v>5128.4602490918396</v>
      </c>
      <c r="AY98" s="169">
        <f t="shared" si="714"/>
        <v>5879.9842521945593</v>
      </c>
      <c r="AZ98" s="169">
        <f t="shared" si="714"/>
        <v>6677.4150472127239</v>
      </c>
      <c r="BA98" s="170">
        <f t="shared" si="714"/>
        <v>7519.8153621688325</v>
      </c>
      <c r="BB98" s="169">
        <f t="shared" ref="BB98:BM98" si="715">BB93*$C98</f>
        <v>8406.2670612245784</v>
      </c>
      <c r="BC98" s="169">
        <f t="shared" si="715"/>
        <v>9335.8707539812021</v>
      </c>
      <c r="BD98" s="169">
        <f t="shared" si="715"/>
        <v>10307.745412756711</v>
      </c>
      <c r="BE98" s="169">
        <f t="shared" si="715"/>
        <v>11321.027997677085</v>
      </c>
      <c r="BF98" s="169">
        <f t="shared" si="715"/>
        <v>12374.873089421953</v>
      </c>
      <c r="BG98" s="169">
        <f t="shared" si="715"/>
        <v>13468.452529468414</v>
      </c>
      <c r="BH98" s="169">
        <f t="shared" si="715"/>
        <v>14600.955067679974</v>
      </c>
      <c r="BI98" s="169">
        <f t="shared" si="715"/>
        <v>15771.586017090605</v>
      </c>
      <c r="BJ98" s="169">
        <f t="shared" si="715"/>
        <v>16979.566915737007</v>
      </c>
      <c r="BK98" s="169">
        <f t="shared" si="715"/>
        <v>18224.135195395193</v>
      </c>
      <c r="BL98" s="169">
        <f t="shared" si="715"/>
        <v>19504.543857080454</v>
      </c>
      <c r="BM98" s="170">
        <f t="shared" si="715"/>
        <v>20820.061153172552</v>
      </c>
      <c r="BN98" s="169">
        <f t="shared" ref="BN98:BY98" si="716">BN93*$C98</f>
        <v>22169.970276030941</v>
      </c>
      <c r="BO98" s="169">
        <f t="shared" si="716"/>
        <v>23553.56905296749</v>
      </c>
      <c r="BP98" s="169">
        <f t="shared" si="716"/>
        <v>24970.16964744687</v>
      </c>
      <c r="BQ98" s="169">
        <f t="shared" si="716"/>
        <v>26419.098266387518</v>
      </c>
      <c r="BR98" s="169">
        <f t="shared" si="716"/>
        <v>27899.694873438581</v>
      </c>
      <c r="BS98" s="169">
        <f t="shared" si="716"/>
        <v>29411.312908110827</v>
      </c>
      <c r="BT98" s="169">
        <f t="shared" si="716"/>
        <v>30953.319010642059</v>
      </c>
      <c r="BU98" s="169">
        <f t="shared" si="716"/>
        <v>32525.092752479839</v>
      </c>
      <c r="BV98" s="169">
        <f t="shared" si="716"/>
        <v>34126.026372266999</v>
      </c>
      <c r="BW98" s="169">
        <f t="shared" si="716"/>
        <v>35755.524517217404</v>
      </c>
      <c r="BX98" s="169">
        <f t="shared" si="716"/>
        <v>37413.003989772064</v>
      </c>
      <c r="BY98" s="170">
        <f t="shared" si="716"/>
        <v>39097.893499427715</v>
      </c>
      <c r="BZ98" s="169">
        <f t="shared" ref="BZ98:CK98" si="717">BZ93*$C98</f>
        <v>40809.633419632271</v>
      </c>
      <c r="CA98" s="169">
        <f t="shared" si="717"/>
        <v>42547.675549643718</v>
      </c>
      <c r="CB98" s="169">
        <f t="shared" si="717"/>
        <v>44311.482881251075</v>
      </c>
      <c r="CC98" s="169">
        <f t="shared" si="717"/>
        <v>46100.529370258198</v>
      </c>
      <c r="CD98" s="169">
        <f t="shared" si="717"/>
        <v>47914.299712633176</v>
      </c>
      <c r="CE98" s="169">
        <f t="shared" si="717"/>
        <v>49752.289125228017</v>
      </c>
      <c r="CF98" s="169">
        <f t="shared" si="717"/>
        <v>51614.003130975354</v>
      </c>
      <c r="CG98" s="169">
        <f t="shared" si="717"/>
        <v>53498.957348470794</v>
      </c>
      <c r="CH98" s="169">
        <f t="shared" si="717"/>
        <v>55406.677285851285</v>
      </c>
      <c r="CI98" s="169">
        <f t="shared" si="717"/>
        <v>57336.698138881868</v>
      </c>
      <c r="CJ98" s="169">
        <f t="shared" si="717"/>
        <v>59288.564593164847</v>
      </c>
      <c r="CK98" s="170">
        <f t="shared" si="717"/>
        <v>61261.830630387209</v>
      </c>
    </row>
    <row r="99" spans="2:89" x14ac:dyDescent="0.2">
      <c r="B99" s="21"/>
      <c r="F99" s="407"/>
      <c r="G99" s="407"/>
      <c r="H99" s="407"/>
      <c r="I99" s="407"/>
      <c r="J99" s="407"/>
      <c r="K99" s="407"/>
      <c r="L99" s="407"/>
      <c r="M99" s="407"/>
      <c r="N99" s="407"/>
      <c r="O99" s="407"/>
      <c r="P99" s="407"/>
      <c r="Q99" s="408"/>
    </row>
    <row r="100" spans="2:89" x14ac:dyDescent="0.2">
      <c r="B100" s="21"/>
      <c r="F100" s="407"/>
      <c r="G100" s="407"/>
      <c r="H100" s="407"/>
      <c r="I100" s="407"/>
      <c r="J100" s="407"/>
      <c r="K100" s="407"/>
      <c r="L100" s="407"/>
      <c r="M100" s="407"/>
      <c r="N100" s="407"/>
      <c r="O100" s="407"/>
      <c r="P100" s="407"/>
      <c r="Q100" s="408"/>
    </row>
    <row r="101" spans="2:89" ht="21" x14ac:dyDescent="0.25">
      <c r="B101" s="144" t="s">
        <v>369</v>
      </c>
      <c r="C101" s="122"/>
      <c r="D101" s="122"/>
      <c r="E101" s="123"/>
      <c r="F101" s="439"/>
      <c r="G101" s="439"/>
      <c r="H101" s="439"/>
      <c r="I101" s="439"/>
      <c r="J101" s="439"/>
      <c r="K101" s="439"/>
      <c r="L101" s="439"/>
      <c r="M101" s="439"/>
      <c r="N101" s="439"/>
      <c r="O101" s="439"/>
      <c r="P101" s="439"/>
      <c r="Q101" s="440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3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3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3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3"/>
      <c r="BN101" s="122"/>
      <c r="BO101" s="122"/>
      <c r="BP101" s="122"/>
      <c r="BQ101" s="122"/>
      <c r="BR101" s="122"/>
      <c r="BS101" s="122"/>
      <c r="BT101" s="122"/>
      <c r="BU101" s="122"/>
      <c r="BV101" s="122"/>
      <c r="BW101" s="122"/>
      <c r="BX101" s="122"/>
      <c r="BY101" s="123"/>
      <c r="BZ101" s="122"/>
      <c r="CA101" s="122"/>
      <c r="CB101" s="122"/>
      <c r="CC101" s="122"/>
      <c r="CD101" s="122"/>
      <c r="CE101" s="122"/>
      <c r="CF101" s="122"/>
      <c r="CG101" s="122"/>
      <c r="CH101" s="122"/>
      <c r="CI101" s="122"/>
      <c r="CJ101" s="122"/>
      <c r="CK101" s="123"/>
    </row>
    <row r="102" spans="2:89" x14ac:dyDescent="0.2">
      <c r="B102" s="118"/>
      <c r="E102" s="140"/>
      <c r="F102" s="407"/>
      <c r="G102" s="407"/>
      <c r="H102" s="407"/>
      <c r="I102" s="407"/>
      <c r="J102" s="407"/>
      <c r="K102" s="407"/>
      <c r="L102" s="407"/>
      <c r="M102" s="407"/>
      <c r="N102" s="421"/>
      <c r="O102" s="421"/>
      <c r="P102" s="421"/>
      <c r="Q102" s="422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17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03"/>
      <c r="AO102" s="117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17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17"/>
      <c r="BN102" s="103"/>
      <c r="BO102" s="103"/>
      <c r="BP102" s="103"/>
      <c r="BQ102" s="103"/>
      <c r="BR102" s="103"/>
      <c r="BS102" s="103"/>
      <c r="BT102" s="103"/>
      <c r="BU102" s="103"/>
      <c r="BV102" s="103"/>
      <c r="BW102" s="103"/>
      <c r="BX102" s="103"/>
      <c r="BY102" s="117"/>
      <c r="BZ102" s="103"/>
      <c r="CA102" s="103"/>
      <c r="CB102" s="103"/>
      <c r="CC102" s="103"/>
      <c r="CD102" s="103"/>
      <c r="CE102" s="103"/>
      <c r="CF102" s="103"/>
      <c r="CG102" s="103"/>
      <c r="CH102" s="103"/>
      <c r="CI102" s="103"/>
      <c r="CJ102" s="103"/>
      <c r="CK102" s="117"/>
    </row>
    <row r="103" spans="2:89" s="17" customFormat="1" x14ac:dyDescent="0.2">
      <c r="B103" s="121" t="s">
        <v>79</v>
      </c>
      <c r="C103" s="224"/>
      <c r="E103" s="141"/>
      <c r="F103" s="427"/>
      <c r="G103" s="427"/>
      <c r="H103" s="427"/>
      <c r="I103" s="427"/>
      <c r="J103" s="427"/>
      <c r="K103" s="427"/>
      <c r="L103" s="427"/>
      <c r="M103" s="427"/>
      <c r="N103" s="437">
        <v>0</v>
      </c>
      <c r="O103" s="437">
        <v>0</v>
      </c>
      <c r="P103" s="437">
        <v>0</v>
      </c>
      <c r="Q103" s="438">
        <v>0</v>
      </c>
      <c r="R103" s="223">
        <v>0</v>
      </c>
      <c r="S103" s="223">
        <v>0</v>
      </c>
      <c r="T103" s="223">
        <v>0</v>
      </c>
      <c r="U103" s="223">
        <v>0</v>
      </c>
      <c r="V103" s="223">
        <v>0</v>
      </c>
      <c r="W103" s="660">
        <v>0</v>
      </c>
      <c r="X103" s="660">
        <v>0</v>
      </c>
      <c r="Y103" s="660">
        <v>0</v>
      </c>
      <c r="Z103" s="660">
        <v>0</v>
      </c>
      <c r="AA103" s="660">
        <v>0</v>
      </c>
      <c r="AB103" s="660">
        <v>0</v>
      </c>
      <c r="AC103" s="661">
        <v>0</v>
      </c>
      <c r="AD103" s="660">
        <v>0</v>
      </c>
      <c r="AE103" s="660">
        <v>0</v>
      </c>
      <c r="AF103" s="660">
        <v>0</v>
      </c>
      <c r="AG103" s="223"/>
      <c r="AH103" s="223">
        <v>5</v>
      </c>
      <c r="AI103" s="223">
        <f t="shared" ref="AH103:BA103" si="718">AH103+1</f>
        <v>6</v>
      </c>
      <c r="AJ103" s="223">
        <f t="shared" si="718"/>
        <v>7</v>
      </c>
      <c r="AK103" s="223">
        <f t="shared" si="718"/>
        <v>8</v>
      </c>
      <c r="AL103" s="223">
        <f t="shared" si="718"/>
        <v>9</v>
      </c>
      <c r="AM103" s="223">
        <f t="shared" si="718"/>
        <v>10</v>
      </c>
      <c r="AN103" s="223">
        <f t="shared" si="718"/>
        <v>11</v>
      </c>
      <c r="AO103" s="222">
        <f t="shared" si="718"/>
        <v>12</v>
      </c>
      <c r="AP103" s="223">
        <f t="shared" si="718"/>
        <v>13</v>
      </c>
      <c r="AQ103" s="223">
        <f t="shared" si="718"/>
        <v>14</v>
      </c>
      <c r="AR103" s="223">
        <f t="shared" si="718"/>
        <v>15</v>
      </c>
      <c r="AS103" s="223">
        <f t="shared" si="718"/>
        <v>16</v>
      </c>
      <c r="AT103" s="223">
        <f t="shared" si="718"/>
        <v>17</v>
      </c>
      <c r="AU103" s="223">
        <f t="shared" si="718"/>
        <v>18</v>
      </c>
      <c r="AV103" s="223">
        <f t="shared" si="718"/>
        <v>19</v>
      </c>
      <c r="AW103" s="223">
        <f t="shared" si="718"/>
        <v>20</v>
      </c>
      <c r="AX103" s="223">
        <f t="shared" si="718"/>
        <v>21</v>
      </c>
      <c r="AY103" s="223">
        <f t="shared" si="718"/>
        <v>22</v>
      </c>
      <c r="AZ103" s="223">
        <f t="shared" si="718"/>
        <v>23</v>
      </c>
      <c r="BA103" s="222">
        <f t="shared" si="718"/>
        <v>24</v>
      </c>
      <c r="BB103" s="223">
        <f t="shared" ref="BB103" si="719">BA103+1</f>
        <v>25</v>
      </c>
      <c r="BC103" s="223">
        <f t="shared" ref="BC103" si="720">BB103+1</f>
        <v>26</v>
      </c>
      <c r="BD103" s="223">
        <f t="shared" ref="BD103" si="721">BC103+1</f>
        <v>27</v>
      </c>
      <c r="BE103" s="223">
        <f t="shared" ref="BE103" si="722">BD103+1</f>
        <v>28</v>
      </c>
      <c r="BF103" s="223">
        <f t="shared" ref="BF103" si="723">BE103+1</f>
        <v>29</v>
      </c>
      <c r="BG103" s="223">
        <f t="shared" ref="BG103" si="724">BF103+1</f>
        <v>30</v>
      </c>
      <c r="BH103" s="223">
        <f t="shared" ref="BH103" si="725">BG103+1</f>
        <v>31</v>
      </c>
      <c r="BI103" s="223">
        <f t="shared" ref="BI103" si="726">BH103+1</f>
        <v>32</v>
      </c>
      <c r="BJ103" s="223">
        <f t="shared" ref="BJ103" si="727">BI103+1</f>
        <v>33</v>
      </c>
      <c r="BK103" s="223">
        <f t="shared" ref="BK103" si="728">BJ103+1</f>
        <v>34</v>
      </c>
      <c r="BL103" s="223">
        <f t="shared" ref="BL103" si="729">BK103+1</f>
        <v>35</v>
      </c>
      <c r="BM103" s="222">
        <f t="shared" ref="BM103" si="730">BL103+1</f>
        <v>36</v>
      </c>
      <c r="BN103" s="223">
        <f t="shared" ref="BN103" si="731">BM103+1</f>
        <v>37</v>
      </c>
      <c r="BO103" s="223">
        <f t="shared" ref="BO103" si="732">BN103+1</f>
        <v>38</v>
      </c>
      <c r="BP103" s="223">
        <f t="shared" ref="BP103" si="733">BO103+1</f>
        <v>39</v>
      </c>
      <c r="BQ103" s="223">
        <f t="shared" ref="BQ103" si="734">BP103+1</f>
        <v>40</v>
      </c>
      <c r="BR103" s="223">
        <f t="shared" ref="BR103" si="735">BQ103+1</f>
        <v>41</v>
      </c>
      <c r="BS103" s="223">
        <f t="shared" ref="BS103" si="736">BR103+1</f>
        <v>42</v>
      </c>
      <c r="BT103" s="223">
        <f t="shared" ref="BT103" si="737">BS103+1</f>
        <v>43</v>
      </c>
      <c r="BU103" s="223">
        <f t="shared" ref="BU103" si="738">BT103+1</f>
        <v>44</v>
      </c>
      <c r="BV103" s="223">
        <f t="shared" ref="BV103" si="739">BU103+1</f>
        <v>45</v>
      </c>
      <c r="BW103" s="223">
        <f t="shared" ref="BW103" si="740">BV103+1</f>
        <v>46</v>
      </c>
      <c r="BX103" s="223">
        <f t="shared" ref="BX103" si="741">BW103+1</f>
        <v>47</v>
      </c>
      <c r="BY103" s="222">
        <f t="shared" ref="BY103" si="742">BX103+1</f>
        <v>48</v>
      </c>
      <c r="BZ103" s="223">
        <f t="shared" ref="BZ103" si="743">BY103+1</f>
        <v>49</v>
      </c>
      <c r="CA103" s="223">
        <f t="shared" ref="CA103" si="744">BZ103+1</f>
        <v>50</v>
      </c>
      <c r="CB103" s="223">
        <f t="shared" ref="CB103" si="745">CA103+1</f>
        <v>51</v>
      </c>
      <c r="CC103" s="223">
        <f t="shared" ref="CC103" si="746">CB103+1</f>
        <v>52</v>
      </c>
      <c r="CD103" s="223">
        <f t="shared" ref="CD103" si="747">CC103+1</f>
        <v>53</v>
      </c>
      <c r="CE103" s="223">
        <f t="shared" ref="CE103" si="748">CD103+1</f>
        <v>54</v>
      </c>
      <c r="CF103" s="223">
        <f t="shared" ref="CF103" si="749">CE103+1</f>
        <v>55</v>
      </c>
      <c r="CG103" s="223">
        <f t="shared" ref="CG103" si="750">CF103+1</f>
        <v>56</v>
      </c>
      <c r="CH103" s="223">
        <f t="shared" ref="CH103" si="751">CG103+1</f>
        <v>57</v>
      </c>
      <c r="CI103" s="223">
        <f t="shared" ref="CI103" si="752">CH103+1</f>
        <v>58</v>
      </c>
      <c r="CJ103" s="223">
        <f t="shared" ref="CJ103" si="753">CI103+1</f>
        <v>59</v>
      </c>
      <c r="CK103" s="222">
        <f t="shared" ref="CK103" si="754">CJ103+1</f>
        <v>60</v>
      </c>
    </row>
    <row r="104" spans="2:89" s="17" customFormat="1" x14ac:dyDescent="0.2">
      <c r="B104" s="121" t="s">
        <v>80</v>
      </c>
      <c r="C104" s="221">
        <v>20</v>
      </c>
      <c r="D104" s="17" t="s">
        <v>81</v>
      </c>
      <c r="E104" s="219"/>
      <c r="F104" s="427"/>
      <c r="G104" s="427"/>
      <c r="H104" s="427"/>
      <c r="I104" s="427"/>
      <c r="J104" s="427"/>
      <c r="K104" s="427"/>
      <c r="L104" s="427"/>
      <c r="M104" s="427"/>
      <c r="N104" s="428">
        <f t="shared" ref="N104:BA104" si="755">N103*$C104</f>
        <v>0</v>
      </c>
      <c r="O104" s="428">
        <f t="shared" si="755"/>
        <v>0</v>
      </c>
      <c r="P104" s="428">
        <f t="shared" si="755"/>
        <v>0</v>
      </c>
      <c r="Q104" s="429">
        <f t="shared" si="755"/>
        <v>0</v>
      </c>
      <c r="R104" s="218">
        <f t="shared" si="755"/>
        <v>0</v>
      </c>
      <c r="S104" s="218">
        <f t="shared" si="755"/>
        <v>0</v>
      </c>
      <c r="T104" s="218">
        <f t="shared" si="755"/>
        <v>0</v>
      </c>
      <c r="U104" s="218">
        <f t="shared" si="755"/>
        <v>0</v>
      </c>
      <c r="V104" s="218">
        <f t="shared" si="755"/>
        <v>0</v>
      </c>
      <c r="W104" s="218">
        <f t="shared" si="755"/>
        <v>0</v>
      </c>
      <c r="X104" s="218">
        <f t="shared" si="755"/>
        <v>0</v>
      </c>
      <c r="Y104" s="218">
        <f t="shared" si="755"/>
        <v>0</v>
      </c>
      <c r="Z104" s="218">
        <f t="shared" si="755"/>
        <v>0</v>
      </c>
      <c r="AA104" s="218">
        <f t="shared" si="755"/>
        <v>0</v>
      </c>
      <c r="AB104" s="218">
        <f t="shared" si="755"/>
        <v>0</v>
      </c>
      <c r="AC104" s="217">
        <f t="shared" si="755"/>
        <v>0</v>
      </c>
      <c r="AD104" s="218">
        <f t="shared" si="755"/>
        <v>0</v>
      </c>
      <c r="AE104" s="218">
        <f t="shared" si="755"/>
        <v>0</v>
      </c>
      <c r="AF104" s="218">
        <f t="shared" si="755"/>
        <v>0</v>
      </c>
      <c r="AG104" s="218">
        <f t="shared" si="755"/>
        <v>0</v>
      </c>
      <c r="AH104" s="218">
        <f t="shared" si="755"/>
        <v>100</v>
      </c>
      <c r="AI104" s="218">
        <f t="shared" si="755"/>
        <v>120</v>
      </c>
      <c r="AJ104" s="218">
        <f t="shared" si="755"/>
        <v>140</v>
      </c>
      <c r="AK104" s="218">
        <f t="shared" si="755"/>
        <v>160</v>
      </c>
      <c r="AL104" s="218">
        <f t="shared" si="755"/>
        <v>180</v>
      </c>
      <c r="AM104" s="218">
        <f t="shared" si="755"/>
        <v>200</v>
      </c>
      <c r="AN104" s="218">
        <f t="shared" si="755"/>
        <v>220</v>
      </c>
      <c r="AO104" s="217">
        <f t="shared" si="755"/>
        <v>240</v>
      </c>
      <c r="AP104" s="218">
        <f t="shared" si="755"/>
        <v>260</v>
      </c>
      <c r="AQ104" s="218">
        <f t="shared" si="755"/>
        <v>280</v>
      </c>
      <c r="AR104" s="218">
        <f t="shared" si="755"/>
        <v>300</v>
      </c>
      <c r="AS104" s="218">
        <f t="shared" si="755"/>
        <v>320</v>
      </c>
      <c r="AT104" s="218">
        <f t="shared" si="755"/>
        <v>340</v>
      </c>
      <c r="AU104" s="218">
        <f t="shared" si="755"/>
        <v>360</v>
      </c>
      <c r="AV104" s="218">
        <f t="shared" si="755"/>
        <v>380</v>
      </c>
      <c r="AW104" s="218">
        <f t="shared" si="755"/>
        <v>400</v>
      </c>
      <c r="AX104" s="218">
        <f t="shared" si="755"/>
        <v>420</v>
      </c>
      <c r="AY104" s="218">
        <f t="shared" si="755"/>
        <v>440</v>
      </c>
      <c r="AZ104" s="218">
        <f t="shared" si="755"/>
        <v>460</v>
      </c>
      <c r="BA104" s="217">
        <f t="shared" si="755"/>
        <v>480</v>
      </c>
      <c r="BB104" s="218">
        <f t="shared" ref="BB104:BM104" si="756">BB103*$C104</f>
        <v>500</v>
      </c>
      <c r="BC104" s="218">
        <f t="shared" si="756"/>
        <v>520</v>
      </c>
      <c r="BD104" s="218">
        <f t="shared" si="756"/>
        <v>540</v>
      </c>
      <c r="BE104" s="218">
        <f t="shared" si="756"/>
        <v>560</v>
      </c>
      <c r="BF104" s="218">
        <f t="shared" si="756"/>
        <v>580</v>
      </c>
      <c r="BG104" s="218">
        <f t="shared" si="756"/>
        <v>600</v>
      </c>
      <c r="BH104" s="218">
        <f t="shared" si="756"/>
        <v>620</v>
      </c>
      <c r="BI104" s="218">
        <f t="shared" si="756"/>
        <v>640</v>
      </c>
      <c r="BJ104" s="218">
        <f t="shared" si="756"/>
        <v>660</v>
      </c>
      <c r="BK104" s="218">
        <f t="shared" si="756"/>
        <v>680</v>
      </c>
      <c r="BL104" s="218">
        <f t="shared" si="756"/>
        <v>700</v>
      </c>
      <c r="BM104" s="217">
        <f t="shared" si="756"/>
        <v>720</v>
      </c>
      <c r="BN104" s="218">
        <f t="shared" ref="BN104:BY104" si="757">BN103*$C104</f>
        <v>740</v>
      </c>
      <c r="BO104" s="218">
        <f t="shared" si="757"/>
        <v>760</v>
      </c>
      <c r="BP104" s="218">
        <f t="shared" si="757"/>
        <v>780</v>
      </c>
      <c r="BQ104" s="218">
        <f t="shared" si="757"/>
        <v>800</v>
      </c>
      <c r="BR104" s="218">
        <f t="shared" si="757"/>
        <v>820</v>
      </c>
      <c r="BS104" s="218">
        <f t="shared" si="757"/>
        <v>840</v>
      </c>
      <c r="BT104" s="218">
        <f t="shared" si="757"/>
        <v>860</v>
      </c>
      <c r="BU104" s="218">
        <f t="shared" si="757"/>
        <v>880</v>
      </c>
      <c r="BV104" s="218">
        <f t="shared" si="757"/>
        <v>900</v>
      </c>
      <c r="BW104" s="218">
        <f t="shared" si="757"/>
        <v>920</v>
      </c>
      <c r="BX104" s="218">
        <f t="shared" si="757"/>
        <v>940</v>
      </c>
      <c r="BY104" s="217">
        <f t="shared" si="757"/>
        <v>960</v>
      </c>
      <c r="BZ104" s="218">
        <f t="shared" ref="BZ104:CK104" si="758">BZ103*$C104</f>
        <v>980</v>
      </c>
      <c r="CA104" s="218">
        <f t="shared" si="758"/>
        <v>1000</v>
      </c>
      <c r="CB104" s="218">
        <f t="shared" si="758"/>
        <v>1020</v>
      </c>
      <c r="CC104" s="218">
        <f t="shared" si="758"/>
        <v>1040</v>
      </c>
      <c r="CD104" s="218">
        <f t="shared" si="758"/>
        <v>1060</v>
      </c>
      <c r="CE104" s="218">
        <f t="shared" si="758"/>
        <v>1080</v>
      </c>
      <c r="CF104" s="218">
        <f t="shared" si="758"/>
        <v>1100</v>
      </c>
      <c r="CG104" s="218">
        <f t="shared" si="758"/>
        <v>1120</v>
      </c>
      <c r="CH104" s="218">
        <f t="shared" si="758"/>
        <v>1140</v>
      </c>
      <c r="CI104" s="218">
        <f t="shared" si="758"/>
        <v>1160</v>
      </c>
      <c r="CJ104" s="218">
        <f t="shared" si="758"/>
        <v>1180</v>
      </c>
      <c r="CK104" s="217">
        <f t="shared" si="758"/>
        <v>1200</v>
      </c>
    </row>
    <row r="105" spans="2:89" s="17" customFormat="1" x14ac:dyDescent="0.2">
      <c r="B105" s="121" t="s">
        <v>59</v>
      </c>
      <c r="C105" s="220">
        <v>0.02</v>
      </c>
      <c r="E105" s="219"/>
      <c r="F105" s="427"/>
      <c r="G105" s="427"/>
      <c r="H105" s="427"/>
      <c r="I105" s="427"/>
      <c r="J105" s="427"/>
      <c r="K105" s="427"/>
      <c r="L105" s="427"/>
      <c r="M105" s="427"/>
      <c r="N105" s="428"/>
      <c r="O105" s="428"/>
      <c r="P105" s="428">
        <f t="shared" ref="P105:BA105" si="759">N106*$C105</f>
        <v>0</v>
      </c>
      <c r="Q105" s="429">
        <f t="shared" si="759"/>
        <v>0</v>
      </c>
      <c r="R105" s="218">
        <f t="shared" si="759"/>
        <v>0</v>
      </c>
      <c r="S105" s="218">
        <f t="shared" si="759"/>
        <v>0</v>
      </c>
      <c r="T105" s="218">
        <f t="shared" si="759"/>
        <v>0</v>
      </c>
      <c r="U105" s="218">
        <f t="shared" si="759"/>
        <v>0</v>
      </c>
      <c r="V105" s="218">
        <f t="shared" si="759"/>
        <v>0</v>
      </c>
      <c r="W105" s="218">
        <f t="shared" si="759"/>
        <v>0</v>
      </c>
      <c r="X105" s="218">
        <f t="shared" si="759"/>
        <v>0</v>
      </c>
      <c r="Y105" s="218">
        <f t="shared" si="759"/>
        <v>0</v>
      </c>
      <c r="Z105" s="218">
        <f t="shared" si="759"/>
        <v>0</v>
      </c>
      <c r="AA105" s="218">
        <f t="shared" si="759"/>
        <v>0</v>
      </c>
      <c r="AB105" s="218">
        <f t="shared" si="759"/>
        <v>0</v>
      </c>
      <c r="AC105" s="217">
        <f t="shared" si="759"/>
        <v>0</v>
      </c>
      <c r="AD105" s="218">
        <f t="shared" si="759"/>
        <v>0</v>
      </c>
      <c r="AE105" s="218">
        <f t="shared" si="759"/>
        <v>0</v>
      </c>
      <c r="AF105" s="218">
        <f t="shared" si="759"/>
        <v>0</v>
      </c>
      <c r="AG105" s="218">
        <f t="shared" si="759"/>
        <v>0</v>
      </c>
      <c r="AH105" s="218">
        <f t="shared" si="759"/>
        <v>0</v>
      </c>
      <c r="AI105" s="218">
        <f t="shared" si="759"/>
        <v>0</v>
      </c>
      <c r="AJ105" s="218">
        <f t="shared" si="759"/>
        <v>2</v>
      </c>
      <c r="AK105" s="218">
        <f t="shared" si="759"/>
        <v>4.4000000000000004</v>
      </c>
      <c r="AL105" s="218">
        <f t="shared" si="759"/>
        <v>7.16</v>
      </c>
      <c r="AM105" s="218">
        <f t="shared" si="759"/>
        <v>10.272</v>
      </c>
      <c r="AN105" s="218">
        <f t="shared" si="759"/>
        <v>13.728800000000001</v>
      </c>
      <c r="AO105" s="217">
        <f t="shared" si="759"/>
        <v>17.52336</v>
      </c>
      <c r="AP105" s="218">
        <f t="shared" si="759"/>
        <v>21.648784000000003</v>
      </c>
      <c r="AQ105" s="218">
        <f t="shared" si="759"/>
        <v>26.098316800000003</v>
      </c>
      <c r="AR105" s="218">
        <f t="shared" si="759"/>
        <v>30.865341120000004</v>
      </c>
      <c r="AS105" s="218">
        <f t="shared" si="759"/>
        <v>35.943374784000007</v>
      </c>
      <c r="AT105" s="218">
        <f t="shared" si="759"/>
        <v>41.32606796160001</v>
      </c>
      <c r="AU105" s="218">
        <f t="shared" si="759"/>
        <v>47.007200465920015</v>
      </c>
      <c r="AV105" s="218">
        <f t="shared" si="759"/>
        <v>52.980679106688015</v>
      </c>
      <c r="AW105" s="218">
        <f t="shared" si="759"/>
        <v>59.240535097369616</v>
      </c>
      <c r="AX105" s="218">
        <f t="shared" si="759"/>
        <v>65.780921515235846</v>
      </c>
      <c r="AY105" s="218">
        <f t="shared" si="759"/>
        <v>72.596110813288462</v>
      </c>
      <c r="AZ105" s="218">
        <f t="shared" si="759"/>
        <v>79.680492382983743</v>
      </c>
      <c r="BA105" s="217">
        <f t="shared" si="759"/>
        <v>87.028570166717969</v>
      </c>
      <c r="BB105" s="218">
        <f t="shared" ref="BB105" si="760">AZ106*$C105</f>
        <v>94.63496031905828</v>
      </c>
      <c r="BC105" s="218">
        <f t="shared" ref="BC105" si="761">BA106*$C105</f>
        <v>102.49438891572392</v>
      </c>
      <c r="BD105" s="218">
        <f t="shared" ref="BD105" si="762">BB106*$C105</f>
        <v>110.60168970934275</v>
      </c>
      <c r="BE105" s="218">
        <f t="shared" ref="BE105" si="763">BC106*$C105</f>
        <v>118.95180193102829</v>
      </c>
      <c r="BF105" s="218">
        <f t="shared" ref="BF105" si="764">BD106*$C105</f>
        <v>127.53976813684142</v>
      </c>
      <c r="BG105" s="218">
        <f t="shared" ref="BG105" si="765">BE106*$C105</f>
        <v>136.36073209822086</v>
      </c>
      <c r="BH105" s="218">
        <f t="shared" ref="BH105" si="766">BF106*$C105</f>
        <v>145.40993673548402</v>
      </c>
      <c r="BI105" s="218">
        <f t="shared" ref="BI105" si="767">BG106*$C105</f>
        <v>154.6827220935196</v>
      </c>
      <c r="BJ105" s="218">
        <f t="shared" ref="BJ105" si="768">BH106*$C105</f>
        <v>164.17452335880992</v>
      </c>
      <c r="BK105" s="218">
        <f t="shared" ref="BK105" si="769">BI106*$C105</f>
        <v>173.88086891693953</v>
      </c>
      <c r="BL105" s="218">
        <f t="shared" ref="BL105" si="770">BJ106*$C105</f>
        <v>183.79737844976336</v>
      </c>
      <c r="BM105" s="217">
        <f t="shared" ref="BM105" si="771">BK106*$C105</f>
        <v>193.91976107142455</v>
      </c>
      <c r="BN105" s="218">
        <f t="shared" ref="BN105" si="772">BL106*$C105</f>
        <v>204.2438135024293</v>
      </c>
      <c r="BO105" s="218">
        <f t="shared" ref="BO105" si="773">BM106*$C105</f>
        <v>214.76541828100082</v>
      </c>
      <c r="BP105" s="218">
        <f t="shared" ref="BP105" si="774">BN106*$C105</f>
        <v>225.48054201095223</v>
      </c>
      <c r="BQ105" s="218">
        <f t="shared" ref="BQ105" si="775">BO106*$C105</f>
        <v>236.38523364533222</v>
      </c>
      <c r="BR105" s="218">
        <f t="shared" ref="BR105" si="776">BP106*$C105</f>
        <v>247.4756228051132</v>
      </c>
      <c r="BS105" s="218">
        <f t="shared" ref="BS105" si="777">BQ106*$C105</f>
        <v>258.74791813220656</v>
      </c>
      <c r="BT105" s="218">
        <f t="shared" ref="BT105" si="778">BR106*$C105</f>
        <v>270.19840567610424</v>
      </c>
      <c r="BU105" s="218">
        <f t="shared" ref="BU105" si="779">BS106*$C105</f>
        <v>281.82344731346012</v>
      </c>
      <c r="BV105" s="218">
        <f t="shared" ref="BV105" si="780">BT106*$C105</f>
        <v>293.61947919993804</v>
      </c>
      <c r="BW105" s="218">
        <f t="shared" ref="BW105" si="781">BU106*$C105</f>
        <v>305.58301025366882</v>
      </c>
      <c r="BX105" s="218">
        <f t="shared" ref="BX105" si="782">BV106*$C105</f>
        <v>317.71062066967005</v>
      </c>
      <c r="BY105" s="217">
        <f t="shared" ref="BY105" si="783">BW106*$C105</f>
        <v>329.99896046459668</v>
      </c>
      <c r="BZ105" s="218">
        <f t="shared" ref="BZ105" si="784">BX106*$C105</f>
        <v>342.44474805120331</v>
      </c>
      <c r="CA105" s="218">
        <f t="shared" ref="CA105" si="785">BY106*$C105</f>
        <v>355.04476884191138</v>
      </c>
      <c r="CB105" s="218">
        <f t="shared" ref="CB105" si="786">BZ106*$C105</f>
        <v>367.79587388088731</v>
      </c>
      <c r="CC105" s="218">
        <f t="shared" ref="CC105" si="787">CA106*$C105</f>
        <v>380.69497850404906</v>
      </c>
      <c r="CD105" s="218">
        <f t="shared" ref="CD105" si="788">CB106*$C105</f>
        <v>393.73906102643133</v>
      </c>
      <c r="CE105" s="218">
        <f t="shared" ref="CE105" si="789">CC106*$C105</f>
        <v>406.92516145635034</v>
      </c>
      <c r="CF105" s="218">
        <f t="shared" ref="CF105" si="790">CD106*$C105</f>
        <v>420.25038023582175</v>
      </c>
      <c r="CG105" s="218">
        <f t="shared" ref="CG105" si="791">CE106*$C105</f>
        <v>433.71187700669469</v>
      </c>
      <c r="CH105" s="218">
        <f t="shared" ref="CH105" si="792">CF106*$C105</f>
        <v>447.30686940197825</v>
      </c>
      <c r="CI105" s="218">
        <f t="shared" ref="CI105" si="793">CG106*$C105</f>
        <v>461.03263186184438</v>
      </c>
      <c r="CJ105" s="218">
        <f t="shared" ref="CJ105" si="794">CH106*$C105</f>
        <v>474.88649447380476</v>
      </c>
      <c r="CK105" s="217">
        <f t="shared" ref="CK105" si="795">CI106*$C105</f>
        <v>488.86584183656794</v>
      </c>
    </row>
    <row r="106" spans="2:89" x14ac:dyDescent="0.2">
      <c r="B106" s="21" t="s">
        <v>72</v>
      </c>
      <c r="C106" s="211"/>
      <c r="F106" s="407"/>
      <c r="G106" s="407"/>
      <c r="H106" s="407"/>
      <c r="I106" s="407"/>
      <c r="J106" s="407"/>
      <c r="K106" s="407"/>
      <c r="L106" s="407"/>
      <c r="M106" s="430">
        <v>0</v>
      </c>
      <c r="N106" s="431">
        <f>M106+N104</f>
        <v>0</v>
      </c>
      <c r="O106" s="431">
        <f>N106+O104</f>
        <v>0</v>
      </c>
      <c r="P106" s="431">
        <f t="shared" ref="P106:BA106" si="796">O106+P104-P105</f>
        <v>0</v>
      </c>
      <c r="Q106" s="432">
        <f t="shared" si="796"/>
        <v>0</v>
      </c>
      <c r="R106" s="216">
        <f t="shared" si="796"/>
        <v>0</v>
      </c>
      <c r="S106" s="216">
        <f t="shared" si="796"/>
        <v>0</v>
      </c>
      <c r="T106" s="216">
        <f t="shared" si="796"/>
        <v>0</v>
      </c>
      <c r="U106" s="216">
        <f t="shared" si="796"/>
        <v>0</v>
      </c>
      <c r="V106" s="216">
        <f t="shared" si="796"/>
        <v>0</v>
      </c>
      <c r="W106" s="216">
        <f t="shared" si="796"/>
        <v>0</v>
      </c>
      <c r="X106" s="216">
        <f t="shared" si="796"/>
        <v>0</v>
      </c>
      <c r="Y106" s="216">
        <f t="shared" si="796"/>
        <v>0</v>
      </c>
      <c r="Z106" s="216">
        <f t="shared" si="796"/>
        <v>0</v>
      </c>
      <c r="AA106" s="216">
        <f t="shared" si="796"/>
        <v>0</v>
      </c>
      <c r="AB106" s="216">
        <f t="shared" si="796"/>
        <v>0</v>
      </c>
      <c r="AC106" s="215">
        <f t="shared" si="796"/>
        <v>0</v>
      </c>
      <c r="AD106" s="216">
        <f t="shared" si="796"/>
        <v>0</v>
      </c>
      <c r="AE106" s="216">
        <f t="shared" si="796"/>
        <v>0</v>
      </c>
      <c r="AF106" s="216">
        <f t="shared" si="796"/>
        <v>0</v>
      </c>
      <c r="AG106" s="216">
        <f t="shared" si="796"/>
        <v>0</v>
      </c>
      <c r="AH106" s="216">
        <f t="shared" si="796"/>
        <v>100</v>
      </c>
      <c r="AI106" s="216">
        <f t="shared" si="796"/>
        <v>220</v>
      </c>
      <c r="AJ106" s="216">
        <f t="shared" si="796"/>
        <v>358</v>
      </c>
      <c r="AK106" s="216">
        <f t="shared" si="796"/>
        <v>513.6</v>
      </c>
      <c r="AL106" s="216">
        <f t="shared" si="796"/>
        <v>686.44</v>
      </c>
      <c r="AM106" s="216">
        <f t="shared" si="796"/>
        <v>876.16800000000001</v>
      </c>
      <c r="AN106" s="216">
        <f t="shared" si="796"/>
        <v>1082.4392</v>
      </c>
      <c r="AO106" s="215">
        <f t="shared" si="796"/>
        <v>1304.9158400000001</v>
      </c>
      <c r="AP106" s="216">
        <f t="shared" si="796"/>
        <v>1543.2670560000001</v>
      </c>
      <c r="AQ106" s="216">
        <f t="shared" si="796"/>
        <v>1797.1687392000001</v>
      </c>
      <c r="AR106" s="216">
        <f t="shared" si="796"/>
        <v>2066.3033980800005</v>
      </c>
      <c r="AS106" s="216">
        <f t="shared" si="796"/>
        <v>2350.3600232960007</v>
      </c>
      <c r="AT106" s="216">
        <f t="shared" si="796"/>
        <v>2649.0339553344006</v>
      </c>
      <c r="AU106" s="216">
        <f t="shared" si="796"/>
        <v>2962.0267548684806</v>
      </c>
      <c r="AV106" s="216">
        <f t="shared" si="796"/>
        <v>3289.0460757617925</v>
      </c>
      <c r="AW106" s="216">
        <f t="shared" si="796"/>
        <v>3629.805540664423</v>
      </c>
      <c r="AX106" s="216">
        <f t="shared" si="796"/>
        <v>3984.0246191491869</v>
      </c>
      <c r="AY106" s="216">
        <f t="shared" si="796"/>
        <v>4351.4285083358982</v>
      </c>
      <c r="AZ106" s="216">
        <f t="shared" si="796"/>
        <v>4731.7480159529141</v>
      </c>
      <c r="BA106" s="215">
        <f t="shared" si="796"/>
        <v>5124.719445786196</v>
      </c>
      <c r="BB106" s="216">
        <f t="shared" ref="BB106" si="797">BA106+BB104-BB105</f>
        <v>5530.0844854671377</v>
      </c>
      <c r="BC106" s="216">
        <f t="shared" ref="BC106" si="798">BB106+BC104-BC105</f>
        <v>5947.5900965514138</v>
      </c>
      <c r="BD106" s="216">
        <f t="shared" ref="BD106" si="799">BC106+BD104-BD105</f>
        <v>6376.9884068420706</v>
      </c>
      <c r="BE106" s="216">
        <f t="shared" ref="BE106" si="800">BD106+BE104-BE105</f>
        <v>6818.0366049110426</v>
      </c>
      <c r="BF106" s="216">
        <f t="shared" ref="BF106" si="801">BE106+BF104-BF105</f>
        <v>7270.4968367742013</v>
      </c>
      <c r="BG106" s="216">
        <f t="shared" ref="BG106" si="802">BF106+BG104-BG105</f>
        <v>7734.1361046759803</v>
      </c>
      <c r="BH106" s="216">
        <f t="shared" ref="BH106" si="803">BG106+BH104-BH105</f>
        <v>8208.7261679404965</v>
      </c>
      <c r="BI106" s="216">
        <f t="shared" ref="BI106" si="804">BH106+BI104-BI105</f>
        <v>8694.0434458469772</v>
      </c>
      <c r="BJ106" s="216">
        <f t="shared" ref="BJ106" si="805">BI106+BJ104-BJ105</f>
        <v>9189.8689224881673</v>
      </c>
      <c r="BK106" s="216">
        <f t="shared" ref="BK106" si="806">BJ106+BK104-BK105</f>
        <v>9695.9880535712273</v>
      </c>
      <c r="BL106" s="216">
        <f t="shared" ref="BL106" si="807">BK106+BL104-BL105</f>
        <v>10212.190675121465</v>
      </c>
      <c r="BM106" s="215">
        <f t="shared" ref="BM106" si="808">BL106+BM104-BM105</f>
        <v>10738.270914050041</v>
      </c>
      <c r="BN106" s="216">
        <f t="shared" ref="BN106" si="809">BM106+BN104-BN105</f>
        <v>11274.027100547612</v>
      </c>
      <c r="BO106" s="216">
        <f t="shared" ref="BO106" si="810">BN106+BO104-BO105</f>
        <v>11819.261682266611</v>
      </c>
      <c r="BP106" s="216">
        <f t="shared" ref="BP106" si="811">BO106+BP104-BP105</f>
        <v>12373.78114025566</v>
      </c>
      <c r="BQ106" s="216">
        <f t="shared" ref="BQ106" si="812">BP106+BQ104-BQ105</f>
        <v>12937.395906610327</v>
      </c>
      <c r="BR106" s="216">
        <f t="shared" ref="BR106" si="813">BQ106+BR104-BR105</f>
        <v>13509.920283805213</v>
      </c>
      <c r="BS106" s="216">
        <f t="shared" ref="BS106" si="814">BR106+BS104-BS105</f>
        <v>14091.172365673006</v>
      </c>
      <c r="BT106" s="216">
        <f t="shared" ref="BT106" si="815">BS106+BT104-BT105</f>
        <v>14680.973959996902</v>
      </c>
      <c r="BU106" s="216">
        <f t="shared" ref="BU106" si="816">BT106+BU104-BU105</f>
        <v>15279.150512683442</v>
      </c>
      <c r="BV106" s="216">
        <f t="shared" ref="BV106" si="817">BU106+BV104-BV105</f>
        <v>15885.531033483503</v>
      </c>
      <c r="BW106" s="216">
        <f t="shared" ref="BW106" si="818">BV106+BW104-BW105</f>
        <v>16499.948023229834</v>
      </c>
      <c r="BX106" s="216">
        <f t="shared" ref="BX106" si="819">BW106+BX104-BX105</f>
        <v>17122.237402560164</v>
      </c>
      <c r="BY106" s="215">
        <f t="shared" ref="BY106" si="820">BX106+BY104-BY105</f>
        <v>17752.238442095568</v>
      </c>
      <c r="BZ106" s="216">
        <f t="shared" ref="BZ106" si="821">BY106+BZ104-BZ105</f>
        <v>18389.793694044365</v>
      </c>
      <c r="CA106" s="216">
        <f t="shared" ref="CA106" si="822">BZ106+CA104-CA105</f>
        <v>19034.748925202453</v>
      </c>
      <c r="CB106" s="216">
        <f t="shared" ref="CB106" si="823">CA106+CB104-CB105</f>
        <v>19686.953051321565</v>
      </c>
      <c r="CC106" s="216">
        <f t="shared" ref="CC106" si="824">CB106+CC104-CC105</f>
        <v>20346.258072817516</v>
      </c>
      <c r="CD106" s="216">
        <f t="shared" ref="CD106" si="825">CC106+CD104-CD105</f>
        <v>21012.519011791086</v>
      </c>
      <c r="CE106" s="216">
        <f t="shared" ref="CE106" si="826">CD106+CE104-CE105</f>
        <v>21685.593850334735</v>
      </c>
      <c r="CF106" s="216">
        <f t="shared" ref="CF106" si="827">CE106+CF104-CF105</f>
        <v>22365.343470098913</v>
      </c>
      <c r="CG106" s="216">
        <f t="shared" ref="CG106" si="828">CF106+CG104-CG105</f>
        <v>23051.631593092217</v>
      </c>
      <c r="CH106" s="216">
        <f t="shared" ref="CH106" si="829">CG106+CH104-CH105</f>
        <v>23744.324723690239</v>
      </c>
      <c r="CI106" s="216">
        <f t="shared" ref="CI106" si="830">CH106+CI104-CI105</f>
        <v>24443.292091828396</v>
      </c>
      <c r="CJ106" s="216">
        <f t="shared" ref="CJ106" si="831">CI106+CJ104-CJ105</f>
        <v>25148.405597354591</v>
      </c>
      <c r="CK106" s="215">
        <f t="shared" ref="CK106" si="832">CJ106+CK104-CK105</f>
        <v>25859.539755518024</v>
      </c>
    </row>
    <row r="107" spans="2:89" x14ac:dyDescent="0.2">
      <c r="B107" s="121" t="s">
        <v>82</v>
      </c>
      <c r="C107" s="214">
        <v>50</v>
      </c>
      <c r="F107" s="407"/>
      <c r="G107" s="407"/>
      <c r="H107" s="407"/>
      <c r="I107" s="407"/>
      <c r="J107" s="407"/>
      <c r="K107" s="407"/>
      <c r="L107" s="407"/>
      <c r="M107" s="407"/>
      <c r="N107" s="433"/>
      <c r="O107" s="433"/>
      <c r="P107" s="433"/>
      <c r="Q107" s="434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70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70"/>
      <c r="AP107" s="169"/>
      <c r="AQ107" s="169"/>
      <c r="AR107" s="169"/>
      <c r="AS107" s="169"/>
      <c r="AT107" s="169"/>
      <c r="AU107" s="169"/>
      <c r="AV107" s="169"/>
      <c r="AW107" s="169"/>
      <c r="AX107" s="169"/>
      <c r="AY107" s="169"/>
      <c r="AZ107" s="169"/>
      <c r="BA107" s="170"/>
      <c r="BB107" s="169"/>
      <c r="BC107" s="169"/>
      <c r="BD107" s="169"/>
      <c r="BE107" s="169"/>
      <c r="BF107" s="169"/>
      <c r="BG107" s="169"/>
      <c r="BH107" s="169"/>
      <c r="BI107" s="169"/>
      <c r="BJ107" s="169"/>
      <c r="BK107" s="169"/>
      <c r="BL107" s="169"/>
      <c r="BM107" s="170"/>
      <c r="BN107" s="169"/>
      <c r="BO107" s="169"/>
      <c r="BP107" s="169"/>
      <c r="BQ107" s="169"/>
      <c r="BR107" s="169"/>
      <c r="BS107" s="169"/>
      <c r="BT107" s="169"/>
      <c r="BU107" s="169"/>
      <c r="BV107" s="169"/>
      <c r="BW107" s="169"/>
      <c r="BX107" s="169"/>
      <c r="BY107" s="170"/>
      <c r="BZ107" s="169"/>
      <c r="CA107" s="169"/>
      <c r="CB107" s="169"/>
      <c r="CC107" s="169"/>
      <c r="CD107" s="169"/>
      <c r="CE107" s="169"/>
      <c r="CF107" s="169"/>
      <c r="CG107" s="169"/>
      <c r="CH107" s="169"/>
      <c r="CI107" s="169"/>
      <c r="CJ107" s="169"/>
      <c r="CK107" s="170"/>
    </row>
    <row r="108" spans="2:89" s="107" customFormat="1" x14ac:dyDescent="0.2">
      <c r="B108" s="142" t="s">
        <v>83</v>
      </c>
      <c r="E108" s="143"/>
      <c r="F108" s="407"/>
      <c r="G108" s="407"/>
      <c r="H108" s="407"/>
      <c r="I108" s="407"/>
      <c r="J108" s="407"/>
      <c r="K108" s="407"/>
      <c r="L108" s="407"/>
      <c r="M108" s="407"/>
      <c r="N108" s="433">
        <f t="shared" ref="N108:BA108" si="833">$C107*N106</f>
        <v>0</v>
      </c>
      <c r="O108" s="433">
        <f t="shared" si="833"/>
        <v>0</v>
      </c>
      <c r="P108" s="433">
        <f t="shared" si="833"/>
        <v>0</v>
      </c>
      <c r="Q108" s="434">
        <f t="shared" si="833"/>
        <v>0</v>
      </c>
      <c r="R108" s="213">
        <f t="shared" si="833"/>
        <v>0</v>
      </c>
      <c r="S108" s="213">
        <f t="shared" si="833"/>
        <v>0</v>
      </c>
      <c r="T108" s="213">
        <f t="shared" si="833"/>
        <v>0</v>
      </c>
      <c r="U108" s="213">
        <f t="shared" si="833"/>
        <v>0</v>
      </c>
      <c r="V108" s="213">
        <f t="shared" si="833"/>
        <v>0</v>
      </c>
      <c r="W108" s="213">
        <f t="shared" si="833"/>
        <v>0</v>
      </c>
      <c r="X108" s="213">
        <f t="shared" si="833"/>
        <v>0</v>
      </c>
      <c r="Y108" s="213">
        <f t="shared" si="833"/>
        <v>0</v>
      </c>
      <c r="Z108" s="213">
        <f t="shared" si="833"/>
        <v>0</v>
      </c>
      <c r="AA108" s="213">
        <f t="shared" si="833"/>
        <v>0</v>
      </c>
      <c r="AB108" s="213">
        <f t="shared" si="833"/>
        <v>0</v>
      </c>
      <c r="AC108" s="212">
        <f t="shared" si="833"/>
        <v>0</v>
      </c>
      <c r="AD108" s="213">
        <f t="shared" si="833"/>
        <v>0</v>
      </c>
      <c r="AE108" s="213">
        <f t="shared" si="833"/>
        <v>0</v>
      </c>
      <c r="AF108" s="213">
        <f t="shared" si="833"/>
        <v>0</v>
      </c>
      <c r="AG108" s="213">
        <f t="shared" si="833"/>
        <v>0</v>
      </c>
      <c r="AH108" s="213">
        <f t="shared" si="833"/>
        <v>5000</v>
      </c>
      <c r="AI108" s="213">
        <f t="shared" si="833"/>
        <v>11000</v>
      </c>
      <c r="AJ108" s="213">
        <f t="shared" si="833"/>
        <v>17900</v>
      </c>
      <c r="AK108" s="213">
        <f t="shared" si="833"/>
        <v>25680</v>
      </c>
      <c r="AL108" s="213">
        <f t="shared" si="833"/>
        <v>34322</v>
      </c>
      <c r="AM108" s="213">
        <f t="shared" si="833"/>
        <v>43808.4</v>
      </c>
      <c r="AN108" s="213">
        <f t="shared" si="833"/>
        <v>54121.96</v>
      </c>
      <c r="AO108" s="212">
        <f t="shared" si="833"/>
        <v>65245.792000000009</v>
      </c>
      <c r="AP108" s="213">
        <f t="shared" si="833"/>
        <v>77163.352800000008</v>
      </c>
      <c r="AQ108" s="213">
        <f t="shared" si="833"/>
        <v>89858.436960000006</v>
      </c>
      <c r="AR108" s="213">
        <f t="shared" si="833"/>
        <v>103315.16990400002</v>
      </c>
      <c r="AS108" s="213">
        <f t="shared" si="833"/>
        <v>117518.00116480004</v>
      </c>
      <c r="AT108" s="213">
        <f t="shared" si="833"/>
        <v>132451.69776672003</v>
      </c>
      <c r="AU108" s="213">
        <f t="shared" si="833"/>
        <v>148101.33774342402</v>
      </c>
      <c r="AV108" s="213">
        <f t="shared" si="833"/>
        <v>164452.30378808963</v>
      </c>
      <c r="AW108" s="213">
        <f t="shared" si="833"/>
        <v>181490.27703322115</v>
      </c>
      <c r="AX108" s="213">
        <f t="shared" si="833"/>
        <v>199201.23095745934</v>
      </c>
      <c r="AY108" s="213">
        <f t="shared" si="833"/>
        <v>217571.4254167949</v>
      </c>
      <c r="AZ108" s="213">
        <f t="shared" si="833"/>
        <v>236587.40079764571</v>
      </c>
      <c r="BA108" s="212">
        <f t="shared" si="833"/>
        <v>256235.97228930981</v>
      </c>
      <c r="BB108" s="213">
        <v>0</v>
      </c>
      <c r="BC108" s="213">
        <f t="shared" ref="BC108:BM108" si="834">$C107*BC106</f>
        <v>297379.50482757069</v>
      </c>
      <c r="BD108" s="213">
        <f t="shared" si="834"/>
        <v>318849.42034210352</v>
      </c>
      <c r="BE108" s="213">
        <f t="shared" si="834"/>
        <v>340901.83024555212</v>
      </c>
      <c r="BF108" s="213">
        <f t="shared" si="834"/>
        <v>363524.84183871007</v>
      </c>
      <c r="BG108" s="213">
        <f t="shared" si="834"/>
        <v>386706.80523379904</v>
      </c>
      <c r="BH108" s="213">
        <f t="shared" si="834"/>
        <v>410436.30839702481</v>
      </c>
      <c r="BI108" s="213">
        <f t="shared" si="834"/>
        <v>434702.17229234887</v>
      </c>
      <c r="BJ108" s="213">
        <f t="shared" si="834"/>
        <v>459493.44612440839</v>
      </c>
      <c r="BK108" s="213">
        <f t="shared" si="834"/>
        <v>484799.40267856134</v>
      </c>
      <c r="BL108" s="213">
        <f t="shared" si="834"/>
        <v>510609.53375607322</v>
      </c>
      <c r="BM108" s="212">
        <f t="shared" si="834"/>
        <v>536913.54570250202</v>
      </c>
      <c r="BN108" s="213">
        <f t="shared" ref="BN108:BY108" si="835">$C107*BN106</f>
        <v>563701.35502738063</v>
      </c>
      <c r="BO108" s="213">
        <f t="shared" si="835"/>
        <v>590963.08411333058</v>
      </c>
      <c r="BP108" s="213">
        <f t="shared" si="835"/>
        <v>618689.05701278301</v>
      </c>
      <c r="BQ108" s="213">
        <f t="shared" si="835"/>
        <v>646869.7953305163</v>
      </c>
      <c r="BR108" s="213">
        <f t="shared" si="835"/>
        <v>675496.01419026067</v>
      </c>
      <c r="BS108" s="213">
        <f t="shared" si="835"/>
        <v>704558.61828365037</v>
      </c>
      <c r="BT108" s="213">
        <f t="shared" si="835"/>
        <v>734048.69799984503</v>
      </c>
      <c r="BU108" s="213">
        <f t="shared" si="835"/>
        <v>763957.52563417214</v>
      </c>
      <c r="BV108" s="213">
        <f t="shared" si="835"/>
        <v>794276.55167417519</v>
      </c>
      <c r="BW108" s="213">
        <f t="shared" si="835"/>
        <v>824997.40116149164</v>
      </c>
      <c r="BX108" s="213">
        <f t="shared" si="835"/>
        <v>856111.87012800819</v>
      </c>
      <c r="BY108" s="212">
        <f t="shared" si="835"/>
        <v>887611.92210477835</v>
      </c>
      <c r="BZ108" s="213">
        <f t="shared" ref="BZ108:CK108" si="836">$C107*BZ106</f>
        <v>919489.68470221828</v>
      </c>
      <c r="CA108" s="213">
        <f t="shared" si="836"/>
        <v>951737.4462601227</v>
      </c>
      <c r="CB108" s="213">
        <f t="shared" si="836"/>
        <v>984347.65256607824</v>
      </c>
      <c r="CC108" s="213">
        <f t="shared" si="836"/>
        <v>1017312.9036408758</v>
      </c>
      <c r="CD108" s="213">
        <f t="shared" si="836"/>
        <v>1050625.9505895544</v>
      </c>
      <c r="CE108" s="213">
        <f t="shared" si="836"/>
        <v>1084279.6925167367</v>
      </c>
      <c r="CF108" s="213">
        <f t="shared" si="836"/>
        <v>1118267.1735049456</v>
      </c>
      <c r="CG108" s="213">
        <f t="shared" si="836"/>
        <v>1152581.5796546109</v>
      </c>
      <c r="CH108" s="213">
        <f t="shared" si="836"/>
        <v>1187216.236184512</v>
      </c>
      <c r="CI108" s="213">
        <f t="shared" si="836"/>
        <v>1222164.6045914199</v>
      </c>
      <c r="CJ108" s="213">
        <f t="shared" si="836"/>
        <v>1257420.2798677296</v>
      </c>
      <c r="CK108" s="212">
        <f t="shared" si="836"/>
        <v>1292976.9877759013</v>
      </c>
    </row>
    <row r="109" spans="2:89" x14ac:dyDescent="0.2">
      <c r="B109" s="121"/>
      <c r="C109" s="211"/>
      <c r="E109" s="205"/>
      <c r="F109" s="407"/>
      <c r="G109" s="407"/>
      <c r="H109" s="407"/>
      <c r="I109" s="407"/>
      <c r="J109" s="407"/>
      <c r="K109" s="407"/>
      <c r="L109" s="407"/>
      <c r="M109" s="407"/>
      <c r="N109" s="433"/>
      <c r="O109" s="433"/>
      <c r="P109" s="433"/>
      <c r="Q109" s="434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70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70"/>
      <c r="AP109" s="169"/>
      <c r="AQ109" s="169"/>
      <c r="AR109" s="169"/>
      <c r="AS109" s="169"/>
      <c r="AT109" s="169"/>
      <c r="AU109" s="169"/>
      <c r="AV109" s="169"/>
      <c r="AW109" s="169"/>
      <c r="AX109" s="169"/>
      <c r="AY109" s="169"/>
      <c r="AZ109" s="169"/>
      <c r="BA109" s="170"/>
      <c r="BB109" s="169"/>
      <c r="BC109" s="169"/>
      <c r="BD109" s="169"/>
      <c r="BE109" s="169"/>
      <c r="BF109" s="169"/>
      <c r="BG109" s="169"/>
      <c r="BH109" s="169"/>
      <c r="BI109" s="169"/>
      <c r="BJ109" s="169"/>
      <c r="BK109" s="169"/>
      <c r="BL109" s="169"/>
      <c r="BM109" s="170"/>
      <c r="BN109" s="169"/>
      <c r="BO109" s="169"/>
      <c r="BP109" s="169"/>
      <c r="BQ109" s="169"/>
      <c r="BR109" s="169"/>
      <c r="BS109" s="169"/>
      <c r="BT109" s="169"/>
      <c r="BU109" s="169"/>
      <c r="BV109" s="169"/>
      <c r="BW109" s="169"/>
      <c r="BX109" s="169"/>
      <c r="BY109" s="170"/>
      <c r="BZ109" s="169"/>
      <c r="CA109" s="169"/>
      <c r="CB109" s="169"/>
      <c r="CC109" s="169"/>
      <c r="CD109" s="169"/>
      <c r="CE109" s="169"/>
      <c r="CF109" s="169"/>
      <c r="CG109" s="169"/>
      <c r="CH109" s="169"/>
      <c r="CI109" s="169"/>
      <c r="CJ109" s="169"/>
      <c r="CK109" s="170"/>
    </row>
    <row r="110" spans="2:89" s="2" customFormat="1" x14ac:dyDescent="0.2">
      <c r="B110" s="118" t="s">
        <v>84</v>
      </c>
      <c r="C110" s="210">
        <v>0.17499999999999999</v>
      </c>
      <c r="E110" s="209"/>
      <c r="F110" s="18"/>
      <c r="G110" s="18"/>
      <c r="H110" s="18"/>
      <c r="I110" s="18"/>
      <c r="J110" s="18"/>
      <c r="K110" s="18"/>
      <c r="L110" s="18"/>
      <c r="M110" s="18"/>
      <c r="N110" s="435">
        <f t="shared" ref="N110:BA110" si="837">N108*$C110</f>
        <v>0</v>
      </c>
      <c r="O110" s="435">
        <f t="shared" si="837"/>
        <v>0</v>
      </c>
      <c r="P110" s="435">
        <f t="shared" si="837"/>
        <v>0</v>
      </c>
      <c r="Q110" s="436">
        <f t="shared" si="837"/>
        <v>0</v>
      </c>
      <c r="R110" s="208">
        <f t="shared" si="837"/>
        <v>0</v>
      </c>
      <c r="S110" s="208">
        <f t="shared" si="837"/>
        <v>0</v>
      </c>
      <c r="T110" s="208">
        <f t="shared" si="837"/>
        <v>0</v>
      </c>
      <c r="U110" s="208">
        <f t="shared" si="837"/>
        <v>0</v>
      </c>
      <c r="V110" s="208">
        <f t="shared" si="837"/>
        <v>0</v>
      </c>
      <c r="W110" s="208">
        <f t="shared" si="837"/>
        <v>0</v>
      </c>
      <c r="X110" s="208">
        <f t="shared" si="837"/>
        <v>0</v>
      </c>
      <c r="Y110" s="208">
        <f t="shared" si="837"/>
        <v>0</v>
      </c>
      <c r="Z110" s="208">
        <f t="shared" si="837"/>
        <v>0</v>
      </c>
      <c r="AA110" s="208">
        <f t="shared" si="837"/>
        <v>0</v>
      </c>
      <c r="AB110" s="208">
        <f t="shared" si="837"/>
        <v>0</v>
      </c>
      <c r="AC110" s="207">
        <f t="shared" si="837"/>
        <v>0</v>
      </c>
      <c r="AD110" s="208">
        <f t="shared" si="837"/>
        <v>0</v>
      </c>
      <c r="AE110" s="208">
        <f t="shared" si="837"/>
        <v>0</v>
      </c>
      <c r="AF110" s="208">
        <f t="shared" si="837"/>
        <v>0</v>
      </c>
      <c r="AG110" s="208">
        <f t="shared" si="837"/>
        <v>0</v>
      </c>
      <c r="AH110" s="208">
        <f t="shared" si="837"/>
        <v>875</v>
      </c>
      <c r="AI110" s="208">
        <f t="shared" si="837"/>
        <v>1924.9999999999998</v>
      </c>
      <c r="AJ110" s="208">
        <f t="shared" si="837"/>
        <v>3132.5</v>
      </c>
      <c r="AK110" s="208">
        <f t="shared" si="837"/>
        <v>4494</v>
      </c>
      <c r="AL110" s="208">
        <f t="shared" si="837"/>
        <v>6006.3499999999995</v>
      </c>
      <c r="AM110" s="208">
        <f t="shared" si="837"/>
        <v>7666.4699999999993</v>
      </c>
      <c r="AN110" s="208">
        <f t="shared" si="837"/>
        <v>9471.3429999999989</v>
      </c>
      <c r="AO110" s="207">
        <f t="shared" si="837"/>
        <v>11418.0136</v>
      </c>
      <c r="AP110" s="208">
        <f t="shared" si="837"/>
        <v>13503.586740000001</v>
      </c>
      <c r="AQ110" s="208">
        <f t="shared" si="837"/>
        <v>15725.226468000001</v>
      </c>
      <c r="AR110" s="208">
        <f t="shared" si="837"/>
        <v>18080.154733200005</v>
      </c>
      <c r="AS110" s="208">
        <f t="shared" si="837"/>
        <v>20565.650203840007</v>
      </c>
      <c r="AT110" s="208">
        <f t="shared" si="837"/>
        <v>23179.047109176005</v>
      </c>
      <c r="AU110" s="208">
        <f t="shared" si="837"/>
        <v>25917.734105099204</v>
      </c>
      <c r="AV110" s="208">
        <f t="shared" si="837"/>
        <v>28779.153162915682</v>
      </c>
      <c r="AW110" s="208">
        <f t="shared" si="837"/>
        <v>31760.798480813701</v>
      </c>
      <c r="AX110" s="208">
        <f t="shared" si="837"/>
        <v>34860.215417555381</v>
      </c>
      <c r="AY110" s="208">
        <f t="shared" si="837"/>
        <v>38074.999447939103</v>
      </c>
      <c r="AZ110" s="208">
        <f t="shared" si="837"/>
        <v>41402.795139587994</v>
      </c>
      <c r="BA110" s="207">
        <f t="shared" si="837"/>
        <v>44841.295150629216</v>
      </c>
      <c r="BB110" s="208">
        <f t="shared" ref="BB110:BM110" si="838">BB108*$C110</f>
        <v>0</v>
      </c>
      <c r="BC110" s="208">
        <f t="shared" si="838"/>
        <v>52041.413344824869</v>
      </c>
      <c r="BD110" s="208">
        <f t="shared" si="838"/>
        <v>55798.64855986811</v>
      </c>
      <c r="BE110" s="208">
        <f t="shared" si="838"/>
        <v>59657.820292971614</v>
      </c>
      <c r="BF110" s="208">
        <f t="shared" si="838"/>
        <v>63616.847321774258</v>
      </c>
      <c r="BG110" s="208">
        <f t="shared" si="838"/>
        <v>67673.690915914834</v>
      </c>
      <c r="BH110" s="208">
        <f t="shared" si="838"/>
        <v>71826.353969479344</v>
      </c>
      <c r="BI110" s="208">
        <f t="shared" si="838"/>
        <v>76072.880151161051</v>
      </c>
      <c r="BJ110" s="208">
        <f t="shared" si="838"/>
        <v>80411.35307177146</v>
      </c>
      <c r="BK110" s="208">
        <f t="shared" si="838"/>
        <v>84839.895468748233</v>
      </c>
      <c r="BL110" s="208">
        <f t="shared" si="838"/>
        <v>89356.668407312813</v>
      </c>
      <c r="BM110" s="207">
        <f t="shared" si="838"/>
        <v>93959.870497937853</v>
      </c>
      <c r="BN110" s="208">
        <f t="shared" ref="BN110:BY110" si="839">BN108*$C110</f>
        <v>98647.737129791611</v>
      </c>
      <c r="BO110" s="208">
        <f t="shared" si="839"/>
        <v>103418.53971983284</v>
      </c>
      <c r="BP110" s="208">
        <f t="shared" si="839"/>
        <v>108270.58497723703</v>
      </c>
      <c r="BQ110" s="208">
        <f t="shared" si="839"/>
        <v>113202.21418284034</v>
      </c>
      <c r="BR110" s="208">
        <f t="shared" si="839"/>
        <v>118211.80248329561</v>
      </c>
      <c r="BS110" s="208">
        <f t="shared" si="839"/>
        <v>123297.7581996388</v>
      </c>
      <c r="BT110" s="208">
        <f t="shared" si="839"/>
        <v>128458.52214997287</v>
      </c>
      <c r="BU110" s="208">
        <f t="shared" si="839"/>
        <v>133692.56698598011</v>
      </c>
      <c r="BV110" s="208">
        <f t="shared" si="839"/>
        <v>138998.39654298066</v>
      </c>
      <c r="BW110" s="208">
        <f t="shared" si="839"/>
        <v>144374.54520326102</v>
      </c>
      <c r="BX110" s="208">
        <f t="shared" si="839"/>
        <v>149819.57727240142</v>
      </c>
      <c r="BY110" s="207">
        <f t="shared" si="839"/>
        <v>155332.0863683362</v>
      </c>
      <c r="BZ110" s="208">
        <f t="shared" ref="BZ110:CK110" si="840">BZ108*$C110</f>
        <v>160910.69482288818</v>
      </c>
      <c r="CA110" s="208">
        <f t="shared" si="840"/>
        <v>166554.05309552146</v>
      </c>
      <c r="CB110" s="208">
        <f t="shared" si="840"/>
        <v>172260.83919906369</v>
      </c>
      <c r="CC110" s="208">
        <f t="shared" si="840"/>
        <v>178029.75813715326</v>
      </c>
      <c r="CD110" s="208">
        <f t="shared" si="840"/>
        <v>183859.54135317201</v>
      </c>
      <c r="CE110" s="208">
        <f t="shared" si="840"/>
        <v>189748.94619042892</v>
      </c>
      <c r="CF110" s="208">
        <f t="shared" si="840"/>
        <v>195696.75536336546</v>
      </c>
      <c r="CG110" s="208">
        <f t="shared" si="840"/>
        <v>201701.77643955691</v>
      </c>
      <c r="CH110" s="208">
        <f t="shared" si="840"/>
        <v>207762.84133228959</v>
      </c>
      <c r="CI110" s="208">
        <f t="shared" si="840"/>
        <v>213878.80580349849</v>
      </c>
      <c r="CJ110" s="208">
        <f t="shared" si="840"/>
        <v>220048.54897685267</v>
      </c>
      <c r="CK110" s="207">
        <f t="shared" si="840"/>
        <v>226270.97286078273</v>
      </c>
    </row>
    <row r="111" spans="2:89" x14ac:dyDescent="0.2">
      <c r="B111" s="121" t="s">
        <v>85</v>
      </c>
      <c r="C111" s="206">
        <v>5</v>
      </c>
      <c r="E111" s="205"/>
      <c r="F111" s="407"/>
      <c r="G111" s="407"/>
      <c r="H111" s="407"/>
      <c r="I111" s="407"/>
      <c r="J111" s="407"/>
      <c r="K111" s="407"/>
      <c r="L111" s="407"/>
      <c r="M111" s="407"/>
      <c r="N111" s="433">
        <f t="shared" ref="N111:BA111" si="841">N106*$C111</f>
        <v>0</v>
      </c>
      <c r="O111" s="433">
        <f t="shared" si="841"/>
        <v>0</v>
      </c>
      <c r="P111" s="433">
        <f t="shared" si="841"/>
        <v>0</v>
      </c>
      <c r="Q111" s="434">
        <f t="shared" si="841"/>
        <v>0</v>
      </c>
      <c r="R111" s="169">
        <f t="shared" si="841"/>
        <v>0</v>
      </c>
      <c r="S111" s="169">
        <f t="shared" si="841"/>
        <v>0</v>
      </c>
      <c r="T111" s="169">
        <f t="shared" si="841"/>
        <v>0</v>
      </c>
      <c r="U111" s="169">
        <f t="shared" si="841"/>
        <v>0</v>
      </c>
      <c r="V111" s="169">
        <f t="shared" si="841"/>
        <v>0</v>
      </c>
      <c r="W111" s="169">
        <f t="shared" si="841"/>
        <v>0</v>
      </c>
      <c r="X111" s="169">
        <f t="shared" si="841"/>
        <v>0</v>
      </c>
      <c r="Y111" s="169">
        <f t="shared" si="841"/>
        <v>0</v>
      </c>
      <c r="Z111" s="169">
        <f t="shared" si="841"/>
        <v>0</v>
      </c>
      <c r="AA111" s="169">
        <f t="shared" si="841"/>
        <v>0</v>
      </c>
      <c r="AB111" s="169">
        <f t="shared" si="841"/>
        <v>0</v>
      </c>
      <c r="AC111" s="170">
        <f t="shared" si="841"/>
        <v>0</v>
      </c>
      <c r="AD111" s="169">
        <f t="shared" si="841"/>
        <v>0</v>
      </c>
      <c r="AE111" s="169">
        <f t="shared" si="841"/>
        <v>0</v>
      </c>
      <c r="AF111" s="169">
        <f t="shared" si="841"/>
        <v>0</v>
      </c>
      <c r="AG111" s="169">
        <f t="shared" si="841"/>
        <v>0</v>
      </c>
      <c r="AH111" s="169">
        <f t="shared" si="841"/>
        <v>500</v>
      </c>
      <c r="AI111" s="169">
        <f t="shared" si="841"/>
        <v>1100</v>
      </c>
      <c r="AJ111" s="169">
        <f t="shared" si="841"/>
        <v>1790</v>
      </c>
      <c r="AK111" s="169">
        <f t="shared" si="841"/>
        <v>2568</v>
      </c>
      <c r="AL111" s="169">
        <f t="shared" si="841"/>
        <v>3432.2000000000003</v>
      </c>
      <c r="AM111" s="169">
        <f t="shared" si="841"/>
        <v>4380.84</v>
      </c>
      <c r="AN111" s="169">
        <f t="shared" si="841"/>
        <v>5412.1959999999999</v>
      </c>
      <c r="AO111" s="170">
        <f t="shared" si="841"/>
        <v>6524.5792000000001</v>
      </c>
      <c r="AP111" s="169">
        <f t="shared" si="841"/>
        <v>7716.3352800000011</v>
      </c>
      <c r="AQ111" s="169">
        <f t="shared" si="841"/>
        <v>8985.8436959999999</v>
      </c>
      <c r="AR111" s="169">
        <f t="shared" si="841"/>
        <v>10331.516990400003</v>
      </c>
      <c r="AS111" s="169">
        <f t="shared" si="841"/>
        <v>11751.800116480004</v>
      </c>
      <c r="AT111" s="169">
        <f t="shared" si="841"/>
        <v>13245.169776672003</v>
      </c>
      <c r="AU111" s="169">
        <f t="shared" si="841"/>
        <v>14810.133774342403</v>
      </c>
      <c r="AV111" s="169">
        <f t="shared" si="841"/>
        <v>16445.230378808963</v>
      </c>
      <c r="AW111" s="169">
        <f t="shared" si="841"/>
        <v>18149.027703322114</v>
      </c>
      <c r="AX111" s="169">
        <f t="shared" si="841"/>
        <v>19920.123095745934</v>
      </c>
      <c r="AY111" s="169">
        <f t="shared" si="841"/>
        <v>21757.142541679492</v>
      </c>
      <c r="AZ111" s="169">
        <f t="shared" si="841"/>
        <v>23658.740079764571</v>
      </c>
      <c r="BA111" s="170">
        <f t="shared" si="841"/>
        <v>25623.597228930979</v>
      </c>
      <c r="BB111" s="169">
        <f t="shared" ref="BB111:BM111" si="842">BB106*$C111</f>
        <v>27650.422427335689</v>
      </c>
      <c r="BC111" s="169">
        <f t="shared" si="842"/>
        <v>29737.950482757071</v>
      </c>
      <c r="BD111" s="169">
        <f t="shared" si="842"/>
        <v>31884.942034210355</v>
      </c>
      <c r="BE111" s="169">
        <f t="shared" si="842"/>
        <v>34090.183024555212</v>
      </c>
      <c r="BF111" s="169">
        <f t="shared" si="842"/>
        <v>36352.484183871005</v>
      </c>
      <c r="BG111" s="169">
        <f t="shared" si="842"/>
        <v>38670.680523379902</v>
      </c>
      <c r="BH111" s="169">
        <f t="shared" si="842"/>
        <v>41043.630839702484</v>
      </c>
      <c r="BI111" s="169">
        <f t="shared" si="842"/>
        <v>43470.217229234884</v>
      </c>
      <c r="BJ111" s="169">
        <f t="shared" si="842"/>
        <v>45949.344612440836</v>
      </c>
      <c r="BK111" s="169">
        <f t="shared" si="842"/>
        <v>48479.940267856138</v>
      </c>
      <c r="BL111" s="169">
        <f t="shared" si="842"/>
        <v>51060.953375607322</v>
      </c>
      <c r="BM111" s="170">
        <f t="shared" si="842"/>
        <v>53691.354570250202</v>
      </c>
      <c r="BN111" s="169">
        <f t="shared" ref="BN111:BY111" si="843">BN106*$C111</f>
        <v>56370.135502738056</v>
      </c>
      <c r="BO111" s="169">
        <f t="shared" si="843"/>
        <v>59096.308411333055</v>
      </c>
      <c r="BP111" s="169">
        <f t="shared" si="843"/>
        <v>61868.905701278301</v>
      </c>
      <c r="BQ111" s="169">
        <f t="shared" si="843"/>
        <v>64686.979533051635</v>
      </c>
      <c r="BR111" s="169">
        <f t="shared" si="843"/>
        <v>67549.601419026061</v>
      </c>
      <c r="BS111" s="169">
        <f t="shared" si="843"/>
        <v>70455.861828365028</v>
      </c>
      <c r="BT111" s="169">
        <f t="shared" si="843"/>
        <v>73404.869799984503</v>
      </c>
      <c r="BU111" s="169">
        <f t="shared" si="843"/>
        <v>76395.752563417205</v>
      </c>
      <c r="BV111" s="169">
        <f t="shared" si="843"/>
        <v>79427.655167417513</v>
      </c>
      <c r="BW111" s="169">
        <f t="shared" si="843"/>
        <v>82499.740116149173</v>
      </c>
      <c r="BX111" s="169">
        <f t="shared" si="843"/>
        <v>85611.187012800816</v>
      </c>
      <c r="BY111" s="170">
        <f t="shared" si="843"/>
        <v>88761.192210477835</v>
      </c>
      <c r="BZ111" s="169">
        <f t="shared" ref="BZ111:CK111" si="844">BZ106*$C111</f>
        <v>91948.968470221822</v>
      </c>
      <c r="CA111" s="169">
        <f t="shared" si="844"/>
        <v>95173.744626012267</v>
      </c>
      <c r="CB111" s="169">
        <f t="shared" si="844"/>
        <v>98434.765256607818</v>
      </c>
      <c r="CC111" s="169">
        <f t="shared" si="844"/>
        <v>101731.29036408759</v>
      </c>
      <c r="CD111" s="169">
        <f t="shared" si="844"/>
        <v>105062.59505895543</v>
      </c>
      <c r="CE111" s="169">
        <f t="shared" si="844"/>
        <v>108427.96925167367</v>
      </c>
      <c r="CF111" s="169">
        <f t="shared" si="844"/>
        <v>111826.71735049457</v>
      </c>
      <c r="CG111" s="169">
        <f t="shared" si="844"/>
        <v>115258.15796546108</v>
      </c>
      <c r="CH111" s="169">
        <f t="shared" si="844"/>
        <v>118721.62361845119</v>
      </c>
      <c r="CI111" s="169">
        <f t="shared" si="844"/>
        <v>122216.46045914198</v>
      </c>
      <c r="CJ111" s="169">
        <f t="shared" si="844"/>
        <v>125742.02798677296</v>
      </c>
      <c r="CK111" s="170">
        <f t="shared" si="844"/>
        <v>129297.69877759012</v>
      </c>
    </row>
    <row r="112" spans="2:89" x14ac:dyDescent="0.2">
      <c r="B112" s="21"/>
    </row>
    <row r="113" spans="2:89" ht="21" x14ac:dyDescent="0.25">
      <c r="B113" s="144" t="s">
        <v>89</v>
      </c>
      <c r="C113" s="122"/>
      <c r="D113" s="122"/>
      <c r="E113" s="123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392"/>
      <c r="Q113" s="393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3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3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3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  <c r="BM113" s="123"/>
      <c r="BN113" s="122"/>
      <c r="BO113" s="122"/>
      <c r="BP113" s="122"/>
      <c r="BQ113" s="122"/>
      <c r="BR113" s="122"/>
      <c r="BS113" s="122"/>
      <c r="BT113" s="122"/>
      <c r="BU113" s="122"/>
      <c r="BV113" s="122"/>
      <c r="BW113" s="122"/>
      <c r="BX113" s="122"/>
      <c r="BY113" s="123"/>
      <c r="BZ113" s="122"/>
      <c r="CA113" s="122"/>
      <c r="CB113" s="122"/>
      <c r="CC113" s="122"/>
      <c r="CD113" s="122"/>
      <c r="CE113" s="122"/>
      <c r="CF113" s="122"/>
      <c r="CG113" s="122"/>
      <c r="CH113" s="122"/>
      <c r="CI113" s="122"/>
      <c r="CJ113" s="122"/>
      <c r="CK113" s="123"/>
    </row>
    <row r="114" spans="2:89" x14ac:dyDescent="0.2">
      <c r="B114" s="118"/>
      <c r="E114" s="140"/>
      <c r="N114" s="103"/>
      <c r="O114" s="103"/>
      <c r="P114" s="380"/>
      <c r="Q114" s="381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17"/>
      <c r="AD114" s="103"/>
      <c r="AE114" s="103"/>
      <c r="AF114" s="103"/>
      <c r="AG114" s="103"/>
      <c r="AH114" s="103"/>
      <c r="AI114" s="103"/>
      <c r="AJ114" s="103"/>
      <c r="AK114" s="103"/>
      <c r="AL114" s="103"/>
      <c r="AM114" s="103"/>
      <c r="AN114" s="103"/>
      <c r="AO114" s="117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17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17"/>
      <c r="BN114" s="103"/>
      <c r="BO114" s="103"/>
      <c r="BP114" s="103"/>
      <c r="BQ114" s="103"/>
      <c r="BR114" s="103"/>
      <c r="BS114" s="103"/>
      <c r="BT114" s="103"/>
      <c r="BU114" s="103"/>
      <c r="BV114" s="103"/>
      <c r="BW114" s="103"/>
      <c r="BX114" s="103"/>
      <c r="BY114" s="117"/>
      <c r="BZ114" s="103"/>
      <c r="CA114" s="103"/>
      <c r="CB114" s="103"/>
      <c r="CC114" s="103"/>
      <c r="CD114" s="103"/>
      <c r="CE114" s="103"/>
      <c r="CF114" s="103"/>
      <c r="CG114" s="103"/>
      <c r="CH114" s="103"/>
      <c r="CI114" s="103"/>
      <c r="CJ114" s="103"/>
      <c r="CK114" s="117"/>
    </row>
    <row r="115" spans="2:89" s="17" customFormat="1" x14ac:dyDescent="0.2">
      <c r="B115" s="121" t="s">
        <v>79</v>
      </c>
      <c r="C115" s="224"/>
      <c r="E115" s="141"/>
      <c r="N115" s="223">
        <v>0</v>
      </c>
      <c r="O115" s="223">
        <v>0</v>
      </c>
      <c r="P115" s="390">
        <v>0</v>
      </c>
      <c r="Q115" s="391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660">
        <v>0</v>
      </c>
      <c r="X115" s="660">
        <v>0</v>
      </c>
      <c r="Y115" s="660">
        <v>0</v>
      </c>
      <c r="Z115" s="660">
        <v>0</v>
      </c>
      <c r="AA115" s="660">
        <v>0</v>
      </c>
      <c r="AB115" s="660">
        <v>0</v>
      </c>
      <c r="AC115" s="661">
        <v>0</v>
      </c>
      <c r="AD115" s="660">
        <v>0</v>
      </c>
      <c r="AE115" s="660">
        <v>0</v>
      </c>
      <c r="AF115" s="660">
        <v>0</v>
      </c>
      <c r="AG115" s="223"/>
      <c r="AH115" s="223"/>
      <c r="AI115" s="223"/>
      <c r="AJ115" s="223"/>
      <c r="AK115" s="223">
        <f t="shared" ref="AK115:BA115" si="845">AJ115+1</f>
        <v>1</v>
      </c>
      <c r="AL115" s="223">
        <f t="shared" si="845"/>
        <v>2</v>
      </c>
      <c r="AM115" s="223">
        <f t="shared" si="845"/>
        <v>3</v>
      </c>
      <c r="AN115" s="223">
        <f t="shared" si="845"/>
        <v>4</v>
      </c>
      <c r="AO115" s="222">
        <f t="shared" si="845"/>
        <v>5</v>
      </c>
      <c r="AP115" s="223">
        <f t="shared" si="845"/>
        <v>6</v>
      </c>
      <c r="AQ115" s="223">
        <f t="shared" si="845"/>
        <v>7</v>
      </c>
      <c r="AR115" s="223">
        <f t="shared" si="845"/>
        <v>8</v>
      </c>
      <c r="AS115" s="223">
        <f t="shared" si="845"/>
        <v>9</v>
      </c>
      <c r="AT115" s="223">
        <f t="shared" si="845"/>
        <v>10</v>
      </c>
      <c r="AU115" s="223">
        <f t="shared" si="845"/>
        <v>11</v>
      </c>
      <c r="AV115" s="223">
        <f t="shared" si="845"/>
        <v>12</v>
      </c>
      <c r="AW115" s="223">
        <f t="shared" si="845"/>
        <v>13</v>
      </c>
      <c r="AX115" s="223">
        <f t="shared" si="845"/>
        <v>14</v>
      </c>
      <c r="AY115" s="223">
        <f t="shared" si="845"/>
        <v>15</v>
      </c>
      <c r="AZ115" s="223">
        <f t="shared" si="845"/>
        <v>16</v>
      </c>
      <c r="BA115" s="222">
        <f t="shared" si="845"/>
        <v>17</v>
      </c>
      <c r="BB115" s="223">
        <f t="shared" ref="BB115" si="846">BA115+1</f>
        <v>18</v>
      </c>
      <c r="BC115" s="223">
        <f t="shared" ref="BC115" si="847">BB115+1</f>
        <v>19</v>
      </c>
      <c r="BD115" s="223">
        <f t="shared" ref="BD115" si="848">BC115+1</f>
        <v>20</v>
      </c>
      <c r="BE115" s="223">
        <f t="shared" ref="BE115" si="849">BD115+1</f>
        <v>21</v>
      </c>
      <c r="BF115" s="223">
        <f t="shared" ref="BF115" si="850">BE115+1</f>
        <v>22</v>
      </c>
      <c r="BG115" s="223">
        <f t="shared" ref="BG115" si="851">BF115+1</f>
        <v>23</v>
      </c>
      <c r="BH115" s="223">
        <f t="shared" ref="BH115" si="852">BG115+1</f>
        <v>24</v>
      </c>
      <c r="BI115" s="223">
        <f t="shared" ref="BI115" si="853">BH115+1</f>
        <v>25</v>
      </c>
      <c r="BJ115" s="223">
        <f t="shared" ref="BJ115" si="854">BI115+1</f>
        <v>26</v>
      </c>
      <c r="BK115" s="223">
        <f t="shared" ref="BK115" si="855">BJ115+1</f>
        <v>27</v>
      </c>
      <c r="BL115" s="223">
        <f t="shared" ref="BL115" si="856">BK115+1</f>
        <v>28</v>
      </c>
      <c r="BM115" s="222">
        <f t="shared" ref="BM115" si="857">BL115+1</f>
        <v>29</v>
      </c>
      <c r="BN115" s="223">
        <f t="shared" ref="BN115" si="858">BM115+1</f>
        <v>30</v>
      </c>
      <c r="BO115" s="223">
        <f t="shared" ref="BO115" si="859">BN115+1</f>
        <v>31</v>
      </c>
      <c r="BP115" s="223">
        <f t="shared" ref="BP115" si="860">BO115+1</f>
        <v>32</v>
      </c>
      <c r="BQ115" s="223">
        <f t="shared" ref="BQ115" si="861">BP115+1</f>
        <v>33</v>
      </c>
      <c r="BR115" s="223">
        <f t="shared" ref="BR115" si="862">BQ115+1</f>
        <v>34</v>
      </c>
      <c r="BS115" s="223">
        <f t="shared" ref="BS115" si="863">BR115+1</f>
        <v>35</v>
      </c>
      <c r="BT115" s="223">
        <f t="shared" ref="BT115" si="864">BS115+1</f>
        <v>36</v>
      </c>
      <c r="BU115" s="223">
        <f t="shared" ref="BU115" si="865">BT115+1</f>
        <v>37</v>
      </c>
      <c r="BV115" s="223">
        <f t="shared" ref="BV115" si="866">BU115+1</f>
        <v>38</v>
      </c>
      <c r="BW115" s="223">
        <f t="shared" ref="BW115" si="867">BV115+1</f>
        <v>39</v>
      </c>
      <c r="BX115" s="223">
        <f t="shared" ref="BX115" si="868">BW115+1</f>
        <v>40</v>
      </c>
      <c r="BY115" s="222">
        <f t="shared" ref="BY115" si="869">BX115+1</f>
        <v>41</v>
      </c>
      <c r="BZ115" s="223">
        <f t="shared" ref="BZ115" si="870">BY115+1</f>
        <v>42</v>
      </c>
      <c r="CA115" s="223">
        <f t="shared" ref="CA115" si="871">BZ115+1</f>
        <v>43</v>
      </c>
      <c r="CB115" s="223">
        <f t="shared" ref="CB115" si="872">CA115+1</f>
        <v>44</v>
      </c>
      <c r="CC115" s="223">
        <f t="shared" ref="CC115" si="873">CB115+1</f>
        <v>45</v>
      </c>
      <c r="CD115" s="223">
        <f t="shared" ref="CD115" si="874">CC115+1</f>
        <v>46</v>
      </c>
      <c r="CE115" s="223">
        <f t="shared" ref="CE115" si="875">CD115+1</f>
        <v>47</v>
      </c>
      <c r="CF115" s="223">
        <f t="shared" ref="CF115" si="876">CE115+1</f>
        <v>48</v>
      </c>
      <c r="CG115" s="223">
        <f t="shared" ref="CG115" si="877">CF115+1</f>
        <v>49</v>
      </c>
      <c r="CH115" s="223">
        <f t="shared" ref="CH115" si="878">CG115+1</f>
        <v>50</v>
      </c>
      <c r="CI115" s="223">
        <f t="shared" ref="CI115" si="879">CH115+1</f>
        <v>51</v>
      </c>
      <c r="CJ115" s="223">
        <f t="shared" ref="CJ115" si="880">CI115+1</f>
        <v>52</v>
      </c>
      <c r="CK115" s="222">
        <f t="shared" ref="CK115" si="881">CJ115+1</f>
        <v>53</v>
      </c>
    </row>
    <row r="116" spans="2:89" s="17" customFormat="1" x14ac:dyDescent="0.2">
      <c r="B116" s="121" t="s">
        <v>80</v>
      </c>
      <c r="C116" s="221">
        <v>20</v>
      </c>
      <c r="D116" s="17" t="s">
        <v>81</v>
      </c>
      <c r="E116" s="219"/>
      <c r="N116" s="218">
        <f t="shared" ref="N116:BA116" si="882">N115*$C116</f>
        <v>0</v>
      </c>
      <c r="O116" s="218">
        <f t="shared" si="882"/>
        <v>0</v>
      </c>
      <c r="P116" s="382">
        <f t="shared" si="882"/>
        <v>0</v>
      </c>
      <c r="Q116" s="383">
        <f t="shared" si="882"/>
        <v>0</v>
      </c>
      <c r="R116" s="218">
        <f t="shared" si="882"/>
        <v>0</v>
      </c>
      <c r="S116" s="218">
        <f t="shared" si="882"/>
        <v>0</v>
      </c>
      <c r="T116" s="218">
        <f t="shared" si="882"/>
        <v>0</v>
      </c>
      <c r="U116" s="218">
        <f t="shared" si="882"/>
        <v>0</v>
      </c>
      <c r="V116" s="218">
        <f t="shared" si="882"/>
        <v>0</v>
      </c>
      <c r="W116" s="218">
        <f t="shared" si="882"/>
        <v>0</v>
      </c>
      <c r="X116" s="218">
        <f t="shared" si="882"/>
        <v>0</v>
      </c>
      <c r="Y116" s="218">
        <f t="shared" si="882"/>
        <v>0</v>
      </c>
      <c r="Z116" s="218">
        <f t="shared" si="882"/>
        <v>0</v>
      </c>
      <c r="AA116" s="218">
        <f t="shared" si="882"/>
        <v>0</v>
      </c>
      <c r="AB116" s="218">
        <f t="shared" si="882"/>
        <v>0</v>
      </c>
      <c r="AC116" s="217">
        <f t="shared" si="882"/>
        <v>0</v>
      </c>
      <c r="AD116" s="218">
        <f t="shared" si="882"/>
        <v>0</v>
      </c>
      <c r="AE116" s="218">
        <f t="shared" si="882"/>
        <v>0</v>
      </c>
      <c r="AF116" s="218">
        <f t="shared" si="882"/>
        <v>0</v>
      </c>
      <c r="AG116" s="218">
        <f t="shared" si="882"/>
        <v>0</v>
      </c>
      <c r="AH116" s="218">
        <f t="shared" si="882"/>
        <v>0</v>
      </c>
      <c r="AI116" s="218">
        <f t="shared" si="882"/>
        <v>0</v>
      </c>
      <c r="AJ116" s="218">
        <f t="shared" si="882"/>
        <v>0</v>
      </c>
      <c r="AK116" s="218">
        <f t="shared" si="882"/>
        <v>20</v>
      </c>
      <c r="AL116" s="218">
        <f t="shared" si="882"/>
        <v>40</v>
      </c>
      <c r="AM116" s="218">
        <f t="shared" si="882"/>
        <v>60</v>
      </c>
      <c r="AN116" s="218">
        <f t="shared" si="882"/>
        <v>80</v>
      </c>
      <c r="AO116" s="217">
        <f t="shared" si="882"/>
        <v>100</v>
      </c>
      <c r="AP116" s="218">
        <f t="shared" si="882"/>
        <v>120</v>
      </c>
      <c r="AQ116" s="218">
        <f t="shared" si="882"/>
        <v>140</v>
      </c>
      <c r="AR116" s="218">
        <f t="shared" si="882"/>
        <v>160</v>
      </c>
      <c r="AS116" s="218">
        <f t="shared" si="882"/>
        <v>180</v>
      </c>
      <c r="AT116" s="218">
        <f t="shared" si="882"/>
        <v>200</v>
      </c>
      <c r="AU116" s="218">
        <f t="shared" si="882"/>
        <v>220</v>
      </c>
      <c r="AV116" s="218">
        <f t="shared" si="882"/>
        <v>240</v>
      </c>
      <c r="AW116" s="218">
        <f t="shared" si="882"/>
        <v>260</v>
      </c>
      <c r="AX116" s="218">
        <f t="shared" si="882"/>
        <v>280</v>
      </c>
      <c r="AY116" s="218">
        <f t="shared" si="882"/>
        <v>300</v>
      </c>
      <c r="AZ116" s="218">
        <f t="shared" si="882"/>
        <v>320</v>
      </c>
      <c r="BA116" s="217">
        <f t="shared" si="882"/>
        <v>340</v>
      </c>
      <c r="BB116" s="218">
        <f t="shared" ref="BB116:BM116" si="883">BB115*$C116</f>
        <v>360</v>
      </c>
      <c r="BC116" s="218">
        <f t="shared" si="883"/>
        <v>380</v>
      </c>
      <c r="BD116" s="218">
        <f t="shared" si="883"/>
        <v>400</v>
      </c>
      <c r="BE116" s="218">
        <f t="shared" si="883"/>
        <v>420</v>
      </c>
      <c r="BF116" s="218">
        <f t="shared" si="883"/>
        <v>440</v>
      </c>
      <c r="BG116" s="218">
        <f t="shared" si="883"/>
        <v>460</v>
      </c>
      <c r="BH116" s="218">
        <f t="shared" si="883"/>
        <v>480</v>
      </c>
      <c r="BI116" s="218">
        <f t="shared" si="883"/>
        <v>500</v>
      </c>
      <c r="BJ116" s="218">
        <f t="shared" si="883"/>
        <v>520</v>
      </c>
      <c r="BK116" s="218">
        <f t="shared" si="883"/>
        <v>540</v>
      </c>
      <c r="BL116" s="218">
        <f t="shared" si="883"/>
        <v>560</v>
      </c>
      <c r="BM116" s="217">
        <f t="shared" si="883"/>
        <v>580</v>
      </c>
      <c r="BN116" s="218">
        <f t="shared" ref="BN116:BY116" si="884">BN115*$C116</f>
        <v>600</v>
      </c>
      <c r="BO116" s="218">
        <f t="shared" si="884"/>
        <v>620</v>
      </c>
      <c r="BP116" s="218">
        <f t="shared" si="884"/>
        <v>640</v>
      </c>
      <c r="BQ116" s="218">
        <f t="shared" si="884"/>
        <v>660</v>
      </c>
      <c r="BR116" s="218">
        <f t="shared" si="884"/>
        <v>680</v>
      </c>
      <c r="BS116" s="218">
        <f t="shared" si="884"/>
        <v>700</v>
      </c>
      <c r="BT116" s="218">
        <f t="shared" si="884"/>
        <v>720</v>
      </c>
      <c r="BU116" s="218">
        <f t="shared" si="884"/>
        <v>740</v>
      </c>
      <c r="BV116" s="218">
        <f t="shared" si="884"/>
        <v>760</v>
      </c>
      <c r="BW116" s="218">
        <f t="shared" si="884"/>
        <v>780</v>
      </c>
      <c r="BX116" s="218">
        <f t="shared" si="884"/>
        <v>800</v>
      </c>
      <c r="BY116" s="217">
        <f t="shared" si="884"/>
        <v>820</v>
      </c>
      <c r="BZ116" s="218">
        <f t="shared" ref="BZ116:CK116" si="885">BZ115*$C116</f>
        <v>840</v>
      </c>
      <c r="CA116" s="218">
        <f t="shared" si="885"/>
        <v>860</v>
      </c>
      <c r="CB116" s="218">
        <f t="shared" si="885"/>
        <v>880</v>
      </c>
      <c r="CC116" s="218">
        <f t="shared" si="885"/>
        <v>900</v>
      </c>
      <c r="CD116" s="218">
        <f t="shared" si="885"/>
        <v>920</v>
      </c>
      <c r="CE116" s="218">
        <f t="shared" si="885"/>
        <v>940</v>
      </c>
      <c r="CF116" s="218">
        <f t="shared" si="885"/>
        <v>960</v>
      </c>
      <c r="CG116" s="218">
        <f t="shared" si="885"/>
        <v>980</v>
      </c>
      <c r="CH116" s="218">
        <f t="shared" si="885"/>
        <v>1000</v>
      </c>
      <c r="CI116" s="218">
        <f t="shared" si="885"/>
        <v>1020</v>
      </c>
      <c r="CJ116" s="218">
        <f t="shared" si="885"/>
        <v>1040</v>
      </c>
      <c r="CK116" s="217">
        <f t="shared" si="885"/>
        <v>1060</v>
      </c>
    </row>
    <row r="117" spans="2:89" s="17" customFormat="1" x14ac:dyDescent="0.2">
      <c r="B117" s="121" t="s">
        <v>59</v>
      </c>
      <c r="C117" s="220">
        <v>5.0000000000000001E-3</v>
      </c>
      <c r="E117" s="219"/>
      <c r="N117" s="218"/>
      <c r="O117" s="218"/>
      <c r="P117" s="382">
        <f t="shared" ref="P117:BA117" si="886">N118*$C117</f>
        <v>0</v>
      </c>
      <c r="Q117" s="383">
        <f t="shared" si="886"/>
        <v>0</v>
      </c>
      <c r="R117" s="218">
        <f t="shared" si="886"/>
        <v>0</v>
      </c>
      <c r="S117" s="218">
        <f t="shared" si="886"/>
        <v>0</v>
      </c>
      <c r="T117" s="218">
        <f t="shared" si="886"/>
        <v>0</v>
      </c>
      <c r="U117" s="218">
        <f t="shared" si="886"/>
        <v>0</v>
      </c>
      <c r="V117" s="218">
        <f t="shared" si="886"/>
        <v>0</v>
      </c>
      <c r="W117" s="218">
        <f t="shared" si="886"/>
        <v>0</v>
      </c>
      <c r="X117" s="218">
        <f t="shared" si="886"/>
        <v>0</v>
      </c>
      <c r="Y117" s="218">
        <f t="shared" si="886"/>
        <v>0</v>
      </c>
      <c r="Z117" s="218">
        <f t="shared" si="886"/>
        <v>0</v>
      </c>
      <c r="AA117" s="218">
        <f t="shared" si="886"/>
        <v>0</v>
      </c>
      <c r="AB117" s="218">
        <f t="shared" si="886"/>
        <v>0</v>
      </c>
      <c r="AC117" s="217">
        <f t="shared" si="886"/>
        <v>0</v>
      </c>
      <c r="AD117" s="218">
        <f t="shared" si="886"/>
        <v>0</v>
      </c>
      <c r="AE117" s="218">
        <f t="shared" si="886"/>
        <v>0</v>
      </c>
      <c r="AF117" s="218">
        <f t="shared" si="886"/>
        <v>0</v>
      </c>
      <c r="AG117" s="218">
        <f t="shared" si="886"/>
        <v>0</v>
      </c>
      <c r="AH117" s="218">
        <f t="shared" si="886"/>
        <v>0</v>
      </c>
      <c r="AI117" s="218">
        <f t="shared" si="886"/>
        <v>0</v>
      </c>
      <c r="AJ117" s="218">
        <f t="shared" si="886"/>
        <v>0</v>
      </c>
      <c r="AK117" s="218">
        <f t="shared" si="886"/>
        <v>0</v>
      </c>
      <c r="AL117" s="218">
        <f t="shared" si="886"/>
        <v>0</v>
      </c>
      <c r="AM117" s="218">
        <f t="shared" si="886"/>
        <v>0.1</v>
      </c>
      <c r="AN117" s="218">
        <f t="shared" si="886"/>
        <v>0.3</v>
      </c>
      <c r="AO117" s="217">
        <f t="shared" si="886"/>
        <v>0.59950000000000003</v>
      </c>
      <c r="AP117" s="218">
        <f t="shared" si="886"/>
        <v>0.998</v>
      </c>
      <c r="AQ117" s="218">
        <f t="shared" si="886"/>
        <v>1.4950025000000002</v>
      </c>
      <c r="AR117" s="218">
        <f t="shared" si="886"/>
        <v>2.0900125000000003</v>
      </c>
      <c r="AS117" s="218">
        <f t="shared" si="886"/>
        <v>2.7825374875</v>
      </c>
      <c r="AT117" s="218">
        <f t="shared" si="886"/>
        <v>3.5720874249999999</v>
      </c>
      <c r="AU117" s="218">
        <f t="shared" si="886"/>
        <v>4.4581747375624996</v>
      </c>
      <c r="AV117" s="218">
        <f t="shared" si="886"/>
        <v>5.4403143004374988</v>
      </c>
      <c r="AW117" s="218">
        <f t="shared" si="886"/>
        <v>6.5180234267496857</v>
      </c>
      <c r="AX117" s="218">
        <f t="shared" si="886"/>
        <v>7.6908218552474992</v>
      </c>
      <c r="AY117" s="218">
        <f t="shared" si="886"/>
        <v>8.9582317381137511</v>
      </c>
      <c r="AZ117" s="218">
        <f t="shared" si="886"/>
        <v>10.319777628837512</v>
      </c>
      <c r="BA117" s="217">
        <f t="shared" si="886"/>
        <v>11.774986470146944</v>
      </c>
      <c r="BB117" s="218">
        <f t="shared" ref="BB117" si="887">AZ118*$C117</f>
        <v>13.323387582002756</v>
      </c>
      <c r="BC117" s="218">
        <f t="shared" ref="BC117" si="888">BA118*$C117</f>
        <v>14.964512649652022</v>
      </c>
      <c r="BD117" s="218">
        <f t="shared" ref="BD117" si="889">BB118*$C117</f>
        <v>16.697895711742007</v>
      </c>
      <c r="BE117" s="218">
        <f t="shared" ref="BE117" si="890">BC118*$C117</f>
        <v>18.523073148493747</v>
      </c>
      <c r="BF117" s="218">
        <f t="shared" ref="BF117" si="891">BD118*$C117</f>
        <v>20.43958366993504</v>
      </c>
      <c r="BG117" s="218">
        <f t="shared" ref="BG117" si="892">BE118*$C117</f>
        <v>22.44696830419257</v>
      </c>
      <c r="BH117" s="218">
        <f t="shared" ref="BH117" si="893">BF118*$C117</f>
        <v>24.544770385842895</v>
      </c>
      <c r="BI117" s="218">
        <f t="shared" ref="BI117" si="894">BG118*$C117</f>
        <v>26.732535544321934</v>
      </c>
      <c r="BJ117" s="218">
        <f t="shared" ref="BJ117" si="895">BH118*$C117</f>
        <v>29.00981169239272</v>
      </c>
      <c r="BK117" s="218">
        <f t="shared" ref="BK117" si="896">BI118*$C117</f>
        <v>31.37614901467111</v>
      </c>
      <c r="BL117" s="218">
        <f t="shared" ref="BL117" si="897">BJ118*$C117</f>
        <v>33.831099956209144</v>
      </c>
      <c r="BM117" s="217">
        <f t="shared" ref="BM117" si="898">BK118*$C117</f>
        <v>36.374219211135795</v>
      </c>
      <c r="BN117" s="218">
        <f t="shared" ref="BN117" si="899">BL118*$C117</f>
        <v>39.005063711354744</v>
      </c>
      <c r="BO117" s="218">
        <f t="shared" ref="BO117" si="900">BM118*$C117</f>
        <v>41.72319261529907</v>
      </c>
      <c r="BP117" s="218">
        <f t="shared" ref="BP117" si="901">BN118*$C117</f>
        <v>44.528167296742296</v>
      </c>
      <c r="BQ117" s="218">
        <f t="shared" ref="BQ117" si="902">BO118*$C117</f>
        <v>47.419551333665794</v>
      </c>
      <c r="BR117" s="218">
        <f t="shared" ref="BR117" si="903">BP118*$C117</f>
        <v>50.396910497182084</v>
      </c>
      <c r="BS117" s="218">
        <f t="shared" ref="BS117" si="904">BQ118*$C117</f>
        <v>53.459812740513755</v>
      </c>
      <c r="BT117" s="218">
        <f t="shared" ref="BT117" si="905">BR118*$C117</f>
        <v>56.607828188027845</v>
      </c>
      <c r="BU117" s="218">
        <f t="shared" ref="BU117" si="906">BS118*$C117</f>
        <v>59.840529124325279</v>
      </c>
      <c r="BV117" s="218">
        <f t="shared" ref="BV117" si="907">BT118*$C117</f>
        <v>63.15748998338514</v>
      </c>
      <c r="BW117" s="218">
        <f t="shared" ref="BW117" si="908">BU118*$C117</f>
        <v>66.558287337763517</v>
      </c>
      <c r="BX117" s="218">
        <f t="shared" ref="BX117" si="909">BV118*$C117</f>
        <v>70.042499887846589</v>
      </c>
      <c r="BY117" s="217">
        <f t="shared" ref="BY117" si="910">BW118*$C117</f>
        <v>73.609708451157772</v>
      </c>
      <c r="BZ117" s="218">
        <f t="shared" ref="BZ117" si="911">BX118*$C117</f>
        <v>77.259495951718534</v>
      </c>
      <c r="CA117" s="218">
        <f t="shared" ref="CA117" si="912">BY118*$C117</f>
        <v>80.991447409462751</v>
      </c>
      <c r="CB117" s="218">
        <f t="shared" ref="CB117" si="913">BZ118*$C117</f>
        <v>84.805149929704143</v>
      </c>
      <c r="CC117" s="218">
        <f t="shared" ref="CC117" si="914">CA118*$C117</f>
        <v>88.700192692656842</v>
      </c>
      <c r="CD117" s="218">
        <f t="shared" ref="CD117" si="915">CB118*$C117</f>
        <v>92.676166943008326</v>
      </c>
      <c r="CE117" s="218">
        <f t="shared" ref="CE117" si="916">CC118*$C117</f>
        <v>96.732665979545033</v>
      </c>
      <c r="CF117" s="218">
        <f t="shared" ref="CF117" si="917">CD118*$C117</f>
        <v>100.86928514482999</v>
      </c>
      <c r="CG117" s="218">
        <f t="shared" ref="CG117" si="918">CE118*$C117</f>
        <v>105.08562181493228</v>
      </c>
      <c r="CH117" s="218">
        <f t="shared" ref="CH117" si="919">CF118*$C117</f>
        <v>109.38127538920813</v>
      </c>
      <c r="CI117" s="218">
        <f t="shared" ref="CI117" si="920">CG118*$C117</f>
        <v>113.75584728013348</v>
      </c>
      <c r="CJ117" s="218">
        <f t="shared" ref="CJ117" si="921">CH118*$C117</f>
        <v>118.20894090318744</v>
      </c>
      <c r="CK117" s="217">
        <f t="shared" ref="CK117" si="922">CI118*$C117</f>
        <v>122.74016166678678</v>
      </c>
    </row>
    <row r="118" spans="2:89" x14ac:dyDescent="0.2">
      <c r="B118" s="21" t="s">
        <v>72</v>
      </c>
      <c r="C118" s="211"/>
      <c r="M118" s="108">
        <v>0</v>
      </c>
      <c r="N118" s="216">
        <f>M118+N116</f>
        <v>0</v>
      </c>
      <c r="O118" s="216">
        <f>N118+O116</f>
        <v>0</v>
      </c>
      <c r="P118" s="384">
        <f t="shared" ref="P118:BA118" si="923">O118+P116-P117</f>
        <v>0</v>
      </c>
      <c r="Q118" s="385">
        <f t="shared" si="923"/>
        <v>0</v>
      </c>
      <c r="R118" s="216">
        <f t="shared" si="923"/>
        <v>0</v>
      </c>
      <c r="S118" s="216">
        <f t="shared" si="923"/>
        <v>0</v>
      </c>
      <c r="T118" s="216">
        <f t="shared" si="923"/>
        <v>0</v>
      </c>
      <c r="U118" s="216">
        <f t="shared" si="923"/>
        <v>0</v>
      </c>
      <c r="V118" s="216">
        <f t="shared" si="923"/>
        <v>0</v>
      </c>
      <c r="W118" s="216">
        <f t="shared" si="923"/>
        <v>0</v>
      </c>
      <c r="X118" s="216">
        <f t="shared" si="923"/>
        <v>0</v>
      </c>
      <c r="Y118" s="216">
        <f t="shared" si="923"/>
        <v>0</v>
      </c>
      <c r="Z118" s="216">
        <f t="shared" si="923"/>
        <v>0</v>
      </c>
      <c r="AA118" s="216">
        <f t="shared" si="923"/>
        <v>0</v>
      </c>
      <c r="AB118" s="216">
        <f t="shared" si="923"/>
        <v>0</v>
      </c>
      <c r="AC118" s="215">
        <f t="shared" si="923"/>
        <v>0</v>
      </c>
      <c r="AD118" s="216">
        <f t="shared" si="923"/>
        <v>0</v>
      </c>
      <c r="AE118" s="216">
        <f t="shared" si="923"/>
        <v>0</v>
      </c>
      <c r="AF118" s="216">
        <f t="shared" si="923"/>
        <v>0</v>
      </c>
      <c r="AG118" s="216">
        <f t="shared" si="923"/>
        <v>0</v>
      </c>
      <c r="AH118" s="216">
        <f t="shared" si="923"/>
        <v>0</v>
      </c>
      <c r="AI118" s="216">
        <f t="shared" si="923"/>
        <v>0</v>
      </c>
      <c r="AJ118" s="216">
        <f t="shared" si="923"/>
        <v>0</v>
      </c>
      <c r="AK118" s="216">
        <f t="shared" si="923"/>
        <v>20</v>
      </c>
      <c r="AL118" s="216">
        <f t="shared" si="923"/>
        <v>60</v>
      </c>
      <c r="AM118" s="216">
        <f t="shared" si="923"/>
        <v>119.9</v>
      </c>
      <c r="AN118" s="216">
        <f t="shared" si="923"/>
        <v>199.6</v>
      </c>
      <c r="AO118" s="215">
        <f t="shared" si="923"/>
        <v>299.00050000000005</v>
      </c>
      <c r="AP118" s="216">
        <f t="shared" si="923"/>
        <v>418.00250000000005</v>
      </c>
      <c r="AQ118" s="216">
        <f t="shared" si="923"/>
        <v>556.5074975</v>
      </c>
      <c r="AR118" s="216">
        <f t="shared" si="923"/>
        <v>714.41748499999994</v>
      </c>
      <c r="AS118" s="216">
        <f t="shared" si="923"/>
        <v>891.63494751249993</v>
      </c>
      <c r="AT118" s="216">
        <f t="shared" si="923"/>
        <v>1088.0628600874998</v>
      </c>
      <c r="AU118" s="216">
        <f t="shared" si="923"/>
        <v>1303.6046853499372</v>
      </c>
      <c r="AV118" s="216">
        <f t="shared" si="923"/>
        <v>1538.1643710494998</v>
      </c>
      <c r="AW118" s="216">
        <f t="shared" si="923"/>
        <v>1791.64634762275</v>
      </c>
      <c r="AX118" s="216">
        <f t="shared" si="923"/>
        <v>2063.9555257675024</v>
      </c>
      <c r="AY118" s="216">
        <f t="shared" si="923"/>
        <v>2354.9972940293887</v>
      </c>
      <c r="AZ118" s="216">
        <f t="shared" si="923"/>
        <v>2664.6775164005512</v>
      </c>
      <c r="BA118" s="215">
        <f t="shared" si="923"/>
        <v>2992.9025299304044</v>
      </c>
      <c r="BB118" s="216">
        <f t="shared" ref="BB118" si="924">BA118+BB116-BB117</f>
        <v>3339.5791423484015</v>
      </c>
      <c r="BC118" s="216">
        <f t="shared" ref="BC118" si="925">BB118+BC116-BC117</f>
        <v>3704.6146296987495</v>
      </c>
      <c r="BD118" s="216">
        <f t="shared" ref="BD118" si="926">BC118+BD116-BD117</f>
        <v>4087.9167339870078</v>
      </c>
      <c r="BE118" s="216">
        <f t="shared" ref="BE118" si="927">BD118+BE116-BE117</f>
        <v>4489.3936608385138</v>
      </c>
      <c r="BF118" s="216">
        <f t="shared" ref="BF118" si="928">BE118+BF116-BF117</f>
        <v>4908.9540771685788</v>
      </c>
      <c r="BG118" s="216">
        <f t="shared" ref="BG118" si="929">BF118+BG116-BG117</f>
        <v>5346.5071088643863</v>
      </c>
      <c r="BH118" s="216">
        <f t="shared" ref="BH118" si="930">BG118+BH116-BH117</f>
        <v>5801.9623384785436</v>
      </c>
      <c r="BI118" s="216">
        <f t="shared" ref="BI118" si="931">BH118+BI116-BI117</f>
        <v>6275.2298029342219</v>
      </c>
      <c r="BJ118" s="216">
        <f t="shared" ref="BJ118" si="932">BI118+BJ116-BJ117</f>
        <v>6766.2199912418291</v>
      </c>
      <c r="BK118" s="216">
        <f t="shared" ref="BK118" si="933">BJ118+BK116-BK117</f>
        <v>7274.8438422271583</v>
      </c>
      <c r="BL118" s="216">
        <f t="shared" ref="BL118" si="934">BK118+BL116-BL117</f>
        <v>7801.0127422709493</v>
      </c>
      <c r="BM118" s="215">
        <f t="shared" ref="BM118" si="935">BL118+BM116-BM117</f>
        <v>8344.6385230598135</v>
      </c>
      <c r="BN118" s="216">
        <f t="shared" ref="BN118" si="936">BM118+BN116-BN117</f>
        <v>8905.6334593484589</v>
      </c>
      <c r="BO118" s="216">
        <f t="shared" ref="BO118" si="937">BN118+BO116-BO117</f>
        <v>9483.910266733159</v>
      </c>
      <c r="BP118" s="216">
        <f t="shared" ref="BP118" si="938">BO118+BP116-BP117</f>
        <v>10079.382099436416</v>
      </c>
      <c r="BQ118" s="216">
        <f t="shared" ref="BQ118" si="939">BP118+BQ116-BQ117</f>
        <v>10691.962548102751</v>
      </c>
      <c r="BR118" s="216">
        <f t="shared" ref="BR118" si="940">BQ118+BR116-BR117</f>
        <v>11321.565637605569</v>
      </c>
      <c r="BS118" s="216">
        <f t="shared" ref="BS118" si="941">BR118+BS116-BS117</f>
        <v>11968.105824865055</v>
      </c>
      <c r="BT118" s="216">
        <f t="shared" ref="BT118" si="942">BS118+BT116-BT117</f>
        <v>12631.497996677028</v>
      </c>
      <c r="BU118" s="216">
        <f t="shared" ref="BU118" si="943">BT118+BU116-BU117</f>
        <v>13311.657467552703</v>
      </c>
      <c r="BV118" s="216">
        <f t="shared" ref="BV118" si="944">BU118+BV116-BV117</f>
        <v>14008.499977569318</v>
      </c>
      <c r="BW118" s="216">
        <f t="shared" ref="BW118" si="945">BV118+BW116-BW117</f>
        <v>14721.941690231553</v>
      </c>
      <c r="BX118" s="216">
        <f t="shared" ref="BX118" si="946">BW118+BX116-BX117</f>
        <v>15451.899190343707</v>
      </c>
      <c r="BY118" s="215">
        <f t="shared" ref="BY118" si="947">BX118+BY116-BY117</f>
        <v>16198.289481892549</v>
      </c>
      <c r="BZ118" s="216">
        <f t="shared" ref="BZ118" si="948">BY118+BZ116-BZ117</f>
        <v>16961.02998594083</v>
      </c>
      <c r="CA118" s="216">
        <f t="shared" ref="CA118" si="949">BZ118+CA116-CA117</f>
        <v>17740.038538531368</v>
      </c>
      <c r="CB118" s="216">
        <f t="shared" ref="CB118" si="950">CA118+CB116-CB117</f>
        <v>18535.233388601664</v>
      </c>
      <c r="CC118" s="216">
        <f t="shared" ref="CC118" si="951">CB118+CC116-CC117</f>
        <v>19346.533195909007</v>
      </c>
      <c r="CD118" s="216">
        <f t="shared" ref="CD118" si="952">CC118+CD116-CD117</f>
        <v>20173.857028965998</v>
      </c>
      <c r="CE118" s="216">
        <f t="shared" ref="CE118" si="953">CD118+CE116-CE117</f>
        <v>21017.124362986455</v>
      </c>
      <c r="CF118" s="216">
        <f t="shared" ref="CF118" si="954">CE118+CF116-CF117</f>
        <v>21876.255077841626</v>
      </c>
      <c r="CG118" s="216">
        <f t="shared" ref="CG118" si="955">CF118+CG116-CG117</f>
        <v>22751.169456026695</v>
      </c>
      <c r="CH118" s="216">
        <f t="shared" ref="CH118" si="956">CG118+CH116-CH117</f>
        <v>23641.788180637486</v>
      </c>
      <c r="CI118" s="216">
        <f t="shared" ref="CI118" si="957">CH118+CI116-CI117</f>
        <v>24548.032333357354</v>
      </c>
      <c r="CJ118" s="216">
        <f t="shared" ref="CJ118" si="958">CI118+CJ116-CJ117</f>
        <v>25469.823392454167</v>
      </c>
      <c r="CK118" s="215">
        <f t="shared" ref="CK118" si="959">CJ118+CK116-CK117</f>
        <v>26407.083230787379</v>
      </c>
    </row>
    <row r="119" spans="2:89" x14ac:dyDescent="0.2">
      <c r="B119" s="121" t="s">
        <v>82</v>
      </c>
      <c r="C119" s="214">
        <v>50</v>
      </c>
      <c r="N119" s="169"/>
      <c r="O119" s="169"/>
      <c r="P119" s="386"/>
      <c r="Q119" s="387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70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70"/>
      <c r="AP119" s="169"/>
      <c r="AQ119" s="169"/>
      <c r="AR119" s="169"/>
      <c r="AS119" s="169"/>
      <c r="AT119" s="169"/>
      <c r="AU119" s="169"/>
      <c r="AV119" s="169"/>
      <c r="AW119" s="169"/>
      <c r="AX119" s="169"/>
      <c r="AY119" s="169"/>
      <c r="AZ119" s="169"/>
      <c r="BA119" s="170"/>
      <c r="BB119" s="169"/>
      <c r="BC119" s="169"/>
      <c r="BD119" s="169"/>
      <c r="BE119" s="169"/>
      <c r="BF119" s="169"/>
      <c r="BG119" s="169"/>
      <c r="BH119" s="169"/>
      <c r="BI119" s="169"/>
      <c r="BJ119" s="169"/>
      <c r="BK119" s="169"/>
      <c r="BL119" s="169"/>
      <c r="BM119" s="170"/>
      <c r="BN119" s="169"/>
      <c r="BO119" s="169"/>
      <c r="BP119" s="169"/>
      <c r="BQ119" s="169"/>
      <c r="BR119" s="169"/>
      <c r="BS119" s="169"/>
      <c r="BT119" s="169"/>
      <c r="BU119" s="169"/>
      <c r="BV119" s="169"/>
      <c r="BW119" s="169"/>
      <c r="BX119" s="169"/>
      <c r="BY119" s="170"/>
      <c r="BZ119" s="169"/>
      <c r="CA119" s="169"/>
      <c r="CB119" s="169"/>
      <c r="CC119" s="169"/>
      <c r="CD119" s="169"/>
      <c r="CE119" s="169"/>
      <c r="CF119" s="169"/>
      <c r="CG119" s="169"/>
      <c r="CH119" s="169"/>
      <c r="CI119" s="169"/>
      <c r="CJ119" s="169"/>
      <c r="CK119" s="170"/>
    </row>
    <row r="120" spans="2:89" s="107" customFormat="1" x14ac:dyDescent="0.2">
      <c r="B120" s="142" t="s">
        <v>83</v>
      </c>
      <c r="E120" s="143"/>
      <c r="N120" s="213">
        <f t="shared" ref="N120:BA120" si="960">$C119*N118</f>
        <v>0</v>
      </c>
      <c r="O120" s="213">
        <f t="shared" si="960"/>
        <v>0</v>
      </c>
      <c r="P120" s="386">
        <f t="shared" si="960"/>
        <v>0</v>
      </c>
      <c r="Q120" s="387">
        <f t="shared" si="960"/>
        <v>0</v>
      </c>
      <c r="R120" s="213">
        <f t="shared" si="960"/>
        <v>0</v>
      </c>
      <c r="S120" s="213">
        <f t="shared" si="960"/>
        <v>0</v>
      </c>
      <c r="T120" s="213">
        <f t="shared" si="960"/>
        <v>0</v>
      </c>
      <c r="U120" s="213">
        <f t="shared" si="960"/>
        <v>0</v>
      </c>
      <c r="V120" s="213">
        <f t="shared" si="960"/>
        <v>0</v>
      </c>
      <c r="W120" s="213">
        <f t="shared" si="960"/>
        <v>0</v>
      </c>
      <c r="X120" s="213">
        <f t="shared" si="960"/>
        <v>0</v>
      </c>
      <c r="Y120" s="213">
        <f t="shared" si="960"/>
        <v>0</v>
      </c>
      <c r="Z120" s="213">
        <f t="shared" si="960"/>
        <v>0</v>
      </c>
      <c r="AA120" s="213">
        <f t="shared" si="960"/>
        <v>0</v>
      </c>
      <c r="AB120" s="213">
        <f t="shared" si="960"/>
        <v>0</v>
      </c>
      <c r="AC120" s="212">
        <f t="shared" si="960"/>
        <v>0</v>
      </c>
      <c r="AD120" s="213">
        <f t="shared" si="960"/>
        <v>0</v>
      </c>
      <c r="AE120" s="213">
        <f t="shared" si="960"/>
        <v>0</v>
      </c>
      <c r="AF120" s="213">
        <f t="shared" si="960"/>
        <v>0</v>
      </c>
      <c r="AG120" s="213">
        <f t="shared" si="960"/>
        <v>0</v>
      </c>
      <c r="AH120" s="213">
        <f t="shared" si="960"/>
        <v>0</v>
      </c>
      <c r="AI120" s="213">
        <f t="shared" si="960"/>
        <v>0</v>
      </c>
      <c r="AJ120" s="213">
        <f t="shared" si="960"/>
        <v>0</v>
      </c>
      <c r="AK120" s="213">
        <f t="shared" si="960"/>
        <v>1000</v>
      </c>
      <c r="AL120" s="213">
        <f t="shared" si="960"/>
        <v>3000</v>
      </c>
      <c r="AM120" s="213">
        <f t="shared" si="960"/>
        <v>5995</v>
      </c>
      <c r="AN120" s="213">
        <f t="shared" si="960"/>
        <v>9980</v>
      </c>
      <c r="AO120" s="212">
        <f t="shared" si="960"/>
        <v>14950.025000000001</v>
      </c>
      <c r="AP120" s="213">
        <f t="shared" si="960"/>
        <v>20900.125000000004</v>
      </c>
      <c r="AQ120" s="213">
        <f t="shared" si="960"/>
        <v>27825.374875000001</v>
      </c>
      <c r="AR120" s="213">
        <f t="shared" si="960"/>
        <v>35720.874249999993</v>
      </c>
      <c r="AS120" s="213">
        <f t="shared" si="960"/>
        <v>44581.747375624996</v>
      </c>
      <c r="AT120" s="213">
        <f t="shared" si="960"/>
        <v>54403.143004374986</v>
      </c>
      <c r="AU120" s="213">
        <f t="shared" si="960"/>
        <v>65180.23426749686</v>
      </c>
      <c r="AV120" s="213">
        <f t="shared" si="960"/>
        <v>76908.218552474995</v>
      </c>
      <c r="AW120" s="213">
        <f t="shared" si="960"/>
        <v>89582.317381137502</v>
      </c>
      <c r="AX120" s="213">
        <f t="shared" si="960"/>
        <v>103197.77628837513</v>
      </c>
      <c r="AY120" s="213">
        <f t="shared" si="960"/>
        <v>117749.86470146944</v>
      </c>
      <c r="AZ120" s="213">
        <f t="shared" si="960"/>
        <v>133233.87582002755</v>
      </c>
      <c r="BA120" s="212">
        <f t="shared" si="960"/>
        <v>149645.12649652021</v>
      </c>
      <c r="BB120" s="213">
        <f t="shared" ref="BB120:BM120" si="961">$C119*BB118</f>
        <v>166978.95711742007</v>
      </c>
      <c r="BC120" s="213">
        <f t="shared" si="961"/>
        <v>185230.73148493748</v>
      </c>
      <c r="BD120" s="213">
        <f t="shared" si="961"/>
        <v>204395.83669935039</v>
      </c>
      <c r="BE120" s="213">
        <f t="shared" si="961"/>
        <v>224469.68304192569</v>
      </c>
      <c r="BF120" s="213">
        <f t="shared" si="961"/>
        <v>245447.70385842893</v>
      </c>
      <c r="BG120" s="213">
        <f t="shared" si="961"/>
        <v>267325.35544321931</v>
      </c>
      <c r="BH120" s="213">
        <f t="shared" si="961"/>
        <v>290098.11692392715</v>
      </c>
      <c r="BI120" s="213">
        <f t="shared" si="961"/>
        <v>313761.49014671112</v>
      </c>
      <c r="BJ120" s="213">
        <f t="shared" si="961"/>
        <v>338310.99956209143</v>
      </c>
      <c r="BK120" s="213">
        <f t="shared" si="961"/>
        <v>363742.19211135793</v>
      </c>
      <c r="BL120" s="213">
        <f t="shared" si="961"/>
        <v>390050.63711354748</v>
      </c>
      <c r="BM120" s="212">
        <f t="shared" si="961"/>
        <v>417231.92615299067</v>
      </c>
      <c r="BN120" s="213">
        <f t="shared" ref="BN120:BY120" si="962">$C119*BN118</f>
        <v>445281.67296742293</v>
      </c>
      <c r="BO120" s="213">
        <f t="shared" si="962"/>
        <v>474195.51333665795</v>
      </c>
      <c r="BP120" s="213">
        <f t="shared" si="962"/>
        <v>503969.10497182078</v>
      </c>
      <c r="BQ120" s="213">
        <f t="shared" si="962"/>
        <v>534598.12740513752</v>
      </c>
      <c r="BR120" s="213">
        <f t="shared" si="962"/>
        <v>566078.28188027837</v>
      </c>
      <c r="BS120" s="213">
        <f t="shared" si="962"/>
        <v>598405.29124325281</v>
      </c>
      <c r="BT120" s="213">
        <f t="shared" si="962"/>
        <v>631574.89983385138</v>
      </c>
      <c r="BU120" s="213">
        <f t="shared" si="962"/>
        <v>665582.87337763514</v>
      </c>
      <c r="BV120" s="213">
        <f t="shared" si="962"/>
        <v>700424.99887846585</v>
      </c>
      <c r="BW120" s="213">
        <f t="shared" si="962"/>
        <v>736097.08451157762</v>
      </c>
      <c r="BX120" s="213">
        <f t="shared" si="962"/>
        <v>772594.95951718534</v>
      </c>
      <c r="BY120" s="212">
        <f t="shared" si="962"/>
        <v>809914.47409462743</v>
      </c>
      <c r="BZ120" s="213">
        <f t="shared" ref="BZ120:CK120" si="963">$C119*BZ118</f>
        <v>848051.49929704145</v>
      </c>
      <c r="CA120" s="213">
        <f t="shared" si="963"/>
        <v>887001.92692656838</v>
      </c>
      <c r="CB120" s="213">
        <f t="shared" si="963"/>
        <v>926761.66943008325</v>
      </c>
      <c r="CC120" s="213">
        <f t="shared" si="963"/>
        <v>967326.6597954504</v>
      </c>
      <c r="CD120" s="213">
        <f t="shared" si="963"/>
        <v>1008692.8514482999</v>
      </c>
      <c r="CE120" s="213">
        <f t="shared" si="963"/>
        <v>1050856.2181493228</v>
      </c>
      <c r="CF120" s="213">
        <f t="shared" si="963"/>
        <v>1093812.7538920813</v>
      </c>
      <c r="CG120" s="213">
        <f t="shared" si="963"/>
        <v>1137558.4728013347</v>
      </c>
      <c r="CH120" s="213">
        <f t="shared" si="963"/>
        <v>1182089.4090318743</v>
      </c>
      <c r="CI120" s="213">
        <f t="shared" si="963"/>
        <v>1227401.6166678676</v>
      </c>
      <c r="CJ120" s="213">
        <f t="shared" si="963"/>
        <v>1273491.1696227083</v>
      </c>
      <c r="CK120" s="212">
        <f t="shared" si="963"/>
        <v>1320354.161539369</v>
      </c>
    </row>
    <row r="121" spans="2:89" x14ac:dyDescent="0.2">
      <c r="B121" s="121"/>
      <c r="C121" s="211"/>
      <c r="E121" s="205"/>
      <c r="N121" s="169"/>
      <c r="O121" s="169"/>
      <c r="P121" s="386"/>
      <c r="Q121" s="387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70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70"/>
      <c r="AP121" s="169"/>
      <c r="AQ121" s="169"/>
      <c r="AR121" s="169"/>
      <c r="AS121" s="169"/>
      <c r="AT121" s="169"/>
      <c r="AU121" s="169"/>
      <c r="AV121" s="169"/>
      <c r="AW121" s="169"/>
      <c r="AX121" s="169"/>
      <c r="AY121" s="169"/>
      <c r="AZ121" s="169"/>
      <c r="BA121" s="170"/>
      <c r="BB121" s="169"/>
      <c r="BC121" s="169"/>
      <c r="BD121" s="169"/>
      <c r="BE121" s="169"/>
      <c r="BF121" s="169"/>
      <c r="BG121" s="169"/>
      <c r="BH121" s="169"/>
      <c r="BI121" s="169"/>
      <c r="BJ121" s="169"/>
      <c r="BK121" s="169"/>
      <c r="BL121" s="169"/>
      <c r="BM121" s="170"/>
      <c r="BN121" s="169"/>
      <c r="BO121" s="169"/>
      <c r="BP121" s="169"/>
      <c r="BQ121" s="169"/>
      <c r="BR121" s="169"/>
      <c r="BS121" s="169"/>
      <c r="BT121" s="169"/>
      <c r="BU121" s="169"/>
      <c r="BV121" s="169"/>
      <c r="BW121" s="169"/>
      <c r="BX121" s="169"/>
      <c r="BY121" s="170"/>
      <c r="BZ121" s="169"/>
      <c r="CA121" s="169"/>
      <c r="CB121" s="169"/>
      <c r="CC121" s="169"/>
      <c r="CD121" s="169"/>
      <c r="CE121" s="169"/>
      <c r="CF121" s="169"/>
      <c r="CG121" s="169"/>
      <c r="CH121" s="169"/>
      <c r="CI121" s="169"/>
      <c r="CJ121" s="169"/>
      <c r="CK121" s="170"/>
    </row>
    <row r="122" spans="2:89" s="2" customFormat="1" x14ac:dyDescent="0.2">
      <c r="B122" s="118" t="s">
        <v>84</v>
      </c>
      <c r="C122" s="210">
        <v>0.17499999999999999</v>
      </c>
      <c r="E122" s="209"/>
      <c r="N122" s="208">
        <f t="shared" ref="N122:BA122" si="964">N120*$C122</f>
        <v>0</v>
      </c>
      <c r="O122" s="208">
        <f t="shared" si="964"/>
        <v>0</v>
      </c>
      <c r="P122" s="388">
        <f t="shared" si="964"/>
        <v>0</v>
      </c>
      <c r="Q122" s="389">
        <f t="shared" si="964"/>
        <v>0</v>
      </c>
      <c r="R122" s="208">
        <f t="shared" si="964"/>
        <v>0</v>
      </c>
      <c r="S122" s="208">
        <f t="shared" si="964"/>
        <v>0</v>
      </c>
      <c r="T122" s="208">
        <f t="shared" si="964"/>
        <v>0</v>
      </c>
      <c r="U122" s="208">
        <f t="shared" si="964"/>
        <v>0</v>
      </c>
      <c r="V122" s="208">
        <f t="shared" si="964"/>
        <v>0</v>
      </c>
      <c r="W122" s="208">
        <f t="shared" si="964"/>
        <v>0</v>
      </c>
      <c r="X122" s="208">
        <f t="shared" si="964"/>
        <v>0</v>
      </c>
      <c r="Y122" s="208">
        <f t="shared" si="964"/>
        <v>0</v>
      </c>
      <c r="Z122" s="208">
        <f t="shared" si="964"/>
        <v>0</v>
      </c>
      <c r="AA122" s="208">
        <f t="shared" si="964"/>
        <v>0</v>
      </c>
      <c r="AB122" s="208">
        <f t="shared" si="964"/>
        <v>0</v>
      </c>
      <c r="AC122" s="207">
        <f t="shared" si="964"/>
        <v>0</v>
      </c>
      <c r="AD122" s="208">
        <f t="shared" si="964"/>
        <v>0</v>
      </c>
      <c r="AE122" s="208">
        <f t="shared" si="964"/>
        <v>0</v>
      </c>
      <c r="AF122" s="208">
        <f t="shared" si="964"/>
        <v>0</v>
      </c>
      <c r="AG122" s="208">
        <f t="shared" si="964"/>
        <v>0</v>
      </c>
      <c r="AH122" s="208">
        <f t="shared" si="964"/>
        <v>0</v>
      </c>
      <c r="AI122" s="208">
        <f t="shared" si="964"/>
        <v>0</v>
      </c>
      <c r="AJ122" s="208">
        <f t="shared" si="964"/>
        <v>0</v>
      </c>
      <c r="AK122" s="208">
        <f t="shared" si="964"/>
        <v>175</v>
      </c>
      <c r="AL122" s="208">
        <f t="shared" si="964"/>
        <v>525</v>
      </c>
      <c r="AM122" s="208">
        <f t="shared" si="964"/>
        <v>1049.125</v>
      </c>
      <c r="AN122" s="208">
        <f t="shared" si="964"/>
        <v>1746.5</v>
      </c>
      <c r="AO122" s="207">
        <f t="shared" si="964"/>
        <v>2616.254375</v>
      </c>
      <c r="AP122" s="208">
        <f t="shared" si="964"/>
        <v>3657.5218750000004</v>
      </c>
      <c r="AQ122" s="208">
        <f t="shared" si="964"/>
        <v>4869.4406031250001</v>
      </c>
      <c r="AR122" s="208">
        <f t="shared" si="964"/>
        <v>6251.1529937499981</v>
      </c>
      <c r="AS122" s="208">
        <f t="shared" si="964"/>
        <v>7801.8057907343737</v>
      </c>
      <c r="AT122" s="208">
        <f t="shared" si="964"/>
        <v>9520.5500257656222</v>
      </c>
      <c r="AU122" s="208">
        <f t="shared" si="964"/>
        <v>11406.540996811949</v>
      </c>
      <c r="AV122" s="208">
        <f t="shared" si="964"/>
        <v>13458.938246683123</v>
      </c>
      <c r="AW122" s="208">
        <f t="shared" si="964"/>
        <v>15676.905541699061</v>
      </c>
      <c r="AX122" s="208">
        <f t="shared" si="964"/>
        <v>18059.610850465648</v>
      </c>
      <c r="AY122" s="208">
        <f t="shared" si="964"/>
        <v>20606.226322757153</v>
      </c>
      <c r="AZ122" s="208">
        <f t="shared" si="964"/>
        <v>23315.92826850482</v>
      </c>
      <c r="BA122" s="207">
        <f t="shared" si="964"/>
        <v>26187.897136891035</v>
      </c>
      <c r="BB122" s="208">
        <f t="shared" ref="BB122:BM122" si="965">BB120*$C122</f>
        <v>29221.317495548508</v>
      </c>
      <c r="BC122" s="208">
        <f t="shared" si="965"/>
        <v>32415.378009864056</v>
      </c>
      <c r="BD122" s="208">
        <f t="shared" si="965"/>
        <v>35769.271422386315</v>
      </c>
      <c r="BE122" s="208">
        <f t="shared" si="965"/>
        <v>39282.194532336995</v>
      </c>
      <c r="BF122" s="208">
        <f t="shared" si="965"/>
        <v>42953.348175225059</v>
      </c>
      <c r="BG122" s="208">
        <f t="shared" si="965"/>
        <v>46781.937202563378</v>
      </c>
      <c r="BH122" s="208">
        <f t="shared" si="965"/>
        <v>50767.170461687252</v>
      </c>
      <c r="BI122" s="208">
        <f t="shared" si="965"/>
        <v>54908.26077567444</v>
      </c>
      <c r="BJ122" s="208">
        <f t="shared" si="965"/>
        <v>59204.424923365994</v>
      </c>
      <c r="BK122" s="208">
        <f t="shared" si="965"/>
        <v>63654.883619487635</v>
      </c>
      <c r="BL122" s="208">
        <f t="shared" si="965"/>
        <v>68258.861494870798</v>
      </c>
      <c r="BM122" s="207">
        <f t="shared" si="965"/>
        <v>73015.587076773358</v>
      </c>
      <c r="BN122" s="208">
        <f t="shared" ref="BN122:BY122" si="966">BN120*$C122</f>
        <v>77924.292769299005</v>
      </c>
      <c r="BO122" s="208">
        <f t="shared" si="966"/>
        <v>82984.214833915132</v>
      </c>
      <c r="BP122" s="208">
        <f t="shared" si="966"/>
        <v>88194.593370068629</v>
      </c>
      <c r="BQ122" s="208">
        <f t="shared" si="966"/>
        <v>93554.672295899058</v>
      </c>
      <c r="BR122" s="208">
        <f t="shared" si="966"/>
        <v>99063.699329048715</v>
      </c>
      <c r="BS122" s="208">
        <f t="shared" si="966"/>
        <v>104720.92596756923</v>
      </c>
      <c r="BT122" s="208">
        <f t="shared" si="966"/>
        <v>110525.60747092399</v>
      </c>
      <c r="BU122" s="208">
        <f t="shared" si="966"/>
        <v>116477.00284108614</v>
      </c>
      <c r="BV122" s="208">
        <f t="shared" si="966"/>
        <v>122574.37480373151</v>
      </c>
      <c r="BW122" s="208">
        <f t="shared" si="966"/>
        <v>128816.98978952608</v>
      </c>
      <c r="BX122" s="208">
        <f t="shared" si="966"/>
        <v>135204.11791550744</v>
      </c>
      <c r="BY122" s="207">
        <f t="shared" si="966"/>
        <v>141735.03296655978</v>
      </c>
      <c r="BZ122" s="208">
        <f t="shared" ref="BZ122:CK122" si="967">BZ120*$C122</f>
        <v>148409.01237698225</v>
      </c>
      <c r="CA122" s="208">
        <f t="shared" si="967"/>
        <v>155225.33721214946</v>
      </c>
      <c r="CB122" s="208">
        <f t="shared" si="967"/>
        <v>162183.29215026455</v>
      </c>
      <c r="CC122" s="208">
        <f t="shared" si="967"/>
        <v>169282.1654642038</v>
      </c>
      <c r="CD122" s="208">
        <f t="shared" si="967"/>
        <v>176521.24900345248</v>
      </c>
      <c r="CE122" s="208">
        <f t="shared" si="967"/>
        <v>183899.83817613148</v>
      </c>
      <c r="CF122" s="208">
        <f t="shared" si="967"/>
        <v>191417.23193111422</v>
      </c>
      <c r="CG122" s="208">
        <f t="shared" si="967"/>
        <v>199072.73274023356</v>
      </c>
      <c r="CH122" s="208">
        <f t="shared" si="967"/>
        <v>206865.64658057797</v>
      </c>
      <c r="CI122" s="208">
        <f t="shared" si="967"/>
        <v>214795.28291687684</v>
      </c>
      <c r="CJ122" s="208">
        <f t="shared" si="967"/>
        <v>222860.95468397395</v>
      </c>
      <c r="CK122" s="207">
        <f t="shared" si="967"/>
        <v>231061.97826938957</v>
      </c>
    </row>
    <row r="123" spans="2:89" x14ac:dyDescent="0.2">
      <c r="B123" s="121" t="s">
        <v>85</v>
      </c>
      <c r="C123" s="206">
        <v>3</v>
      </c>
      <c r="E123" s="205"/>
      <c r="N123" s="169">
        <f t="shared" ref="N123:BA123" si="968">N118*$C123</f>
        <v>0</v>
      </c>
      <c r="O123" s="169">
        <f t="shared" si="968"/>
        <v>0</v>
      </c>
      <c r="P123" s="386">
        <f t="shared" si="968"/>
        <v>0</v>
      </c>
      <c r="Q123" s="387">
        <f t="shared" si="968"/>
        <v>0</v>
      </c>
      <c r="R123" s="169">
        <f t="shared" si="968"/>
        <v>0</v>
      </c>
      <c r="S123" s="169">
        <f t="shared" si="968"/>
        <v>0</v>
      </c>
      <c r="T123" s="169">
        <f t="shared" si="968"/>
        <v>0</v>
      </c>
      <c r="U123" s="169">
        <f t="shared" si="968"/>
        <v>0</v>
      </c>
      <c r="V123" s="169">
        <f t="shared" si="968"/>
        <v>0</v>
      </c>
      <c r="W123" s="169">
        <f t="shared" si="968"/>
        <v>0</v>
      </c>
      <c r="X123" s="169">
        <f t="shared" si="968"/>
        <v>0</v>
      </c>
      <c r="Y123" s="169">
        <f t="shared" si="968"/>
        <v>0</v>
      </c>
      <c r="Z123" s="169">
        <f t="shared" si="968"/>
        <v>0</v>
      </c>
      <c r="AA123" s="169">
        <f t="shared" si="968"/>
        <v>0</v>
      </c>
      <c r="AB123" s="169">
        <f t="shared" si="968"/>
        <v>0</v>
      </c>
      <c r="AC123" s="170">
        <f t="shared" si="968"/>
        <v>0</v>
      </c>
      <c r="AD123" s="169">
        <f t="shared" si="968"/>
        <v>0</v>
      </c>
      <c r="AE123" s="169">
        <f t="shared" si="968"/>
        <v>0</v>
      </c>
      <c r="AF123" s="169">
        <f t="shared" si="968"/>
        <v>0</v>
      </c>
      <c r="AG123" s="169">
        <f t="shared" si="968"/>
        <v>0</v>
      </c>
      <c r="AH123" s="169">
        <f t="shared" si="968"/>
        <v>0</v>
      </c>
      <c r="AI123" s="169">
        <f t="shared" si="968"/>
        <v>0</v>
      </c>
      <c r="AJ123" s="169">
        <f t="shared" si="968"/>
        <v>0</v>
      </c>
      <c r="AK123" s="169">
        <f t="shared" si="968"/>
        <v>60</v>
      </c>
      <c r="AL123" s="169">
        <f t="shared" si="968"/>
        <v>180</v>
      </c>
      <c r="AM123" s="169">
        <f t="shared" si="968"/>
        <v>359.70000000000005</v>
      </c>
      <c r="AN123" s="169">
        <f t="shared" si="968"/>
        <v>598.79999999999995</v>
      </c>
      <c r="AO123" s="170">
        <f t="shared" si="968"/>
        <v>897.00150000000008</v>
      </c>
      <c r="AP123" s="169">
        <f t="shared" si="968"/>
        <v>1254.0075000000002</v>
      </c>
      <c r="AQ123" s="169">
        <f t="shared" si="968"/>
        <v>1669.5224925</v>
      </c>
      <c r="AR123" s="169">
        <f t="shared" si="968"/>
        <v>2143.2524549999998</v>
      </c>
      <c r="AS123" s="169">
        <f t="shared" si="968"/>
        <v>2674.9048425374999</v>
      </c>
      <c r="AT123" s="169">
        <f t="shared" si="968"/>
        <v>3264.1885802624993</v>
      </c>
      <c r="AU123" s="169">
        <f t="shared" si="968"/>
        <v>3910.8140560498114</v>
      </c>
      <c r="AV123" s="169">
        <f t="shared" si="968"/>
        <v>4614.4931131484991</v>
      </c>
      <c r="AW123" s="169">
        <f t="shared" si="968"/>
        <v>5374.93904286825</v>
      </c>
      <c r="AX123" s="169">
        <f t="shared" si="968"/>
        <v>6191.8665773025077</v>
      </c>
      <c r="AY123" s="169">
        <f t="shared" si="968"/>
        <v>7064.9918820881667</v>
      </c>
      <c r="AZ123" s="169">
        <f t="shared" si="968"/>
        <v>7994.0325492016536</v>
      </c>
      <c r="BA123" s="170">
        <f t="shared" si="968"/>
        <v>8978.7075897912127</v>
      </c>
      <c r="BB123" s="169">
        <f t="shared" ref="BB123:BM123" si="969">BB118*$C123</f>
        <v>10018.737427045206</v>
      </c>
      <c r="BC123" s="169">
        <f t="shared" si="969"/>
        <v>11113.843889096248</v>
      </c>
      <c r="BD123" s="169">
        <f t="shared" si="969"/>
        <v>12263.750201961024</v>
      </c>
      <c r="BE123" s="169">
        <f t="shared" si="969"/>
        <v>13468.180982515541</v>
      </c>
      <c r="BF123" s="169">
        <f t="shared" si="969"/>
        <v>14726.862231505736</v>
      </c>
      <c r="BG123" s="169">
        <f t="shared" si="969"/>
        <v>16039.52132659316</v>
      </c>
      <c r="BH123" s="169">
        <f t="shared" si="969"/>
        <v>17405.88701543563</v>
      </c>
      <c r="BI123" s="169">
        <f t="shared" si="969"/>
        <v>18825.689408802667</v>
      </c>
      <c r="BJ123" s="169">
        <f t="shared" si="969"/>
        <v>20298.659973725487</v>
      </c>
      <c r="BK123" s="169">
        <f t="shared" si="969"/>
        <v>21824.531526681476</v>
      </c>
      <c r="BL123" s="169">
        <f t="shared" si="969"/>
        <v>23403.038226812849</v>
      </c>
      <c r="BM123" s="170">
        <f t="shared" si="969"/>
        <v>25033.91556917944</v>
      </c>
      <c r="BN123" s="169">
        <f t="shared" ref="BN123:BY123" si="970">BN118*$C123</f>
        <v>26716.900378045379</v>
      </c>
      <c r="BO123" s="169">
        <f t="shared" si="970"/>
        <v>28451.730800199475</v>
      </c>
      <c r="BP123" s="169">
        <f t="shared" si="970"/>
        <v>30238.14629830925</v>
      </c>
      <c r="BQ123" s="169">
        <f t="shared" si="970"/>
        <v>32075.887644308252</v>
      </c>
      <c r="BR123" s="169">
        <f t="shared" si="970"/>
        <v>33964.696912816704</v>
      </c>
      <c r="BS123" s="169">
        <f t="shared" si="970"/>
        <v>35904.317474595169</v>
      </c>
      <c r="BT123" s="169">
        <f t="shared" si="970"/>
        <v>37894.493990031086</v>
      </c>
      <c r="BU123" s="169">
        <f t="shared" si="970"/>
        <v>39934.97240265811</v>
      </c>
      <c r="BV123" s="169">
        <f t="shared" si="970"/>
        <v>42025.499932707957</v>
      </c>
      <c r="BW123" s="169">
        <f t="shared" si="970"/>
        <v>44165.825070694656</v>
      </c>
      <c r="BX123" s="169">
        <f t="shared" si="970"/>
        <v>46355.697571031124</v>
      </c>
      <c r="BY123" s="170">
        <f t="shared" si="970"/>
        <v>48594.868445677646</v>
      </c>
      <c r="BZ123" s="169">
        <f t="shared" ref="BZ123:CK123" si="971">BZ118*$C123</f>
        <v>50883.089957822493</v>
      </c>
      <c r="CA123" s="169">
        <f t="shared" si="971"/>
        <v>53220.115615594099</v>
      </c>
      <c r="CB123" s="169">
        <f t="shared" si="971"/>
        <v>55605.700165804992</v>
      </c>
      <c r="CC123" s="169">
        <f t="shared" si="971"/>
        <v>58039.599587727018</v>
      </c>
      <c r="CD123" s="169">
        <f t="shared" si="971"/>
        <v>60521.571086897995</v>
      </c>
      <c r="CE123" s="169">
        <f t="shared" si="971"/>
        <v>63051.373088959364</v>
      </c>
      <c r="CF123" s="169">
        <f t="shared" si="971"/>
        <v>65628.765233524871</v>
      </c>
      <c r="CG123" s="169">
        <f t="shared" si="971"/>
        <v>68253.508368080089</v>
      </c>
      <c r="CH123" s="169">
        <f t="shared" si="971"/>
        <v>70925.364541912451</v>
      </c>
      <c r="CI123" s="169">
        <f t="shared" si="971"/>
        <v>73644.09700007207</v>
      </c>
      <c r="CJ123" s="169">
        <f t="shared" si="971"/>
        <v>76409.470177362498</v>
      </c>
      <c r="CK123" s="170">
        <f t="shared" si="971"/>
        <v>79221.249692362137</v>
      </c>
    </row>
    <row r="124" spans="2:89" x14ac:dyDescent="0.2">
      <c r="B124" s="21"/>
    </row>
    <row r="125" spans="2:89" ht="21" x14ac:dyDescent="0.25">
      <c r="B125" s="681" t="s">
        <v>367</v>
      </c>
      <c r="C125" s="49"/>
      <c r="D125" s="49"/>
      <c r="E125" s="682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683"/>
      <c r="Q125" s="684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682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682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682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682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682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682"/>
    </row>
    <row r="126" spans="2:89" x14ac:dyDescent="0.2">
      <c r="B126" s="118"/>
      <c r="E126" s="140"/>
      <c r="N126" s="103"/>
      <c r="O126" s="103"/>
      <c r="P126" s="380"/>
      <c r="Q126" s="381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17"/>
      <c r="AD126" s="103"/>
      <c r="AE126" s="103"/>
      <c r="AF126" s="103"/>
      <c r="AG126" s="103"/>
      <c r="AH126" s="103"/>
      <c r="AI126" s="103"/>
      <c r="AJ126" s="103"/>
      <c r="AK126" s="103"/>
      <c r="AL126" s="103"/>
      <c r="AM126" s="103"/>
      <c r="AN126" s="103"/>
      <c r="AO126" s="117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17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17"/>
      <c r="BN126" s="103"/>
      <c r="BO126" s="103"/>
      <c r="BP126" s="103"/>
      <c r="BQ126" s="103"/>
      <c r="BR126" s="103"/>
      <c r="BS126" s="103"/>
      <c r="BT126" s="103"/>
      <c r="BU126" s="103"/>
      <c r="BV126" s="103"/>
      <c r="BW126" s="103"/>
      <c r="BX126" s="103"/>
      <c r="BY126" s="117"/>
      <c r="BZ126" s="103"/>
      <c r="CA126" s="103"/>
      <c r="CB126" s="103"/>
      <c r="CC126" s="103"/>
      <c r="CD126" s="103"/>
      <c r="CE126" s="103"/>
      <c r="CF126" s="103"/>
      <c r="CG126" s="103"/>
      <c r="CH126" s="103"/>
      <c r="CI126" s="103"/>
      <c r="CJ126" s="103"/>
      <c r="CK126" s="117"/>
    </row>
    <row r="127" spans="2:89" s="17" customFormat="1" x14ac:dyDescent="0.2">
      <c r="B127" s="121" t="s">
        <v>79</v>
      </c>
      <c r="C127" s="224"/>
      <c r="E127" s="141"/>
      <c r="N127" s="223">
        <v>0</v>
      </c>
      <c r="O127" s="223">
        <v>0</v>
      </c>
      <c r="P127" s="390">
        <v>0</v>
      </c>
      <c r="Q127" s="391">
        <v>0</v>
      </c>
      <c r="R127" s="223">
        <v>0</v>
      </c>
      <c r="S127" s="223">
        <v>0</v>
      </c>
      <c r="T127" s="223">
        <v>0</v>
      </c>
      <c r="U127" s="223">
        <v>0</v>
      </c>
      <c r="V127" s="223">
        <v>0</v>
      </c>
      <c r="W127" s="660">
        <v>0.2</v>
      </c>
      <c r="X127" s="660">
        <f>W127+0.1</f>
        <v>0.30000000000000004</v>
      </c>
      <c r="Y127" s="660">
        <f t="shared" ref="Y127:BA127" si="972">X127+0.1</f>
        <v>0.4</v>
      </c>
      <c r="Z127" s="660">
        <f t="shared" si="972"/>
        <v>0.5</v>
      </c>
      <c r="AA127" s="660">
        <f t="shared" si="972"/>
        <v>0.6</v>
      </c>
      <c r="AB127" s="660">
        <f t="shared" si="972"/>
        <v>0.7</v>
      </c>
      <c r="AC127" s="661">
        <f t="shared" si="972"/>
        <v>0.79999999999999993</v>
      </c>
      <c r="AD127" s="660">
        <f t="shared" si="972"/>
        <v>0.89999999999999991</v>
      </c>
      <c r="AE127" s="660">
        <f t="shared" si="972"/>
        <v>0.99999999999999989</v>
      </c>
      <c r="AF127" s="660">
        <f t="shared" si="972"/>
        <v>1.0999999999999999</v>
      </c>
      <c r="AG127" s="223">
        <f t="shared" si="972"/>
        <v>1.2</v>
      </c>
      <c r="AH127" s="223">
        <f t="shared" si="972"/>
        <v>1.3</v>
      </c>
      <c r="AI127" s="223">
        <f t="shared" si="972"/>
        <v>1.4000000000000001</v>
      </c>
      <c r="AJ127" s="223">
        <f t="shared" si="972"/>
        <v>1.5000000000000002</v>
      </c>
      <c r="AK127" s="223">
        <f t="shared" si="972"/>
        <v>1.6000000000000003</v>
      </c>
      <c r="AL127" s="223">
        <f t="shared" si="972"/>
        <v>1.7000000000000004</v>
      </c>
      <c r="AM127" s="223">
        <f t="shared" si="972"/>
        <v>1.8000000000000005</v>
      </c>
      <c r="AN127" s="223">
        <f t="shared" si="972"/>
        <v>1.9000000000000006</v>
      </c>
      <c r="AO127" s="222">
        <f t="shared" si="972"/>
        <v>2.0000000000000004</v>
      </c>
      <c r="AP127" s="223">
        <f t="shared" si="972"/>
        <v>2.1000000000000005</v>
      </c>
      <c r="AQ127" s="223">
        <f t="shared" si="972"/>
        <v>2.2000000000000006</v>
      </c>
      <c r="AR127" s="223">
        <f t="shared" si="972"/>
        <v>2.3000000000000007</v>
      </c>
      <c r="AS127" s="223">
        <f t="shared" si="972"/>
        <v>2.4000000000000008</v>
      </c>
      <c r="AT127" s="223">
        <f t="shared" si="972"/>
        <v>2.5000000000000009</v>
      </c>
      <c r="AU127" s="223">
        <f t="shared" si="972"/>
        <v>2.600000000000001</v>
      </c>
      <c r="AV127" s="223">
        <f t="shared" si="972"/>
        <v>2.7000000000000011</v>
      </c>
      <c r="AW127" s="223">
        <f t="shared" si="972"/>
        <v>2.8000000000000012</v>
      </c>
      <c r="AX127" s="223">
        <f t="shared" si="972"/>
        <v>2.9000000000000012</v>
      </c>
      <c r="AY127" s="223">
        <f t="shared" si="972"/>
        <v>3.0000000000000013</v>
      </c>
      <c r="AZ127" s="223">
        <f t="shared" si="972"/>
        <v>3.1000000000000014</v>
      </c>
      <c r="BA127" s="222">
        <f t="shared" si="972"/>
        <v>3.2000000000000015</v>
      </c>
      <c r="BB127" s="223">
        <f t="shared" ref="BB127" si="973">BA127+0.1</f>
        <v>3.3000000000000016</v>
      </c>
      <c r="BC127" s="223">
        <f t="shared" ref="BC127" si="974">BB127+0.1</f>
        <v>3.4000000000000017</v>
      </c>
      <c r="BD127" s="223">
        <f t="shared" ref="BD127" si="975">BC127+0.1</f>
        <v>3.5000000000000018</v>
      </c>
      <c r="BE127" s="223">
        <f t="shared" ref="BE127" si="976">BD127+0.1</f>
        <v>3.6000000000000019</v>
      </c>
      <c r="BF127" s="223">
        <f t="shared" ref="BF127" si="977">BE127+0.1</f>
        <v>3.700000000000002</v>
      </c>
      <c r="BG127" s="223">
        <f t="shared" ref="BG127" si="978">BF127+0.1</f>
        <v>3.800000000000002</v>
      </c>
      <c r="BH127" s="223">
        <f t="shared" ref="BH127" si="979">BG127+0.1</f>
        <v>3.9000000000000021</v>
      </c>
      <c r="BI127" s="223">
        <f t="shared" ref="BI127" si="980">BH127+0.1</f>
        <v>4.0000000000000018</v>
      </c>
      <c r="BJ127" s="223">
        <f t="shared" ref="BJ127" si="981">BI127+0.1</f>
        <v>4.1000000000000014</v>
      </c>
      <c r="BK127" s="223">
        <f t="shared" ref="BK127" si="982">BJ127+0.1</f>
        <v>4.2000000000000011</v>
      </c>
      <c r="BL127" s="223">
        <f t="shared" ref="BL127" si="983">BK127+0.1</f>
        <v>4.3000000000000007</v>
      </c>
      <c r="BM127" s="222">
        <f t="shared" ref="BM127" si="984">BL127+0.1</f>
        <v>4.4000000000000004</v>
      </c>
      <c r="BN127" s="223">
        <f t="shared" ref="BN127" si="985">BM127+0.1</f>
        <v>4.5</v>
      </c>
      <c r="BO127" s="223">
        <f t="shared" ref="BO127" si="986">BN127+0.1</f>
        <v>4.5999999999999996</v>
      </c>
      <c r="BP127" s="223">
        <f t="shared" ref="BP127" si="987">BO127+0.1</f>
        <v>4.6999999999999993</v>
      </c>
      <c r="BQ127" s="223">
        <f t="shared" ref="BQ127" si="988">BP127+0.1</f>
        <v>4.7999999999999989</v>
      </c>
      <c r="BR127" s="223">
        <f t="shared" ref="BR127" si="989">BQ127+0.1</f>
        <v>4.8999999999999986</v>
      </c>
      <c r="BS127" s="223">
        <f t="shared" ref="BS127" si="990">BR127+0.1</f>
        <v>4.9999999999999982</v>
      </c>
      <c r="BT127" s="223">
        <f t="shared" ref="BT127" si="991">BS127+0.1</f>
        <v>5.0999999999999979</v>
      </c>
      <c r="BU127" s="223">
        <f t="shared" ref="BU127" si="992">BT127+0.1</f>
        <v>5.1999999999999975</v>
      </c>
      <c r="BV127" s="223">
        <f t="shared" ref="BV127" si="993">BU127+0.1</f>
        <v>5.2999999999999972</v>
      </c>
      <c r="BW127" s="223">
        <f t="shared" ref="BW127" si="994">BV127+0.1</f>
        <v>5.3999999999999968</v>
      </c>
      <c r="BX127" s="223">
        <f t="shared" ref="BX127" si="995">BW127+0.1</f>
        <v>5.4999999999999964</v>
      </c>
      <c r="BY127" s="222">
        <f t="shared" ref="BY127" si="996">BX127+0.1</f>
        <v>5.5999999999999961</v>
      </c>
      <c r="BZ127" s="223">
        <f t="shared" ref="BZ127" si="997">BY127+0.1</f>
        <v>5.6999999999999957</v>
      </c>
      <c r="CA127" s="223">
        <f t="shared" ref="CA127" si="998">BZ127+0.1</f>
        <v>5.7999999999999954</v>
      </c>
      <c r="CB127" s="223">
        <f t="shared" ref="CB127" si="999">CA127+0.1</f>
        <v>5.899999999999995</v>
      </c>
      <c r="CC127" s="223">
        <f t="shared" ref="CC127" si="1000">CB127+0.1</f>
        <v>5.9999999999999947</v>
      </c>
      <c r="CD127" s="223">
        <f t="shared" ref="CD127" si="1001">CC127+0.1</f>
        <v>6.0999999999999943</v>
      </c>
      <c r="CE127" s="223">
        <f t="shared" ref="CE127" si="1002">CD127+0.1</f>
        <v>6.199999999999994</v>
      </c>
      <c r="CF127" s="223">
        <f t="shared" ref="CF127" si="1003">CE127+0.1</f>
        <v>6.2999999999999936</v>
      </c>
      <c r="CG127" s="223">
        <f t="shared" ref="CG127" si="1004">CF127+0.1</f>
        <v>6.3999999999999932</v>
      </c>
      <c r="CH127" s="223">
        <f t="shared" ref="CH127" si="1005">CG127+0.1</f>
        <v>6.4999999999999929</v>
      </c>
      <c r="CI127" s="223">
        <f t="shared" ref="CI127" si="1006">CH127+0.1</f>
        <v>6.5999999999999925</v>
      </c>
      <c r="CJ127" s="223">
        <f t="shared" ref="CJ127" si="1007">CI127+0.1</f>
        <v>6.6999999999999922</v>
      </c>
      <c r="CK127" s="222">
        <f t="shared" ref="CK127" si="1008">CJ127+0.1</f>
        <v>6.7999999999999918</v>
      </c>
    </row>
    <row r="128" spans="2:89" s="17" customFormat="1" x14ac:dyDescent="0.2">
      <c r="B128" s="121" t="s">
        <v>80</v>
      </c>
      <c r="C128" s="221">
        <v>20</v>
      </c>
      <c r="D128" s="17" t="s">
        <v>81</v>
      </c>
      <c r="E128" s="219"/>
      <c r="N128" s="218">
        <f t="shared" ref="N128:BA128" si="1009">N127*$C128</f>
        <v>0</v>
      </c>
      <c r="O128" s="218">
        <f t="shared" si="1009"/>
        <v>0</v>
      </c>
      <c r="P128" s="382">
        <f t="shared" si="1009"/>
        <v>0</v>
      </c>
      <c r="Q128" s="383">
        <f t="shared" si="1009"/>
        <v>0</v>
      </c>
      <c r="R128" s="218">
        <f t="shared" si="1009"/>
        <v>0</v>
      </c>
      <c r="S128" s="218">
        <f t="shared" si="1009"/>
        <v>0</v>
      </c>
      <c r="T128" s="218">
        <f t="shared" si="1009"/>
        <v>0</v>
      </c>
      <c r="U128" s="218">
        <f t="shared" si="1009"/>
        <v>0</v>
      </c>
      <c r="V128" s="218">
        <f t="shared" si="1009"/>
        <v>0</v>
      </c>
      <c r="W128" s="218">
        <f t="shared" si="1009"/>
        <v>4</v>
      </c>
      <c r="X128" s="218">
        <f t="shared" si="1009"/>
        <v>6.0000000000000009</v>
      </c>
      <c r="Y128" s="218">
        <f t="shared" si="1009"/>
        <v>8</v>
      </c>
      <c r="Z128" s="218">
        <f t="shared" si="1009"/>
        <v>10</v>
      </c>
      <c r="AA128" s="218">
        <f t="shared" si="1009"/>
        <v>12</v>
      </c>
      <c r="AB128" s="218">
        <f t="shared" si="1009"/>
        <v>14</v>
      </c>
      <c r="AC128" s="217">
        <f t="shared" si="1009"/>
        <v>15.999999999999998</v>
      </c>
      <c r="AD128" s="218">
        <f t="shared" si="1009"/>
        <v>18</v>
      </c>
      <c r="AE128" s="218">
        <f t="shared" si="1009"/>
        <v>19.999999999999996</v>
      </c>
      <c r="AF128" s="218">
        <f t="shared" si="1009"/>
        <v>21.999999999999996</v>
      </c>
      <c r="AG128" s="218">
        <f t="shared" si="1009"/>
        <v>24</v>
      </c>
      <c r="AH128" s="218">
        <f t="shared" si="1009"/>
        <v>26</v>
      </c>
      <c r="AI128" s="218">
        <f t="shared" si="1009"/>
        <v>28.000000000000004</v>
      </c>
      <c r="AJ128" s="218">
        <f t="shared" si="1009"/>
        <v>30.000000000000004</v>
      </c>
      <c r="AK128" s="218">
        <f t="shared" si="1009"/>
        <v>32.000000000000007</v>
      </c>
      <c r="AL128" s="218">
        <f t="shared" si="1009"/>
        <v>34.000000000000007</v>
      </c>
      <c r="AM128" s="218">
        <f t="shared" si="1009"/>
        <v>36.000000000000007</v>
      </c>
      <c r="AN128" s="218">
        <f t="shared" si="1009"/>
        <v>38.000000000000014</v>
      </c>
      <c r="AO128" s="217">
        <f t="shared" si="1009"/>
        <v>40.000000000000007</v>
      </c>
      <c r="AP128" s="218">
        <f t="shared" si="1009"/>
        <v>42.000000000000014</v>
      </c>
      <c r="AQ128" s="218">
        <f t="shared" si="1009"/>
        <v>44.000000000000014</v>
      </c>
      <c r="AR128" s="218">
        <f t="shared" si="1009"/>
        <v>46.000000000000014</v>
      </c>
      <c r="AS128" s="218">
        <f t="shared" si="1009"/>
        <v>48.000000000000014</v>
      </c>
      <c r="AT128" s="218">
        <f t="shared" si="1009"/>
        <v>50.000000000000014</v>
      </c>
      <c r="AU128" s="218">
        <f t="shared" si="1009"/>
        <v>52.000000000000021</v>
      </c>
      <c r="AV128" s="218">
        <f t="shared" si="1009"/>
        <v>54.000000000000021</v>
      </c>
      <c r="AW128" s="218">
        <f t="shared" si="1009"/>
        <v>56.000000000000021</v>
      </c>
      <c r="AX128" s="218">
        <f t="shared" si="1009"/>
        <v>58.000000000000028</v>
      </c>
      <c r="AY128" s="218">
        <f t="shared" si="1009"/>
        <v>60.000000000000028</v>
      </c>
      <c r="AZ128" s="218">
        <f t="shared" si="1009"/>
        <v>62.000000000000028</v>
      </c>
      <c r="BA128" s="217">
        <f t="shared" si="1009"/>
        <v>64.000000000000028</v>
      </c>
      <c r="BB128" s="218">
        <f t="shared" ref="BB128:BM128" si="1010">BB127*$C128</f>
        <v>66.000000000000028</v>
      </c>
      <c r="BC128" s="218">
        <f t="shared" si="1010"/>
        <v>68.000000000000028</v>
      </c>
      <c r="BD128" s="218">
        <f t="shared" si="1010"/>
        <v>70.000000000000028</v>
      </c>
      <c r="BE128" s="218">
        <f t="shared" si="1010"/>
        <v>72.000000000000043</v>
      </c>
      <c r="BF128" s="218">
        <f t="shared" si="1010"/>
        <v>74.000000000000043</v>
      </c>
      <c r="BG128" s="218">
        <f t="shared" si="1010"/>
        <v>76.000000000000043</v>
      </c>
      <c r="BH128" s="218">
        <f t="shared" si="1010"/>
        <v>78.000000000000043</v>
      </c>
      <c r="BI128" s="218">
        <f t="shared" si="1010"/>
        <v>80.000000000000028</v>
      </c>
      <c r="BJ128" s="218">
        <f t="shared" si="1010"/>
        <v>82.000000000000028</v>
      </c>
      <c r="BK128" s="218">
        <f t="shared" si="1010"/>
        <v>84.000000000000028</v>
      </c>
      <c r="BL128" s="218">
        <f t="shared" si="1010"/>
        <v>86.000000000000014</v>
      </c>
      <c r="BM128" s="217">
        <f t="shared" si="1010"/>
        <v>88</v>
      </c>
      <c r="BN128" s="218">
        <f t="shared" ref="BN128:BY128" si="1011">BN127*$C128</f>
        <v>90</v>
      </c>
      <c r="BO128" s="218">
        <f t="shared" si="1011"/>
        <v>92</v>
      </c>
      <c r="BP128" s="218">
        <f t="shared" si="1011"/>
        <v>93.999999999999986</v>
      </c>
      <c r="BQ128" s="218">
        <f t="shared" si="1011"/>
        <v>95.999999999999972</v>
      </c>
      <c r="BR128" s="218">
        <f t="shared" si="1011"/>
        <v>97.999999999999972</v>
      </c>
      <c r="BS128" s="218">
        <f t="shared" si="1011"/>
        <v>99.999999999999972</v>
      </c>
      <c r="BT128" s="218">
        <f t="shared" si="1011"/>
        <v>101.99999999999996</v>
      </c>
      <c r="BU128" s="218">
        <f t="shared" si="1011"/>
        <v>103.99999999999994</v>
      </c>
      <c r="BV128" s="218">
        <f t="shared" si="1011"/>
        <v>105.99999999999994</v>
      </c>
      <c r="BW128" s="218">
        <f t="shared" si="1011"/>
        <v>107.99999999999994</v>
      </c>
      <c r="BX128" s="218">
        <f t="shared" si="1011"/>
        <v>109.99999999999993</v>
      </c>
      <c r="BY128" s="217">
        <f t="shared" si="1011"/>
        <v>111.99999999999991</v>
      </c>
      <c r="BZ128" s="218">
        <f t="shared" ref="BZ128:CK128" si="1012">BZ127*$C128</f>
        <v>113.99999999999991</v>
      </c>
      <c r="CA128" s="218">
        <f t="shared" si="1012"/>
        <v>115.99999999999991</v>
      </c>
      <c r="CB128" s="218">
        <f t="shared" si="1012"/>
        <v>117.9999999999999</v>
      </c>
      <c r="CC128" s="218">
        <f t="shared" si="1012"/>
        <v>119.99999999999989</v>
      </c>
      <c r="CD128" s="218">
        <f t="shared" si="1012"/>
        <v>121.99999999999989</v>
      </c>
      <c r="CE128" s="218">
        <f t="shared" si="1012"/>
        <v>123.99999999999989</v>
      </c>
      <c r="CF128" s="218">
        <f t="shared" si="1012"/>
        <v>125.99999999999987</v>
      </c>
      <c r="CG128" s="218">
        <f t="shared" si="1012"/>
        <v>127.99999999999986</v>
      </c>
      <c r="CH128" s="218">
        <f t="shared" si="1012"/>
        <v>129.99999999999986</v>
      </c>
      <c r="CI128" s="218">
        <f t="shared" si="1012"/>
        <v>131.99999999999986</v>
      </c>
      <c r="CJ128" s="218">
        <f t="shared" si="1012"/>
        <v>133.99999999999983</v>
      </c>
      <c r="CK128" s="217">
        <f t="shared" si="1012"/>
        <v>135.99999999999983</v>
      </c>
    </row>
    <row r="129" spans="2:89" s="17" customFormat="1" x14ac:dyDescent="0.2">
      <c r="B129" s="121" t="s">
        <v>59</v>
      </c>
      <c r="C129" s="220">
        <v>0.01</v>
      </c>
      <c r="E129" s="219"/>
      <c r="N129" s="218"/>
      <c r="O129" s="218"/>
      <c r="P129" s="382">
        <f t="shared" ref="P129:BA129" si="1013">N130*$C129</f>
        <v>0</v>
      </c>
      <c r="Q129" s="383">
        <f t="shared" si="1013"/>
        <v>0</v>
      </c>
      <c r="R129" s="218">
        <f t="shared" si="1013"/>
        <v>0</v>
      </c>
      <c r="S129" s="218">
        <f t="shared" si="1013"/>
        <v>0</v>
      </c>
      <c r="T129" s="218">
        <f t="shared" si="1013"/>
        <v>0</v>
      </c>
      <c r="U129" s="218">
        <f t="shared" si="1013"/>
        <v>0</v>
      </c>
      <c r="V129" s="218">
        <f t="shared" si="1013"/>
        <v>0</v>
      </c>
      <c r="W129" s="218">
        <f t="shared" si="1013"/>
        <v>0</v>
      </c>
      <c r="X129" s="218">
        <f t="shared" si="1013"/>
        <v>0</v>
      </c>
      <c r="Y129" s="218">
        <f t="shared" si="1013"/>
        <v>0.04</v>
      </c>
      <c r="Z129" s="218">
        <f t="shared" si="1013"/>
        <v>0.1</v>
      </c>
      <c r="AA129" s="218">
        <f t="shared" si="1013"/>
        <v>0.17960000000000001</v>
      </c>
      <c r="AB129" s="218">
        <f t="shared" si="1013"/>
        <v>0.27860000000000001</v>
      </c>
      <c r="AC129" s="217">
        <f t="shared" si="1013"/>
        <v>0.39680399999999999</v>
      </c>
      <c r="AD129" s="218">
        <f t="shared" si="1013"/>
        <v>0.53401799999999999</v>
      </c>
      <c r="AE129" s="218">
        <f t="shared" si="1013"/>
        <v>0.69004995999999996</v>
      </c>
      <c r="AF129" s="218">
        <f t="shared" si="1013"/>
        <v>0.86470977999999987</v>
      </c>
      <c r="AG129" s="218">
        <f t="shared" si="1013"/>
        <v>1.0578092803999999</v>
      </c>
      <c r="AH129" s="218">
        <f t="shared" si="1013"/>
        <v>1.2691621825999999</v>
      </c>
      <c r="AI129" s="218">
        <f t="shared" si="1013"/>
        <v>1.4985840897960001</v>
      </c>
      <c r="AJ129" s="218">
        <f t="shared" si="1013"/>
        <v>1.7458924679699999</v>
      </c>
      <c r="AK129" s="218">
        <f t="shared" si="1013"/>
        <v>2.0109066270720399</v>
      </c>
      <c r="AL129" s="218">
        <f t="shared" si="1013"/>
        <v>2.2934477023923399</v>
      </c>
      <c r="AM129" s="218">
        <f t="shared" si="1013"/>
        <v>2.5933386361216195</v>
      </c>
      <c r="AN129" s="218">
        <f t="shared" si="1013"/>
        <v>2.9104041590976966</v>
      </c>
      <c r="AO129" s="217">
        <f t="shared" si="1013"/>
        <v>3.2444707727364803</v>
      </c>
      <c r="AP129" s="218">
        <f t="shared" si="1013"/>
        <v>3.5953667311455031</v>
      </c>
      <c r="AQ129" s="218">
        <f t="shared" si="1013"/>
        <v>3.9629220234181384</v>
      </c>
      <c r="AR129" s="218">
        <f t="shared" si="1013"/>
        <v>4.3469683561066841</v>
      </c>
      <c r="AS129" s="218">
        <f t="shared" si="1013"/>
        <v>4.7473391358725028</v>
      </c>
      <c r="AT129" s="218">
        <f t="shared" si="1013"/>
        <v>5.1638694523114363</v>
      </c>
      <c r="AU129" s="218">
        <f t="shared" si="1013"/>
        <v>5.5963960609527117</v>
      </c>
      <c r="AV129" s="218">
        <f t="shared" si="1013"/>
        <v>6.0447573664295966</v>
      </c>
      <c r="AW129" s="218">
        <f t="shared" si="1013"/>
        <v>6.5087934058200698</v>
      </c>
      <c r="AX129" s="218">
        <f t="shared" si="1013"/>
        <v>6.9883458321557734</v>
      </c>
      <c r="AY129" s="218">
        <f t="shared" si="1013"/>
        <v>7.4832578980975732</v>
      </c>
      <c r="AZ129" s="218">
        <f t="shared" si="1013"/>
        <v>7.9933744397760158</v>
      </c>
      <c r="BA129" s="217">
        <f t="shared" si="1013"/>
        <v>8.5185418607950396</v>
      </c>
      <c r="BB129" s="218">
        <f t="shared" ref="BB129" si="1014">AZ130*$C129</f>
        <v>9.0586081163972789</v>
      </c>
      <c r="BC129" s="218">
        <f t="shared" ref="BC129" si="1015">BA130*$C129</f>
        <v>9.6134226977893285</v>
      </c>
      <c r="BD129" s="218">
        <f t="shared" ref="BD129" si="1016">BB130*$C129</f>
        <v>10.182836616625355</v>
      </c>
      <c r="BE129" s="218">
        <f t="shared" ref="BE129" si="1017">BC130*$C129</f>
        <v>10.766702389647465</v>
      </c>
      <c r="BF129" s="218">
        <f t="shared" ref="BF129" si="1018">BD130*$C129</f>
        <v>11.364874023481212</v>
      </c>
      <c r="BG129" s="218">
        <f t="shared" ref="BG129" si="1019">BE130*$C129</f>
        <v>11.977206999584737</v>
      </c>
      <c r="BH129" s="218">
        <f t="shared" ref="BH129" si="1020">BF130*$C129</f>
        <v>12.603558259349924</v>
      </c>
      <c r="BI129" s="218">
        <f t="shared" ref="BI129" si="1021">BG130*$C129</f>
        <v>13.243786189354077</v>
      </c>
      <c r="BJ129" s="218">
        <f t="shared" ref="BJ129" si="1022">BH130*$C129</f>
        <v>13.897750606760578</v>
      </c>
      <c r="BK129" s="218">
        <f t="shared" ref="BK129" si="1023">BI130*$C129</f>
        <v>14.565312744867038</v>
      </c>
      <c r="BL129" s="218">
        <f t="shared" ref="BL129" si="1024">BJ130*$C129</f>
        <v>15.246335238799432</v>
      </c>
      <c r="BM129" s="217">
        <f t="shared" ref="BM129" si="1025">BK130*$C129</f>
        <v>15.940682111350762</v>
      </c>
      <c r="BN129" s="218">
        <f t="shared" ref="BN129" si="1026">BL130*$C129</f>
        <v>16.648218758962766</v>
      </c>
      <c r="BO129" s="218">
        <f t="shared" ref="BO129" si="1027">BM130*$C129</f>
        <v>17.368811937849259</v>
      </c>
      <c r="BP129" s="218">
        <f t="shared" ref="BP129" si="1028">BN130*$C129</f>
        <v>18.102329750259631</v>
      </c>
      <c r="BQ129" s="218">
        <f t="shared" ref="BQ129" si="1029">BO130*$C129</f>
        <v>18.84864163088114</v>
      </c>
      <c r="BR129" s="218">
        <f t="shared" ref="BR129" si="1030">BP130*$C129</f>
        <v>19.607618333378543</v>
      </c>
      <c r="BS129" s="218">
        <f t="shared" ref="BS129" si="1031">BQ130*$C129</f>
        <v>20.379131917069731</v>
      </c>
      <c r="BT129" s="218">
        <f t="shared" ref="BT129" si="1032">BR130*$C129</f>
        <v>21.163055733735945</v>
      </c>
      <c r="BU129" s="218">
        <f t="shared" ref="BU129" si="1033">BS130*$C129</f>
        <v>21.959264414565251</v>
      </c>
      <c r="BV129" s="218">
        <f t="shared" ref="BV129" si="1034">BT130*$C129</f>
        <v>22.767633857227892</v>
      </c>
      <c r="BW129" s="218">
        <f t="shared" ref="BW129" si="1035">BU130*$C129</f>
        <v>23.588041213082242</v>
      </c>
      <c r="BX129" s="218">
        <f t="shared" ref="BX129" si="1036">BV130*$C129</f>
        <v>24.420364874509964</v>
      </c>
      <c r="BY129" s="217">
        <f t="shared" ref="BY129" si="1037">BW130*$C129</f>
        <v>25.264484462379141</v>
      </c>
      <c r="BZ129" s="218">
        <f t="shared" ref="BZ129" si="1038">BX130*$C129</f>
        <v>26.120280813634039</v>
      </c>
      <c r="CA129" s="218">
        <f t="shared" ref="CA129" si="1039">BY130*$C129</f>
        <v>26.987635969010249</v>
      </c>
      <c r="CB129" s="218">
        <f t="shared" ref="CB129" si="1040">BZ130*$C129</f>
        <v>27.866433160873907</v>
      </c>
      <c r="CC129" s="218">
        <f t="shared" ref="CC129" si="1041">CA130*$C129</f>
        <v>28.756556801183805</v>
      </c>
      <c r="CD129" s="218">
        <f t="shared" ref="CD129" si="1042">CB130*$C129</f>
        <v>29.657892469575067</v>
      </c>
      <c r="CE129" s="218">
        <f t="shared" ref="CE129" si="1043">CC130*$C129</f>
        <v>30.570326901563231</v>
      </c>
      <c r="CF129" s="218">
        <f t="shared" ref="CF129" si="1044">CD130*$C129</f>
        <v>31.493747976867482</v>
      </c>
      <c r="CG129" s="218">
        <f t="shared" ref="CG129" si="1045">CE130*$C129</f>
        <v>32.428044707851853</v>
      </c>
      <c r="CH129" s="218">
        <f t="shared" ref="CH129" si="1046">CF130*$C129</f>
        <v>33.373107228083178</v>
      </c>
      <c r="CI129" s="218">
        <f t="shared" ref="CI129" si="1047">CG130*$C129</f>
        <v>34.328826781004658</v>
      </c>
      <c r="CJ129" s="218">
        <f t="shared" ref="CJ129" si="1048">CH130*$C129</f>
        <v>35.295095708723828</v>
      </c>
      <c r="CK129" s="217">
        <f t="shared" ref="CK129" si="1049">CI130*$C129</f>
        <v>36.271807440913783</v>
      </c>
    </row>
    <row r="130" spans="2:89" x14ac:dyDescent="0.2">
      <c r="B130" s="21" t="s">
        <v>72</v>
      </c>
      <c r="C130" s="211"/>
      <c r="M130" s="108">
        <v>0</v>
      </c>
      <c r="N130" s="216">
        <f>M130+N128</f>
        <v>0</v>
      </c>
      <c r="O130" s="216">
        <f>N130+O128</f>
        <v>0</v>
      </c>
      <c r="P130" s="384">
        <f t="shared" ref="P130:BA130" si="1050">O130+P128-P129</f>
        <v>0</v>
      </c>
      <c r="Q130" s="385">
        <f t="shared" si="1050"/>
        <v>0</v>
      </c>
      <c r="R130" s="216">
        <f t="shared" si="1050"/>
        <v>0</v>
      </c>
      <c r="S130" s="216">
        <f t="shared" si="1050"/>
        <v>0</v>
      </c>
      <c r="T130" s="216">
        <f t="shared" si="1050"/>
        <v>0</v>
      </c>
      <c r="U130" s="216">
        <f t="shared" si="1050"/>
        <v>0</v>
      </c>
      <c r="V130" s="216">
        <f t="shared" si="1050"/>
        <v>0</v>
      </c>
      <c r="W130" s="216">
        <f t="shared" si="1050"/>
        <v>4</v>
      </c>
      <c r="X130" s="216">
        <f t="shared" si="1050"/>
        <v>10</v>
      </c>
      <c r="Y130" s="216">
        <f t="shared" si="1050"/>
        <v>17.96</v>
      </c>
      <c r="Z130" s="216">
        <f t="shared" si="1050"/>
        <v>27.86</v>
      </c>
      <c r="AA130" s="216">
        <f t="shared" si="1050"/>
        <v>39.680399999999999</v>
      </c>
      <c r="AB130" s="216">
        <f t="shared" si="1050"/>
        <v>53.401800000000001</v>
      </c>
      <c r="AC130" s="215">
        <f t="shared" si="1050"/>
        <v>69.004995999999991</v>
      </c>
      <c r="AD130" s="216">
        <f t="shared" si="1050"/>
        <v>86.470977999999988</v>
      </c>
      <c r="AE130" s="216">
        <f t="shared" si="1050"/>
        <v>105.78092803999999</v>
      </c>
      <c r="AF130" s="216">
        <f t="shared" si="1050"/>
        <v>126.91621825999999</v>
      </c>
      <c r="AG130" s="216">
        <f t="shared" si="1050"/>
        <v>149.8584089796</v>
      </c>
      <c r="AH130" s="216">
        <f t="shared" si="1050"/>
        <v>174.58924679699999</v>
      </c>
      <c r="AI130" s="216">
        <f t="shared" si="1050"/>
        <v>201.09066270720399</v>
      </c>
      <c r="AJ130" s="216">
        <f t="shared" si="1050"/>
        <v>229.34477023923398</v>
      </c>
      <c r="AK130" s="216">
        <f t="shared" si="1050"/>
        <v>259.33386361216196</v>
      </c>
      <c r="AL130" s="216">
        <f t="shared" si="1050"/>
        <v>291.04041590976965</v>
      </c>
      <c r="AM130" s="216">
        <f t="shared" si="1050"/>
        <v>324.44707727364801</v>
      </c>
      <c r="AN130" s="216">
        <f t="shared" si="1050"/>
        <v>359.5366731145503</v>
      </c>
      <c r="AO130" s="215">
        <f t="shared" si="1050"/>
        <v>396.29220234181383</v>
      </c>
      <c r="AP130" s="216">
        <f t="shared" si="1050"/>
        <v>434.69683561066836</v>
      </c>
      <c r="AQ130" s="216">
        <f t="shared" si="1050"/>
        <v>474.73391358725024</v>
      </c>
      <c r="AR130" s="216">
        <f t="shared" si="1050"/>
        <v>516.38694523114361</v>
      </c>
      <c r="AS130" s="216">
        <f t="shared" si="1050"/>
        <v>559.63960609527112</v>
      </c>
      <c r="AT130" s="216">
        <f t="shared" si="1050"/>
        <v>604.47573664295965</v>
      </c>
      <c r="AU130" s="216">
        <f t="shared" si="1050"/>
        <v>650.87934058200699</v>
      </c>
      <c r="AV130" s="216">
        <f t="shared" si="1050"/>
        <v>698.83458321557737</v>
      </c>
      <c r="AW130" s="216">
        <f t="shared" si="1050"/>
        <v>748.32578980975734</v>
      </c>
      <c r="AX130" s="216">
        <f t="shared" si="1050"/>
        <v>799.33744397760154</v>
      </c>
      <c r="AY130" s="216">
        <f t="shared" si="1050"/>
        <v>851.85418607950396</v>
      </c>
      <c r="AZ130" s="216">
        <f t="shared" si="1050"/>
        <v>905.8608116397279</v>
      </c>
      <c r="BA130" s="215">
        <f t="shared" si="1050"/>
        <v>961.34226977893286</v>
      </c>
      <c r="BB130" s="216">
        <f t="shared" ref="BB130" si="1051">BA130+BB128-BB129</f>
        <v>1018.2836616625356</v>
      </c>
      <c r="BC130" s="216">
        <f t="shared" ref="BC130" si="1052">BB130+BC128-BC129</f>
        <v>1076.6702389647464</v>
      </c>
      <c r="BD130" s="216">
        <f t="shared" ref="BD130" si="1053">BC130+BD128-BD129</f>
        <v>1136.4874023481211</v>
      </c>
      <c r="BE130" s="216">
        <f t="shared" ref="BE130" si="1054">BD130+BE128-BE129</f>
        <v>1197.7206999584737</v>
      </c>
      <c r="BF130" s="216">
        <f t="shared" ref="BF130" si="1055">BE130+BF128-BF129</f>
        <v>1260.3558259349925</v>
      </c>
      <c r="BG130" s="216">
        <f t="shared" ref="BG130" si="1056">BF130+BG128-BG129</f>
        <v>1324.3786189354078</v>
      </c>
      <c r="BH130" s="216">
        <f t="shared" ref="BH130" si="1057">BG130+BH128-BH129</f>
        <v>1389.7750606760578</v>
      </c>
      <c r="BI130" s="216">
        <f t="shared" ref="BI130" si="1058">BH130+BI128-BI129</f>
        <v>1456.5312744867038</v>
      </c>
      <c r="BJ130" s="216">
        <f t="shared" ref="BJ130" si="1059">BI130+BJ128-BJ129</f>
        <v>1524.6335238799431</v>
      </c>
      <c r="BK130" s="216">
        <f t="shared" ref="BK130" si="1060">BJ130+BK128-BK129</f>
        <v>1594.0682111350761</v>
      </c>
      <c r="BL130" s="216">
        <f t="shared" ref="BL130" si="1061">BK130+BL128-BL129</f>
        <v>1664.8218758962767</v>
      </c>
      <c r="BM130" s="215">
        <f t="shared" ref="BM130" si="1062">BL130+BM128-BM129</f>
        <v>1736.8811937849259</v>
      </c>
      <c r="BN130" s="216">
        <f t="shared" ref="BN130" si="1063">BM130+BN128-BN129</f>
        <v>1810.2329750259632</v>
      </c>
      <c r="BO130" s="216">
        <f t="shared" ref="BO130" si="1064">BN130+BO128-BO129</f>
        <v>1884.8641630881141</v>
      </c>
      <c r="BP130" s="216">
        <f t="shared" ref="BP130" si="1065">BO130+BP128-BP129</f>
        <v>1960.7618333378543</v>
      </c>
      <c r="BQ130" s="216">
        <f t="shared" ref="BQ130" si="1066">BP130+BQ128-BQ129</f>
        <v>2037.9131917069731</v>
      </c>
      <c r="BR130" s="216">
        <f t="shared" ref="BR130" si="1067">BQ130+BR128-BR129</f>
        <v>2116.3055733735946</v>
      </c>
      <c r="BS130" s="216">
        <f t="shared" ref="BS130" si="1068">BR130+BS128-BS129</f>
        <v>2195.926441456525</v>
      </c>
      <c r="BT130" s="216">
        <f t="shared" ref="BT130" si="1069">BS130+BT128-BT129</f>
        <v>2276.7633857227893</v>
      </c>
      <c r="BU130" s="216">
        <f t="shared" ref="BU130" si="1070">BT130+BU128-BU129</f>
        <v>2358.8041213082242</v>
      </c>
      <c r="BV130" s="216">
        <f t="shared" ref="BV130" si="1071">BU130+BV128-BV129</f>
        <v>2442.0364874509964</v>
      </c>
      <c r="BW130" s="216">
        <f t="shared" ref="BW130" si="1072">BV130+BW128-BW129</f>
        <v>2526.4484462379141</v>
      </c>
      <c r="BX130" s="216">
        <f t="shared" ref="BX130" si="1073">BW130+BX128-BX129</f>
        <v>2612.028081363404</v>
      </c>
      <c r="BY130" s="215">
        <f t="shared" ref="BY130" si="1074">BX130+BY128-BY129</f>
        <v>2698.7635969010248</v>
      </c>
      <c r="BZ130" s="216">
        <f t="shared" ref="BZ130" si="1075">BY130+BZ128-BZ129</f>
        <v>2786.6433160873908</v>
      </c>
      <c r="CA130" s="216">
        <f t="shared" ref="CA130" si="1076">BZ130+CA128-CA129</f>
        <v>2875.6556801183806</v>
      </c>
      <c r="CB130" s="216">
        <f t="shared" ref="CB130" si="1077">CA130+CB128-CB129</f>
        <v>2965.7892469575067</v>
      </c>
      <c r="CC130" s="216">
        <f t="shared" ref="CC130" si="1078">CB130+CC128-CC129</f>
        <v>3057.032690156323</v>
      </c>
      <c r="CD130" s="216">
        <f t="shared" ref="CD130" si="1079">CC130+CD128-CD129</f>
        <v>3149.374797686748</v>
      </c>
      <c r="CE130" s="216">
        <f t="shared" ref="CE130" si="1080">CD130+CE128-CE129</f>
        <v>3242.804470785185</v>
      </c>
      <c r="CF130" s="216">
        <f t="shared" ref="CF130" si="1081">CE130+CF128-CF129</f>
        <v>3337.3107228083177</v>
      </c>
      <c r="CG130" s="216">
        <f t="shared" ref="CG130" si="1082">CF130+CG128-CG129</f>
        <v>3432.8826781004659</v>
      </c>
      <c r="CH130" s="216">
        <f t="shared" ref="CH130" si="1083">CG130+CH128-CH129</f>
        <v>3529.5095708723829</v>
      </c>
      <c r="CI130" s="216">
        <f t="shared" ref="CI130" si="1084">CH130+CI128-CI129</f>
        <v>3627.1807440913781</v>
      </c>
      <c r="CJ130" s="216">
        <f t="shared" ref="CJ130" si="1085">CI130+CJ128-CJ129</f>
        <v>3725.8856483826544</v>
      </c>
      <c r="CK130" s="215">
        <f t="shared" ref="CK130" si="1086">CJ130+CK128-CK129</f>
        <v>3825.6138409417408</v>
      </c>
    </row>
    <row r="131" spans="2:89" x14ac:dyDescent="0.2">
      <c r="B131" s="121" t="s">
        <v>82</v>
      </c>
      <c r="C131" s="214">
        <v>250</v>
      </c>
      <c r="N131" s="169"/>
      <c r="O131" s="169"/>
      <c r="P131" s="386"/>
      <c r="Q131" s="387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70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70"/>
      <c r="AP131" s="169"/>
      <c r="AQ131" s="169"/>
      <c r="AR131" s="169"/>
      <c r="AS131" s="169"/>
      <c r="AT131" s="169"/>
      <c r="AU131" s="169"/>
      <c r="AV131" s="169"/>
      <c r="AW131" s="169"/>
      <c r="AX131" s="169"/>
      <c r="AY131" s="169"/>
      <c r="AZ131" s="169"/>
      <c r="BA131" s="170"/>
      <c r="BB131" s="169"/>
      <c r="BC131" s="169"/>
      <c r="BD131" s="169"/>
      <c r="BE131" s="169"/>
      <c r="BF131" s="169"/>
      <c r="BG131" s="169"/>
      <c r="BH131" s="169"/>
      <c r="BI131" s="169"/>
      <c r="BJ131" s="169"/>
      <c r="BK131" s="169"/>
      <c r="BL131" s="169"/>
      <c r="BM131" s="170"/>
      <c r="BN131" s="169"/>
      <c r="BO131" s="169"/>
      <c r="BP131" s="169"/>
      <c r="BQ131" s="169"/>
      <c r="BR131" s="169"/>
      <c r="BS131" s="169"/>
      <c r="BT131" s="169"/>
      <c r="BU131" s="169"/>
      <c r="BV131" s="169"/>
      <c r="BW131" s="169"/>
      <c r="BX131" s="169"/>
      <c r="BY131" s="170"/>
      <c r="BZ131" s="169"/>
      <c r="CA131" s="169"/>
      <c r="CB131" s="169"/>
      <c r="CC131" s="169"/>
      <c r="CD131" s="169"/>
      <c r="CE131" s="169"/>
      <c r="CF131" s="169"/>
      <c r="CG131" s="169"/>
      <c r="CH131" s="169"/>
      <c r="CI131" s="169"/>
      <c r="CJ131" s="169"/>
      <c r="CK131" s="170"/>
    </row>
    <row r="132" spans="2:89" s="107" customFormat="1" x14ac:dyDescent="0.2">
      <c r="B132" s="142" t="s">
        <v>83</v>
      </c>
      <c r="E132" s="143"/>
      <c r="N132" s="213">
        <f t="shared" ref="N132:BA132" si="1087">$C131*N130</f>
        <v>0</v>
      </c>
      <c r="O132" s="213">
        <f t="shared" si="1087"/>
        <v>0</v>
      </c>
      <c r="P132" s="386">
        <f t="shared" si="1087"/>
        <v>0</v>
      </c>
      <c r="Q132" s="387">
        <f t="shared" si="1087"/>
        <v>0</v>
      </c>
      <c r="R132" s="213">
        <f t="shared" si="1087"/>
        <v>0</v>
      </c>
      <c r="S132" s="213">
        <f t="shared" si="1087"/>
        <v>0</v>
      </c>
      <c r="T132" s="213">
        <f t="shared" si="1087"/>
        <v>0</v>
      </c>
      <c r="U132" s="213">
        <f t="shared" si="1087"/>
        <v>0</v>
      </c>
      <c r="V132" s="213">
        <f t="shared" si="1087"/>
        <v>0</v>
      </c>
      <c r="W132" s="213">
        <f t="shared" si="1087"/>
        <v>1000</v>
      </c>
      <c r="X132" s="213">
        <f t="shared" si="1087"/>
        <v>2500</v>
      </c>
      <c r="Y132" s="213">
        <f t="shared" si="1087"/>
        <v>4490</v>
      </c>
      <c r="Z132" s="213">
        <f t="shared" si="1087"/>
        <v>6965</v>
      </c>
      <c r="AA132" s="213">
        <f t="shared" si="1087"/>
        <v>9920.1</v>
      </c>
      <c r="AB132" s="213">
        <f t="shared" si="1087"/>
        <v>13350.45</v>
      </c>
      <c r="AC132" s="212">
        <f t="shared" si="1087"/>
        <v>17251.248999999996</v>
      </c>
      <c r="AD132" s="213">
        <f t="shared" si="1087"/>
        <v>21617.744499999997</v>
      </c>
      <c r="AE132" s="213">
        <f t="shared" si="1087"/>
        <v>26445.23201</v>
      </c>
      <c r="AF132" s="213">
        <f t="shared" si="1087"/>
        <v>31729.054564999999</v>
      </c>
      <c r="AG132" s="213">
        <f t="shared" si="1087"/>
        <v>37464.602244900001</v>
      </c>
      <c r="AH132" s="213">
        <f t="shared" si="1087"/>
        <v>43647.31169925</v>
      </c>
      <c r="AI132" s="213">
        <f t="shared" si="1087"/>
        <v>50272.665676801</v>
      </c>
      <c r="AJ132" s="213">
        <f t="shared" si="1087"/>
        <v>57336.192559808493</v>
      </c>
      <c r="AK132" s="213">
        <f t="shared" si="1087"/>
        <v>64833.465903040487</v>
      </c>
      <c r="AL132" s="213">
        <f t="shared" si="1087"/>
        <v>72760.103977442413</v>
      </c>
      <c r="AM132" s="213">
        <f t="shared" si="1087"/>
        <v>81111.769318412</v>
      </c>
      <c r="AN132" s="213">
        <f t="shared" si="1087"/>
        <v>89884.168278637575</v>
      </c>
      <c r="AO132" s="212">
        <f t="shared" si="1087"/>
        <v>99073.050585453457</v>
      </c>
      <c r="AP132" s="213">
        <f t="shared" si="1087"/>
        <v>108674.20890266709</v>
      </c>
      <c r="AQ132" s="213">
        <f t="shared" si="1087"/>
        <v>118683.47839681256</v>
      </c>
      <c r="AR132" s="213">
        <f t="shared" si="1087"/>
        <v>129096.7363077859</v>
      </c>
      <c r="AS132" s="213">
        <f t="shared" si="1087"/>
        <v>139909.90152381777</v>
      </c>
      <c r="AT132" s="213">
        <f t="shared" si="1087"/>
        <v>151118.93416073991</v>
      </c>
      <c r="AU132" s="213">
        <f t="shared" si="1087"/>
        <v>162719.83514550174</v>
      </c>
      <c r="AV132" s="213">
        <f t="shared" si="1087"/>
        <v>174708.64580389435</v>
      </c>
      <c r="AW132" s="213">
        <f t="shared" si="1087"/>
        <v>187081.44745243934</v>
      </c>
      <c r="AX132" s="213">
        <f t="shared" si="1087"/>
        <v>199834.3609944004</v>
      </c>
      <c r="AY132" s="213">
        <f t="shared" si="1087"/>
        <v>212963.54651987599</v>
      </c>
      <c r="AZ132" s="213">
        <f t="shared" si="1087"/>
        <v>226465.20290993198</v>
      </c>
      <c r="BA132" s="212">
        <f t="shared" si="1087"/>
        <v>240335.56744473323</v>
      </c>
      <c r="BB132" s="213">
        <f t="shared" ref="BB132:BM132" si="1088">$C131*BB130</f>
        <v>254570.91541563388</v>
      </c>
      <c r="BC132" s="213">
        <f t="shared" si="1088"/>
        <v>269167.55974118662</v>
      </c>
      <c r="BD132" s="213">
        <f t="shared" si="1088"/>
        <v>284121.85058703029</v>
      </c>
      <c r="BE132" s="213">
        <f t="shared" si="1088"/>
        <v>299430.17498961842</v>
      </c>
      <c r="BF132" s="213">
        <f t="shared" si="1088"/>
        <v>315088.9564837481</v>
      </c>
      <c r="BG132" s="213">
        <f t="shared" si="1088"/>
        <v>331094.65473385196</v>
      </c>
      <c r="BH132" s="213">
        <f t="shared" si="1088"/>
        <v>347443.76516901446</v>
      </c>
      <c r="BI132" s="213">
        <f t="shared" si="1088"/>
        <v>364132.81862167595</v>
      </c>
      <c r="BJ132" s="213">
        <f t="shared" si="1088"/>
        <v>381158.3809699858</v>
      </c>
      <c r="BK132" s="213">
        <f t="shared" si="1088"/>
        <v>398517.05278376903</v>
      </c>
      <c r="BL132" s="213">
        <f t="shared" si="1088"/>
        <v>416205.46897406917</v>
      </c>
      <c r="BM132" s="212">
        <f t="shared" si="1088"/>
        <v>434220.29844623146</v>
      </c>
      <c r="BN132" s="213">
        <f t="shared" ref="BN132:BY132" si="1089">$C131*BN130</f>
        <v>452558.24375649082</v>
      </c>
      <c r="BO132" s="213">
        <f t="shared" si="1089"/>
        <v>471216.0407720285</v>
      </c>
      <c r="BP132" s="213">
        <f t="shared" si="1089"/>
        <v>490190.45833446359</v>
      </c>
      <c r="BQ132" s="213">
        <f t="shared" si="1089"/>
        <v>509478.29792674328</v>
      </c>
      <c r="BR132" s="213">
        <f t="shared" si="1089"/>
        <v>529076.3933433987</v>
      </c>
      <c r="BS132" s="213">
        <f t="shared" si="1089"/>
        <v>548981.61036413128</v>
      </c>
      <c r="BT132" s="213">
        <f t="shared" si="1089"/>
        <v>569190.84643069736</v>
      </c>
      <c r="BU132" s="213">
        <f t="shared" si="1089"/>
        <v>589701.03032705607</v>
      </c>
      <c r="BV132" s="213">
        <f t="shared" si="1089"/>
        <v>610509.1218627491</v>
      </c>
      <c r="BW132" s="213">
        <f t="shared" si="1089"/>
        <v>631612.11155947857</v>
      </c>
      <c r="BX132" s="213">
        <f t="shared" si="1089"/>
        <v>653007.02034085104</v>
      </c>
      <c r="BY132" s="212">
        <f t="shared" si="1089"/>
        <v>674690.89922525617</v>
      </c>
      <c r="BZ132" s="213">
        <f t="shared" ref="BZ132:CK132" si="1090">$C131*BZ130</f>
        <v>696660.82902184769</v>
      </c>
      <c r="CA132" s="213">
        <f t="shared" si="1090"/>
        <v>718913.92002959515</v>
      </c>
      <c r="CB132" s="213">
        <f t="shared" si="1090"/>
        <v>741447.31173937663</v>
      </c>
      <c r="CC132" s="213">
        <f t="shared" si="1090"/>
        <v>764258.17253908073</v>
      </c>
      <c r="CD132" s="213">
        <f t="shared" si="1090"/>
        <v>787343.69942168705</v>
      </c>
      <c r="CE132" s="213">
        <f t="shared" si="1090"/>
        <v>810701.11769629631</v>
      </c>
      <c r="CF132" s="213">
        <f t="shared" si="1090"/>
        <v>834327.68070207944</v>
      </c>
      <c r="CG132" s="213">
        <f t="shared" si="1090"/>
        <v>858220.66952511645</v>
      </c>
      <c r="CH132" s="213">
        <f t="shared" si="1090"/>
        <v>882377.39271809568</v>
      </c>
      <c r="CI132" s="213">
        <f t="shared" si="1090"/>
        <v>906795.18602284451</v>
      </c>
      <c r="CJ132" s="213">
        <f t="shared" si="1090"/>
        <v>931471.4120956636</v>
      </c>
      <c r="CK132" s="212">
        <f t="shared" si="1090"/>
        <v>956403.46023543517</v>
      </c>
    </row>
    <row r="133" spans="2:89" x14ac:dyDescent="0.2">
      <c r="B133" s="121"/>
      <c r="C133" s="211"/>
      <c r="E133" s="205"/>
      <c r="N133" s="169"/>
      <c r="O133" s="169"/>
      <c r="P133" s="386"/>
      <c r="Q133" s="387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70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169"/>
      <c r="AN133" s="169"/>
      <c r="AO133" s="170"/>
      <c r="AP133" s="169"/>
      <c r="AQ133" s="169"/>
      <c r="AR133" s="169"/>
      <c r="AS133" s="169"/>
      <c r="AT133" s="169"/>
      <c r="AU133" s="169"/>
      <c r="AV133" s="169"/>
      <c r="AW133" s="169"/>
      <c r="AX133" s="169"/>
      <c r="AY133" s="169"/>
      <c r="AZ133" s="169"/>
      <c r="BA133" s="170"/>
      <c r="BB133" s="169"/>
      <c r="BC133" s="169"/>
      <c r="BD133" s="169"/>
      <c r="BE133" s="169"/>
      <c r="BF133" s="169"/>
      <c r="BG133" s="169"/>
      <c r="BH133" s="169"/>
      <c r="BI133" s="169"/>
      <c r="BJ133" s="169"/>
      <c r="BK133" s="169"/>
      <c r="BL133" s="169"/>
      <c r="BM133" s="170"/>
      <c r="BN133" s="169"/>
      <c r="BO133" s="169"/>
      <c r="BP133" s="169"/>
      <c r="BQ133" s="169"/>
      <c r="BR133" s="169"/>
      <c r="BS133" s="169"/>
      <c r="BT133" s="169"/>
      <c r="BU133" s="169"/>
      <c r="BV133" s="169"/>
      <c r="BW133" s="169"/>
      <c r="BX133" s="169"/>
      <c r="BY133" s="170"/>
      <c r="BZ133" s="169"/>
      <c r="CA133" s="169"/>
      <c r="CB133" s="169"/>
      <c r="CC133" s="169"/>
      <c r="CD133" s="169"/>
      <c r="CE133" s="169"/>
      <c r="CF133" s="169"/>
      <c r="CG133" s="169"/>
      <c r="CH133" s="169"/>
      <c r="CI133" s="169"/>
      <c r="CJ133" s="169"/>
      <c r="CK133" s="170"/>
    </row>
    <row r="134" spans="2:89" s="2" customFormat="1" ht="25" customHeight="1" x14ac:dyDescent="0.2">
      <c r="B134" s="118" t="s">
        <v>84</v>
      </c>
      <c r="C134" s="210">
        <v>1</v>
      </c>
      <c r="E134" s="209"/>
      <c r="N134" s="208">
        <f t="shared" ref="N134:BA134" si="1091">N132*$C134</f>
        <v>0</v>
      </c>
      <c r="O134" s="208">
        <f t="shared" si="1091"/>
        <v>0</v>
      </c>
      <c r="P134" s="388">
        <f t="shared" si="1091"/>
        <v>0</v>
      </c>
      <c r="Q134" s="389">
        <f t="shared" si="1091"/>
        <v>0</v>
      </c>
      <c r="R134" s="208">
        <f t="shared" si="1091"/>
        <v>0</v>
      </c>
      <c r="S134" s="208">
        <f t="shared" si="1091"/>
        <v>0</v>
      </c>
      <c r="T134" s="208">
        <f t="shared" si="1091"/>
        <v>0</v>
      </c>
      <c r="U134" s="208">
        <f t="shared" si="1091"/>
        <v>0</v>
      </c>
      <c r="V134" s="208">
        <f t="shared" si="1091"/>
        <v>0</v>
      </c>
      <c r="W134" s="208">
        <f t="shared" si="1091"/>
        <v>1000</v>
      </c>
      <c r="X134" s="208">
        <f t="shared" si="1091"/>
        <v>2500</v>
      </c>
      <c r="Y134" s="208">
        <f t="shared" si="1091"/>
        <v>4490</v>
      </c>
      <c r="Z134" s="208">
        <f t="shared" si="1091"/>
        <v>6965</v>
      </c>
      <c r="AA134" s="208">
        <f t="shared" si="1091"/>
        <v>9920.1</v>
      </c>
      <c r="AB134" s="208">
        <f t="shared" si="1091"/>
        <v>13350.45</v>
      </c>
      <c r="AC134" s="207">
        <f t="shared" si="1091"/>
        <v>17251.248999999996</v>
      </c>
      <c r="AD134" s="208">
        <f t="shared" si="1091"/>
        <v>21617.744499999997</v>
      </c>
      <c r="AE134" s="208">
        <f t="shared" si="1091"/>
        <v>26445.23201</v>
      </c>
      <c r="AF134" s="208">
        <f t="shared" si="1091"/>
        <v>31729.054564999999</v>
      </c>
      <c r="AG134" s="208">
        <f t="shared" si="1091"/>
        <v>37464.602244900001</v>
      </c>
      <c r="AH134" s="208">
        <f t="shared" si="1091"/>
        <v>43647.31169925</v>
      </c>
      <c r="AI134" s="208">
        <f t="shared" si="1091"/>
        <v>50272.665676801</v>
      </c>
      <c r="AJ134" s="208">
        <f t="shared" si="1091"/>
        <v>57336.192559808493</v>
      </c>
      <c r="AK134" s="208">
        <f t="shared" si="1091"/>
        <v>64833.465903040487</v>
      </c>
      <c r="AL134" s="208">
        <f t="shared" si="1091"/>
        <v>72760.103977442413</v>
      </c>
      <c r="AM134" s="208">
        <f t="shared" si="1091"/>
        <v>81111.769318412</v>
      </c>
      <c r="AN134" s="208">
        <f t="shared" si="1091"/>
        <v>89884.168278637575</v>
      </c>
      <c r="AO134" s="207">
        <f t="shared" si="1091"/>
        <v>99073.050585453457</v>
      </c>
      <c r="AP134" s="208">
        <f t="shared" si="1091"/>
        <v>108674.20890266709</v>
      </c>
      <c r="AQ134" s="208">
        <f t="shared" si="1091"/>
        <v>118683.47839681256</v>
      </c>
      <c r="AR134" s="208">
        <f t="shared" si="1091"/>
        <v>129096.7363077859</v>
      </c>
      <c r="AS134" s="208">
        <f t="shared" si="1091"/>
        <v>139909.90152381777</v>
      </c>
      <c r="AT134" s="208">
        <f t="shared" si="1091"/>
        <v>151118.93416073991</v>
      </c>
      <c r="AU134" s="208">
        <f t="shared" si="1091"/>
        <v>162719.83514550174</v>
      </c>
      <c r="AV134" s="208">
        <f t="shared" si="1091"/>
        <v>174708.64580389435</v>
      </c>
      <c r="AW134" s="208">
        <f t="shared" si="1091"/>
        <v>187081.44745243934</v>
      </c>
      <c r="AX134" s="208">
        <f t="shared" si="1091"/>
        <v>199834.3609944004</v>
      </c>
      <c r="AY134" s="208">
        <f t="shared" si="1091"/>
        <v>212963.54651987599</v>
      </c>
      <c r="AZ134" s="208">
        <f t="shared" si="1091"/>
        <v>226465.20290993198</v>
      </c>
      <c r="BA134" s="207">
        <f t="shared" si="1091"/>
        <v>240335.56744473323</v>
      </c>
      <c r="BB134" s="208">
        <f t="shared" ref="BB134:BM134" si="1092">BB132*$C134</f>
        <v>254570.91541563388</v>
      </c>
      <c r="BC134" s="208">
        <f t="shared" si="1092"/>
        <v>269167.55974118662</v>
      </c>
      <c r="BD134" s="208">
        <f t="shared" si="1092"/>
        <v>284121.85058703029</v>
      </c>
      <c r="BE134" s="208">
        <f t="shared" si="1092"/>
        <v>299430.17498961842</v>
      </c>
      <c r="BF134" s="208">
        <f t="shared" si="1092"/>
        <v>315088.9564837481</v>
      </c>
      <c r="BG134" s="208">
        <f t="shared" si="1092"/>
        <v>331094.65473385196</v>
      </c>
      <c r="BH134" s="208">
        <f t="shared" si="1092"/>
        <v>347443.76516901446</v>
      </c>
      <c r="BI134" s="208">
        <f t="shared" si="1092"/>
        <v>364132.81862167595</v>
      </c>
      <c r="BJ134" s="208">
        <f t="shared" si="1092"/>
        <v>381158.3809699858</v>
      </c>
      <c r="BK134" s="208">
        <f t="shared" si="1092"/>
        <v>398517.05278376903</v>
      </c>
      <c r="BL134" s="208">
        <f t="shared" si="1092"/>
        <v>416205.46897406917</v>
      </c>
      <c r="BM134" s="207">
        <f t="shared" si="1092"/>
        <v>434220.29844623146</v>
      </c>
      <c r="BN134" s="208">
        <f t="shared" ref="BN134:BY134" si="1093">BN132*$C134</f>
        <v>452558.24375649082</v>
      </c>
      <c r="BO134" s="208">
        <f t="shared" si="1093"/>
        <v>471216.0407720285</v>
      </c>
      <c r="BP134" s="208">
        <f t="shared" si="1093"/>
        <v>490190.45833446359</v>
      </c>
      <c r="BQ134" s="208">
        <f t="shared" si="1093"/>
        <v>509478.29792674328</v>
      </c>
      <c r="BR134" s="208">
        <f t="shared" si="1093"/>
        <v>529076.3933433987</v>
      </c>
      <c r="BS134" s="208">
        <f t="shared" si="1093"/>
        <v>548981.61036413128</v>
      </c>
      <c r="BT134" s="208">
        <f t="shared" si="1093"/>
        <v>569190.84643069736</v>
      </c>
      <c r="BU134" s="208">
        <f t="shared" si="1093"/>
        <v>589701.03032705607</v>
      </c>
      <c r="BV134" s="208">
        <f t="shared" si="1093"/>
        <v>610509.1218627491</v>
      </c>
      <c r="BW134" s="208">
        <f t="shared" si="1093"/>
        <v>631612.11155947857</v>
      </c>
      <c r="BX134" s="208">
        <f t="shared" si="1093"/>
        <v>653007.02034085104</v>
      </c>
      <c r="BY134" s="207">
        <f t="shared" si="1093"/>
        <v>674690.89922525617</v>
      </c>
      <c r="BZ134" s="208">
        <f t="shared" ref="BZ134:CK134" si="1094">BZ132*$C134</f>
        <v>696660.82902184769</v>
      </c>
      <c r="CA134" s="208">
        <f t="shared" si="1094"/>
        <v>718913.92002959515</v>
      </c>
      <c r="CB134" s="208">
        <f t="shared" si="1094"/>
        <v>741447.31173937663</v>
      </c>
      <c r="CC134" s="208">
        <f t="shared" si="1094"/>
        <v>764258.17253908073</v>
      </c>
      <c r="CD134" s="208">
        <f t="shared" si="1094"/>
        <v>787343.69942168705</v>
      </c>
      <c r="CE134" s="208">
        <f t="shared" si="1094"/>
        <v>810701.11769629631</v>
      </c>
      <c r="CF134" s="208">
        <f t="shared" si="1094"/>
        <v>834327.68070207944</v>
      </c>
      <c r="CG134" s="208">
        <f t="shared" si="1094"/>
        <v>858220.66952511645</v>
      </c>
      <c r="CH134" s="208">
        <f t="shared" si="1094"/>
        <v>882377.39271809568</v>
      </c>
      <c r="CI134" s="208">
        <f t="shared" si="1094"/>
        <v>906795.18602284451</v>
      </c>
      <c r="CJ134" s="208">
        <f t="shared" si="1094"/>
        <v>931471.4120956636</v>
      </c>
      <c r="CK134" s="207">
        <f t="shared" si="1094"/>
        <v>956403.46023543517</v>
      </c>
    </row>
    <row r="135" spans="2:89" x14ac:dyDescent="0.2">
      <c r="B135" s="121" t="s">
        <v>85</v>
      </c>
      <c r="C135" s="206">
        <v>3</v>
      </c>
      <c r="E135" s="205"/>
      <c r="N135" s="169">
        <f t="shared" ref="N135:BA135" si="1095">N130*$C135</f>
        <v>0</v>
      </c>
      <c r="O135" s="169">
        <f t="shared" si="1095"/>
        <v>0</v>
      </c>
      <c r="P135" s="386">
        <f t="shared" si="1095"/>
        <v>0</v>
      </c>
      <c r="Q135" s="387">
        <f t="shared" si="1095"/>
        <v>0</v>
      </c>
      <c r="R135" s="169">
        <f t="shared" si="1095"/>
        <v>0</v>
      </c>
      <c r="S135" s="169">
        <f t="shared" si="1095"/>
        <v>0</v>
      </c>
      <c r="T135" s="169">
        <f t="shared" si="1095"/>
        <v>0</v>
      </c>
      <c r="U135" s="169">
        <f t="shared" si="1095"/>
        <v>0</v>
      </c>
      <c r="V135" s="169">
        <f t="shared" si="1095"/>
        <v>0</v>
      </c>
      <c r="W135" s="169">
        <f t="shared" si="1095"/>
        <v>12</v>
      </c>
      <c r="X135" s="169">
        <f t="shared" si="1095"/>
        <v>30</v>
      </c>
      <c r="Y135" s="169">
        <f t="shared" si="1095"/>
        <v>53.88</v>
      </c>
      <c r="Z135" s="169">
        <f t="shared" si="1095"/>
        <v>83.58</v>
      </c>
      <c r="AA135" s="169">
        <f t="shared" si="1095"/>
        <v>119.0412</v>
      </c>
      <c r="AB135" s="169">
        <f t="shared" si="1095"/>
        <v>160.2054</v>
      </c>
      <c r="AC135" s="170">
        <f t="shared" si="1095"/>
        <v>207.01498799999996</v>
      </c>
      <c r="AD135" s="169">
        <f t="shared" si="1095"/>
        <v>259.41293399999995</v>
      </c>
      <c r="AE135" s="169">
        <f t="shared" si="1095"/>
        <v>317.34278411999998</v>
      </c>
      <c r="AF135" s="169">
        <f t="shared" si="1095"/>
        <v>380.74865477999998</v>
      </c>
      <c r="AG135" s="169">
        <f t="shared" si="1095"/>
        <v>449.57522693880003</v>
      </c>
      <c r="AH135" s="169">
        <f t="shared" si="1095"/>
        <v>523.76774039099996</v>
      </c>
      <c r="AI135" s="169">
        <f t="shared" si="1095"/>
        <v>603.27198812161191</v>
      </c>
      <c r="AJ135" s="169">
        <f t="shared" si="1095"/>
        <v>688.03431071770194</v>
      </c>
      <c r="AK135" s="169">
        <f t="shared" si="1095"/>
        <v>778.00159083648589</v>
      </c>
      <c r="AL135" s="169">
        <f t="shared" si="1095"/>
        <v>873.12124772930895</v>
      </c>
      <c r="AM135" s="169">
        <f t="shared" si="1095"/>
        <v>973.34123182094402</v>
      </c>
      <c r="AN135" s="169">
        <f t="shared" si="1095"/>
        <v>1078.6100193436509</v>
      </c>
      <c r="AO135" s="170">
        <f t="shared" si="1095"/>
        <v>1188.8766070254414</v>
      </c>
      <c r="AP135" s="169">
        <f t="shared" si="1095"/>
        <v>1304.0905068320051</v>
      </c>
      <c r="AQ135" s="169">
        <f t="shared" si="1095"/>
        <v>1424.2017407617507</v>
      </c>
      <c r="AR135" s="169">
        <f t="shared" si="1095"/>
        <v>1549.1608356934307</v>
      </c>
      <c r="AS135" s="169">
        <f t="shared" si="1095"/>
        <v>1678.9188182858134</v>
      </c>
      <c r="AT135" s="169">
        <f t="shared" si="1095"/>
        <v>1813.4272099288789</v>
      </c>
      <c r="AU135" s="169">
        <f t="shared" si="1095"/>
        <v>1952.638021746021</v>
      </c>
      <c r="AV135" s="169">
        <f t="shared" si="1095"/>
        <v>2096.5037496467321</v>
      </c>
      <c r="AW135" s="169">
        <f t="shared" si="1095"/>
        <v>2244.9773694292721</v>
      </c>
      <c r="AX135" s="169">
        <f t="shared" si="1095"/>
        <v>2398.0123319328045</v>
      </c>
      <c r="AY135" s="169">
        <f t="shared" si="1095"/>
        <v>2555.5625582385119</v>
      </c>
      <c r="AZ135" s="169">
        <f t="shared" si="1095"/>
        <v>2717.5824349191835</v>
      </c>
      <c r="BA135" s="170">
        <f t="shared" si="1095"/>
        <v>2884.0268093367986</v>
      </c>
      <c r="BB135" s="169">
        <f t="shared" ref="BB135:BM135" si="1096">BB130*$C135</f>
        <v>3054.8509849876068</v>
      </c>
      <c r="BC135" s="169">
        <f t="shared" si="1096"/>
        <v>3230.0107168942395</v>
      </c>
      <c r="BD135" s="169">
        <f t="shared" si="1096"/>
        <v>3409.4622070443634</v>
      </c>
      <c r="BE135" s="169">
        <f t="shared" si="1096"/>
        <v>3593.1620998754211</v>
      </c>
      <c r="BF135" s="169">
        <f t="shared" si="1096"/>
        <v>3781.0674778049774</v>
      </c>
      <c r="BG135" s="169">
        <f t="shared" si="1096"/>
        <v>3973.1358568062233</v>
      </c>
      <c r="BH135" s="169">
        <f t="shared" si="1096"/>
        <v>4169.325182028173</v>
      </c>
      <c r="BI135" s="169">
        <f t="shared" si="1096"/>
        <v>4369.5938234601108</v>
      </c>
      <c r="BJ135" s="169">
        <f t="shared" si="1096"/>
        <v>4573.9005716398296</v>
      </c>
      <c r="BK135" s="169">
        <f t="shared" si="1096"/>
        <v>4782.2046334052284</v>
      </c>
      <c r="BL135" s="169">
        <f t="shared" si="1096"/>
        <v>4994.46562768883</v>
      </c>
      <c r="BM135" s="170">
        <f t="shared" si="1096"/>
        <v>5210.6435813547778</v>
      </c>
      <c r="BN135" s="169">
        <f t="shared" ref="BN135:BY135" si="1097">BN130*$C135</f>
        <v>5430.6989250778897</v>
      </c>
      <c r="BO135" s="169">
        <f t="shared" si="1097"/>
        <v>5654.5924892643425</v>
      </c>
      <c r="BP135" s="169">
        <f t="shared" si="1097"/>
        <v>5882.2855000135633</v>
      </c>
      <c r="BQ135" s="169">
        <f t="shared" si="1097"/>
        <v>6113.7395751209187</v>
      </c>
      <c r="BR135" s="169">
        <f t="shared" si="1097"/>
        <v>6348.9167201207838</v>
      </c>
      <c r="BS135" s="169">
        <f t="shared" si="1097"/>
        <v>6587.7793243695751</v>
      </c>
      <c r="BT135" s="169">
        <f t="shared" si="1097"/>
        <v>6830.2901571683678</v>
      </c>
      <c r="BU135" s="169">
        <f t="shared" si="1097"/>
        <v>7076.4123639246727</v>
      </c>
      <c r="BV135" s="169">
        <f t="shared" si="1097"/>
        <v>7326.1094623529898</v>
      </c>
      <c r="BW135" s="169">
        <f t="shared" si="1097"/>
        <v>7579.3453387137424</v>
      </c>
      <c r="BX135" s="169">
        <f t="shared" si="1097"/>
        <v>7836.0842440902125</v>
      </c>
      <c r="BY135" s="170">
        <f t="shared" si="1097"/>
        <v>8096.2907907030749</v>
      </c>
      <c r="BZ135" s="169">
        <f t="shared" ref="BZ135:CK135" si="1098">BZ130*$C135</f>
        <v>8359.9299482621718</v>
      </c>
      <c r="CA135" s="169">
        <f t="shared" si="1098"/>
        <v>8626.9670403551427</v>
      </c>
      <c r="CB135" s="169">
        <f t="shared" si="1098"/>
        <v>8897.3677408725198</v>
      </c>
      <c r="CC135" s="169">
        <f t="shared" si="1098"/>
        <v>9171.0980704689682</v>
      </c>
      <c r="CD135" s="169">
        <f t="shared" si="1098"/>
        <v>9448.1243930602432</v>
      </c>
      <c r="CE135" s="169">
        <f t="shared" si="1098"/>
        <v>9728.4134123555559</v>
      </c>
      <c r="CF135" s="169">
        <f t="shared" si="1098"/>
        <v>10011.932168424953</v>
      </c>
      <c r="CG135" s="169">
        <f t="shared" si="1098"/>
        <v>10298.648034301397</v>
      </c>
      <c r="CH135" s="169">
        <f t="shared" si="1098"/>
        <v>10588.52871261715</v>
      </c>
      <c r="CI135" s="169">
        <f t="shared" si="1098"/>
        <v>10881.542232274134</v>
      </c>
      <c r="CJ135" s="169">
        <f t="shared" si="1098"/>
        <v>11177.656945147963</v>
      </c>
      <c r="CK135" s="170">
        <f t="shared" si="1098"/>
        <v>11476.841522825223</v>
      </c>
    </row>
    <row r="136" spans="2:89" ht="17" thickBot="1" x14ac:dyDescent="0.25">
      <c r="B136" s="124"/>
      <c r="C136" s="125"/>
      <c r="D136" s="125"/>
      <c r="E136" s="126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394"/>
      <c r="Q136" s="39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6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6"/>
      <c r="AP136" s="125"/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/>
      <c r="BA136" s="126"/>
      <c r="BB136" s="125"/>
      <c r="BC136" s="125"/>
      <c r="BD136" s="125"/>
      <c r="BE136" s="125"/>
      <c r="BF136" s="125"/>
      <c r="BG136" s="125"/>
      <c r="BH136" s="125"/>
      <c r="BI136" s="125"/>
      <c r="BJ136" s="125"/>
      <c r="BK136" s="125"/>
      <c r="BL136" s="125"/>
      <c r="BM136" s="126"/>
      <c r="BN136" s="125"/>
      <c r="BO136" s="125"/>
      <c r="BP136" s="125"/>
      <c r="BQ136" s="125"/>
      <c r="BR136" s="125"/>
      <c r="BS136" s="125"/>
      <c r="BT136" s="125"/>
      <c r="BU136" s="125"/>
      <c r="BV136" s="125"/>
      <c r="BW136" s="125"/>
      <c r="BX136" s="125"/>
      <c r="BY136" s="126"/>
      <c r="BZ136" s="125"/>
      <c r="CA136" s="125"/>
      <c r="CB136" s="125"/>
      <c r="CC136" s="125"/>
      <c r="CD136" s="125"/>
      <c r="CE136" s="125"/>
      <c r="CF136" s="125"/>
      <c r="CG136" s="125"/>
      <c r="CH136" s="125"/>
      <c r="CI136" s="125"/>
      <c r="CJ136" s="125"/>
      <c r="CK136" s="126"/>
    </row>
    <row r="137" spans="2:89" ht="21" x14ac:dyDescent="0.25">
      <c r="B137" s="144" t="s">
        <v>214</v>
      </c>
      <c r="C137" s="122"/>
      <c r="D137" s="122"/>
      <c r="E137" s="123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392"/>
      <c r="Q137" s="393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3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3"/>
      <c r="AP137" s="122"/>
      <c r="AQ137" s="122"/>
      <c r="AR137" s="122"/>
      <c r="AS137" s="122"/>
      <c r="AT137" s="122"/>
      <c r="AU137" s="122"/>
      <c r="AV137" s="122"/>
      <c r="AW137" s="122"/>
      <c r="AX137" s="122"/>
      <c r="AY137" s="122"/>
      <c r="AZ137" s="122"/>
      <c r="BA137" s="123"/>
      <c r="BB137" s="122"/>
      <c r="BC137" s="122"/>
      <c r="BD137" s="122"/>
      <c r="BE137" s="122"/>
      <c r="BF137" s="122"/>
      <c r="BG137" s="122"/>
      <c r="BH137" s="122"/>
      <c r="BI137" s="122"/>
      <c r="BJ137" s="122"/>
      <c r="BK137" s="122"/>
      <c r="BL137" s="122"/>
      <c r="BM137" s="123"/>
      <c r="BN137" s="122"/>
      <c r="BO137" s="122"/>
      <c r="BP137" s="122"/>
      <c r="BQ137" s="122"/>
      <c r="BR137" s="122"/>
      <c r="BS137" s="122"/>
      <c r="BT137" s="122"/>
      <c r="BU137" s="122"/>
      <c r="BV137" s="122"/>
      <c r="BW137" s="122"/>
      <c r="BX137" s="122"/>
      <c r="BY137" s="123"/>
      <c r="BZ137" s="122"/>
      <c r="CA137" s="122"/>
      <c r="CB137" s="122"/>
      <c r="CC137" s="122"/>
      <c r="CD137" s="122"/>
      <c r="CE137" s="122"/>
      <c r="CF137" s="122"/>
      <c r="CG137" s="122"/>
      <c r="CH137" s="122"/>
      <c r="CI137" s="122"/>
      <c r="CJ137" s="122"/>
      <c r="CK137" s="123"/>
    </row>
    <row r="138" spans="2:89" x14ac:dyDescent="0.2">
      <c r="B138" s="118"/>
      <c r="E138" s="140"/>
      <c r="N138" s="103"/>
      <c r="O138" s="103"/>
      <c r="P138" s="380"/>
      <c r="Q138" s="381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17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17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17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17"/>
      <c r="BN138" s="103"/>
      <c r="BO138" s="103"/>
      <c r="BP138" s="103"/>
      <c r="BQ138" s="103"/>
      <c r="BR138" s="103"/>
      <c r="BS138" s="103"/>
      <c r="BT138" s="103"/>
      <c r="BU138" s="103"/>
      <c r="BV138" s="103"/>
      <c r="BW138" s="103"/>
      <c r="BX138" s="103"/>
      <c r="BY138" s="117"/>
      <c r="BZ138" s="103"/>
      <c r="CA138" s="103"/>
      <c r="CB138" s="103"/>
      <c r="CC138" s="103"/>
      <c r="CD138" s="103"/>
      <c r="CE138" s="103"/>
      <c r="CF138" s="103"/>
      <c r="CG138" s="103"/>
      <c r="CH138" s="103"/>
      <c r="CI138" s="103"/>
      <c r="CJ138" s="103"/>
      <c r="CK138" s="117"/>
    </row>
    <row r="139" spans="2:89" s="17" customFormat="1" x14ac:dyDescent="0.2">
      <c r="B139" s="121" t="s">
        <v>79</v>
      </c>
      <c r="C139" s="224"/>
      <c r="E139" s="141"/>
      <c r="N139" s="223">
        <v>0</v>
      </c>
      <c r="O139" s="223">
        <v>0</v>
      </c>
      <c r="P139" s="390">
        <v>0</v>
      </c>
      <c r="Q139" s="391">
        <v>0</v>
      </c>
      <c r="R139" s="223">
        <v>0</v>
      </c>
      <c r="S139" s="223">
        <v>0</v>
      </c>
      <c r="T139" s="223">
        <v>0</v>
      </c>
      <c r="U139" s="223">
        <v>0</v>
      </c>
      <c r="V139" s="223">
        <v>0</v>
      </c>
      <c r="W139" s="660">
        <v>0</v>
      </c>
      <c r="X139" s="660">
        <v>0</v>
      </c>
      <c r="Y139" s="660">
        <v>0</v>
      </c>
      <c r="Z139" s="660">
        <v>0</v>
      </c>
      <c r="AA139" s="660">
        <v>0</v>
      </c>
      <c r="AB139" s="660">
        <v>0</v>
      </c>
      <c r="AC139" s="661">
        <v>0</v>
      </c>
      <c r="AD139" s="660">
        <v>0</v>
      </c>
      <c r="AE139" s="660">
        <v>0</v>
      </c>
      <c r="AF139" s="660">
        <v>0</v>
      </c>
      <c r="AG139" s="660">
        <v>0</v>
      </c>
      <c r="AH139" s="660">
        <v>0</v>
      </c>
      <c r="AI139" s="660">
        <v>0</v>
      </c>
      <c r="AJ139" s="223"/>
      <c r="AK139" s="223">
        <f t="shared" ref="AK139:BA139" si="1099">AJ139+1</f>
        <v>1</v>
      </c>
      <c r="AL139" s="223">
        <f t="shared" si="1099"/>
        <v>2</v>
      </c>
      <c r="AM139" s="223">
        <f t="shared" si="1099"/>
        <v>3</v>
      </c>
      <c r="AN139" s="223">
        <f t="shared" si="1099"/>
        <v>4</v>
      </c>
      <c r="AO139" s="222">
        <f t="shared" si="1099"/>
        <v>5</v>
      </c>
      <c r="AP139" s="223">
        <f t="shared" si="1099"/>
        <v>6</v>
      </c>
      <c r="AQ139" s="223">
        <f t="shared" si="1099"/>
        <v>7</v>
      </c>
      <c r="AR139" s="223">
        <f t="shared" si="1099"/>
        <v>8</v>
      </c>
      <c r="AS139" s="223">
        <f t="shared" si="1099"/>
        <v>9</v>
      </c>
      <c r="AT139" s="223">
        <f t="shared" si="1099"/>
        <v>10</v>
      </c>
      <c r="AU139" s="223">
        <f t="shared" si="1099"/>
        <v>11</v>
      </c>
      <c r="AV139" s="223">
        <f t="shared" si="1099"/>
        <v>12</v>
      </c>
      <c r="AW139" s="223">
        <f t="shared" si="1099"/>
        <v>13</v>
      </c>
      <c r="AX139" s="223">
        <f t="shared" si="1099"/>
        <v>14</v>
      </c>
      <c r="AY139" s="223">
        <f t="shared" si="1099"/>
        <v>15</v>
      </c>
      <c r="AZ139" s="223">
        <f t="shared" si="1099"/>
        <v>16</v>
      </c>
      <c r="BA139" s="222">
        <f t="shared" si="1099"/>
        <v>17</v>
      </c>
      <c r="BB139" s="223">
        <f t="shared" ref="BB139" si="1100">BA139+1</f>
        <v>18</v>
      </c>
      <c r="BC139" s="223">
        <f t="shared" ref="BC139" si="1101">BB139+1</f>
        <v>19</v>
      </c>
      <c r="BD139" s="223">
        <f t="shared" ref="BD139" si="1102">BC139+1</f>
        <v>20</v>
      </c>
      <c r="BE139" s="223">
        <f t="shared" ref="BE139" si="1103">BD139+1</f>
        <v>21</v>
      </c>
      <c r="BF139" s="223">
        <f t="shared" ref="BF139" si="1104">BE139+1</f>
        <v>22</v>
      </c>
      <c r="BG139" s="223">
        <f t="shared" ref="BG139" si="1105">BF139+1</f>
        <v>23</v>
      </c>
      <c r="BH139" s="223">
        <f t="shared" ref="BH139" si="1106">BG139+1</f>
        <v>24</v>
      </c>
      <c r="BI139" s="223">
        <f t="shared" ref="BI139" si="1107">BH139+1</f>
        <v>25</v>
      </c>
      <c r="BJ139" s="223">
        <f t="shared" ref="BJ139" si="1108">BI139+1</f>
        <v>26</v>
      </c>
      <c r="BK139" s="223">
        <f t="shared" ref="BK139" si="1109">BJ139+1</f>
        <v>27</v>
      </c>
      <c r="BL139" s="223">
        <f t="shared" ref="BL139" si="1110">BK139+1</f>
        <v>28</v>
      </c>
      <c r="BM139" s="222">
        <f t="shared" ref="BM139" si="1111">BL139+1</f>
        <v>29</v>
      </c>
      <c r="BN139" s="223">
        <f t="shared" ref="BN139" si="1112">BM139+1</f>
        <v>30</v>
      </c>
      <c r="BO139" s="223">
        <f t="shared" ref="BO139" si="1113">BN139+1</f>
        <v>31</v>
      </c>
      <c r="BP139" s="223">
        <f t="shared" ref="BP139" si="1114">BO139+1</f>
        <v>32</v>
      </c>
      <c r="BQ139" s="223">
        <f t="shared" ref="BQ139" si="1115">BP139+1</f>
        <v>33</v>
      </c>
      <c r="BR139" s="223">
        <f t="shared" ref="BR139" si="1116">BQ139+1</f>
        <v>34</v>
      </c>
      <c r="BS139" s="223">
        <f t="shared" ref="BS139" si="1117">BR139+1</f>
        <v>35</v>
      </c>
      <c r="BT139" s="223">
        <f t="shared" ref="BT139" si="1118">BS139+1</f>
        <v>36</v>
      </c>
      <c r="BU139" s="223">
        <f t="shared" ref="BU139" si="1119">BT139+1</f>
        <v>37</v>
      </c>
      <c r="BV139" s="223">
        <f t="shared" ref="BV139" si="1120">BU139+1</f>
        <v>38</v>
      </c>
      <c r="BW139" s="223">
        <f t="shared" ref="BW139" si="1121">BV139+1</f>
        <v>39</v>
      </c>
      <c r="BX139" s="223">
        <f t="shared" ref="BX139" si="1122">BW139+1</f>
        <v>40</v>
      </c>
      <c r="BY139" s="222">
        <f t="shared" ref="BY139" si="1123">BX139+1</f>
        <v>41</v>
      </c>
      <c r="BZ139" s="223">
        <f t="shared" ref="BZ139" si="1124">BY139+1</f>
        <v>42</v>
      </c>
      <c r="CA139" s="223">
        <f t="shared" ref="CA139" si="1125">BZ139+1</f>
        <v>43</v>
      </c>
      <c r="CB139" s="223">
        <f t="shared" ref="CB139" si="1126">CA139+1</f>
        <v>44</v>
      </c>
      <c r="CC139" s="223">
        <f t="shared" ref="CC139" si="1127">CB139+1</f>
        <v>45</v>
      </c>
      <c r="CD139" s="223">
        <f t="shared" ref="CD139" si="1128">CC139+1</f>
        <v>46</v>
      </c>
      <c r="CE139" s="223">
        <f t="shared" ref="CE139" si="1129">CD139+1</f>
        <v>47</v>
      </c>
      <c r="CF139" s="223">
        <f t="shared" ref="CF139" si="1130">CE139+1</f>
        <v>48</v>
      </c>
      <c r="CG139" s="223">
        <f t="shared" ref="CG139" si="1131">CF139+1</f>
        <v>49</v>
      </c>
      <c r="CH139" s="223">
        <f t="shared" ref="CH139" si="1132">CG139+1</f>
        <v>50</v>
      </c>
      <c r="CI139" s="223">
        <f t="shared" ref="CI139" si="1133">CH139+1</f>
        <v>51</v>
      </c>
      <c r="CJ139" s="223">
        <f t="shared" ref="CJ139" si="1134">CI139+1</f>
        <v>52</v>
      </c>
      <c r="CK139" s="222">
        <f t="shared" ref="CK139" si="1135">CJ139+1</f>
        <v>53</v>
      </c>
    </row>
    <row r="140" spans="2:89" s="17" customFormat="1" x14ac:dyDescent="0.2">
      <c r="B140" s="121" t="s">
        <v>80</v>
      </c>
      <c r="C140" s="221">
        <v>20</v>
      </c>
      <c r="D140" s="17" t="s">
        <v>81</v>
      </c>
      <c r="E140" s="219"/>
      <c r="N140" s="218">
        <f t="shared" ref="N140:BA140" si="1136">N139*$C140</f>
        <v>0</v>
      </c>
      <c r="O140" s="218">
        <f t="shared" si="1136"/>
        <v>0</v>
      </c>
      <c r="P140" s="382">
        <f t="shared" si="1136"/>
        <v>0</v>
      </c>
      <c r="Q140" s="383">
        <f t="shared" si="1136"/>
        <v>0</v>
      </c>
      <c r="R140" s="218">
        <f t="shared" si="1136"/>
        <v>0</v>
      </c>
      <c r="S140" s="218">
        <f t="shared" si="1136"/>
        <v>0</v>
      </c>
      <c r="T140" s="218">
        <f t="shared" si="1136"/>
        <v>0</v>
      </c>
      <c r="U140" s="218">
        <f t="shared" si="1136"/>
        <v>0</v>
      </c>
      <c r="V140" s="218">
        <f t="shared" si="1136"/>
        <v>0</v>
      </c>
      <c r="W140" s="218">
        <f t="shared" si="1136"/>
        <v>0</v>
      </c>
      <c r="X140" s="218">
        <f t="shared" si="1136"/>
        <v>0</v>
      </c>
      <c r="Y140" s="218">
        <f t="shared" si="1136"/>
        <v>0</v>
      </c>
      <c r="Z140" s="218">
        <f t="shared" si="1136"/>
        <v>0</v>
      </c>
      <c r="AA140" s="218">
        <f t="shared" si="1136"/>
        <v>0</v>
      </c>
      <c r="AB140" s="218">
        <f t="shared" si="1136"/>
        <v>0</v>
      </c>
      <c r="AC140" s="217">
        <f t="shared" si="1136"/>
        <v>0</v>
      </c>
      <c r="AD140" s="218">
        <f t="shared" si="1136"/>
        <v>0</v>
      </c>
      <c r="AE140" s="218">
        <f t="shared" si="1136"/>
        <v>0</v>
      </c>
      <c r="AF140" s="218">
        <f t="shared" si="1136"/>
        <v>0</v>
      </c>
      <c r="AG140" s="218">
        <f t="shared" si="1136"/>
        <v>0</v>
      </c>
      <c r="AH140" s="218">
        <f t="shared" si="1136"/>
        <v>0</v>
      </c>
      <c r="AI140" s="218">
        <f t="shared" si="1136"/>
        <v>0</v>
      </c>
      <c r="AJ140" s="218">
        <f t="shared" si="1136"/>
        <v>0</v>
      </c>
      <c r="AK140" s="218">
        <f t="shared" si="1136"/>
        <v>20</v>
      </c>
      <c r="AL140" s="218">
        <f t="shared" si="1136"/>
        <v>40</v>
      </c>
      <c r="AM140" s="218">
        <f t="shared" si="1136"/>
        <v>60</v>
      </c>
      <c r="AN140" s="218">
        <f t="shared" si="1136"/>
        <v>80</v>
      </c>
      <c r="AO140" s="217">
        <f t="shared" si="1136"/>
        <v>100</v>
      </c>
      <c r="AP140" s="218">
        <f t="shared" si="1136"/>
        <v>120</v>
      </c>
      <c r="AQ140" s="218">
        <f t="shared" si="1136"/>
        <v>140</v>
      </c>
      <c r="AR140" s="218">
        <f t="shared" si="1136"/>
        <v>160</v>
      </c>
      <c r="AS140" s="218">
        <f t="shared" si="1136"/>
        <v>180</v>
      </c>
      <c r="AT140" s="218">
        <f t="shared" si="1136"/>
        <v>200</v>
      </c>
      <c r="AU140" s="218">
        <f t="shared" si="1136"/>
        <v>220</v>
      </c>
      <c r="AV140" s="218">
        <f t="shared" si="1136"/>
        <v>240</v>
      </c>
      <c r="AW140" s="218">
        <f t="shared" si="1136"/>
        <v>260</v>
      </c>
      <c r="AX140" s="218">
        <f t="shared" si="1136"/>
        <v>280</v>
      </c>
      <c r="AY140" s="218">
        <f t="shared" si="1136"/>
        <v>300</v>
      </c>
      <c r="AZ140" s="218">
        <f t="shared" si="1136"/>
        <v>320</v>
      </c>
      <c r="BA140" s="217">
        <f t="shared" si="1136"/>
        <v>340</v>
      </c>
      <c r="BB140" s="218">
        <f t="shared" ref="BB140:BM140" si="1137">BB139*$C140</f>
        <v>360</v>
      </c>
      <c r="BC140" s="218">
        <f t="shared" si="1137"/>
        <v>380</v>
      </c>
      <c r="BD140" s="218">
        <f t="shared" si="1137"/>
        <v>400</v>
      </c>
      <c r="BE140" s="218">
        <f t="shared" si="1137"/>
        <v>420</v>
      </c>
      <c r="BF140" s="218">
        <f t="shared" si="1137"/>
        <v>440</v>
      </c>
      <c r="BG140" s="218">
        <f t="shared" si="1137"/>
        <v>460</v>
      </c>
      <c r="BH140" s="218">
        <f t="shared" si="1137"/>
        <v>480</v>
      </c>
      <c r="BI140" s="218">
        <f t="shared" si="1137"/>
        <v>500</v>
      </c>
      <c r="BJ140" s="218">
        <f t="shared" si="1137"/>
        <v>520</v>
      </c>
      <c r="BK140" s="218">
        <f t="shared" si="1137"/>
        <v>540</v>
      </c>
      <c r="BL140" s="218">
        <f t="shared" si="1137"/>
        <v>560</v>
      </c>
      <c r="BM140" s="217">
        <f t="shared" si="1137"/>
        <v>580</v>
      </c>
      <c r="BN140" s="218">
        <f t="shared" ref="BN140:BY140" si="1138">BN139*$C140</f>
        <v>600</v>
      </c>
      <c r="BO140" s="218">
        <f t="shared" si="1138"/>
        <v>620</v>
      </c>
      <c r="BP140" s="218">
        <f t="shared" si="1138"/>
        <v>640</v>
      </c>
      <c r="BQ140" s="218">
        <f t="shared" si="1138"/>
        <v>660</v>
      </c>
      <c r="BR140" s="218">
        <f t="shared" si="1138"/>
        <v>680</v>
      </c>
      <c r="BS140" s="218">
        <f t="shared" si="1138"/>
        <v>700</v>
      </c>
      <c r="BT140" s="218">
        <f t="shared" si="1138"/>
        <v>720</v>
      </c>
      <c r="BU140" s="218">
        <f t="shared" si="1138"/>
        <v>740</v>
      </c>
      <c r="BV140" s="218">
        <f t="shared" si="1138"/>
        <v>760</v>
      </c>
      <c r="BW140" s="218">
        <f t="shared" si="1138"/>
        <v>780</v>
      </c>
      <c r="BX140" s="218">
        <f t="shared" si="1138"/>
        <v>800</v>
      </c>
      <c r="BY140" s="217">
        <f t="shared" si="1138"/>
        <v>820</v>
      </c>
      <c r="BZ140" s="218">
        <f t="shared" ref="BZ140:CK140" si="1139">BZ139*$C140</f>
        <v>840</v>
      </c>
      <c r="CA140" s="218">
        <f t="shared" si="1139"/>
        <v>860</v>
      </c>
      <c r="CB140" s="218">
        <f t="shared" si="1139"/>
        <v>880</v>
      </c>
      <c r="CC140" s="218">
        <f t="shared" si="1139"/>
        <v>900</v>
      </c>
      <c r="CD140" s="218">
        <f t="shared" si="1139"/>
        <v>920</v>
      </c>
      <c r="CE140" s="218">
        <f t="shared" si="1139"/>
        <v>940</v>
      </c>
      <c r="CF140" s="218">
        <f t="shared" si="1139"/>
        <v>960</v>
      </c>
      <c r="CG140" s="218">
        <f t="shared" si="1139"/>
        <v>980</v>
      </c>
      <c r="CH140" s="218">
        <f t="shared" si="1139"/>
        <v>1000</v>
      </c>
      <c r="CI140" s="218">
        <f t="shared" si="1139"/>
        <v>1020</v>
      </c>
      <c r="CJ140" s="218">
        <f t="shared" si="1139"/>
        <v>1040</v>
      </c>
      <c r="CK140" s="217">
        <f t="shared" si="1139"/>
        <v>1060</v>
      </c>
    </row>
    <row r="141" spans="2:89" s="17" customFormat="1" x14ac:dyDescent="0.2">
      <c r="B141" s="121" t="s">
        <v>59</v>
      </c>
      <c r="C141" s="220">
        <v>0.02</v>
      </c>
      <c r="E141" s="219"/>
      <c r="N141" s="218"/>
      <c r="O141" s="218"/>
      <c r="P141" s="382">
        <f t="shared" ref="P141:BA141" si="1140">N142*$C141</f>
        <v>0</v>
      </c>
      <c r="Q141" s="383">
        <f t="shared" si="1140"/>
        <v>0</v>
      </c>
      <c r="R141" s="218">
        <f t="shared" si="1140"/>
        <v>0</v>
      </c>
      <c r="S141" s="218">
        <f t="shared" si="1140"/>
        <v>0</v>
      </c>
      <c r="T141" s="218">
        <f t="shared" si="1140"/>
        <v>0</v>
      </c>
      <c r="U141" s="218">
        <f t="shared" si="1140"/>
        <v>0</v>
      </c>
      <c r="V141" s="218">
        <f t="shared" si="1140"/>
        <v>0</v>
      </c>
      <c r="W141" s="218">
        <f t="shared" si="1140"/>
        <v>0</v>
      </c>
      <c r="X141" s="218">
        <f t="shared" si="1140"/>
        <v>0</v>
      </c>
      <c r="Y141" s="218">
        <f t="shared" si="1140"/>
        <v>0</v>
      </c>
      <c r="Z141" s="218">
        <f t="shared" si="1140"/>
        <v>0</v>
      </c>
      <c r="AA141" s="218">
        <f t="shared" si="1140"/>
        <v>0</v>
      </c>
      <c r="AB141" s="218">
        <f t="shared" si="1140"/>
        <v>0</v>
      </c>
      <c r="AC141" s="217">
        <f t="shared" si="1140"/>
        <v>0</v>
      </c>
      <c r="AD141" s="218">
        <f t="shared" si="1140"/>
        <v>0</v>
      </c>
      <c r="AE141" s="218">
        <f t="shared" si="1140"/>
        <v>0</v>
      </c>
      <c r="AF141" s="218">
        <f t="shared" si="1140"/>
        <v>0</v>
      </c>
      <c r="AG141" s="218">
        <f t="shared" si="1140"/>
        <v>0</v>
      </c>
      <c r="AH141" s="218">
        <f t="shared" si="1140"/>
        <v>0</v>
      </c>
      <c r="AI141" s="218">
        <f t="shared" si="1140"/>
        <v>0</v>
      </c>
      <c r="AJ141" s="218">
        <f t="shared" si="1140"/>
        <v>0</v>
      </c>
      <c r="AK141" s="218">
        <f t="shared" si="1140"/>
        <v>0</v>
      </c>
      <c r="AL141" s="218">
        <f t="shared" si="1140"/>
        <v>0</v>
      </c>
      <c r="AM141" s="218">
        <f t="shared" si="1140"/>
        <v>0.4</v>
      </c>
      <c r="AN141" s="218">
        <f t="shared" si="1140"/>
        <v>1.2</v>
      </c>
      <c r="AO141" s="217">
        <f t="shared" si="1140"/>
        <v>2.3919999999999999</v>
      </c>
      <c r="AP141" s="218">
        <f t="shared" si="1140"/>
        <v>3.9680000000000004</v>
      </c>
      <c r="AQ141" s="218">
        <f t="shared" si="1140"/>
        <v>5.9201600000000001</v>
      </c>
      <c r="AR141" s="218">
        <f t="shared" si="1140"/>
        <v>8.2408000000000001</v>
      </c>
      <c r="AS141" s="218">
        <f t="shared" si="1140"/>
        <v>10.9223968</v>
      </c>
      <c r="AT141" s="218">
        <f t="shared" si="1140"/>
        <v>13.957580799999999</v>
      </c>
      <c r="AU141" s="218">
        <f t="shared" si="1140"/>
        <v>17.339132864</v>
      </c>
      <c r="AV141" s="218">
        <f t="shared" si="1140"/>
        <v>21.059981248</v>
      </c>
      <c r="AW141" s="218">
        <f t="shared" si="1140"/>
        <v>25.11319859072</v>
      </c>
      <c r="AX141" s="218">
        <f t="shared" si="1140"/>
        <v>29.491998965760001</v>
      </c>
      <c r="AY141" s="218">
        <f t="shared" si="1140"/>
        <v>34.189734993945599</v>
      </c>
      <c r="AZ141" s="218">
        <f t="shared" si="1140"/>
        <v>39.1998950146304</v>
      </c>
      <c r="BA141" s="217">
        <f t="shared" si="1140"/>
        <v>44.51610031475149</v>
      </c>
      <c r="BB141" s="218">
        <f t="shared" ref="BB141" si="1141">AZ142*$C141</f>
        <v>50.132102414458885</v>
      </c>
      <c r="BC141" s="218">
        <f t="shared" ref="BC141" si="1142">BA142*$C141</f>
        <v>56.041780408163859</v>
      </c>
      <c r="BD141" s="218">
        <f t="shared" ref="BD141" si="1143">BB142*$C141</f>
        <v>62.23913835987468</v>
      </c>
      <c r="BE141" s="218">
        <f t="shared" ref="BE141" si="1144">BC142*$C141</f>
        <v>68.718302751711406</v>
      </c>
      <c r="BF141" s="218">
        <f t="shared" ref="BF141" si="1145">BD142*$C141</f>
        <v>75.473519984513914</v>
      </c>
      <c r="BG141" s="218">
        <f t="shared" ref="BG141" si="1146">BE142*$C141</f>
        <v>82.499153929479689</v>
      </c>
      <c r="BH141" s="218">
        <f t="shared" ref="BH141" si="1147">BF142*$C141</f>
        <v>89.789683529789414</v>
      </c>
      <c r="BI141" s="218">
        <f t="shared" ref="BI141" si="1148">BG142*$C141</f>
        <v>97.339700451199832</v>
      </c>
      <c r="BJ141" s="218">
        <f t="shared" ref="BJ141" si="1149">BH142*$C141</f>
        <v>105.14390678060403</v>
      </c>
      <c r="BK141" s="218">
        <f t="shared" ref="BK141" si="1150">BI142*$C141</f>
        <v>113.19711277158004</v>
      </c>
      <c r="BL141" s="218">
        <f t="shared" ref="BL141" si="1151">BJ142*$C141</f>
        <v>121.49423463596796</v>
      </c>
      <c r="BM141" s="217">
        <f t="shared" ref="BM141" si="1152">BK142*$C141</f>
        <v>130.03029238053637</v>
      </c>
      <c r="BN141" s="218">
        <f t="shared" ref="BN141" si="1153">BL142*$C141</f>
        <v>138.800407687817</v>
      </c>
      <c r="BO141" s="218">
        <f t="shared" ref="BO141" si="1154">BM142*$C141</f>
        <v>147.79980184020627</v>
      </c>
      <c r="BP141" s="218">
        <f t="shared" ref="BP141" si="1155">BN142*$C141</f>
        <v>157.02379368644995</v>
      </c>
      <c r="BQ141" s="218">
        <f t="shared" ref="BQ141" si="1156">BO142*$C141</f>
        <v>166.4677976496458</v>
      </c>
      <c r="BR141" s="218">
        <f t="shared" ref="BR141" si="1157">BP142*$C141</f>
        <v>176.12732177591678</v>
      </c>
      <c r="BS141" s="218">
        <f t="shared" ref="BS141" si="1158">BQ142*$C141</f>
        <v>185.99796582292387</v>
      </c>
      <c r="BT141" s="218">
        <f t="shared" ref="BT141" si="1159">BR142*$C141</f>
        <v>196.07541938740553</v>
      </c>
      <c r="BU141" s="218">
        <f t="shared" ref="BU141" si="1160">BS142*$C141</f>
        <v>206.35546007094706</v>
      </c>
      <c r="BV141" s="218">
        <f t="shared" ref="BV141" si="1161">BT142*$C141</f>
        <v>216.83395168319893</v>
      </c>
      <c r="BW141" s="218">
        <f t="shared" ref="BW141" si="1162">BU142*$C141</f>
        <v>227.50684248178001</v>
      </c>
      <c r="BX141" s="218">
        <f t="shared" ref="BX141" si="1163">BV142*$C141</f>
        <v>238.37016344811605</v>
      </c>
      <c r="BY141" s="217">
        <f t="shared" ref="BY141" si="1164">BW142*$C141</f>
        <v>249.42002659848043</v>
      </c>
      <c r="BZ141" s="218">
        <f t="shared" ref="BZ141" si="1165">BX142*$C141</f>
        <v>260.65262332951812</v>
      </c>
      <c r="CA141" s="218">
        <f t="shared" ref="CA141" si="1166">BY142*$C141</f>
        <v>272.0642227975485</v>
      </c>
      <c r="CB141" s="218">
        <f t="shared" ref="CB141" si="1167">BZ142*$C141</f>
        <v>283.65117033095811</v>
      </c>
      <c r="CC141" s="218">
        <f t="shared" ref="CC141" si="1168">CA142*$C141</f>
        <v>295.40988587500715</v>
      </c>
      <c r="CD141" s="218">
        <f t="shared" ref="CD141" si="1169">CB142*$C141</f>
        <v>307.33686246838801</v>
      </c>
      <c r="CE141" s="218">
        <f t="shared" ref="CE141" si="1170">CC142*$C141</f>
        <v>319.42866475088783</v>
      </c>
      <c r="CF141" s="218">
        <f t="shared" ref="CF141" si="1171">CD142*$C141</f>
        <v>331.68192750152014</v>
      </c>
      <c r="CG141" s="218">
        <f t="shared" ref="CG141" si="1172">CE142*$C141</f>
        <v>344.09335420650234</v>
      </c>
      <c r="CH141" s="218">
        <f t="shared" ref="CH141" si="1173">CF142*$C141</f>
        <v>356.65971565647197</v>
      </c>
      <c r="CI141" s="218">
        <f t="shared" ref="CI141" si="1174">CG142*$C141</f>
        <v>369.37784857234192</v>
      </c>
      <c r="CJ141" s="218">
        <f t="shared" ref="CJ141" si="1175">CH142*$C141</f>
        <v>382.2446542592125</v>
      </c>
      <c r="CK141" s="217">
        <f t="shared" ref="CK141" si="1176">CI142*$C141</f>
        <v>395.25709728776565</v>
      </c>
    </row>
    <row r="142" spans="2:89" x14ac:dyDescent="0.2">
      <c r="B142" s="21" t="s">
        <v>72</v>
      </c>
      <c r="C142" s="211"/>
      <c r="M142" s="108">
        <v>0</v>
      </c>
      <c r="N142" s="216">
        <f>M142+N140</f>
        <v>0</v>
      </c>
      <c r="O142" s="216">
        <f>N142+O140</f>
        <v>0</v>
      </c>
      <c r="P142" s="384">
        <f t="shared" ref="P142:BA142" si="1177">O142+P140-P141</f>
        <v>0</v>
      </c>
      <c r="Q142" s="385">
        <f t="shared" si="1177"/>
        <v>0</v>
      </c>
      <c r="R142" s="216">
        <f t="shared" si="1177"/>
        <v>0</v>
      </c>
      <c r="S142" s="216">
        <f t="shared" si="1177"/>
        <v>0</v>
      </c>
      <c r="T142" s="216">
        <f t="shared" si="1177"/>
        <v>0</v>
      </c>
      <c r="U142" s="216">
        <f t="shared" si="1177"/>
        <v>0</v>
      </c>
      <c r="V142" s="216">
        <f t="shared" si="1177"/>
        <v>0</v>
      </c>
      <c r="W142" s="216">
        <f t="shared" si="1177"/>
        <v>0</v>
      </c>
      <c r="X142" s="216">
        <f t="shared" si="1177"/>
        <v>0</v>
      </c>
      <c r="Y142" s="216">
        <f t="shared" si="1177"/>
        <v>0</v>
      </c>
      <c r="Z142" s="216">
        <f t="shared" si="1177"/>
        <v>0</v>
      </c>
      <c r="AA142" s="216">
        <f t="shared" si="1177"/>
        <v>0</v>
      </c>
      <c r="AB142" s="216">
        <f t="shared" si="1177"/>
        <v>0</v>
      </c>
      <c r="AC142" s="215">
        <f t="shared" si="1177"/>
        <v>0</v>
      </c>
      <c r="AD142" s="216">
        <f t="shared" si="1177"/>
        <v>0</v>
      </c>
      <c r="AE142" s="216">
        <f t="shared" si="1177"/>
        <v>0</v>
      </c>
      <c r="AF142" s="216">
        <f t="shared" si="1177"/>
        <v>0</v>
      </c>
      <c r="AG142" s="216">
        <f t="shared" si="1177"/>
        <v>0</v>
      </c>
      <c r="AH142" s="216">
        <f t="shared" si="1177"/>
        <v>0</v>
      </c>
      <c r="AI142" s="216">
        <f t="shared" si="1177"/>
        <v>0</v>
      </c>
      <c r="AJ142" s="216">
        <f t="shared" si="1177"/>
        <v>0</v>
      </c>
      <c r="AK142" s="216">
        <f t="shared" si="1177"/>
        <v>20</v>
      </c>
      <c r="AL142" s="216">
        <f t="shared" si="1177"/>
        <v>60</v>
      </c>
      <c r="AM142" s="216">
        <f t="shared" si="1177"/>
        <v>119.6</v>
      </c>
      <c r="AN142" s="216">
        <f t="shared" si="1177"/>
        <v>198.4</v>
      </c>
      <c r="AO142" s="215">
        <f t="shared" si="1177"/>
        <v>296.00799999999998</v>
      </c>
      <c r="AP142" s="216">
        <f t="shared" si="1177"/>
        <v>412.03999999999996</v>
      </c>
      <c r="AQ142" s="216">
        <f t="shared" si="1177"/>
        <v>546.11983999999995</v>
      </c>
      <c r="AR142" s="216">
        <f t="shared" si="1177"/>
        <v>697.87903999999992</v>
      </c>
      <c r="AS142" s="216">
        <f t="shared" si="1177"/>
        <v>866.95664319999992</v>
      </c>
      <c r="AT142" s="216">
        <f t="shared" si="1177"/>
        <v>1052.9990624</v>
      </c>
      <c r="AU142" s="216">
        <f t="shared" si="1177"/>
        <v>1255.6599295359999</v>
      </c>
      <c r="AV142" s="216">
        <f t="shared" si="1177"/>
        <v>1474.599948288</v>
      </c>
      <c r="AW142" s="216">
        <f t="shared" si="1177"/>
        <v>1709.4867496972799</v>
      </c>
      <c r="AX142" s="216">
        <f t="shared" si="1177"/>
        <v>1959.9947507315198</v>
      </c>
      <c r="AY142" s="216">
        <f t="shared" si="1177"/>
        <v>2225.8050157375746</v>
      </c>
      <c r="AZ142" s="216">
        <f t="shared" si="1177"/>
        <v>2506.6051207229443</v>
      </c>
      <c r="BA142" s="215">
        <f t="shared" si="1177"/>
        <v>2802.0890204081929</v>
      </c>
      <c r="BB142" s="216">
        <f t="shared" ref="BB142" si="1178">BA142+BB140-BB141</f>
        <v>3111.9569179937339</v>
      </c>
      <c r="BC142" s="216">
        <f t="shared" ref="BC142" si="1179">BB142+BC140-BC141</f>
        <v>3435.9151375855699</v>
      </c>
      <c r="BD142" s="216">
        <f t="shared" ref="BD142" si="1180">BC142+BD140-BD141</f>
        <v>3773.6759992256953</v>
      </c>
      <c r="BE142" s="216">
        <f t="shared" ref="BE142" si="1181">BD142+BE140-BE141</f>
        <v>4124.9576964739845</v>
      </c>
      <c r="BF142" s="216">
        <f t="shared" ref="BF142" si="1182">BE142+BF140-BF141</f>
        <v>4489.4841764894709</v>
      </c>
      <c r="BG142" s="216">
        <f t="shared" ref="BG142" si="1183">BF142+BG140-BG141</f>
        <v>4866.9850225599912</v>
      </c>
      <c r="BH142" s="216">
        <f t="shared" ref="BH142" si="1184">BG142+BH140-BH141</f>
        <v>5257.1953390302015</v>
      </c>
      <c r="BI142" s="216">
        <f t="shared" ref="BI142" si="1185">BH142+BI140-BI141</f>
        <v>5659.8556385790016</v>
      </c>
      <c r="BJ142" s="216">
        <f t="shared" ref="BJ142" si="1186">BI142+BJ140-BJ141</f>
        <v>6074.7117317983975</v>
      </c>
      <c r="BK142" s="216">
        <f t="shared" ref="BK142" si="1187">BJ142+BK140-BK141</f>
        <v>6501.5146190268179</v>
      </c>
      <c r="BL142" s="216">
        <f t="shared" ref="BL142" si="1188">BK142+BL140-BL141</f>
        <v>6940.0203843908503</v>
      </c>
      <c r="BM142" s="215">
        <f t="shared" ref="BM142" si="1189">BL142+BM140-BM141</f>
        <v>7389.9900920103137</v>
      </c>
      <c r="BN142" s="216">
        <f t="shared" ref="BN142" si="1190">BM142+BN140-BN141</f>
        <v>7851.1896843224968</v>
      </c>
      <c r="BO142" s="216">
        <f t="shared" ref="BO142" si="1191">BN142+BO140-BO141</f>
        <v>8323.38988248229</v>
      </c>
      <c r="BP142" s="216">
        <f t="shared" ref="BP142" si="1192">BO142+BP140-BP141</f>
        <v>8806.3660887958395</v>
      </c>
      <c r="BQ142" s="216">
        <f t="shared" ref="BQ142" si="1193">BP142+BQ140-BQ141</f>
        <v>9299.8982911461935</v>
      </c>
      <c r="BR142" s="216">
        <f t="shared" ref="BR142" si="1194">BQ142+BR140-BR141</f>
        <v>9803.7709693702764</v>
      </c>
      <c r="BS142" s="216">
        <f t="shared" ref="BS142" si="1195">BR142+BS140-BS141</f>
        <v>10317.773003547352</v>
      </c>
      <c r="BT142" s="216">
        <f t="shared" ref="BT142" si="1196">BS142+BT140-BT141</f>
        <v>10841.697584159947</v>
      </c>
      <c r="BU142" s="216">
        <f t="shared" ref="BU142" si="1197">BT142+BU140-BU141</f>
        <v>11375.342124089</v>
      </c>
      <c r="BV142" s="216">
        <f t="shared" ref="BV142" si="1198">BU142+BV140-BV141</f>
        <v>11918.508172405802</v>
      </c>
      <c r="BW142" s="216">
        <f t="shared" ref="BW142" si="1199">BV142+BW140-BW141</f>
        <v>12471.001329924022</v>
      </c>
      <c r="BX142" s="216">
        <f t="shared" ref="BX142" si="1200">BW142+BX140-BX141</f>
        <v>13032.631166475905</v>
      </c>
      <c r="BY142" s="215">
        <f t="shared" ref="BY142" si="1201">BX142+BY140-BY141</f>
        <v>13603.211139877425</v>
      </c>
      <c r="BZ142" s="216">
        <f t="shared" ref="BZ142" si="1202">BY142+BZ140-BZ141</f>
        <v>14182.558516547906</v>
      </c>
      <c r="CA142" s="216">
        <f t="shared" ref="CA142" si="1203">BZ142+CA140-CA141</f>
        <v>14770.494293750358</v>
      </c>
      <c r="CB142" s="216">
        <f t="shared" ref="CB142" si="1204">CA142+CB140-CB141</f>
        <v>15366.843123419399</v>
      </c>
      <c r="CC142" s="216">
        <f t="shared" ref="CC142" si="1205">CB142+CC140-CC141</f>
        <v>15971.433237544392</v>
      </c>
      <c r="CD142" s="216">
        <f t="shared" ref="CD142" si="1206">CC142+CD140-CD141</f>
        <v>16584.096375076006</v>
      </c>
      <c r="CE142" s="216">
        <f t="shared" ref="CE142" si="1207">CD142+CE140-CE141</f>
        <v>17204.667710325117</v>
      </c>
      <c r="CF142" s="216">
        <f t="shared" ref="CF142" si="1208">CE142+CF140-CF141</f>
        <v>17832.985782823598</v>
      </c>
      <c r="CG142" s="216">
        <f t="shared" ref="CG142" si="1209">CF142+CG140-CG141</f>
        <v>18468.892428617095</v>
      </c>
      <c r="CH142" s="216">
        <f t="shared" ref="CH142" si="1210">CG142+CH140-CH141</f>
        <v>19112.232712960624</v>
      </c>
      <c r="CI142" s="216">
        <f t="shared" ref="CI142" si="1211">CH142+CI140-CI141</f>
        <v>19762.854864388282</v>
      </c>
      <c r="CJ142" s="216">
        <f t="shared" ref="CJ142" si="1212">CI142+CJ140-CJ141</f>
        <v>20420.610210129071</v>
      </c>
      <c r="CK142" s="215">
        <f t="shared" ref="CK142" si="1213">CJ142+CK140-CK141</f>
        <v>21085.353112841305</v>
      </c>
    </row>
    <row r="143" spans="2:89" x14ac:dyDescent="0.2">
      <c r="B143" s="121" t="s">
        <v>82</v>
      </c>
      <c r="C143" s="214">
        <v>60</v>
      </c>
      <c r="N143" s="169"/>
      <c r="O143" s="169"/>
      <c r="P143" s="386"/>
      <c r="Q143" s="387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70"/>
      <c r="AD143" s="169"/>
      <c r="AE143" s="169"/>
      <c r="AF143" s="169"/>
      <c r="AG143" s="169"/>
      <c r="AH143" s="169"/>
      <c r="AI143" s="169"/>
      <c r="AJ143" s="169"/>
      <c r="AK143" s="169"/>
      <c r="AL143" s="169"/>
      <c r="AM143" s="169"/>
      <c r="AN143" s="169"/>
      <c r="AO143" s="170"/>
      <c r="AP143" s="169"/>
      <c r="AQ143" s="169"/>
      <c r="AR143" s="169"/>
      <c r="AS143" s="169"/>
      <c r="AT143" s="169"/>
      <c r="AU143" s="169"/>
      <c r="AV143" s="169"/>
      <c r="AW143" s="169"/>
      <c r="AX143" s="169"/>
      <c r="AY143" s="169"/>
      <c r="AZ143" s="169"/>
      <c r="BA143" s="170"/>
      <c r="BB143" s="169"/>
      <c r="BC143" s="169"/>
      <c r="BD143" s="169"/>
      <c r="BE143" s="169"/>
      <c r="BF143" s="169"/>
      <c r="BG143" s="169"/>
      <c r="BH143" s="169"/>
      <c r="BI143" s="169"/>
      <c r="BJ143" s="169"/>
      <c r="BK143" s="169"/>
      <c r="BL143" s="169"/>
      <c r="BM143" s="170"/>
      <c r="BN143" s="169"/>
      <c r="BO143" s="169"/>
      <c r="BP143" s="169"/>
      <c r="BQ143" s="169"/>
      <c r="BR143" s="169"/>
      <c r="BS143" s="169"/>
      <c r="BT143" s="169"/>
      <c r="BU143" s="169"/>
      <c r="BV143" s="169"/>
      <c r="BW143" s="169"/>
      <c r="BX143" s="169"/>
      <c r="BY143" s="170"/>
      <c r="BZ143" s="169"/>
      <c r="CA143" s="169"/>
      <c r="CB143" s="169"/>
      <c r="CC143" s="169"/>
      <c r="CD143" s="169"/>
      <c r="CE143" s="169"/>
      <c r="CF143" s="169"/>
      <c r="CG143" s="169"/>
      <c r="CH143" s="169"/>
      <c r="CI143" s="169"/>
      <c r="CJ143" s="169"/>
      <c r="CK143" s="170"/>
    </row>
    <row r="144" spans="2:89" s="107" customFormat="1" x14ac:dyDescent="0.2">
      <c r="B144" s="142" t="s">
        <v>83</v>
      </c>
      <c r="E144" s="143"/>
      <c r="N144" s="213">
        <f t="shared" ref="N144:BA144" si="1214">$C143*N142</f>
        <v>0</v>
      </c>
      <c r="O144" s="213">
        <f t="shared" si="1214"/>
        <v>0</v>
      </c>
      <c r="P144" s="386">
        <f t="shared" si="1214"/>
        <v>0</v>
      </c>
      <c r="Q144" s="387">
        <f t="shared" si="1214"/>
        <v>0</v>
      </c>
      <c r="R144" s="213">
        <f t="shared" si="1214"/>
        <v>0</v>
      </c>
      <c r="S144" s="213">
        <f t="shared" si="1214"/>
        <v>0</v>
      </c>
      <c r="T144" s="213">
        <f t="shared" si="1214"/>
        <v>0</v>
      </c>
      <c r="U144" s="213">
        <f t="shared" si="1214"/>
        <v>0</v>
      </c>
      <c r="V144" s="213">
        <f t="shared" si="1214"/>
        <v>0</v>
      </c>
      <c r="W144" s="213">
        <f t="shared" si="1214"/>
        <v>0</v>
      </c>
      <c r="X144" s="213">
        <f t="shared" si="1214"/>
        <v>0</v>
      </c>
      <c r="Y144" s="213">
        <f t="shared" si="1214"/>
        <v>0</v>
      </c>
      <c r="Z144" s="213">
        <f t="shared" si="1214"/>
        <v>0</v>
      </c>
      <c r="AA144" s="213">
        <f t="shared" si="1214"/>
        <v>0</v>
      </c>
      <c r="AB144" s="213">
        <f t="shared" si="1214"/>
        <v>0</v>
      </c>
      <c r="AC144" s="212">
        <f t="shared" si="1214"/>
        <v>0</v>
      </c>
      <c r="AD144" s="213">
        <f t="shared" si="1214"/>
        <v>0</v>
      </c>
      <c r="AE144" s="213">
        <f t="shared" si="1214"/>
        <v>0</v>
      </c>
      <c r="AF144" s="213">
        <f t="shared" si="1214"/>
        <v>0</v>
      </c>
      <c r="AG144" s="213">
        <f t="shared" si="1214"/>
        <v>0</v>
      </c>
      <c r="AH144" s="213">
        <f t="shared" si="1214"/>
        <v>0</v>
      </c>
      <c r="AI144" s="213">
        <f t="shared" si="1214"/>
        <v>0</v>
      </c>
      <c r="AJ144" s="213">
        <f t="shared" si="1214"/>
        <v>0</v>
      </c>
      <c r="AK144" s="213">
        <f t="shared" si="1214"/>
        <v>1200</v>
      </c>
      <c r="AL144" s="213">
        <f t="shared" si="1214"/>
        <v>3600</v>
      </c>
      <c r="AM144" s="213">
        <f t="shared" si="1214"/>
        <v>7176</v>
      </c>
      <c r="AN144" s="213">
        <f t="shared" si="1214"/>
        <v>11904</v>
      </c>
      <c r="AO144" s="212">
        <f t="shared" si="1214"/>
        <v>17760.48</v>
      </c>
      <c r="AP144" s="213">
        <f t="shared" si="1214"/>
        <v>24722.399999999998</v>
      </c>
      <c r="AQ144" s="213">
        <f t="shared" si="1214"/>
        <v>32767.190399999996</v>
      </c>
      <c r="AR144" s="213">
        <f t="shared" si="1214"/>
        <v>41872.742399999996</v>
      </c>
      <c r="AS144" s="213">
        <f t="shared" si="1214"/>
        <v>52017.398591999998</v>
      </c>
      <c r="AT144" s="213">
        <f t="shared" si="1214"/>
        <v>63179.943743999997</v>
      </c>
      <c r="AU144" s="213">
        <f t="shared" si="1214"/>
        <v>75339.595772159999</v>
      </c>
      <c r="AV144" s="213">
        <f t="shared" si="1214"/>
        <v>88475.996897279998</v>
      </c>
      <c r="AW144" s="213">
        <f t="shared" si="1214"/>
        <v>102569.2049818368</v>
      </c>
      <c r="AX144" s="213">
        <f t="shared" si="1214"/>
        <v>117599.68504389119</v>
      </c>
      <c r="AY144" s="213">
        <f t="shared" si="1214"/>
        <v>133548.30094425447</v>
      </c>
      <c r="AZ144" s="213">
        <f t="shared" si="1214"/>
        <v>150396.30724337665</v>
      </c>
      <c r="BA144" s="212">
        <f t="shared" si="1214"/>
        <v>168125.34122449157</v>
      </c>
      <c r="BB144" s="213">
        <f t="shared" ref="BB144:BM144" si="1215">$C143*BB142</f>
        <v>186717.41507962404</v>
      </c>
      <c r="BC144" s="213">
        <f t="shared" si="1215"/>
        <v>206154.90825513419</v>
      </c>
      <c r="BD144" s="213">
        <f t="shared" si="1215"/>
        <v>226420.55995354173</v>
      </c>
      <c r="BE144" s="213">
        <f t="shared" si="1215"/>
        <v>247497.46178843908</v>
      </c>
      <c r="BF144" s="213">
        <f t="shared" si="1215"/>
        <v>269369.05058936827</v>
      </c>
      <c r="BG144" s="213">
        <f t="shared" si="1215"/>
        <v>292019.10135359946</v>
      </c>
      <c r="BH144" s="213">
        <f t="shared" si="1215"/>
        <v>315431.72034181206</v>
      </c>
      <c r="BI144" s="213">
        <f t="shared" si="1215"/>
        <v>339591.3383147401</v>
      </c>
      <c r="BJ144" s="213">
        <f t="shared" si="1215"/>
        <v>364482.70390790387</v>
      </c>
      <c r="BK144" s="213">
        <f t="shared" si="1215"/>
        <v>390090.87714160909</v>
      </c>
      <c r="BL144" s="213">
        <f t="shared" si="1215"/>
        <v>416401.22306345101</v>
      </c>
      <c r="BM144" s="212">
        <f t="shared" si="1215"/>
        <v>443399.40552061883</v>
      </c>
      <c r="BN144" s="213">
        <f t="shared" ref="BN144:BY144" si="1216">$C143*BN142</f>
        <v>471071.38105934981</v>
      </c>
      <c r="BO144" s="213">
        <f t="shared" si="1216"/>
        <v>499403.39294893737</v>
      </c>
      <c r="BP144" s="213">
        <f t="shared" si="1216"/>
        <v>528381.96532775043</v>
      </c>
      <c r="BQ144" s="213">
        <f t="shared" si="1216"/>
        <v>557993.89746877155</v>
      </c>
      <c r="BR144" s="213">
        <f t="shared" si="1216"/>
        <v>588226.25816221663</v>
      </c>
      <c r="BS144" s="213">
        <f t="shared" si="1216"/>
        <v>619066.38021284109</v>
      </c>
      <c r="BT144" s="213">
        <f t="shared" si="1216"/>
        <v>650501.85504959687</v>
      </c>
      <c r="BU144" s="213">
        <f t="shared" si="1216"/>
        <v>682520.52744534006</v>
      </c>
      <c r="BV144" s="213">
        <f t="shared" si="1216"/>
        <v>715110.49034434813</v>
      </c>
      <c r="BW144" s="213">
        <f t="shared" si="1216"/>
        <v>748260.07979544136</v>
      </c>
      <c r="BX144" s="213">
        <f t="shared" si="1216"/>
        <v>781957.86998855427</v>
      </c>
      <c r="BY144" s="212">
        <f t="shared" si="1216"/>
        <v>816192.66839264554</v>
      </c>
      <c r="BZ144" s="213">
        <f t="shared" ref="BZ144:CK144" si="1217">$C143*BZ142</f>
        <v>850953.51099287439</v>
      </c>
      <c r="CA144" s="213">
        <f t="shared" si="1217"/>
        <v>886229.65762502153</v>
      </c>
      <c r="CB144" s="213">
        <f t="shared" si="1217"/>
        <v>922010.58740516403</v>
      </c>
      <c r="CC144" s="213">
        <f t="shared" si="1217"/>
        <v>958285.99425266357</v>
      </c>
      <c r="CD144" s="213">
        <f t="shared" si="1217"/>
        <v>995045.78250456031</v>
      </c>
      <c r="CE144" s="213">
        <f t="shared" si="1217"/>
        <v>1032280.062619507</v>
      </c>
      <c r="CF144" s="213">
        <f t="shared" si="1217"/>
        <v>1069979.1469694159</v>
      </c>
      <c r="CG144" s="213">
        <f t="shared" si="1217"/>
        <v>1108133.5457170256</v>
      </c>
      <c r="CH144" s="213">
        <f t="shared" si="1217"/>
        <v>1146733.9627776374</v>
      </c>
      <c r="CI144" s="213">
        <f t="shared" si="1217"/>
        <v>1185771.2918632969</v>
      </c>
      <c r="CJ144" s="213">
        <f t="shared" si="1217"/>
        <v>1225236.6126077443</v>
      </c>
      <c r="CK144" s="212">
        <f t="shared" si="1217"/>
        <v>1265121.1867704783</v>
      </c>
    </row>
    <row r="145" spans="2:89" x14ac:dyDescent="0.2">
      <c r="B145" s="121"/>
      <c r="C145" s="211"/>
      <c r="E145" s="205"/>
      <c r="N145" s="169"/>
      <c r="O145" s="169"/>
      <c r="P145" s="386"/>
      <c r="Q145" s="387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  <c r="AB145" s="169"/>
      <c r="AC145" s="170"/>
      <c r="AD145" s="169"/>
      <c r="AE145" s="169"/>
      <c r="AF145" s="169"/>
      <c r="AG145" s="169"/>
      <c r="AH145" s="169"/>
      <c r="AI145" s="169"/>
      <c r="AJ145" s="169"/>
      <c r="AK145" s="169"/>
      <c r="AL145" s="169"/>
      <c r="AM145" s="169"/>
      <c r="AN145" s="169"/>
      <c r="AO145" s="170"/>
      <c r="AP145" s="169"/>
      <c r="AQ145" s="169"/>
      <c r="AR145" s="169"/>
      <c r="AS145" s="169"/>
      <c r="AT145" s="169"/>
      <c r="AU145" s="169"/>
      <c r="AV145" s="169"/>
      <c r="AW145" s="169"/>
      <c r="AX145" s="169"/>
      <c r="AY145" s="169"/>
      <c r="AZ145" s="169"/>
      <c r="BA145" s="170"/>
      <c r="BB145" s="169"/>
      <c r="BC145" s="169"/>
      <c r="BD145" s="169"/>
      <c r="BE145" s="169"/>
      <c r="BF145" s="169"/>
      <c r="BG145" s="169"/>
      <c r="BH145" s="169"/>
      <c r="BI145" s="169"/>
      <c r="BJ145" s="169"/>
      <c r="BK145" s="169"/>
      <c r="BL145" s="169"/>
      <c r="BM145" s="170"/>
      <c r="BN145" s="169"/>
      <c r="BO145" s="169"/>
      <c r="BP145" s="169"/>
      <c r="BQ145" s="169"/>
      <c r="BR145" s="169"/>
      <c r="BS145" s="169"/>
      <c r="BT145" s="169"/>
      <c r="BU145" s="169"/>
      <c r="BV145" s="169"/>
      <c r="BW145" s="169"/>
      <c r="BX145" s="169"/>
      <c r="BY145" s="170"/>
      <c r="BZ145" s="169"/>
      <c r="CA145" s="169"/>
      <c r="CB145" s="169"/>
      <c r="CC145" s="169"/>
      <c r="CD145" s="169"/>
      <c r="CE145" s="169"/>
      <c r="CF145" s="169"/>
      <c r="CG145" s="169"/>
      <c r="CH145" s="169"/>
      <c r="CI145" s="169"/>
      <c r="CJ145" s="169"/>
      <c r="CK145" s="170"/>
    </row>
    <row r="146" spans="2:89" s="2" customFormat="1" x14ac:dyDescent="0.2">
      <c r="B146" s="118" t="s">
        <v>84</v>
      </c>
      <c r="C146" s="210">
        <v>1</v>
      </c>
      <c r="E146" s="209"/>
      <c r="N146" s="208">
        <f t="shared" ref="N146:BA146" si="1218">N144*$C146</f>
        <v>0</v>
      </c>
      <c r="O146" s="208">
        <f t="shared" si="1218"/>
        <v>0</v>
      </c>
      <c r="P146" s="388">
        <f t="shared" si="1218"/>
        <v>0</v>
      </c>
      <c r="Q146" s="389">
        <f t="shared" si="1218"/>
        <v>0</v>
      </c>
      <c r="R146" s="208">
        <f t="shared" si="1218"/>
        <v>0</v>
      </c>
      <c r="S146" s="208">
        <f t="shared" si="1218"/>
        <v>0</v>
      </c>
      <c r="T146" s="208">
        <f t="shared" si="1218"/>
        <v>0</v>
      </c>
      <c r="U146" s="208">
        <f t="shared" si="1218"/>
        <v>0</v>
      </c>
      <c r="V146" s="208">
        <f t="shared" si="1218"/>
        <v>0</v>
      </c>
      <c r="W146" s="208">
        <f t="shared" si="1218"/>
        <v>0</v>
      </c>
      <c r="X146" s="208">
        <f t="shared" si="1218"/>
        <v>0</v>
      </c>
      <c r="Y146" s="208">
        <f t="shared" si="1218"/>
        <v>0</v>
      </c>
      <c r="Z146" s="208">
        <f t="shared" si="1218"/>
        <v>0</v>
      </c>
      <c r="AA146" s="208">
        <f t="shared" si="1218"/>
        <v>0</v>
      </c>
      <c r="AB146" s="208">
        <f t="shared" si="1218"/>
        <v>0</v>
      </c>
      <c r="AC146" s="207">
        <f t="shared" si="1218"/>
        <v>0</v>
      </c>
      <c r="AD146" s="208">
        <f t="shared" si="1218"/>
        <v>0</v>
      </c>
      <c r="AE146" s="208">
        <f t="shared" si="1218"/>
        <v>0</v>
      </c>
      <c r="AF146" s="208">
        <f t="shared" si="1218"/>
        <v>0</v>
      </c>
      <c r="AG146" s="208">
        <f t="shared" si="1218"/>
        <v>0</v>
      </c>
      <c r="AH146" s="208">
        <f t="shared" si="1218"/>
        <v>0</v>
      </c>
      <c r="AI146" s="208">
        <f t="shared" si="1218"/>
        <v>0</v>
      </c>
      <c r="AJ146" s="208">
        <f t="shared" si="1218"/>
        <v>0</v>
      </c>
      <c r="AK146" s="208">
        <f t="shared" si="1218"/>
        <v>1200</v>
      </c>
      <c r="AL146" s="208">
        <f t="shared" si="1218"/>
        <v>3600</v>
      </c>
      <c r="AM146" s="208">
        <f t="shared" si="1218"/>
        <v>7176</v>
      </c>
      <c r="AN146" s="208">
        <f t="shared" si="1218"/>
        <v>11904</v>
      </c>
      <c r="AO146" s="207">
        <f t="shared" si="1218"/>
        <v>17760.48</v>
      </c>
      <c r="AP146" s="208">
        <f t="shared" si="1218"/>
        <v>24722.399999999998</v>
      </c>
      <c r="AQ146" s="208">
        <f t="shared" si="1218"/>
        <v>32767.190399999996</v>
      </c>
      <c r="AR146" s="208">
        <f t="shared" si="1218"/>
        <v>41872.742399999996</v>
      </c>
      <c r="AS146" s="208">
        <f t="shared" si="1218"/>
        <v>52017.398591999998</v>
      </c>
      <c r="AT146" s="208">
        <f t="shared" si="1218"/>
        <v>63179.943743999997</v>
      </c>
      <c r="AU146" s="208">
        <f t="shared" si="1218"/>
        <v>75339.595772159999</v>
      </c>
      <c r="AV146" s="208">
        <f t="shared" si="1218"/>
        <v>88475.996897279998</v>
      </c>
      <c r="AW146" s="208">
        <f t="shared" si="1218"/>
        <v>102569.2049818368</v>
      </c>
      <c r="AX146" s="208">
        <f t="shared" si="1218"/>
        <v>117599.68504389119</v>
      </c>
      <c r="AY146" s="208">
        <f t="shared" si="1218"/>
        <v>133548.30094425447</v>
      </c>
      <c r="AZ146" s="208">
        <f t="shared" si="1218"/>
        <v>150396.30724337665</v>
      </c>
      <c r="BA146" s="207">
        <f t="shared" si="1218"/>
        <v>168125.34122449157</v>
      </c>
      <c r="BB146" s="208">
        <f t="shared" ref="BB146:BM146" si="1219">BB144*$C146</f>
        <v>186717.41507962404</v>
      </c>
      <c r="BC146" s="208">
        <f t="shared" si="1219"/>
        <v>206154.90825513419</v>
      </c>
      <c r="BD146" s="208">
        <f t="shared" si="1219"/>
        <v>226420.55995354173</v>
      </c>
      <c r="BE146" s="208">
        <f t="shared" si="1219"/>
        <v>247497.46178843908</v>
      </c>
      <c r="BF146" s="208">
        <f t="shared" si="1219"/>
        <v>269369.05058936827</v>
      </c>
      <c r="BG146" s="208">
        <f t="shared" si="1219"/>
        <v>292019.10135359946</v>
      </c>
      <c r="BH146" s="208">
        <f t="shared" si="1219"/>
        <v>315431.72034181206</v>
      </c>
      <c r="BI146" s="208">
        <f t="shared" si="1219"/>
        <v>339591.3383147401</v>
      </c>
      <c r="BJ146" s="208">
        <f t="shared" si="1219"/>
        <v>364482.70390790387</v>
      </c>
      <c r="BK146" s="208">
        <f t="shared" si="1219"/>
        <v>390090.87714160909</v>
      </c>
      <c r="BL146" s="208">
        <f t="shared" si="1219"/>
        <v>416401.22306345101</v>
      </c>
      <c r="BM146" s="207">
        <f t="shared" si="1219"/>
        <v>443399.40552061883</v>
      </c>
      <c r="BN146" s="208">
        <f t="shared" ref="BN146:BY146" si="1220">BN144*$C146</f>
        <v>471071.38105934981</v>
      </c>
      <c r="BO146" s="208">
        <f t="shared" si="1220"/>
        <v>499403.39294893737</v>
      </c>
      <c r="BP146" s="208">
        <f t="shared" si="1220"/>
        <v>528381.96532775043</v>
      </c>
      <c r="BQ146" s="208">
        <f t="shared" si="1220"/>
        <v>557993.89746877155</v>
      </c>
      <c r="BR146" s="208">
        <f t="shared" si="1220"/>
        <v>588226.25816221663</v>
      </c>
      <c r="BS146" s="208">
        <f t="shared" si="1220"/>
        <v>619066.38021284109</v>
      </c>
      <c r="BT146" s="208">
        <f t="shared" si="1220"/>
        <v>650501.85504959687</v>
      </c>
      <c r="BU146" s="208">
        <f t="shared" si="1220"/>
        <v>682520.52744534006</v>
      </c>
      <c r="BV146" s="208">
        <f t="shared" si="1220"/>
        <v>715110.49034434813</v>
      </c>
      <c r="BW146" s="208">
        <f t="shared" si="1220"/>
        <v>748260.07979544136</v>
      </c>
      <c r="BX146" s="208">
        <f t="shared" si="1220"/>
        <v>781957.86998855427</v>
      </c>
      <c r="BY146" s="207">
        <f t="shared" si="1220"/>
        <v>816192.66839264554</v>
      </c>
      <c r="BZ146" s="208">
        <f t="shared" ref="BZ146:CK146" si="1221">BZ144*$C146</f>
        <v>850953.51099287439</v>
      </c>
      <c r="CA146" s="208">
        <f t="shared" si="1221"/>
        <v>886229.65762502153</v>
      </c>
      <c r="CB146" s="208">
        <f t="shared" si="1221"/>
        <v>922010.58740516403</v>
      </c>
      <c r="CC146" s="208">
        <f t="shared" si="1221"/>
        <v>958285.99425266357</v>
      </c>
      <c r="CD146" s="208">
        <f t="shared" si="1221"/>
        <v>995045.78250456031</v>
      </c>
      <c r="CE146" s="208">
        <f t="shared" si="1221"/>
        <v>1032280.062619507</v>
      </c>
      <c r="CF146" s="208">
        <f t="shared" si="1221"/>
        <v>1069979.1469694159</v>
      </c>
      <c r="CG146" s="208">
        <f t="shared" si="1221"/>
        <v>1108133.5457170256</v>
      </c>
      <c r="CH146" s="208">
        <f t="shared" si="1221"/>
        <v>1146733.9627776374</v>
      </c>
      <c r="CI146" s="208">
        <f t="shared" si="1221"/>
        <v>1185771.2918632969</v>
      </c>
      <c r="CJ146" s="208">
        <f t="shared" si="1221"/>
        <v>1225236.6126077443</v>
      </c>
      <c r="CK146" s="207">
        <f t="shared" si="1221"/>
        <v>1265121.1867704783</v>
      </c>
    </row>
    <row r="147" spans="2:89" x14ac:dyDescent="0.2">
      <c r="B147" s="121" t="s">
        <v>85</v>
      </c>
      <c r="C147" s="206">
        <v>3</v>
      </c>
      <c r="E147" s="205"/>
      <c r="N147" s="169">
        <f t="shared" ref="N147:BA147" si="1222">N142*$C147</f>
        <v>0</v>
      </c>
      <c r="O147" s="169">
        <f t="shared" si="1222"/>
        <v>0</v>
      </c>
      <c r="P147" s="386">
        <f t="shared" si="1222"/>
        <v>0</v>
      </c>
      <c r="Q147" s="387">
        <f t="shared" si="1222"/>
        <v>0</v>
      </c>
      <c r="R147" s="169">
        <f t="shared" si="1222"/>
        <v>0</v>
      </c>
      <c r="S147" s="169">
        <f t="shared" si="1222"/>
        <v>0</v>
      </c>
      <c r="T147" s="169">
        <f t="shared" si="1222"/>
        <v>0</v>
      </c>
      <c r="U147" s="169">
        <f t="shared" si="1222"/>
        <v>0</v>
      </c>
      <c r="V147" s="169">
        <f t="shared" si="1222"/>
        <v>0</v>
      </c>
      <c r="W147" s="169">
        <f t="shared" si="1222"/>
        <v>0</v>
      </c>
      <c r="X147" s="169">
        <f t="shared" si="1222"/>
        <v>0</v>
      </c>
      <c r="Y147" s="169">
        <f t="shared" si="1222"/>
        <v>0</v>
      </c>
      <c r="Z147" s="169">
        <f t="shared" si="1222"/>
        <v>0</v>
      </c>
      <c r="AA147" s="169">
        <f t="shared" si="1222"/>
        <v>0</v>
      </c>
      <c r="AB147" s="169">
        <f t="shared" si="1222"/>
        <v>0</v>
      </c>
      <c r="AC147" s="170">
        <f t="shared" si="1222"/>
        <v>0</v>
      </c>
      <c r="AD147" s="169">
        <f t="shared" si="1222"/>
        <v>0</v>
      </c>
      <c r="AE147" s="169">
        <f t="shared" si="1222"/>
        <v>0</v>
      </c>
      <c r="AF147" s="169">
        <f t="shared" si="1222"/>
        <v>0</v>
      </c>
      <c r="AG147" s="169">
        <f t="shared" si="1222"/>
        <v>0</v>
      </c>
      <c r="AH147" s="169">
        <f t="shared" si="1222"/>
        <v>0</v>
      </c>
      <c r="AI147" s="169">
        <f t="shared" si="1222"/>
        <v>0</v>
      </c>
      <c r="AJ147" s="169">
        <f t="shared" si="1222"/>
        <v>0</v>
      </c>
      <c r="AK147" s="169">
        <f t="shared" si="1222"/>
        <v>60</v>
      </c>
      <c r="AL147" s="169">
        <f t="shared" si="1222"/>
        <v>180</v>
      </c>
      <c r="AM147" s="169">
        <f t="shared" si="1222"/>
        <v>358.79999999999995</v>
      </c>
      <c r="AN147" s="169">
        <f t="shared" si="1222"/>
        <v>595.20000000000005</v>
      </c>
      <c r="AO147" s="170">
        <f t="shared" si="1222"/>
        <v>888.02399999999989</v>
      </c>
      <c r="AP147" s="169">
        <f t="shared" si="1222"/>
        <v>1236.1199999999999</v>
      </c>
      <c r="AQ147" s="169">
        <f t="shared" si="1222"/>
        <v>1638.35952</v>
      </c>
      <c r="AR147" s="169">
        <f t="shared" si="1222"/>
        <v>2093.6371199999999</v>
      </c>
      <c r="AS147" s="169">
        <f t="shared" si="1222"/>
        <v>2600.8699295999995</v>
      </c>
      <c r="AT147" s="169">
        <f t="shared" si="1222"/>
        <v>3158.9971871999996</v>
      </c>
      <c r="AU147" s="169">
        <f t="shared" si="1222"/>
        <v>3766.9797886079996</v>
      </c>
      <c r="AV147" s="169">
        <f t="shared" si="1222"/>
        <v>4423.7998448640001</v>
      </c>
      <c r="AW147" s="169">
        <f t="shared" si="1222"/>
        <v>5128.4602490918396</v>
      </c>
      <c r="AX147" s="169">
        <f t="shared" si="1222"/>
        <v>5879.9842521945593</v>
      </c>
      <c r="AY147" s="169">
        <f t="shared" si="1222"/>
        <v>6677.4150472127239</v>
      </c>
      <c r="AZ147" s="169">
        <f t="shared" si="1222"/>
        <v>7519.8153621688325</v>
      </c>
      <c r="BA147" s="170">
        <f t="shared" si="1222"/>
        <v>8406.2670612245784</v>
      </c>
      <c r="BB147" s="169">
        <f t="shared" ref="BB147:BM147" si="1223">BB142*$C147</f>
        <v>9335.8707539812021</v>
      </c>
      <c r="BC147" s="169">
        <f t="shared" si="1223"/>
        <v>10307.745412756711</v>
      </c>
      <c r="BD147" s="169">
        <f t="shared" si="1223"/>
        <v>11321.027997677085</v>
      </c>
      <c r="BE147" s="169">
        <f t="shared" si="1223"/>
        <v>12374.873089421953</v>
      </c>
      <c r="BF147" s="169">
        <f t="shared" si="1223"/>
        <v>13468.452529468414</v>
      </c>
      <c r="BG147" s="169">
        <f t="shared" si="1223"/>
        <v>14600.955067679974</v>
      </c>
      <c r="BH147" s="169">
        <f t="shared" si="1223"/>
        <v>15771.586017090605</v>
      </c>
      <c r="BI147" s="169">
        <f t="shared" si="1223"/>
        <v>16979.566915737007</v>
      </c>
      <c r="BJ147" s="169">
        <f t="shared" si="1223"/>
        <v>18224.135195395193</v>
      </c>
      <c r="BK147" s="169">
        <f t="shared" si="1223"/>
        <v>19504.543857080454</v>
      </c>
      <c r="BL147" s="169">
        <f t="shared" si="1223"/>
        <v>20820.061153172552</v>
      </c>
      <c r="BM147" s="170">
        <f t="shared" si="1223"/>
        <v>22169.970276030941</v>
      </c>
      <c r="BN147" s="169">
        <f t="shared" ref="BN147:BY147" si="1224">BN142*$C147</f>
        <v>23553.56905296749</v>
      </c>
      <c r="BO147" s="169">
        <f t="shared" si="1224"/>
        <v>24970.16964744687</v>
      </c>
      <c r="BP147" s="169">
        <f t="shared" si="1224"/>
        <v>26419.098266387518</v>
      </c>
      <c r="BQ147" s="169">
        <f t="shared" si="1224"/>
        <v>27899.694873438581</v>
      </c>
      <c r="BR147" s="169">
        <f t="shared" si="1224"/>
        <v>29411.312908110827</v>
      </c>
      <c r="BS147" s="169">
        <f t="shared" si="1224"/>
        <v>30953.319010642059</v>
      </c>
      <c r="BT147" s="169">
        <f t="shared" si="1224"/>
        <v>32525.092752479839</v>
      </c>
      <c r="BU147" s="169">
        <f t="shared" si="1224"/>
        <v>34126.026372266999</v>
      </c>
      <c r="BV147" s="169">
        <f t="shared" si="1224"/>
        <v>35755.524517217404</v>
      </c>
      <c r="BW147" s="169">
        <f t="shared" si="1224"/>
        <v>37413.003989772064</v>
      </c>
      <c r="BX147" s="169">
        <f t="shared" si="1224"/>
        <v>39097.893499427715</v>
      </c>
      <c r="BY147" s="170">
        <f t="shared" si="1224"/>
        <v>40809.633419632271</v>
      </c>
      <c r="BZ147" s="169">
        <f t="shared" ref="BZ147:CK147" si="1225">BZ142*$C147</f>
        <v>42547.675549643718</v>
      </c>
      <c r="CA147" s="169">
        <f t="shared" si="1225"/>
        <v>44311.482881251075</v>
      </c>
      <c r="CB147" s="169">
        <f t="shared" si="1225"/>
        <v>46100.529370258198</v>
      </c>
      <c r="CC147" s="169">
        <f t="shared" si="1225"/>
        <v>47914.299712633176</v>
      </c>
      <c r="CD147" s="169">
        <f t="shared" si="1225"/>
        <v>49752.289125228017</v>
      </c>
      <c r="CE147" s="169">
        <f t="shared" si="1225"/>
        <v>51614.003130975354</v>
      </c>
      <c r="CF147" s="169">
        <f t="shared" si="1225"/>
        <v>53498.957348470794</v>
      </c>
      <c r="CG147" s="169">
        <f t="shared" si="1225"/>
        <v>55406.677285851285</v>
      </c>
      <c r="CH147" s="169">
        <f t="shared" si="1225"/>
        <v>57336.698138881868</v>
      </c>
      <c r="CI147" s="169">
        <f t="shared" si="1225"/>
        <v>59288.564593164847</v>
      </c>
      <c r="CJ147" s="169">
        <f t="shared" si="1225"/>
        <v>61261.830630387209</v>
      </c>
      <c r="CK147" s="170">
        <f t="shared" si="1225"/>
        <v>63256.059338523919</v>
      </c>
    </row>
    <row r="148" spans="2:89" ht="17" thickBot="1" x14ac:dyDescent="0.25">
      <c r="B148" s="124"/>
      <c r="C148" s="125"/>
      <c r="D148" s="125"/>
      <c r="E148" s="126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394"/>
      <c r="Q148" s="39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6"/>
      <c r="AD148" s="125"/>
      <c r="AE148" s="125"/>
      <c r="AF148" s="125"/>
      <c r="AG148" s="125"/>
      <c r="AH148" s="125"/>
      <c r="AI148" s="125"/>
      <c r="AJ148" s="125"/>
      <c r="AK148" s="125"/>
      <c r="AL148" s="125"/>
      <c r="AM148" s="125"/>
      <c r="AN148" s="125"/>
      <c r="AO148" s="126"/>
      <c r="AP148" s="125"/>
      <c r="AQ148" s="125"/>
      <c r="AR148" s="125"/>
      <c r="AS148" s="125"/>
      <c r="AT148" s="125"/>
      <c r="AU148" s="125"/>
      <c r="AV148" s="125"/>
      <c r="AW148" s="125"/>
      <c r="AX148" s="125"/>
      <c r="AY148" s="125"/>
      <c r="AZ148" s="125"/>
      <c r="BA148" s="126"/>
      <c r="BB148" s="125"/>
      <c r="BC148" s="125"/>
      <c r="BD148" s="125"/>
      <c r="BE148" s="125"/>
      <c r="BF148" s="125"/>
      <c r="BG148" s="125"/>
      <c r="BH148" s="125"/>
      <c r="BI148" s="125"/>
      <c r="BJ148" s="125"/>
      <c r="BK148" s="125"/>
      <c r="BL148" s="125"/>
      <c r="BM148" s="126"/>
      <c r="BN148" s="125"/>
      <c r="BO148" s="125"/>
      <c r="BP148" s="125"/>
      <c r="BQ148" s="125"/>
      <c r="BR148" s="125"/>
      <c r="BS148" s="125"/>
      <c r="BT148" s="125"/>
      <c r="BU148" s="125"/>
      <c r="BV148" s="125"/>
      <c r="BW148" s="125"/>
      <c r="BX148" s="125"/>
      <c r="BY148" s="126"/>
      <c r="BZ148" s="125"/>
      <c r="CA148" s="125"/>
      <c r="CB148" s="125"/>
      <c r="CC148" s="125"/>
      <c r="CD148" s="125"/>
      <c r="CE148" s="125"/>
      <c r="CF148" s="125"/>
      <c r="CG148" s="125"/>
      <c r="CH148" s="125"/>
      <c r="CI148" s="125"/>
      <c r="CJ148" s="125"/>
      <c r="CK148" s="126"/>
    </row>
    <row r="149" spans="2:89" ht="21" x14ac:dyDescent="0.25">
      <c r="B149" s="144" t="s">
        <v>360</v>
      </c>
      <c r="C149" s="122"/>
      <c r="D149" s="122"/>
      <c r="E149" s="123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392"/>
      <c r="Q149" s="393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3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3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3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3"/>
      <c r="BN149" s="122"/>
      <c r="BO149" s="122"/>
      <c r="BP149" s="122"/>
      <c r="BQ149" s="122"/>
      <c r="BR149" s="122"/>
      <c r="BS149" s="122"/>
      <c r="BT149" s="122"/>
      <c r="BU149" s="122"/>
      <c r="BV149" s="122"/>
      <c r="BW149" s="122"/>
      <c r="BX149" s="122"/>
      <c r="BY149" s="123"/>
      <c r="BZ149" s="122"/>
      <c r="CA149" s="122"/>
      <c r="CB149" s="122"/>
      <c r="CC149" s="122"/>
      <c r="CD149" s="122"/>
      <c r="CE149" s="122"/>
      <c r="CF149" s="122"/>
      <c r="CG149" s="122"/>
      <c r="CH149" s="122"/>
      <c r="CI149" s="122"/>
      <c r="CJ149" s="122"/>
      <c r="CK149" s="123"/>
    </row>
    <row r="150" spans="2:89" x14ac:dyDescent="0.2">
      <c r="B150" s="118"/>
      <c r="E150" s="140"/>
      <c r="N150" s="103"/>
      <c r="O150" s="103"/>
      <c r="P150" s="380"/>
      <c r="Q150" s="381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17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17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17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17"/>
      <c r="BN150" s="103"/>
      <c r="BO150" s="103"/>
      <c r="BP150" s="103"/>
      <c r="BQ150" s="103"/>
      <c r="BR150" s="103"/>
      <c r="BS150" s="103"/>
      <c r="BT150" s="103"/>
      <c r="BU150" s="103"/>
      <c r="BV150" s="103"/>
      <c r="BW150" s="103"/>
      <c r="BX150" s="103"/>
      <c r="BY150" s="117"/>
      <c r="BZ150" s="103"/>
      <c r="CA150" s="103"/>
      <c r="CB150" s="103"/>
      <c r="CC150" s="103"/>
      <c r="CD150" s="103"/>
      <c r="CE150" s="103"/>
      <c r="CF150" s="103"/>
      <c r="CG150" s="103"/>
      <c r="CH150" s="103"/>
      <c r="CI150" s="103"/>
      <c r="CJ150" s="103"/>
      <c r="CK150" s="117"/>
    </row>
    <row r="151" spans="2:89" s="17" customFormat="1" x14ac:dyDescent="0.2">
      <c r="B151" s="121" t="s">
        <v>79</v>
      </c>
      <c r="C151" s="224"/>
      <c r="E151" s="141"/>
      <c r="N151" s="223">
        <v>0</v>
      </c>
      <c r="O151" s="223">
        <v>0</v>
      </c>
      <c r="P151" s="390">
        <v>0</v>
      </c>
      <c r="Q151" s="391">
        <v>0</v>
      </c>
      <c r="R151" s="223">
        <v>0</v>
      </c>
      <c r="S151" s="223">
        <v>0</v>
      </c>
      <c r="T151" s="223">
        <v>0</v>
      </c>
      <c r="U151" s="223">
        <v>0</v>
      </c>
      <c r="V151" s="223">
        <v>0</v>
      </c>
      <c r="W151" s="660">
        <v>0</v>
      </c>
      <c r="X151" s="660">
        <v>0</v>
      </c>
      <c r="Y151" s="660">
        <v>0</v>
      </c>
      <c r="Z151" s="660">
        <v>0</v>
      </c>
      <c r="AA151" s="660">
        <v>0</v>
      </c>
      <c r="AB151" s="660">
        <v>0</v>
      </c>
      <c r="AC151" s="661">
        <v>0</v>
      </c>
      <c r="AD151" s="660">
        <v>0</v>
      </c>
      <c r="AE151" s="660">
        <v>0</v>
      </c>
      <c r="AF151" s="660">
        <v>0</v>
      </c>
      <c r="AG151" s="660"/>
      <c r="AH151" s="660"/>
      <c r="AI151" s="660"/>
      <c r="AJ151" s="223"/>
      <c r="AK151" s="223"/>
      <c r="AL151" s="223"/>
      <c r="AM151" s="223"/>
      <c r="AN151" s="223"/>
      <c r="AO151" s="222"/>
      <c r="AP151" s="223">
        <v>5</v>
      </c>
      <c r="AQ151" s="223">
        <f t="shared" ref="AM151:BA151" si="1226">AP151+0.1</f>
        <v>5.0999999999999996</v>
      </c>
      <c r="AR151" s="223">
        <f t="shared" si="1226"/>
        <v>5.1999999999999993</v>
      </c>
      <c r="AS151" s="223">
        <f t="shared" si="1226"/>
        <v>5.2999999999999989</v>
      </c>
      <c r="AT151" s="223">
        <f t="shared" si="1226"/>
        <v>5.3999999999999986</v>
      </c>
      <c r="AU151" s="223">
        <f t="shared" si="1226"/>
        <v>5.4999999999999982</v>
      </c>
      <c r="AV151" s="223">
        <f t="shared" si="1226"/>
        <v>5.5999999999999979</v>
      </c>
      <c r="AW151" s="223">
        <f t="shared" si="1226"/>
        <v>5.6999999999999975</v>
      </c>
      <c r="AX151" s="223">
        <f t="shared" si="1226"/>
        <v>5.7999999999999972</v>
      </c>
      <c r="AY151" s="223">
        <f t="shared" si="1226"/>
        <v>5.8999999999999968</v>
      </c>
      <c r="AZ151" s="223">
        <f t="shared" si="1226"/>
        <v>5.9999999999999964</v>
      </c>
      <c r="BA151" s="222">
        <f t="shared" si="1226"/>
        <v>6.0999999999999961</v>
      </c>
      <c r="BB151" s="223">
        <f t="shared" ref="BB151" si="1227">BA151+0.1</f>
        <v>6.1999999999999957</v>
      </c>
      <c r="BC151" s="223">
        <f t="shared" ref="BC151" si="1228">BB151+0.1</f>
        <v>6.2999999999999954</v>
      </c>
      <c r="BD151" s="223">
        <f t="shared" ref="BD151" si="1229">BC151+0.1</f>
        <v>6.399999999999995</v>
      </c>
      <c r="BE151" s="223">
        <f t="shared" ref="BE151" si="1230">BD151+0.1</f>
        <v>6.4999999999999947</v>
      </c>
      <c r="BF151" s="223">
        <f t="shared" ref="BF151" si="1231">BE151+0.1</f>
        <v>6.5999999999999943</v>
      </c>
      <c r="BG151" s="223">
        <f t="shared" ref="BG151" si="1232">BF151+0.1</f>
        <v>6.699999999999994</v>
      </c>
      <c r="BH151" s="223">
        <f t="shared" ref="BH151" si="1233">BG151+0.1</f>
        <v>6.7999999999999936</v>
      </c>
      <c r="BI151" s="223">
        <f t="shared" ref="BI151" si="1234">BH151+0.1</f>
        <v>6.8999999999999932</v>
      </c>
      <c r="BJ151" s="223">
        <f t="shared" ref="BJ151" si="1235">BI151+0.1</f>
        <v>6.9999999999999929</v>
      </c>
      <c r="BK151" s="223">
        <f t="shared" ref="BK151" si="1236">BJ151+0.1</f>
        <v>7.0999999999999925</v>
      </c>
      <c r="BL151" s="223">
        <f t="shared" ref="BL151" si="1237">BK151+0.1</f>
        <v>7.1999999999999922</v>
      </c>
      <c r="BM151" s="222">
        <f t="shared" ref="BM151" si="1238">BL151+0.1</f>
        <v>7.2999999999999918</v>
      </c>
      <c r="BN151" s="223">
        <f t="shared" ref="BN151" si="1239">BM151+0.1</f>
        <v>7.3999999999999915</v>
      </c>
      <c r="BO151" s="223">
        <f t="shared" ref="BO151" si="1240">BN151+0.1</f>
        <v>7.4999999999999911</v>
      </c>
      <c r="BP151" s="223">
        <f t="shared" ref="BP151" si="1241">BO151+0.1</f>
        <v>7.5999999999999908</v>
      </c>
      <c r="BQ151" s="223">
        <f t="shared" ref="BQ151" si="1242">BP151+0.1</f>
        <v>7.6999999999999904</v>
      </c>
      <c r="BR151" s="223">
        <f t="shared" ref="BR151" si="1243">BQ151+0.1</f>
        <v>7.7999999999999901</v>
      </c>
      <c r="BS151" s="223">
        <f t="shared" ref="BS151" si="1244">BR151+0.1</f>
        <v>7.8999999999999897</v>
      </c>
      <c r="BT151" s="223">
        <f t="shared" ref="BT151" si="1245">BS151+0.1</f>
        <v>7.9999999999999893</v>
      </c>
      <c r="BU151" s="223">
        <f t="shared" ref="BU151" si="1246">BT151+0.1</f>
        <v>8.099999999999989</v>
      </c>
      <c r="BV151" s="223">
        <f t="shared" ref="BV151" si="1247">BU151+0.1</f>
        <v>8.1999999999999886</v>
      </c>
      <c r="BW151" s="223">
        <f t="shared" ref="BW151" si="1248">BV151+0.1</f>
        <v>8.2999999999999883</v>
      </c>
      <c r="BX151" s="223">
        <f t="shared" ref="BX151" si="1249">BW151+0.1</f>
        <v>8.3999999999999879</v>
      </c>
      <c r="BY151" s="222">
        <f t="shared" ref="BY151" si="1250">BX151+0.1</f>
        <v>8.4999999999999876</v>
      </c>
      <c r="BZ151" s="223">
        <f t="shared" ref="BZ151" si="1251">BY151+0.1</f>
        <v>8.5999999999999872</v>
      </c>
      <c r="CA151" s="223">
        <f t="shared" ref="CA151" si="1252">BZ151+0.1</f>
        <v>8.6999999999999869</v>
      </c>
      <c r="CB151" s="223">
        <f t="shared" ref="CB151" si="1253">CA151+0.1</f>
        <v>8.7999999999999865</v>
      </c>
      <c r="CC151" s="223">
        <f t="shared" ref="CC151" si="1254">CB151+0.1</f>
        <v>8.8999999999999861</v>
      </c>
      <c r="CD151" s="223">
        <f t="shared" ref="CD151" si="1255">CC151+0.1</f>
        <v>8.9999999999999858</v>
      </c>
      <c r="CE151" s="223">
        <f t="shared" ref="CE151" si="1256">CD151+0.1</f>
        <v>9.0999999999999854</v>
      </c>
      <c r="CF151" s="223">
        <f t="shared" ref="CF151" si="1257">CE151+0.1</f>
        <v>9.1999999999999851</v>
      </c>
      <c r="CG151" s="223">
        <f t="shared" ref="CG151" si="1258">CF151+0.1</f>
        <v>9.2999999999999847</v>
      </c>
      <c r="CH151" s="223">
        <f t="shared" ref="CH151" si="1259">CG151+0.1</f>
        <v>9.3999999999999844</v>
      </c>
      <c r="CI151" s="223">
        <f t="shared" ref="CI151" si="1260">CH151+0.1</f>
        <v>9.499999999999984</v>
      </c>
      <c r="CJ151" s="223">
        <f t="shared" ref="CJ151" si="1261">CI151+0.1</f>
        <v>9.5999999999999837</v>
      </c>
      <c r="CK151" s="222">
        <f t="shared" ref="CK151" si="1262">CJ151+0.1</f>
        <v>9.6999999999999833</v>
      </c>
    </row>
    <row r="152" spans="2:89" s="17" customFormat="1" x14ac:dyDescent="0.2">
      <c r="B152" s="121" t="s">
        <v>80</v>
      </c>
      <c r="C152" s="221">
        <v>20</v>
      </c>
      <c r="D152" s="17" t="s">
        <v>81</v>
      </c>
      <c r="E152" s="219"/>
      <c r="N152" s="218">
        <f t="shared" ref="N152:BA152" si="1263">N151*$C152</f>
        <v>0</v>
      </c>
      <c r="O152" s="218">
        <f t="shared" si="1263"/>
        <v>0</v>
      </c>
      <c r="P152" s="382">
        <f t="shared" si="1263"/>
        <v>0</v>
      </c>
      <c r="Q152" s="383">
        <f t="shared" si="1263"/>
        <v>0</v>
      </c>
      <c r="R152" s="218">
        <f t="shared" si="1263"/>
        <v>0</v>
      </c>
      <c r="S152" s="218">
        <f t="shared" si="1263"/>
        <v>0</v>
      </c>
      <c r="T152" s="218">
        <f t="shared" si="1263"/>
        <v>0</v>
      </c>
      <c r="U152" s="218">
        <f t="shared" si="1263"/>
        <v>0</v>
      </c>
      <c r="V152" s="218">
        <f t="shared" si="1263"/>
        <v>0</v>
      </c>
      <c r="W152" s="218">
        <f t="shared" si="1263"/>
        <v>0</v>
      </c>
      <c r="X152" s="218">
        <f t="shared" si="1263"/>
        <v>0</v>
      </c>
      <c r="Y152" s="218">
        <f t="shared" si="1263"/>
        <v>0</v>
      </c>
      <c r="Z152" s="218">
        <f t="shared" si="1263"/>
        <v>0</v>
      </c>
      <c r="AA152" s="218">
        <f t="shared" si="1263"/>
        <v>0</v>
      </c>
      <c r="AB152" s="218">
        <f t="shared" si="1263"/>
        <v>0</v>
      </c>
      <c r="AC152" s="217">
        <f t="shared" si="1263"/>
        <v>0</v>
      </c>
      <c r="AD152" s="218">
        <f t="shared" si="1263"/>
        <v>0</v>
      </c>
      <c r="AE152" s="218">
        <f t="shared" si="1263"/>
        <v>0</v>
      </c>
      <c r="AF152" s="218">
        <f t="shared" si="1263"/>
        <v>0</v>
      </c>
      <c r="AG152" s="218">
        <f t="shared" si="1263"/>
        <v>0</v>
      </c>
      <c r="AH152" s="218">
        <f t="shared" si="1263"/>
        <v>0</v>
      </c>
      <c r="AI152" s="218">
        <f t="shared" si="1263"/>
        <v>0</v>
      </c>
      <c r="AJ152" s="218">
        <f t="shared" si="1263"/>
        <v>0</v>
      </c>
      <c r="AK152" s="218"/>
      <c r="AL152" s="218"/>
      <c r="AM152" s="218"/>
      <c r="AN152" s="218"/>
      <c r="AO152" s="217"/>
      <c r="AP152" s="218">
        <f t="shared" si="1263"/>
        <v>100</v>
      </c>
      <c r="AQ152" s="218">
        <f t="shared" si="1263"/>
        <v>102</v>
      </c>
      <c r="AR152" s="218">
        <f t="shared" si="1263"/>
        <v>103.99999999999999</v>
      </c>
      <c r="AS152" s="218">
        <f t="shared" si="1263"/>
        <v>105.99999999999997</v>
      </c>
      <c r="AT152" s="218">
        <f t="shared" si="1263"/>
        <v>107.99999999999997</v>
      </c>
      <c r="AU152" s="218">
        <f t="shared" si="1263"/>
        <v>109.99999999999997</v>
      </c>
      <c r="AV152" s="218">
        <f t="shared" si="1263"/>
        <v>111.99999999999996</v>
      </c>
      <c r="AW152" s="218">
        <f t="shared" si="1263"/>
        <v>113.99999999999994</v>
      </c>
      <c r="AX152" s="218">
        <f t="shared" si="1263"/>
        <v>115.99999999999994</v>
      </c>
      <c r="AY152" s="218">
        <f t="shared" si="1263"/>
        <v>117.99999999999994</v>
      </c>
      <c r="AZ152" s="218">
        <f t="shared" si="1263"/>
        <v>119.99999999999993</v>
      </c>
      <c r="BA152" s="217">
        <f t="shared" si="1263"/>
        <v>121.99999999999991</v>
      </c>
      <c r="BB152" s="218">
        <f t="shared" ref="BB152:BM152" si="1264">BB151*$C152</f>
        <v>123.99999999999991</v>
      </c>
      <c r="BC152" s="218">
        <f t="shared" si="1264"/>
        <v>125.99999999999991</v>
      </c>
      <c r="BD152" s="218">
        <f t="shared" si="1264"/>
        <v>127.9999999999999</v>
      </c>
      <c r="BE152" s="218">
        <f t="shared" si="1264"/>
        <v>129.99999999999989</v>
      </c>
      <c r="BF152" s="218">
        <f t="shared" si="1264"/>
        <v>131.99999999999989</v>
      </c>
      <c r="BG152" s="218">
        <f t="shared" si="1264"/>
        <v>133.99999999999989</v>
      </c>
      <c r="BH152" s="218">
        <f t="shared" si="1264"/>
        <v>135.99999999999989</v>
      </c>
      <c r="BI152" s="218">
        <f t="shared" si="1264"/>
        <v>137.99999999999986</v>
      </c>
      <c r="BJ152" s="218">
        <f t="shared" si="1264"/>
        <v>139.99999999999986</v>
      </c>
      <c r="BK152" s="218">
        <f t="shared" si="1264"/>
        <v>141.99999999999986</v>
      </c>
      <c r="BL152" s="218">
        <f t="shared" si="1264"/>
        <v>143.99999999999983</v>
      </c>
      <c r="BM152" s="217">
        <f t="shared" si="1264"/>
        <v>145.99999999999983</v>
      </c>
      <c r="BN152" s="218">
        <f t="shared" ref="BN152:BY152" si="1265">BN151*$C152</f>
        <v>147.99999999999983</v>
      </c>
      <c r="BO152" s="218">
        <f t="shared" si="1265"/>
        <v>149.99999999999983</v>
      </c>
      <c r="BP152" s="218">
        <f t="shared" si="1265"/>
        <v>151.99999999999983</v>
      </c>
      <c r="BQ152" s="218">
        <f t="shared" si="1265"/>
        <v>153.9999999999998</v>
      </c>
      <c r="BR152" s="218">
        <f t="shared" si="1265"/>
        <v>155.9999999999998</v>
      </c>
      <c r="BS152" s="218">
        <f t="shared" si="1265"/>
        <v>157.9999999999998</v>
      </c>
      <c r="BT152" s="218">
        <f t="shared" si="1265"/>
        <v>159.99999999999977</v>
      </c>
      <c r="BU152" s="218">
        <f t="shared" si="1265"/>
        <v>161.99999999999977</v>
      </c>
      <c r="BV152" s="218">
        <f t="shared" si="1265"/>
        <v>163.99999999999977</v>
      </c>
      <c r="BW152" s="218">
        <f t="shared" si="1265"/>
        <v>165.99999999999977</v>
      </c>
      <c r="BX152" s="218">
        <f t="shared" si="1265"/>
        <v>167.99999999999977</v>
      </c>
      <c r="BY152" s="217">
        <f t="shared" si="1265"/>
        <v>169.99999999999974</v>
      </c>
      <c r="BZ152" s="218">
        <f t="shared" ref="BZ152:CK152" si="1266">BZ151*$C152</f>
        <v>171.99999999999974</v>
      </c>
      <c r="CA152" s="218">
        <f t="shared" si="1266"/>
        <v>173.99999999999974</v>
      </c>
      <c r="CB152" s="218">
        <f t="shared" si="1266"/>
        <v>175.99999999999972</v>
      </c>
      <c r="CC152" s="218">
        <f t="shared" si="1266"/>
        <v>177.99999999999972</v>
      </c>
      <c r="CD152" s="218">
        <f t="shared" si="1266"/>
        <v>179.99999999999972</v>
      </c>
      <c r="CE152" s="218">
        <f t="shared" si="1266"/>
        <v>181.99999999999972</v>
      </c>
      <c r="CF152" s="218">
        <f t="shared" si="1266"/>
        <v>183.99999999999972</v>
      </c>
      <c r="CG152" s="218">
        <f t="shared" si="1266"/>
        <v>185.99999999999969</v>
      </c>
      <c r="CH152" s="218">
        <f t="shared" si="1266"/>
        <v>187.99999999999969</v>
      </c>
      <c r="CI152" s="218">
        <f t="shared" si="1266"/>
        <v>189.99999999999969</v>
      </c>
      <c r="CJ152" s="218">
        <f t="shared" si="1266"/>
        <v>191.99999999999966</v>
      </c>
      <c r="CK152" s="217">
        <f t="shared" si="1266"/>
        <v>193.99999999999966</v>
      </c>
    </row>
    <row r="153" spans="2:89" s="17" customFormat="1" x14ac:dyDescent="0.2">
      <c r="B153" s="121" t="s">
        <v>59</v>
      </c>
      <c r="C153" s="220">
        <v>0.05</v>
      </c>
      <c r="E153" s="219"/>
      <c r="N153" s="218"/>
      <c r="O153" s="218"/>
      <c r="P153" s="382">
        <f t="shared" ref="P153:BA153" si="1267">N154*$C153</f>
        <v>0</v>
      </c>
      <c r="Q153" s="383">
        <f t="shared" si="1267"/>
        <v>0</v>
      </c>
      <c r="R153" s="218">
        <f t="shared" si="1267"/>
        <v>0</v>
      </c>
      <c r="S153" s="218">
        <f t="shared" si="1267"/>
        <v>0</v>
      </c>
      <c r="T153" s="218">
        <f t="shared" si="1267"/>
        <v>0</v>
      </c>
      <c r="U153" s="218">
        <f t="shared" si="1267"/>
        <v>0</v>
      </c>
      <c r="V153" s="218">
        <f t="shared" si="1267"/>
        <v>0</v>
      </c>
      <c r="W153" s="218">
        <f t="shared" si="1267"/>
        <v>0</v>
      </c>
      <c r="X153" s="218">
        <f t="shared" si="1267"/>
        <v>0</v>
      </c>
      <c r="Y153" s="218">
        <f t="shared" si="1267"/>
        <v>0</v>
      </c>
      <c r="Z153" s="218">
        <f t="shared" si="1267"/>
        <v>0</v>
      </c>
      <c r="AA153" s="218">
        <f t="shared" si="1267"/>
        <v>0</v>
      </c>
      <c r="AB153" s="218">
        <f t="shared" si="1267"/>
        <v>0</v>
      </c>
      <c r="AC153" s="217">
        <f t="shared" si="1267"/>
        <v>0</v>
      </c>
      <c r="AD153" s="218">
        <f t="shared" si="1267"/>
        <v>0</v>
      </c>
      <c r="AE153" s="218">
        <f t="shared" si="1267"/>
        <v>0</v>
      </c>
      <c r="AF153" s="218">
        <f t="shared" si="1267"/>
        <v>0</v>
      </c>
      <c r="AG153" s="218">
        <f t="shared" si="1267"/>
        <v>0</v>
      </c>
      <c r="AH153" s="218">
        <f t="shared" si="1267"/>
        <v>0</v>
      </c>
      <c r="AI153" s="218">
        <f t="shared" si="1267"/>
        <v>0</v>
      </c>
      <c r="AJ153" s="218">
        <f t="shared" si="1267"/>
        <v>0</v>
      </c>
      <c r="AK153" s="218"/>
      <c r="AL153" s="218"/>
      <c r="AM153" s="218"/>
      <c r="AN153" s="218"/>
      <c r="AO153" s="217"/>
      <c r="AP153" s="218">
        <f t="shared" si="1267"/>
        <v>0</v>
      </c>
      <c r="AQ153" s="218">
        <f t="shared" si="1267"/>
        <v>0</v>
      </c>
      <c r="AR153" s="218">
        <f t="shared" si="1267"/>
        <v>5</v>
      </c>
      <c r="AS153" s="218">
        <f t="shared" si="1267"/>
        <v>10.100000000000001</v>
      </c>
      <c r="AT153" s="218">
        <f t="shared" si="1267"/>
        <v>15.05</v>
      </c>
      <c r="AU153" s="218">
        <f t="shared" si="1267"/>
        <v>19.844999999999999</v>
      </c>
      <c r="AV153" s="218">
        <f t="shared" si="1267"/>
        <v>24.4925</v>
      </c>
      <c r="AW153" s="218">
        <f t="shared" si="1267"/>
        <v>29.000249999999994</v>
      </c>
      <c r="AX153" s="218">
        <f t="shared" si="1267"/>
        <v>33.375624999999999</v>
      </c>
      <c r="AY153" s="218">
        <f t="shared" si="1267"/>
        <v>37.625612499999988</v>
      </c>
      <c r="AZ153" s="218">
        <f t="shared" si="1267"/>
        <v>41.756831249999991</v>
      </c>
      <c r="BA153" s="217">
        <f t="shared" si="1267"/>
        <v>45.775550624999987</v>
      </c>
      <c r="BB153" s="218">
        <f t="shared" ref="BB153" si="1268">AZ154*$C153</f>
        <v>49.687709062499984</v>
      </c>
      <c r="BC153" s="218">
        <f t="shared" ref="BC153" si="1269">BA154*$C153</f>
        <v>53.49893153124998</v>
      </c>
      <c r="BD153" s="218">
        <f t="shared" ref="BD153" si="1270">BB154*$C153</f>
        <v>57.214546078124982</v>
      </c>
      <c r="BE153" s="218">
        <f t="shared" ref="BE153" si="1271">BC154*$C153</f>
        <v>60.839599501562475</v>
      </c>
      <c r="BF153" s="218">
        <f t="shared" ref="BF153" si="1272">BD154*$C153</f>
        <v>64.378872197656221</v>
      </c>
      <c r="BG153" s="218">
        <f t="shared" ref="BG153" si="1273">BE154*$C153</f>
        <v>67.836892222578086</v>
      </c>
      <c r="BH153" s="218">
        <f t="shared" ref="BH153" si="1274">BF154*$C153</f>
        <v>71.217948612695281</v>
      </c>
      <c r="BI153" s="218">
        <f t="shared" ref="BI153" si="1275">BG154*$C153</f>
        <v>74.526104001566367</v>
      </c>
      <c r="BJ153" s="218">
        <f t="shared" ref="BJ153" si="1276">BH154*$C153</f>
        <v>77.76520657093161</v>
      </c>
      <c r="BK153" s="218">
        <f t="shared" ref="BK153" si="1277">BI154*$C153</f>
        <v>80.938901370853273</v>
      </c>
      <c r="BL153" s="218">
        <f t="shared" ref="BL153" si="1278">BJ154*$C153</f>
        <v>84.05064104230668</v>
      </c>
      <c r="BM153" s="217">
        <f t="shared" ref="BM153" si="1279">BK154*$C153</f>
        <v>87.103695973764005</v>
      </c>
      <c r="BN153" s="218">
        <f t="shared" ref="BN153" si="1280">BL154*$C153</f>
        <v>90.101163921648663</v>
      </c>
      <c r="BO153" s="218">
        <f t="shared" ref="BO153" si="1281">BM154*$C153</f>
        <v>93.045979122960446</v>
      </c>
      <c r="BP153" s="218">
        <f t="shared" ref="BP153" si="1282">BN154*$C153</f>
        <v>95.940920926877993</v>
      </c>
      <c r="BQ153" s="218">
        <f t="shared" ref="BQ153" si="1283">BO154*$C153</f>
        <v>98.788621970729977</v>
      </c>
      <c r="BR153" s="218">
        <f t="shared" ref="BR153" si="1284">BP154*$C153</f>
        <v>101.59157592438608</v>
      </c>
      <c r="BS153" s="218">
        <f t="shared" ref="BS153" si="1285">BQ154*$C153</f>
        <v>104.35214482584959</v>
      </c>
      <c r="BT153" s="218">
        <f t="shared" ref="BT153" si="1286">BR154*$C153</f>
        <v>107.07256602963028</v>
      </c>
      <c r="BU153" s="218">
        <f t="shared" ref="BU153" si="1287">BS154*$C153</f>
        <v>109.75495878833779</v>
      </c>
      <c r="BV153" s="218">
        <f t="shared" ref="BV153" si="1288">BT154*$C153</f>
        <v>112.40133048685625</v>
      </c>
      <c r="BW153" s="218">
        <f t="shared" ref="BW153" si="1289">BU154*$C153</f>
        <v>115.01358254743937</v>
      </c>
      <c r="BX153" s="218">
        <f t="shared" ref="BX153" si="1290">BV154*$C153</f>
        <v>117.59351602309656</v>
      </c>
      <c r="BY153" s="217">
        <f t="shared" ref="BY153" si="1291">BW154*$C153</f>
        <v>120.14283689572456</v>
      </c>
      <c r="BZ153" s="218">
        <f t="shared" ref="BZ153" si="1292">BX154*$C153</f>
        <v>122.66316109456972</v>
      </c>
      <c r="CA153" s="218">
        <f t="shared" ref="CA153" si="1293">BY154*$C153</f>
        <v>125.15601924978347</v>
      </c>
      <c r="CB153" s="218">
        <f t="shared" ref="CB153" si="1294">BZ154*$C153</f>
        <v>127.62286119505495</v>
      </c>
      <c r="CC153" s="218">
        <f t="shared" ref="CC153" si="1295">CA154*$C153</f>
        <v>130.06506023256574</v>
      </c>
      <c r="CD153" s="218">
        <f t="shared" ref="CD153" si="1296">CB154*$C153</f>
        <v>132.48391717281297</v>
      </c>
      <c r="CE153" s="218">
        <f t="shared" ref="CE153" si="1297">CC154*$C153</f>
        <v>134.88066416118465</v>
      </c>
      <c r="CF153" s="218">
        <f t="shared" ref="CF153" si="1298">CD154*$C153</f>
        <v>137.25646830254399</v>
      </c>
      <c r="CG153" s="218">
        <f t="shared" ref="CG153" si="1299">CE154*$C153</f>
        <v>139.61243509448474</v>
      </c>
      <c r="CH153" s="218">
        <f t="shared" ref="CH153" si="1300">CF154*$C153</f>
        <v>141.9496116793575</v>
      </c>
      <c r="CI153" s="218">
        <f t="shared" ref="CI153" si="1301">CG154*$C153</f>
        <v>144.26898992463325</v>
      </c>
      <c r="CJ153" s="218">
        <f t="shared" ref="CJ153" si="1302">CH154*$C153</f>
        <v>146.57150934066536</v>
      </c>
      <c r="CK153" s="217">
        <f t="shared" ref="CK153" si="1303">CI154*$C153</f>
        <v>148.85805984443365</v>
      </c>
    </row>
    <row r="154" spans="2:89" x14ac:dyDescent="0.2">
      <c r="B154" s="21" t="s">
        <v>72</v>
      </c>
      <c r="C154" s="211"/>
      <c r="M154" s="108">
        <v>0</v>
      </c>
      <c r="N154" s="216">
        <f>M154+N152</f>
        <v>0</v>
      </c>
      <c r="O154" s="216">
        <f>N154+O152</f>
        <v>0</v>
      </c>
      <c r="P154" s="384">
        <f t="shared" ref="P154:BA154" si="1304">O154+P152-P153</f>
        <v>0</v>
      </c>
      <c r="Q154" s="385">
        <f t="shared" si="1304"/>
        <v>0</v>
      </c>
      <c r="R154" s="216">
        <f t="shared" si="1304"/>
        <v>0</v>
      </c>
      <c r="S154" s="216">
        <f t="shared" si="1304"/>
        <v>0</v>
      </c>
      <c r="T154" s="216">
        <f t="shared" si="1304"/>
        <v>0</v>
      </c>
      <c r="U154" s="216">
        <f t="shared" si="1304"/>
        <v>0</v>
      </c>
      <c r="V154" s="216">
        <f t="shared" si="1304"/>
        <v>0</v>
      </c>
      <c r="W154" s="216">
        <f t="shared" si="1304"/>
        <v>0</v>
      </c>
      <c r="X154" s="216">
        <f t="shared" si="1304"/>
        <v>0</v>
      </c>
      <c r="Y154" s="216">
        <f t="shared" si="1304"/>
        <v>0</v>
      </c>
      <c r="Z154" s="216">
        <f t="shared" si="1304"/>
        <v>0</v>
      </c>
      <c r="AA154" s="216">
        <f t="shared" si="1304"/>
        <v>0</v>
      </c>
      <c r="AB154" s="216">
        <f t="shared" si="1304"/>
        <v>0</v>
      </c>
      <c r="AC154" s="215">
        <f t="shared" si="1304"/>
        <v>0</v>
      </c>
      <c r="AD154" s="216">
        <f t="shared" si="1304"/>
        <v>0</v>
      </c>
      <c r="AE154" s="216">
        <f t="shared" si="1304"/>
        <v>0</v>
      </c>
      <c r="AF154" s="216">
        <f t="shared" si="1304"/>
        <v>0</v>
      </c>
      <c r="AG154" s="216">
        <f t="shared" si="1304"/>
        <v>0</v>
      </c>
      <c r="AH154" s="216">
        <f t="shared" si="1304"/>
        <v>0</v>
      </c>
      <c r="AI154" s="216">
        <f t="shared" si="1304"/>
        <v>0</v>
      </c>
      <c r="AJ154" s="216">
        <f t="shared" si="1304"/>
        <v>0</v>
      </c>
      <c r="AK154" s="216"/>
      <c r="AL154" s="216"/>
      <c r="AM154" s="216"/>
      <c r="AN154" s="216"/>
      <c r="AO154" s="215"/>
      <c r="AP154" s="216">
        <f t="shared" si="1304"/>
        <v>100</v>
      </c>
      <c r="AQ154" s="216">
        <f t="shared" si="1304"/>
        <v>202</v>
      </c>
      <c r="AR154" s="216">
        <f t="shared" si="1304"/>
        <v>301</v>
      </c>
      <c r="AS154" s="216">
        <f t="shared" si="1304"/>
        <v>396.9</v>
      </c>
      <c r="AT154" s="216">
        <f t="shared" si="1304"/>
        <v>489.84999999999997</v>
      </c>
      <c r="AU154" s="216">
        <f t="shared" si="1304"/>
        <v>580.00499999999988</v>
      </c>
      <c r="AV154" s="216">
        <f t="shared" si="1304"/>
        <v>667.51249999999993</v>
      </c>
      <c r="AW154" s="216">
        <f t="shared" si="1304"/>
        <v>752.51224999999977</v>
      </c>
      <c r="AX154" s="216">
        <f t="shared" si="1304"/>
        <v>835.13662499999975</v>
      </c>
      <c r="AY154" s="216">
        <f t="shared" si="1304"/>
        <v>915.51101249999965</v>
      </c>
      <c r="AZ154" s="216">
        <f t="shared" si="1304"/>
        <v>993.75418124999965</v>
      </c>
      <c r="BA154" s="215">
        <f t="shared" si="1304"/>
        <v>1069.9786306249996</v>
      </c>
      <c r="BB154" s="216">
        <f t="shared" ref="BB154" si="1305">BA154+BB152-BB153</f>
        <v>1144.2909215624995</v>
      </c>
      <c r="BC154" s="216">
        <f t="shared" ref="BC154" si="1306">BB154+BC152-BC153</f>
        <v>1216.7919900312495</v>
      </c>
      <c r="BD154" s="216">
        <f t="shared" ref="BD154" si="1307">BC154+BD152-BD153</f>
        <v>1287.5774439531244</v>
      </c>
      <c r="BE154" s="216">
        <f t="shared" ref="BE154" si="1308">BD154+BE152-BE153</f>
        <v>1356.7378444515616</v>
      </c>
      <c r="BF154" s="216">
        <f t="shared" ref="BF154" si="1309">BE154+BF152-BF153</f>
        <v>1424.3589722539054</v>
      </c>
      <c r="BG154" s="216">
        <f t="shared" ref="BG154" si="1310">BF154+BG152-BG153</f>
        <v>1490.5220800313273</v>
      </c>
      <c r="BH154" s="216">
        <f t="shared" ref="BH154" si="1311">BG154+BH152-BH153</f>
        <v>1555.3041314186321</v>
      </c>
      <c r="BI154" s="216">
        <f t="shared" ref="BI154" si="1312">BH154+BI152-BI153</f>
        <v>1618.7780274170655</v>
      </c>
      <c r="BJ154" s="216">
        <f t="shared" ref="BJ154" si="1313">BI154+BJ152-BJ153</f>
        <v>1681.0128208461335</v>
      </c>
      <c r="BK154" s="216">
        <f t="shared" ref="BK154" si="1314">BJ154+BK152-BK153</f>
        <v>1742.07391947528</v>
      </c>
      <c r="BL154" s="216">
        <f t="shared" ref="BL154" si="1315">BK154+BL152-BL153</f>
        <v>1802.023278432973</v>
      </c>
      <c r="BM154" s="215">
        <f t="shared" ref="BM154" si="1316">BL154+BM152-BM153</f>
        <v>1860.9195824592089</v>
      </c>
      <c r="BN154" s="216">
        <f t="shared" ref="BN154" si="1317">BM154+BN152-BN153</f>
        <v>1918.8184185375599</v>
      </c>
      <c r="BO154" s="216">
        <f t="shared" ref="BO154" si="1318">BN154+BO152-BO153</f>
        <v>1975.7724394145994</v>
      </c>
      <c r="BP154" s="216">
        <f t="shared" ref="BP154" si="1319">BO154+BP152-BP153</f>
        <v>2031.8315184877215</v>
      </c>
      <c r="BQ154" s="216">
        <f t="shared" ref="BQ154" si="1320">BP154+BQ152-BQ153</f>
        <v>2087.0428965169917</v>
      </c>
      <c r="BR154" s="216">
        <f t="shared" ref="BR154" si="1321">BQ154+BR152-BR153</f>
        <v>2141.4513205926055</v>
      </c>
      <c r="BS154" s="216">
        <f t="shared" ref="BS154" si="1322">BR154+BS152-BS153</f>
        <v>2195.0991757667557</v>
      </c>
      <c r="BT154" s="216">
        <f t="shared" ref="BT154" si="1323">BS154+BT152-BT153</f>
        <v>2248.026609737125</v>
      </c>
      <c r="BU154" s="216">
        <f t="shared" ref="BU154" si="1324">BT154+BU152-BU153</f>
        <v>2300.2716509487873</v>
      </c>
      <c r="BV154" s="216">
        <f t="shared" ref="BV154" si="1325">BU154+BV152-BV153</f>
        <v>2351.870320461931</v>
      </c>
      <c r="BW154" s="216">
        <f t="shared" ref="BW154" si="1326">BV154+BW152-BW153</f>
        <v>2402.8567379144911</v>
      </c>
      <c r="BX154" s="216">
        <f t="shared" ref="BX154" si="1327">BW154+BX152-BX153</f>
        <v>2453.2632218913941</v>
      </c>
      <c r="BY154" s="215">
        <f t="shared" ref="BY154" si="1328">BX154+BY152-BY153</f>
        <v>2503.1203849956692</v>
      </c>
      <c r="BZ154" s="216">
        <f t="shared" ref="BZ154" si="1329">BY154+BZ152-BZ153</f>
        <v>2552.457223901099</v>
      </c>
      <c r="CA154" s="216">
        <f t="shared" ref="CA154" si="1330">BZ154+CA152-CA153</f>
        <v>2601.3012046513149</v>
      </c>
      <c r="CB154" s="216">
        <f t="shared" ref="CB154" si="1331">CA154+CB152-CB153</f>
        <v>2649.6783434562594</v>
      </c>
      <c r="CC154" s="216">
        <f t="shared" ref="CC154" si="1332">CB154+CC152-CC153</f>
        <v>2697.6132832236931</v>
      </c>
      <c r="CD154" s="216">
        <f t="shared" ref="CD154" si="1333">CC154+CD152-CD153</f>
        <v>2745.1293660508795</v>
      </c>
      <c r="CE154" s="216">
        <f t="shared" ref="CE154" si="1334">CD154+CE152-CE153</f>
        <v>2792.2487018896945</v>
      </c>
      <c r="CF154" s="216">
        <f t="shared" ref="CF154" si="1335">CE154+CF152-CF153</f>
        <v>2838.9922335871502</v>
      </c>
      <c r="CG154" s="216">
        <f t="shared" ref="CG154" si="1336">CF154+CG152-CG153</f>
        <v>2885.379798492665</v>
      </c>
      <c r="CH154" s="216">
        <f t="shared" ref="CH154" si="1337">CG154+CH152-CH153</f>
        <v>2931.430186813307</v>
      </c>
      <c r="CI154" s="216">
        <f t="shared" ref="CI154" si="1338">CH154+CI152-CI153</f>
        <v>2977.1611968886732</v>
      </c>
      <c r="CJ154" s="216">
        <f t="shared" ref="CJ154" si="1339">CI154+CJ152-CJ153</f>
        <v>3022.5896875480075</v>
      </c>
      <c r="CK154" s="215">
        <f t="shared" ref="CK154" si="1340">CJ154+CK152-CK153</f>
        <v>3067.7316277035734</v>
      </c>
    </row>
    <row r="155" spans="2:89" x14ac:dyDescent="0.2">
      <c r="B155" s="121" t="s">
        <v>82</v>
      </c>
      <c r="C155" s="214">
        <v>75</v>
      </c>
      <c r="N155" s="169"/>
      <c r="O155" s="169"/>
      <c r="P155" s="386"/>
      <c r="Q155" s="387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70"/>
      <c r="AD155" s="169"/>
      <c r="AE155" s="169"/>
      <c r="AF155" s="169"/>
      <c r="AG155" s="169"/>
      <c r="AH155" s="169"/>
      <c r="AI155" s="169"/>
      <c r="AJ155" s="169"/>
      <c r="AK155" s="169"/>
      <c r="AL155" s="169"/>
      <c r="AM155" s="169"/>
      <c r="AN155" s="169"/>
      <c r="AO155" s="170"/>
      <c r="AP155" s="169"/>
      <c r="AQ155" s="169"/>
      <c r="AR155" s="169"/>
      <c r="AS155" s="169"/>
      <c r="AT155" s="169"/>
      <c r="AU155" s="169"/>
      <c r="AV155" s="169"/>
      <c r="AW155" s="169"/>
      <c r="AX155" s="169"/>
      <c r="AY155" s="169"/>
      <c r="AZ155" s="169"/>
      <c r="BA155" s="170"/>
      <c r="BB155" s="169"/>
      <c r="BC155" s="169"/>
      <c r="BD155" s="169"/>
      <c r="BE155" s="169"/>
      <c r="BF155" s="169"/>
      <c r="BG155" s="169"/>
      <c r="BH155" s="169"/>
      <c r="BI155" s="169"/>
      <c r="BJ155" s="169"/>
      <c r="BK155" s="169"/>
      <c r="BL155" s="169"/>
      <c r="BM155" s="170"/>
      <c r="BN155" s="169"/>
      <c r="BO155" s="169"/>
      <c r="BP155" s="169"/>
      <c r="BQ155" s="169"/>
      <c r="BR155" s="169"/>
      <c r="BS155" s="169"/>
      <c r="BT155" s="169"/>
      <c r="BU155" s="169"/>
      <c r="BV155" s="169"/>
      <c r="BW155" s="169"/>
      <c r="BX155" s="169"/>
      <c r="BY155" s="170"/>
      <c r="BZ155" s="169"/>
      <c r="CA155" s="169"/>
      <c r="CB155" s="169"/>
      <c r="CC155" s="169"/>
      <c r="CD155" s="169"/>
      <c r="CE155" s="169"/>
      <c r="CF155" s="169"/>
      <c r="CG155" s="169"/>
      <c r="CH155" s="169"/>
      <c r="CI155" s="169"/>
      <c r="CJ155" s="169"/>
      <c r="CK155" s="170"/>
    </row>
    <row r="156" spans="2:89" s="107" customFormat="1" x14ac:dyDescent="0.2">
      <c r="B156" s="142" t="s">
        <v>83</v>
      </c>
      <c r="E156" s="143"/>
      <c r="N156" s="213">
        <f t="shared" ref="N156:BA156" si="1341">$C155*N154</f>
        <v>0</v>
      </c>
      <c r="O156" s="213">
        <f t="shared" si="1341"/>
        <v>0</v>
      </c>
      <c r="P156" s="386">
        <f t="shared" si="1341"/>
        <v>0</v>
      </c>
      <c r="Q156" s="387">
        <f t="shared" si="1341"/>
        <v>0</v>
      </c>
      <c r="R156" s="213">
        <f t="shared" si="1341"/>
        <v>0</v>
      </c>
      <c r="S156" s="213">
        <f t="shared" si="1341"/>
        <v>0</v>
      </c>
      <c r="T156" s="213">
        <f t="shared" si="1341"/>
        <v>0</v>
      </c>
      <c r="U156" s="213">
        <f t="shared" si="1341"/>
        <v>0</v>
      </c>
      <c r="V156" s="213">
        <f t="shared" si="1341"/>
        <v>0</v>
      </c>
      <c r="W156" s="213">
        <f t="shared" si="1341"/>
        <v>0</v>
      </c>
      <c r="X156" s="213">
        <f t="shared" si="1341"/>
        <v>0</v>
      </c>
      <c r="Y156" s="213">
        <f t="shared" si="1341"/>
        <v>0</v>
      </c>
      <c r="Z156" s="213">
        <f t="shared" si="1341"/>
        <v>0</v>
      </c>
      <c r="AA156" s="213">
        <f t="shared" si="1341"/>
        <v>0</v>
      </c>
      <c r="AB156" s="213">
        <f t="shared" si="1341"/>
        <v>0</v>
      </c>
      <c r="AC156" s="212">
        <f t="shared" si="1341"/>
        <v>0</v>
      </c>
      <c r="AD156" s="213">
        <f t="shared" si="1341"/>
        <v>0</v>
      </c>
      <c r="AE156" s="213">
        <f t="shared" si="1341"/>
        <v>0</v>
      </c>
      <c r="AF156" s="213">
        <f t="shared" si="1341"/>
        <v>0</v>
      </c>
      <c r="AG156" s="213">
        <f t="shared" si="1341"/>
        <v>0</v>
      </c>
      <c r="AH156" s="213">
        <f t="shared" si="1341"/>
        <v>0</v>
      </c>
      <c r="AI156" s="213">
        <f t="shared" si="1341"/>
        <v>0</v>
      </c>
      <c r="AJ156" s="213">
        <f t="shared" si="1341"/>
        <v>0</v>
      </c>
      <c r="AK156" s="213">
        <f t="shared" si="1341"/>
        <v>0</v>
      </c>
      <c r="AL156" s="213">
        <f t="shared" si="1341"/>
        <v>0</v>
      </c>
      <c r="AM156" s="213">
        <f t="shared" si="1341"/>
        <v>0</v>
      </c>
      <c r="AN156" s="213">
        <f t="shared" si="1341"/>
        <v>0</v>
      </c>
      <c r="AO156" s="212">
        <f t="shared" si="1341"/>
        <v>0</v>
      </c>
      <c r="AP156" s="213">
        <f t="shared" si="1341"/>
        <v>7500</v>
      </c>
      <c r="AQ156" s="213">
        <f t="shared" si="1341"/>
        <v>15150</v>
      </c>
      <c r="AR156" s="213">
        <f t="shared" si="1341"/>
        <v>22575</v>
      </c>
      <c r="AS156" s="213">
        <f t="shared" si="1341"/>
        <v>29767.5</v>
      </c>
      <c r="AT156" s="213">
        <f t="shared" si="1341"/>
        <v>36738.75</v>
      </c>
      <c r="AU156" s="213">
        <f t="shared" si="1341"/>
        <v>43500.374999999993</v>
      </c>
      <c r="AV156" s="213">
        <f t="shared" si="1341"/>
        <v>50063.437499999993</v>
      </c>
      <c r="AW156" s="213">
        <f t="shared" si="1341"/>
        <v>56438.418749999983</v>
      </c>
      <c r="AX156" s="213">
        <f t="shared" si="1341"/>
        <v>62635.246874999983</v>
      </c>
      <c r="AY156" s="213">
        <f t="shared" si="1341"/>
        <v>68663.325937499976</v>
      </c>
      <c r="AZ156" s="213">
        <f t="shared" si="1341"/>
        <v>74531.563593749976</v>
      </c>
      <c r="BA156" s="212">
        <f t="shared" si="1341"/>
        <v>80248.397296874973</v>
      </c>
      <c r="BB156" s="213">
        <f t="shared" ref="BB156:BM156" si="1342">$C155*BB154</f>
        <v>85821.819117187464</v>
      </c>
      <c r="BC156" s="213">
        <f t="shared" si="1342"/>
        <v>91259.399252343719</v>
      </c>
      <c r="BD156" s="213">
        <f t="shared" si="1342"/>
        <v>96568.308296484334</v>
      </c>
      <c r="BE156" s="213">
        <f t="shared" si="1342"/>
        <v>101755.33833386713</v>
      </c>
      <c r="BF156" s="213">
        <f t="shared" si="1342"/>
        <v>106826.9229190429</v>
      </c>
      <c r="BG156" s="213">
        <f t="shared" si="1342"/>
        <v>111789.15600234954</v>
      </c>
      <c r="BH156" s="213">
        <f t="shared" si="1342"/>
        <v>116647.80985639741</v>
      </c>
      <c r="BI156" s="213">
        <f t="shared" si="1342"/>
        <v>121408.35205627991</v>
      </c>
      <c r="BJ156" s="213">
        <f t="shared" si="1342"/>
        <v>126075.96156346002</v>
      </c>
      <c r="BK156" s="213">
        <f t="shared" si="1342"/>
        <v>130655.543960646</v>
      </c>
      <c r="BL156" s="213">
        <f t="shared" si="1342"/>
        <v>135151.74588247298</v>
      </c>
      <c r="BM156" s="212">
        <f t="shared" si="1342"/>
        <v>139568.96868444065</v>
      </c>
      <c r="BN156" s="213">
        <f t="shared" ref="BN156:BY156" si="1343">$C155*BN154</f>
        <v>143911.38139031699</v>
      </c>
      <c r="BO156" s="213">
        <f t="shared" si="1343"/>
        <v>148182.93295609494</v>
      </c>
      <c r="BP156" s="213">
        <f t="shared" si="1343"/>
        <v>152387.36388657911</v>
      </c>
      <c r="BQ156" s="213">
        <f t="shared" si="1343"/>
        <v>156528.21723877438</v>
      </c>
      <c r="BR156" s="213">
        <f t="shared" si="1343"/>
        <v>160608.84904444541</v>
      </c>
      <c r="BS156" s="213">
        <f t="shared" si="1343"/>
        <v>164632.43818250668</v>
      </c>
      <c r="BT156" s="213">
        <f t="shared" si="1343"/>
        <v>168601.99573028437</v>
      </c>
      <c r="BU156" s="213">
        <f t="shared" si="1343"/>
        <v>172520.37382115904</v>
      </c>
      <c r="BV156" s="213">
        <f t="shared" si="1343"/>
        <v>176390.27403464483</v>
      </c>
      <c r="BW156" s="213">
        <f t="shared" si="1343"/>
        <v>180214.25534358682</v>
      </c>
      <c r="BX156" s="213">
        <f t="shared" si="1343"/>
        <v>183994.74164185455</v>
      </c>
      <c r="BY156" s="212">
        <f t="shared" si="1343"/>
        <v>187734.02887467519</v>
      </c>
      <c r="BZ156" s="213">
        <f t="shared" ref="BZ156:CK156" si="1344">$C155*BZ154</f>
        <v>191434.29179258243</v>
      </c>
      <c r="CA156" s="213">
        <f t="shared" si="1344"/>
        <v>195097.59034884861</v>
      </c>
      <c r="CB156" s="213">
        <f t="shared" si="1344"/>
        <v>198725.87575921946</v>
      </c>
      <c r="CC156" s="213">
        <f t="shared" si="1344"/>
        <v>202320.99624177697</v>
      </c>
      <c r="CD156" s="213">
        <f t="shared" si="1344"/>
        <v>205884.70245381596</v>
      </c>
      <c r="CE156" s="213">
        <f t="shared" si="1344"/>
        <v>209418.65264172709</v>
      </c>
      <c r="CF156" s="213">
        <f t="shared" si="1344"/>
        <v>212924.41751903627</v>
      </c>
      <c r="CG156" s="213">
        <f t="shared" si="1344"/>
        <v>216403.48488694988</v>
      </c>
      <c r="CH156" s="213">
        <f t="shared" si="1344"/>
        <v>219857.26401099804</v>
      </c>
      <c r="CI156" s="213">
        <f t="shared" si="1344"/>
        <v>223287.08976665049</v>
      </c>
      <c r="CJ156" s="213">
        <f t="shared" si="1344"/>
        <v>226694.22656610055</v>
      </c>
      <c r="CK156" s="212">
        <f t="shared" si="1344"/>
        <v>230079.872077768</v>
      </c>
    </row>
    <row r="157" spans="2:89" x14ac:dyDescent="0.2">
      <c r="B157" s="121"/>
      <c r="C157" s="211"/>
      <c r="E157" s="205"/>
      <c r="N157" s="169"/>
      <c r="O157" s="169"/>
      <c r="P157" s="386"/>
      <c r="Q157" s="387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  <c r="AB157" s="169"/>
      <c r="AC157" s="170"/>
      <c r="AD157" s="169"/>
      <c r="AE157" s="169"/>
      <c r="AF157" s="169"/>
      <c r="AG157" s="169"/>
      <c r="AH157" s="169"/>
      <c r="AI157" s="169"/>
      <c r="AJ157" s="169"/>
      <c r="AK157" s="169"/>
      <c r="AL157" s="169"/>
      <c r="AM157" s="169"/>
      <c r="AN157" s="169"/>
      <c r="AO157" s="170"/>
      <c r="AP157" s="169"/>
      <c r="AQ157" s="169"/>
      <c r="AR157" s="169"/>
      <c r="AS157" s="169"/>
      <c r="AT157" s="169"/>
      <c r="AU157" s="169"/>
      <c r="AV157" s="169"/>
      <c r="AW157" s="169"/>
      <c r="AX157" s="169"/>
      <c r="AY157" s="169"/>
      <c r="AZ157" s="169"/>
      <c r="BA157" s="170"/>
      <c r="BB157" s="169"/>
      <c r="BC157" s="169"/>
      <c r="BD157" s="169"/>
      <c r="BE157" s="169"/>
      <c r="BF157" s="169"/>
      <c r="BG157" s="169"/>
      <c r="BH157" s="169"/>
      <c r="BI157" s="169"/>
      <c r="BJ157" s="169"/>
      <c r="BK157" s="169"/>
      <c r="BL157" s="169"/>
      <c r="BM157" s="170"/>
      <c r="BN157" s="169"/>
      <c r="BO157" s="169"/>
      <c r="BP157" s="169"/>
      <c r="BQ157" s="169"/>
      <c r="BR157" s="169"/>
      <c r="BS157" s="169"/>
      <c r="BT157" s="169"/>
      <c r="BU157" s="169"/>
      <c r="BV157" s="169"/>
      <c r="BW157" s="169"/>
      <c r="BX157" s="169"/>
      <c r="BY157" s="170"/>
      <c r="BZ157" s="169"/>
      <c r="CA157" s="169"/>
      <c r="CB157" s="169"/>
      <c r="CC157" s="169"/>
      <c r="CD157" s="169"/>
      <c r="CE157" s="169"/>
      <c r="CF157" s="169"/>
      <c r="CG157" s="169"/>
      <c r="CH157" s="169"/>
      <c r="CI157" s="169"/>
      <c r="CJ157" s="169"/>
      <c r="CK157" s="170"/>
    </row>
    <row r="158" spans="2:89" s="2" customFormat="1" x14ac:dyDescent="0.2">
      <c r="B158" s="118" t="s">
        <v>84</v>
      </c>
      <c r="C158" s="210">
        <v>1</v>
      </c>
      <c r="E158" s="209"/>
      <c r="N158" s="208">
        <f t="shared" ref="N158:BA158" si="1345">N156*$C158</f>
        <v>0</v>
      </c>
      <c r="O158" s="208">
        <f t="shared" si="1345"/>
        <v>0</v>
      </c>
      <c r="P158" s="388">
        <f t="shared" si="1345"/>
        <v>0</v>
      </c>
      <c r="Q158" s="389">
        <f t="shared" si="1345"/>
        <v>0</v>
      </c>
      <c r="R158" s="208">
        <f t="shared" si="1345"/>
        <v>0</v>
      </c>
      <c r="S158" s="208">
        <f t="shared" si="1345"/>
        <v>0</v>
      </c>
      <c r="T158" s="208">
        <f t="shared" si="1345"/>
        <v>0</v>
      </c>
      <c r="U158" s="208">
        <f t="shared" si="1345"/>
        <v>0</v>
      </c>
      <c r="V158" s="208">
        <f t="shared" si="1345"/>
        <v>0</v>
      </c>
      <c r="W158" s="208">
        <f t="shared" si="1345"/>
        <v>0</v>
      </c>
      <c r="X158" s="208">
        <f t="shared" si="1345"/>
        <v>0</v>
      </c>
      <c r="Y158" s="208">
        <f t="shared" si="1345"/>
        <v>0</v>
      </c>
      <c r="Z158" s="208">
        <f t="shared" si="1345"/>
        <v>0</v>
      </c>
      <c r="AA158" s="208">
        <f t="shared" si="1345"/>
        <v>0</v>
      </c>
      <c r="AB158" s="208">
        <f t="shared" si="1345"/>
        <v>0</v>
      </c>
      <c r="AC158" s="207">
        <f t="shared" si="1345"/>
        <v>0</v>
      </c>
      <c r="AD158" s="208">
        <f t="shared" si="1345"/>
        <v>0</v>
      </c>
      <c r="AE158" s="208">
        <f t="shared" si="1345"/>
        <v>0</v>
      </c>
      <c r="AF158" s="208">
        <f t="shared" si="1345"/>
        <v>0</v>
      </c>
      <c r="AG158" s="208">
        <f t="shared" si="1345"/>
        <v>0</v>
      </c>
      <c r="AH158" s="208">
        <f t="shared" si="1345"/>
        <v>0</v>
      </c>
      <c r="AI158" s="208">
        <f t="shared" si="1345"/>
        <v>0</v>
      </c>
      <c r="AJ158" s="208">
        <f t="shared" si="1345"/>
        <v>0</v>
      </c>
      <c r="AK158" s="208">
        <f t="shared" si="1345"/>
        <v>0</v>
      </c>
      <c r="AL158" s="208">
        <f t="shared" si="1345"/>
        <v>0</v>
      </c>
      <c r="AM158" s="208">
        <f t="shared" si="1345"/>
        <v>0</v>
      </c>
      <c r="AN158" s="208">
        <f t="shared" si="1345"/>
        <v>0</v>
      </c>
      <c r="AO158" s="207">
        <f t="shared" si="1345"/>
        <v>0</v>
      </c>
      <c r="AP158" s="208">
        <f t="shared" si="1345"/>
        <v>7500</v>
      </c>
      <c r="AQ158" s="208">
        <f t="shared" si="1345"/>
        <v>15150</v>
      </c>
      <c r="AR158" s="208">
        <f t="shared" si="1345"/>
        <v>22575</v>
      </c>
      <c r="AS158" s="208">
        <f t="shared" si="1345"/>
        <v>29767.5</v>
      </c>
      <c r="AT158" s="208">
        <f t="shared" si="1345"/>
        <v>36738.75</v>
      </c>
      <c r="AU158" s="208">
        <f t="shared" si="1345"/>
        <v>43500.374999999993</v>
      </c>
      <c r="AV158" s="208">
        <f t="shared" si="1345"/>
        <v>50063.437499999993</v>
      </c>
      <c r="AW158" s="208">
        <f t="shared" si="1345"/>
        <v>56438.418749999983</v>
      </c>
      <c r="AX158" s="208">
        <f t="shared" si="1345"/>
        <v>62635.246874999983</v>
      </c>
      <c r="AY158" s="208">
        <f t="shared" si="1345"/>
        <v>68663.325937499976</v>
      </c>
      <c r="AZ158" s="208">
        <f t="shared" si="1345"/>
        <v>74531.563593749976</v>
      </c>
      <c r="BA158" s="207">
        <f t="shared" si="1345"/>
        <v>80248.397296874973</v>
      </c>
      <c r="BB158" s="208">
        <f t="shared" ref="BB158:BM158" si="1346">BB156*$C158</f>
        <v>85821.819117187464</v>
      </c>
      <c r="BC158" s="208">
        <f t="shared" si="1346"/>
        <v>91259.399252343719</v>
      </c>
      <c r="BD158" s="208">
        <f t="shared" si="1346"/>
        <v>96568.308296484334</v>
      </c>
      <c r="BE158" s="208">
        <f t="shared" si="1346"/>
        <v>101755.33833386713</v>
      </c>
      <c r="BF158" s="208">
        <f t="shared" si="1346"/>
        <v>106826.9229190429</v>
      </c>
      <c r="BG158" s="208">
        <f t="shared" si="1346"/>
        <v>111789.15600234954</v>
      </c>
      <c r="BH158" s="208">
        <f t="shared" si="1346"/>
        <v>116647.80985639741</v>
      </c>
      <c r="BI158" s="208">
        <f t="shared" si="1346"/>
        <v>121408.35205627991</v>
      </c>
      <c r="BJ158" s="208">
        <f t="shared" si="1346"/>
        <v>126075.96156346002</v>
      </c>
      <c r="BK158" s="208">
        <f t="shared" si="1346"/>
        <v>130655.543960646</v>
      </c>
      <c r="BL158" s="208">
        <f t="shared" si="1346"/>
        <v>135151.74588247298</v>
      </c>
      <c r="BM158" s="207">
        <f t="shared" si="1346"/>
        <v>139568.96868444065</v>
      </c>
      <c r="BN158" s="208">
        <f t="shared" ref="BN158:BY158" si="1347">BN156*$C158</f>
        <v>143911.38139031699</v>
      </c>
      <c r="BO158" s="208">
        <f t="shared" si="1347"/>
        <v>148182.93295609494</v>
      </c>
      <c r="BP158" s="208">
        <f t="shared" si="1347"/>
        <v>152387.36388657911</v>
      </c>
      <c r="BQ158" s="208">
        <f t="shared" si="1347"/>
        <v>156528.21723877438</v>
      </c>
      <c r="BR158" s="208">
        <f t="shared" si="1347"/>
        <v>160608.84904444541</v>
      </c>
      <c r="BS158" s="208">
        <f t="shared" si="1347"/>
        <v>164632.43818250668</v>
      </c>
      <c r="BT158" s="208">
        <f t="shared" si="1347"/>
        <v>168601.99573028437</v>
      </c>
      <c r="BU158" s="208">
        <f t="shared" si="1347"/>
        <v>172520.37382115904</v>
      </c>
      <c r="BV158" s="208">
        <f t="shared" si="1347"/>
        <v>176390.27403464483</v>
      </c>
      <c r="BW158" s="208">
        <f t="shared" si="1347"/>
        <v>180214.25534358682</v>
      </c>
      <c r="BX158" s="208">
        <f t="shared" si="1347"/>
        <v>183994.74164185455</v>
      </c>
      <c r="BY158" s="207">
        <f t="shared" si="1347"/>
        <v>187734.02887467519</v>
      </c>
      <c r="BZ158" s="208">
        <f t="shared" ref="BZ158:CK158" si="1348">BZ156*$C158</f>
        <v>191434.29179258243</v>
      </c>
      <c r="CA158" s="208">
        <f t="shared" si="1348"/>
        <v>195097.59034884861</v>
      </c>
      <c r="CB158" s="208">
        <f t="shared" si="1348"/>
        <v>198725.87575921946</v>
      </c>
      <c r="CC158" s="208">
        <f t="shared" si="1348"/>
        <v>202320.99624177697</v>
      </c>
      <c r="CD158" s="208">
        <f t="shared" si="1348"/>
        <v>205884.70245381596</v>
      </c>
      <c r="CE158" s="208">
        <f t="shared" si="1348"/>
        <v>209418.65264172709</v>
      </c>
      <c r="CF158" s="208">
        <f t="shared" si="1348"/>
        <v>212924.41751903627</v>
      </c>
      <c r="CG158" s="208">
        <f t="shared" si="1348"/>
        <v>216403.48488694988</v>
      </c>
      <c r="CH158" s="208">
        <f t="shared" si="1348"/>
        <v>219857.26401099804</v>
      </c>
      <c r="CI158" s="208">
        <f t="shared" si="1348"/>
        <v>223287.08976665049</v>
      </c>
      <c r="CJ158" s="208">
        <f t="shared" si="1348"/>
        <v>226694.22656610055</v>
      </c>
      <c r="CK158" s="207">
        <f t="shared" si="1348"/>
        <v>230079.872077768</v>
      </c>
    </row>
    <row r="159" spans="2:89" x14ac:dyDescent="0.2">
      <c r="B159" s="121" t="s">
        <v>85</v>
      </c>
      <c r="C159" s="206">
        <v>3</v>
      </c>
      <c r="E159" s="205"/>
      <c r="N159" s="169">
        <f t="shared" ref="N159:BA159" si="1349">N154*$C159</f>
        <v>0</v>
      </c>
      <c r="O159" s="169">
        <f t="shared" si="1349"/>
        <v>0</v>
      </c>
      <c r="P159" s="386">
        <f t="shared" si="1349"/>
        <v>0</v>
      </c>
      <c r="Q159" s="387">
        <f t="shared" si="1349"/>
        <v>0</v>
      </c>
      <c r="R159" s="169">
        <f t="shared" si="1349"/>
        <v>0</v>
      </c>
      <c r="S159" s="169">
        <f t="shared" si="1349"/>
        <v>0</v>
      </c>
      <c r="T159" s="169">
        <f t="shared" si="1349"/>
        <v>0</v>
      </c>
      <c r="U159" s="169">
        <f t="shared" si="1349"/>
        <v>0</v>
      </c>
      <c r="V159" s="169">
        <f t="shared" si="1349"/>
        <v>0</v>
      </c>
      <c r="W159" s="169">
        <f t="shared" si="1349"/>
        <v>0</v>
      </c>
      <c r="X159" s="169">
        <f t="shared" si="1349"/>
        <v>0</v>
      </c>
      <c r="Y159" s="169">
        <f t="shared" si="1349"/>
        <v>0</v>
      </c>
      <c r="Z159" s="169">
        <f t="shared" si="1349"/>
        <v>0</v>
      </c>
      <c r="AA159" s="169">
        <f t="shared" si="1349"/>
        <v>0</v>
      </c>
      <c r="AB159" s="169">
        <f t="shared" si="1349"/>
        <v>0</v>
      </c>
      <c r="AC159" s="170">
        <f t="shared" si="1349"/>
        <v>0</v>
      </c>
      <c r="AD159" s="169">
        <f t="shared" si="1349"/>
        <v>0</v>
      </c>
      <c r="AE159" s="169">
        <f t="shared" si="1349"/>
        <v>0</v>
      </c>
      <c r="AF159" s="169">
        <f t="shared" si="1349"/>
        <v>0</v>
      </c>
      <c r="AG159" s="169">
        <f t="shared" si="1349"/>
        <v>0</v>
      </c>
      <c r="AH159" s="169">
        <f t="shared" si="1349"/>
        <v>0</v>
      </c>
      <c r="AI159" s="169">
        <f t="shared" si="1349"/>
        <v>0</v>
      </c>
      <c r="AJ159" s="169">
        <f t="shared" si="1349"/>
        <v>0</v>
      </c>
      <c r="AK159" s="169">
        <f t="shared" si="1349"/>
        <v>0</v>
      </c>
      <c r="AL159" s="169">
        <f t="shared" si="1349"/>
        <v>0</v>
      </c>
      <c r="AM159" s="169">
        <f t="shared" si="1349"/>
        <v>0</v>
      </c>
      <c r="AN159" s="169">
        <f t="shared" si="1349"/>
        <v>0</v>
      </c>
      <c r="AO159" s="170">
        <f t="shared" si="1349"/>
        <v>0</v>
      </c>
      <c r="AP159" s="169">
        <f t="shared" si="1349"/>
        <v>300</v>
      </c>
      <c r="AQ159" s="169">
        <f t="shared" si="1349"/>
        <v>606</v>
      </c>
      <c r="AR159" s="169">
        <f t="shared" si="1349"/>
        <v>903</v>
      </c>
      <c r="AS159" s="169">
        <f t="shared" si="1349"/>
        <v>1190.6999999999998</v>
      </c>
      <c r="AT159" s="169">
        <f t="shared" si="1349"/>
        <v>1469.55</v>
      </c>
      <c r="AU159" s="169">
        <f t="shared" si="1349"/>
        <v>1740.0149999999996</v>
      </c>
      <c r="AV159" s="169">
        <f t="shared" si="1349"/>
        <v>2002.5374999999999</v>
      </c>
      <c r="AW159" s="169">
        <f t="shared" si="1349"/>
        <v>2257.5367499999993</v>
      </c>
      <c r="AX159" s="169">
        <f t="shared" si="1349"/>
        <v>2505.4098749999994</v>
      </c>
      <c r="AY159" s="169">
        <f t="shared" si="1349"/>
        <v>2746.533037499999</v>
      </c>
      <c r="AZ159" s="169">
        <f t="shared" si="1349"/>
        <v>2981.2625437499992</v>
      </c>
      <c r="BA159" s="170">
        <f t="shared" si="1349"/>
        <v>3209.9358918749986</v>
      </c>
      <c r="BB159" s="169">
        <f t="shared" ref="BB159:BM159" si="1350">BB154*$C159</f>
        <v>3432.8727646874986</v>
      </c>
      <c r="BC159" s="169">
        <f t="shared" si="1350"/>
        <v>3650.3759700937485</v>
      </c>
      <c r="BD159" s="169">
        <f t="shared" si="1350"/>
        <v>3862.7323318593735</v>
      </c>
      <c r="BE159" s="169">
        <f t="shared" si="1350"/>
        <v>4070.2135333546848</v>
      </c>
      <c r="BF159" s="169">
        <f t="shared" si="1350"/>
        <v>4273.0769167617163</v>
      </c>
      <c r="BG159" s="169">
        <f t="shared" si="1350"/>
        <v>4471.5662400939818</v>
      </c>
      <c r="BH159" s="169">
        <f t="shared" si="1350"/>
        <v>4665.9123942558963</v>
      </c>
      <c r="BI159" s="169">
        <f t="shared" si="1350"/>
        <v>4856.3340822511964</v>
      </c>
      <c r="BJ159" s="169">
        <f t="shared" si="1350"/>
        <v>5043.0384625384004</v>
      </c>
      <c r="BK159" s="169">
        <f t="shared" si="1350"/>
        <v>5226.2217584258397</v>
      </c>
      <c r="BL159" s="169">
        <f t="shared" si="1350"/>
        <v>5406.0698352989193</v>
      </c>
      <c r="BM159" s="170">
        <f t="shared" si="1350"/>
        <v>5582.7587473776266</v>
      </c>
      <c r="BN159" s="169">
        <f t="shared" ref="BN159:BY159" si="1351">BN154*$C159</f>
        <v>5756.45525561268</v>
      </c>
      <c r="BO159" s="169">
        <f t="shared" si="1351"/>
        <v>5927.3173182437986</v>
      </c>
      <c r="BP159" s="169">
        <f t="shared" si="1351"/>
        <v>6095.4945554631649</v>
      </c>
      <c r="BQ159" s="169">
        <f t="shared" si="1351"/>
        <v>6261.1286895509747</v>
      </c>
      <c r="BR159" s="169">
        <f t="shared" si="1351"/>
        <v>6424.3539617778169</v>
      </c>
      <c r="BS159" s="169">
        <f t="shared" si="1351"/>
        <v>6585.2975273002667</v>
      </c>
      <c r="BT159" s="169">
        <f t="shared" si="1351"/>
        <v>6744.079829211375</v>
      </c>
      <c r="BU159" s="169">
        <f t="shared" si="1351"/>
        <v>6900.8149528463618</v>
      </c>
      <c r="BV159" s="169">
        <f t="shared" si="1351"/>
        <v>7055.6109613857934</v>
      </c>
      <c r="BW159" s="169">
        <f t="shared" si="1351"/>
        <v>7208.5702137434728</v>
      </c>
      <c r="BX159" s="169">
        <f t="shared" si="1351"/>
        <v>7359.7896656741823</v>
      </c>
      <c r="BY159" s="170">
        <f t="shared" si="1351"/>
        <v>7509.3611549870075</v>
      </c>
      <c r="BZ159" s="169">
        <f t="shared" ref="BZ159:CK159" si="1352">BZ154*$C159</f>
        <v>7657.3716717032967</v>
      </c>
      <c r="CA159" s="169">
        <f t="shared" si="1352"/>
        <v>7803.9036139539448</v>
      </c>
      <c r="CB159" s="169">
        <f t="shared" si="1352"/>
        <v>7949.0350303687783</v>
      </c>
      <c r="CC159" s="169">
        <f t="shared" si="1352"/>
        <v>8092.8398496710797</v>
      </c>
      <c r="CD159" s="169">
        <f t="shared" si="1352"/>
        <v>8235.3880981526381</v>
      </c>
      <c r="CE159" s="169">
        <f t="shared" si="1352"/>
        <v>8376.7461056690845</v>
      </c>
      <c r="CF159" s="169">
        <f t="shared" si="1352"/>
        <v>8516.97670076145</v>
      </c>
      <c r="CG159" s="169">
        <f t="shared" si="1352"/>
        <v>8656.139395477996</v>
      </c>
      <c r="CH159" s="169">
        <f t="shared" si="1352"/>
        <v>8794.2905604399202</v>
      </c>
      <c r="CI159" s="169">
        <f t="shared" si="1352"/>
        <v>8931.4835906660192</v>
      </c>
      <c r="CJ159" s="169">
        <f t="shared" si="1352"/>
        <v>9067.7690626440235</v>
      </c>
      <c r="CK159" s="170">
        <f t="shared" si="1352"/>
        <v>9203.1948831107202</v>
      </c>
    </row>
    <row r="160" spans="2:89" ht="17" thickBot="1" x14ac:dyDescent="0.25">
      <c r="B160" s="124"/>
      <c r="C160" s="125"/>
      <c r="D160" s="125"/>
      <c r="E160" s="126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394"/>
      <c r="Q160" s="39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6"/>
      <c r="AD160" s="125"/>
      <c r="AE160" s="125"/>
      <c r="AF160" s="125"/>
      <c r="AG160" s="125"/>
      <c r="AH160" s="125"/>
      <c r="AI160" s="125"/>
      <c r="AJ160" s="125"/>
      <c r="AK160" s="125"/>
      <c r="AL160" s="125"/>
      <c r="AM160" s="125"/>
      <c r="AN160" s="125"/>
      <c r="AO160" s="126"/>
      <c r="AP160" s="125"/>
      <c r="AQ160" s="125"/>
      <c r="AR160" s="125"/>
      <c r="AS160" s="125"/>
      <c r="AT160" s="125"/>
      <c r="AU160" s="125"/>
      <c r="AV160" s="125"/>
      <c r="AW160" s="125"/>
      <c r="AX160" s="125"/>
      <c r="AY160" s="125"/>
      <c r="AZ160" s="125"/>
      <c r="BA160" s="126"/>
      <c r="BB160" s="125"/>
      <c r="BC160" s="125"/>
      <c r="BD160" s="125"/>
      <c r="BE160" s="125"/>
      <c r="BF160" s="125"/>
      <c r="BG160" s="125"/>
      <c r="BH160" s="125"/>
      <c r="BI160" s="125"/>
      <c r="BJ160" s="125"/>
      <c r="BK160" s="125"/>
      <c r="BL160" s="125"/>
      <c r="BM160" s="126"/>
      <c r="BN160" s="125"/>
      <c r="BO160" s="125"/>
      <c r="BP160" s="125"/>
      <c r="BQ160" s="125"/>
      <c r="BR160" s="125"/>
      <c r="BS160" s="125"/>
      <c r="BT160" s="125"/>
      <c r="BU160" s="125"/>
      <c r="BV160" s="125"/>
      <c r="BW160" s="125"/>
      <c r="BX160" s="125"/>
      <c r="BY160" s="126"/>
      <c r="BZ160" s="125"/>
      <c r="CA160" s="125"/>
      <c r="CB160" s="125"/>
      <c r="CC160" s="125"/>
      <c r="CD160" s="125"/>
      <c r="CE160" s="125"/>
      <c r="CF160" s="125"/>
      <c r="CG160" s="125"/>
      <c r="CH160" s="125"/>
      <c r="CI160" s="125"/>
      <c r="CJ160" s="125"/>
      <c r="CK160" s="126"/>
    </row>
    <row r="161" spans="2:89" ht="21" x14ac:dyDescent="0.25">
      <c r="B161" s="144" t="s">
        <v>360</v>
      </c>
      <c r="C161" s="122"/>
      <c r="D161" s="122"/>
      <c r="E161" s="123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392"/>
      <c r="Q161" s="393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3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3"/>
      <c r="AP161" s="122"/>
      <c r="AQ161" s="122"/>
      <c r="AR161" s="122"/>
      <c r="AS161" s="122"/>
      <c r="AT161" s="122"/>
      <c r="AU161" s="122"/>
      <c r="AV161" s="122"/>
      <c r="AW161" s="122"/>
      <c r="AX161" s="122"/>
      <c r="AY161" s="122"/>
      <c r="AZ161" s="122"/>
      <c r="BA161" s="123"/>
      <c r="BB161" s="122"/>
      <c r="BC161" s="122"/>
      <c r="BD161" s="122"/>
      <c r="BE161" s="122"/>
      <c r="BF161" s="122"/>
      <c r="BG161" s="122"/>
      <c r="BH161" s="122"/>
      <c r="BI161" s="122"/>
      <c r="BJ161" s="122"/>
      <c r="BK161" s="122"/>
      <c r="BL161" s="122"/>
      <c r="BM161" s="123"/>
      <c r="BN161" s="122"/>
      <c r="BO161" s="122"/>
      <c r="BP161" s="122"/>
      <c r="BQ161" s="122"/>
      <c r="BR161" s="122"/>
      <c r="BS161" s="122"/>
      <c r="BT161" s="122"/>
      <c r="BU161" s="122"/>
      <c r="BV161" s="122"/>
      <c r="BW161" s="122"/>
      <c r="BX161" s="122"/>
      <c r="BY161" s="123"/>
      <c r="BZ161" s="122"/>
      <c r="CA161" s="122"/>
      <c r="CB161" s="122"/>
      <c r="CC161" s="122"/>
      <c r="CD161" s="122"/>
      <c r="CE161" s="122"/>
      <c r="CF161" s="122"/>
      <c r="CG161" s="122"/>
      <c r="CH161" s="122"/>
      <c r="CI161" s="122"/>
      <c r="CJ161" s="122"/>
      <c r="CK161" s="123"/>
    </row>
    <row r="162" spans="2:89" x14ac:dyDescent="0.2">
      <c r="B162" s="118"/>
      <c r="E162" s="140"/>
      <c r="N162" s="103"/>
      <c r="O162" s="103"/>
      <c r="P162" s="380"/>
      <c r="Q162" s="381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17"/>
      <c r="AD162" s="103"/>
      <c r="AE162" s="103"/>
      <c r="AF162" s="103"/>
      <c r="AG162" s="103"/>
      <c r="AH162" s="103"/>
      <c r="AI162" s="103"/>
      <c r="AJ162" s="103"/>
      <c r="AK162" s="103"/>
      <c r="AL162" s="103"/>
      <c r="AM162" s="103"/>
      <c r="AN162" s="103"/>
      <c r="AO162" s="117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17"/>
      <c r="BB162" s="103"/>
      <c r="BC162" s="103"/>
      <c r="BD162" s="103"/>
      <c r="BE162" s="103"/>
      <c r="BF162" s="103"/>
      <c r="BG162" s="103"/>
      <c r="BH162" s="103"/>
      <c r="BI162" s="103"/>
      <c r="BJ162" s="103"/>
      <c r="BK162" s="103"/>
      <c r="BL162" s="103"/>
      <c r="BM162" s="117"/>
      <c r="BN162" s="103"/>
      <c r="BO162" s="103"/>
      <c r="BP162" s="103"/>
      <c r="BQ162" s="103"/>
      <c r="BR162" s="103"/>
      <c r="BS162" s="103"/>
      <c r="BT162" s="103"/>
      <c r="BU162" s="103"/>
      <c r="BV162" s="103"/>
      <c r="BW162" s="103"/>
      <c r="BX162" s="103"/>
      <c r="BY162" s="117"/>
      <c r="BZ162" s="103"/>
      <c r="CA162" s="103"/>
      <c r="CB162" s="103"/>
      <c r="CC162" s="103"/>
      <c r="CD162" s="103"/>
      <c r="CE162" s="103"/>
      <c r="CF162" s="103"/>
      <c r="CG162" s="103"/>
      <c r="CH162" s="103"/>
      <c r="CI162" s="103"/>
      <c r="CJ162" s="103"/>
      <c r="CK162" s="117"/>
    </row>
    <row r="163" spans="2:89" s="17" customFormat="1" x14ac:dyDescent="0.2">
      <c r="B163" s="121" t="s">
        <v>79</v>
      </c>
      <c r="C163" s="224"/>
      <c r="E163" s="141"/>
      <c r="N163" s="223">
        <v>0</v>
      </c>
      <c r="O163" s="223">
        <v>0</v>
      </c>
      <c r="P163" s="390">
        <v>0</v>
      </c>
      <c r="Q163" s="391">
        <v>0</v>
      </c>
      <c r="R163" s="223">
        <v>0</v>
      </c>
      <c r="S163" s="223">
        <v>0</v>
      </c>
      <c r="T163" s="223">
        <v>0</v>
      </c>
      <c r="U163" s="223">
        <v>0</v>
      </c>
      <c r="V163" s="223">
        <v>0</v>
      </c>
      <c r="W163" s="660">
        <v>0</v>
      </c>
      <c r="X163" s="660">
        <v>0</v>
      </c>
      <c r="Y163" s="660">
        <v>0</v>
      </c>
      <c r="Z163" s="660">
        <v>0</v>
      </c>
      <c r="AA163" s="660">
        <v>0</v>
      </c>
      <c r="AB163" s="660">
        <v>0</v>
      </c>
      <c r="AC163" s="661">
        <v>0</v>
      </c>
      <c r="AD163" s="660">
        <v>0</v>
      </c>
      <c r="AE163" s="660">
        <v>0</v>
      </c>
      <c r="AF163" s="660">
        <v>0</v>
      </c>
      <c r="AG163" s="660">
        <v>0</v>
      </c>
      <c r="AH163" s="660">
        <v>0</v>
      </c>
      <c r="AI163" s="660">
        <v>0</v>
      </c>
      <c r="AJ163" s="660"/>
      <c r="AK163" s="223"/>
      <c r="AL163" s="223"/>
      <c r="AM163" s="223"/>
      <c r="AN163" s="223"/>
      <c r="AO163" s="222"/>
      <c r="AP163" s="223"/>
      <c r="AQ163" s="223"/>
      <c r="AR163" s="223">
        <v>2</v>
      </c>
      <c r="AS163" s="223">
        <f t="shared" ref="AM163:BA163" si="1353">AR163+1</f>
        <v>3</v>
      </c>
      <c r="AT163" s="223">
        <f t="shared" si="1353"/>
        <v>4</v>
      </c>
      <c r="AU163" s="223">
        <f t="shared" si="1353"/>
        <v>5</v>
      </c>
      <c r="AV163" s="223">
        <f t="shared" si="1353"/>
        <v>6</v>
      </c>
      <c r="AW163" s="223">
        <f t="shared" si="1353"/>
        <v>7</v>
      </c>
      <c r="AX163" s="223">
        <f t="shared" si="1353"/>
        <v>8</v>
      </c>
      <c r="AY163" s="223">
        <f t="shared" si="1353"/>
        <v>9</v>
      </c>
      <c r="AZ163" s="223">
        <f t="shared" si="1353"/>
        <v>10</v>
      </c>
      <c r="BA163" s="222">
        <f t="shared" si="1353"/>
        <v>11</v>
      </c>
      <c r="BB163" s="223">
        <f t="shared" ref="BB163" si="1354">BA163+1</f>
        <v>12</v>
      </c>
      <c r="BC163" s="223">
        <f t="shared" ref="BC163" si="1355">BB163+1</f>
        <v>13</v>
      </c>
      <c r="BD163" s="223">
        <f t="shared" ref="BD163" si="1356">BC163+1</f>
        <v>14</v>
      </c>
      <c r="BE163" s="223">
        <f t="shared" ref="BE163" si="1357">BD163+1</f>
        <v>15</v>
      </c>
      <c r="BF163" s="223">
        <f t="shared" ref="BF163" si="1358">BE163+1</f>
        <v>16</v>
      </c>
      <c r="BG163" s="223">
        <f t="shared" ref="BG163" si="1359">BF163+1</f>
        <v>17</v>
      </c>
      <c r="BH163" s="223">
        <f t="shared" ref="BH163" si="1360">BG163+1</f>
        <v>18</v>
      </c>
      <c r="BI163" s="223">
        <f t="shared" ref="BI163" si="1361">BH163+1</f>
        <v>19</v>
      </c>
      <c r="BJ163" s="223">
        <f t="shared" ref="BJ163" si="1362">BI163+1</f>
        <v>20</v>
      </c>
      <c r="BK163" s="223">
        <f t="shared" ref="BK163" si="1363">BJ163+1</f>
        <v>21</v>
      </c>
      <c r="BL163" s="223">
        <f t="shared" ref="BL163" si="1364">BK163+1</f>
        <v>22</v>
      </c>
      <c r="BM163" s="222">
        <f t="shared" ref="BM163" si="1365">BL163+1</f>
        <v>23</v>
      </c>
      <c r="BN163" s="223">
        <f t="shared" ref="BN163" si="1366">BM163+1</f>
        <v>24</v>
      </c>
      <c r="BO163" s="223">
        <f t="shared" ref="BO163" si="1367">BN163+1</f>
        <v>25</v>
      </c>
      <c r="BP163" s="223">
        <f t="shared" ref="BP163" si="1368">BO163+1</f>
        <v>26</v>
      </c>
      <c r="BQ163" s="223">
        <f t="shared" ref="BQ163" si="1369">BP163+1</f>
        <v>27</v>
      </c>
      <c r="BR163" s="223">
        <f t="shared" ref="BR163" si="1370">BQ163+1</f>
        <v>28</v>
      </c>
      <c r="BS163" s="223">
        <f t="shared" ref="BS163" si="1371">BR163+1</f>
        <v>29</v>
      </c>
      <c r="BT163" s="223">
        <f t="shared" ref="BT163" si="1372">BS163+1</f>
        <v>30</v>
      </c>
      <c r="BU163" s="223">
        <f t="shared" ref="BU163" si="1373">BT163+1</f>
        <v>31</v>
      </c>
      <c r="BV163" s="223">
        <f t="shared" ref="BV163" si="1374">BU163+1</f>
        <v>32</v>
      </c>
      <c r="BW163" s="223">
        <f t="shared" ref="BW163" si="1375">BV163+1</f>
        <v>33</v>
      </c>
      <c r="BX163" s="223">
        <f t="shared" ref="BX163" si="1376">BW163+1</f>
        <v>34</v>
      </c>
      <c r="BY163" s="222">
        <f t="shared" ref="BY163" si="1377">BX163+1</f>
        <v>35</v>
      </c>
      <c r="BZ163" s="223">
        <f t="shared" ref="BZ163" si="1378">BY163+1</f>
        <v>36</v>
      </c>
      <c r="CA163" s="223">
        <f t="shared" ref="CA163" si="1379">BZ163+1</f>
        <v>37</v>
      </c>
      <c r="CB163" s="223">
        <f t="shared" ref="CB163" si="1380">CA163+1</f>
        <v>38</v>
      </c>
      <c r="CC163" s="223">
        <f t="shared" ref="CC163" si="1381">CB163+1</f>
        <v>39</v>
      </c>
      <c r="CD163" s="223">
        <f t="shared" ref="CD163" si="1382">CC163+1</f>
        <v>40</v>
      </c>
      <c r="CE163" s="223">
        <f t="shared" ref="CE163" si="1383">CD163+1</f>
        <v>41</v>
      </c>
      <c r="CF163" s="223">
        <f t="shared" ref="CF163" si="1384">CE163+1</f>
        <v>42</v>
      </c>
      <c r="CG163" s="223">
        <f t="shared" ref="CG163" si="1385">CF163+1</f>
        <v>43</v>
      </c>
      <c r="CH163" s="223">
        <f t="shared" ref="CH163" si="1386">CG163+1</f>
        <v>44</v>
      </c>
      <c r="CI163" s="223">
        <f t="shared" ref="CI163" si="1387">CH163+1</f>
        <v>45</v>
      </c>
      <c r="CJ163" s="223">
        <f t="shared" ref="CJ163" si="1388">CI163+1</f>
        <v>46</v>
      </c>
      <c r="CK163" s="222">
        <f t="shared" ref="CK163" si="1389">CJ163+1</f>
        <v>47</v>
      </c>
    </row>
    <row r="164" spans="2:89" s="17" customFormat="1" x14ac:dyDescent="0.2">
      <c r="B164" s="121" t="s">
        <v>80</v>
      </c>
      <c r="C164" s="221">
        <v>20</v>
      </c>
      <c r="D164" s="17" t="s">
        <v>81</v>
      </c>
      <c r="E164" s="219"/>
      <c r="N164" s="218">
        <f t="shared" ref="N164:BA164" si="1390">N163*$C164</f>
        <v>0</v>
      </c>
      <c r="O164" s="218">
        <f t="shared" si="1390"/>
        <v>0</v>
      </c>
      <c r="P164" s="382">
        <f t="shared" si="1390"/>
        <v>0</v>
      </c>
      <c r="Q164" s="383">
        <f t="shared" si="1390"/>
        <v>0</v>
      </c>
      <c r="R164" s="218">
        <f t="shared" si="1390"/>
        <v>0</v>
      </c>
      <c r="S164" s="218">
        <f t="shared" si="1390"/>
        <v>0</v>
      </c>
      <c r="T164" s="218">
        <f t="shared" si="1390"/>
        <v>0</v>
      </c>
      <c r="U164" s="218">
        <f t="shared" si="1390"/>
        <v>0</v>
      </c>
      <c r="V164" s="218">
        <f t="shared" si="1390"/>
        <v>0</v>
      </c>
      <c r="W164" s="218">
        <f t="shared" si="1390"/>
        <v>0</v>
      </c>
      <c r="X164" s="218">
        <f t="shared" si="1390"/>
        <v>0</v>
      </c>
      <c r="Y164" s="218">
        <f t="shared" si="1390"/>
        <v>0</v>
      </c>
      <c r="Z164" s="218">
        <f t="shared" si="1390"/>
        <v>0</v>
      </c>
      <c r="AA164" s="218">
        <f t="shared" si="1390"/>
        <v>0</v>
      </c>
      <c r="AB164" s="218">
        <f t="shared" si="1390"/>
        <v>0</v>
      </c>
      <c r="AC164" s="217">
        <f t="shared" si="1390"/>
        <v>0</v>
      </c>
      <c r="AD164" s="218">
        <f t="shared" si="1390"/>
        <v>0</v>
      </c>
      <c r="AE164" s="218">
        <f t="shared" si="1390"/>
        <v>0</v>
      </c>
      <c r="AF164" s="218">
        <f t="shared" si="1390"/>
        <v>0</v>
      </c>
      <c r="AG164" s="218">
        <f t="shared" si="1390"/>
        <v>0</v>
      </c>
      <c r="AH164" s="218">
        <f t="shared" si="1390"/>
        <v>0</v>
      </c>
      <c r="AI164" s="218">
        <f t="shared" si="1390"/>
        <v>0</v>
      </c>
      <c r="AJ164" s="218">
        <f t="shared" si="1390"/>
        <v>0</v>
      </c>
      <c r="AK164" s="218">
        <f t="shared" si="1390"/>
        <v>0</v>
      </c>
      <c r="AL164" s="218">
        <f t="shared" si="1390"/>
        <v>0</v>
      </c>
      <c r="AM164" s="218"/>
      <c r="AN164" s="218"/>
      <c r="AO164" s="217"/>
      <c r="AP164" s="218"/>
      <c r="AQ164" s="218"/>
      <c r="AR164" s="218">
        <f t="shared" si="1390"/>
        <v>40</v>
      </c>
      <c r="AS164" s="218">
        <f t="shared" si="1390"/>
        <v>60</v>
      </c>
      <c r="AT164" s="218">
        <f t="shared" si="1390"/>
        <v>80</v>
      </c>
      <c r="AU164" s="218">
        <f t="shared" si="1390"/>
        <v>100</v>
      </c>
      <c r="AV164" s="218">
        <f t="shared" si="1390"/>
        <v>120</v>
      </c>
      <c r="AW164" s="218">
        <f t="shared" si="1390"/>
        <v>140</v>
      </c>
      <c r="AX164" s="218">
        <f t="shared" si="1390"/>
        <v>160</v>
      </c>
      <c r="AY164" s="218">
        <f t="shared" si="1390"/>
        <v>180</v>
      </c>
      <c r="AZ164" s="218">
        <f t="shared" si="1390"/>
        <v>200</v>
      </c>
      <c r="BA164" s="217">
        <f t="shared" si="1390"/>
        <v>220</v>
      </c>
      <c r="BB164" s="218">
        <f t="shared" ref="BB164:BM164" si="1391">BB163*$C164</f>
        <v>240</v>
      </c>
      <c r="BC164" s="218">
        <f t="shared" si="1391"/>
        <v>260</v>
      </c>
      <c r="BD164" s="218">
        <f t="shared" si="1391"/>
        <v>280</v>
      </c>
      <c r="BE164" s="218">
        <f t="shared" si="1391"/>
        <v>300</v>
      </c>
      <c r="BF164" s="218">
        <f t="shared" si="1391"/>
        <v>320</v>
      </c>
      <c r="BG164" s="218">
        <f t="shared" si="1391"/>
        <v>340</v>
      </c>
      <c r="BH164" s="218">
        <f t="shared" si="1391"/>
        <v>360</v>
      </c>
      <c r="BI164" s="218">
        <f t="shared" si="1391"/>
        <v>380</v>
      </c>
      <c r="BJ164" s="218">
        <f t="shared" si="1391"/>
        <v>400</v>
      </c>
      <c r="BK164" s="218">
        <f t="shared" si="1391"/>
        <v>420</v>
      </c>
      <c r="BL164" s="218">
        <f t="shared" si="1391"/>
        <v>440</v>
      </c>
      <c r="BM164" s="217">
        <f t="shared" si="1391"/>
        <v>460</v>
      </c>
      <c r="BN164" s="218">
        <f t="shared" ref="BN164:BY164" si="1392">BN163*$C164</f>
        <v>480</v>
      </c>
      <c r="BO164" s="218">
        <f t="shared" si="1392"/>
        <v>500</v>
      </c>
      <c r="BP164" s="218">
        <f t="shared" si="1392"/>
        <v>520</v>
      </c>
      <c r="BQ164" s="218">
        <f t="shared" si="1392"/>
        <v>540</v>
      </c>
      <c r="BR164" s="218">
        <f t="shared" si="1392"/>
        <v>560</v>
      </c>
      <c r="BS164" s="218">
        <f t="shared" si="1392"/>
        <v>580</v>
      </c>
      <c r="BT164" s="218">
        <f t="shared" si="1392"/>
        <v>600</v>
      </c>
      <c r="BU164" s="218">
        <f t="shared" si="1392"/>
        <v>620</v>
      </c>
      <c r="BV164" s="218">
        <f t="shared" si="1392"/>
        <v>640</v>
      </c>
      <c r="BW164" s="218">
        <f t="shared" si="1392"/>
        <v>660</v>
      </c>
      <c r="BX164" s="218">
        <f t="shared" si="1392"/>
        <v>680</v>
      </c>
      <c r="BY164" s="217">
        <f t="shared" si="1392"/>
        <v>700</v>
      </c>
      <c r="BZ164" s="218">
        <f t="shared" ref="BZ164:CK164" si="1393">BZ163*$C164</f>
        <v>720</v>
      </c>
      <c r="CA164" s="218">
        <f t="shared" si="1393"/>
        <v>740</v>
      </c>
      <c r="CB164" s="218">
        <f t="shared" si="1393"/>
        <v>760</v>
      </c>
      <c r="CC164" s="218">
        <f t="shared" si="1393"/>
        <v>780</v>
      </c>
      <c r="CD164" s="218">
        <f t="shared" si="1393"/>
        <v>800</v>
      </c>
      <c r="CE164" s="218">
        <f t="shared" si="1393"/>
        <v>820</v>
      </c>
      <c r="CF164" s="218">
        <f t="shared" si="1393"/>
        <v>840</v>
      </c>
      <c r="CG164" s="218">
        <f t="shared" si="1393"/>
        <v>860</v>
      </c>
      <c r="CH164" s="218">
        <f t="shared" si="1393"/>
        <v>880</v>
      </c>
      <c r="CI164" s="218">
        <f t="shared" si="1393"/>
        <v>900</v>
      </c>
      <c r="CJ164" s="218">
        <f t="shared" si="1393"/>
        <v>920</v>
      </c>
      <c r="CK164" s="217">
        <f t="shared" si="1393"/>
        <v>940</v>
      </c>
    </row>
    <row r="165" spans="2:89" s="17" customFormat="1" x14ac:dyDescent="0.2">
      <c r="B165" s="121" t="s">
        <v>59</v>
      </c>
      <c r="C165" s="220">
        <v>0.05</v>
      </c>
      <c r="E165" s="219"/>
      <c r="N165" s="218"/>
      <c r="O165" s="218"/>
      <c r="P165" s="382">
        <f t="shared" ref="P165:BA165" si="1394">N166*$C165</f>
        <v>0</v>
      </c>
      <c r="Q165" s="383">
        <f t="shared" si="1394"/>
        <v>0</v>
      </c>
      <c r="R165" s="218">
        <f t="shared" si="1394"/>
        <v>0</v>
      </c>
      <c r="S165" s="218">
        <f t="shared" si="1394"/>
        <v>0</v>
      </c>
      <c r="T165" s="218">
        <f t="shared" si="1394"/>
        <v>0</v>
      </c>
      <c r="U165" s="218">
        <f t="shared" si="1394"/>
        <v>0</v>
      </c>
      <c r="V165" s="218">
        <f t="shared" si="1394"/>
        <v>0</v>
      </c>
      <c r="W165" s="218">
        <f t="shared" si="1394"/>
        <v>0</v>
      </c>
      <c r="X165" s="218">
        <f t="shared" si="1394"/>
        <v>0</v>
      </c>
      <c r="Y165" s="218">
        <f t="shared" si="1394"/>
        <v>0</v>
      </c>
      <c r="Z165" s="218">
        <f t="shared" si="1394"/>
        <v>0</v>
      </c>
      <c r="AA165" s="218">
        <f t="shared" si="1394"/>
        <v>0</v>
      </c>
      <c r="AB165" s="218">
        <f t="shared" si="1394"/>
        <v>0</v>
      </c>
      <c r="AC165" s="217">
        <f t="shared" si="1394"/>
        <v>0</v>
      </c>
      <c r="AD165" s="218">
        <f t="shared" si="1394"/>
        <v>0</v>
      </c>
      <c r="AE165" s="218">
        <f t="shared" si="1394"/>
        <v>0</v>
      </c>
      <c r="AF165" s="218">
        <f t="shared" si="1394"/>
        <v>0</v>
      </c>
      <c r="AG165" s="218">
        <f t="shared" si="1394"/>
        <v>0</v>
      </c>
      <c r="AH165" s="218">
        <f t="shared" si="1394"/>
        <v>0</v>
      </c>
      <c r="AI165" s="218">
        <f t="shared" si="1394"/>
        <v>0</v>
      </c>
      <c r="AJ165" s="218">
        <f t="shared" si="1394"/>
        <v>0</v>
      </c>
      <c r="AK165" s="218">
        <f t="shared" si="1394"/>
        <v>0</v>
      </c>
      <c r="AL165" s="218">
        <f t="shared" si="1394"/>
        <v>0</v>
      </c>
      <c r="AM165" s="218"/>
      <c r="AN165" s="218"/>
      <c r="AO165" s="217"/>
      <c r="AP165" s="218"/>
      <c r="AQ165" s="218"/>
      <c r="AR165" s="218">
        <f t="shared" si="1394"/>
        <v>0</v>
      </c>
      <c r="AS165" s="218">
        <f t="shared" si="1394"/>
        <v>0</v>
      </c>
      <c r="AT165" s="218">
        <f t="shared" si="1394"/>
        <v>2</v>
      </c>
      <c r="AU165" s="218">
        <f t="shared" si="1394"/>
        <v>5</v>
      </c>
      <c r="AV165" s="218">
        <f t="shared" si="1394"/>
        <v>8.9</v>
      </c>
      <c r="AW165" s="218">
        <f t="shared" si="1394"/>
        <v>13.65</v>
      </c>
      <c r="AX165" s="218">
        <f t="shared" si="1394"/>
        <v>19.205000000000002</v>
      </c>
      <c r="AY165" s="218">
        <f t="shared" si="1394"/>
        <v>25.522500000000004</v>
      </c>
      <c r="AZ165" s="218">
        <f t="shared" si="1394"/>
        <v>32.562249999999999</v>
      </c>
      <c r="BA165" s="217">
        <f t="shared" si="1394"/>
        <v>40.286124999999998</v>
      </c>
      <c r="BB165" s="218">
        <f t="shared" ref="BB165" si="1395">AZ166*$C165</f>
        <v>48.658012500000005</v>
      </c>
      <c r="BC165" s="218">
        <f t="shared" ref="BC165" si="1396">BA166*$C165</f>
        <v>57.643706249999994</v>
      </c>
      <c r="BD165" s="218">
        <f t="shared" ref="BD165" si="1397">BB166*$C165</f>
        <v>67.210805624999992</v>
      </c>
      <c r="BE165" s="218">
        <f t="shared" ref="BE165" si="1398">BC166*$C165</f>
        <v>77.328620312499993</v>
      </c>
      <c r="BF165" s="218">
        <f t="shared" ref="BF165" si="1399">BD166*$C165</f>
        <v>87.968080031249997</v>
      </c>
      <c r="BG165" s="218">
        <f t="shared" ref="BG165" si="1400">BE166*$C165</f>
        <v>99.101649015625014</v>
      </c>
      <c r="BH165" s="218">
        <f t="shared" ref="BH165" si="1401">BF166*$C165</f>
        <v>110.70324501406252</v>
      </c>
      <c r="BI165" s="218">
        <f t="shared" ref="BI165" si="1402">BG166*$C165</f>
        <v>122.74816256328127</v>
      </c>
      <c r="BJ165" s="218">
        <f t="shared" ref="BJ165" si="1403">BH166*$C165</f>
        <v>135.21300031257815</v>
      </c>
      <c r="BK165" s="218">
        <f t="shared" ref="BK165" si="1404">BI166*$C165</f>
        <v>148.07559218441409</v>
      </c>
      <c r="BL165" s="218">
        <f t="shared" ref="BL165" si="1405">BJ166*$C165</f>
        <v>161.31494216878519</v>
      </c>
      <c r="BM165" s="217">
        <f t="shared" ref="BM165" si="1406">BK166*$C165</f>
        <v>174.91116255956447</v>
      </c>
      <c r="BN165" s="218">
        <f t="shared" ref="BN165" si="1407">BL166*$C165</f>
        <v>188.84541545112521</v>
      </c>
      <c r="BO165" s="218">
        <f t="shared" ref="BO165" si="1408">BM166*$C165</f>
        <v>203.09985732314698</v>
      </c>
      <c r="BP165" s="218">
        <f t="shared" ref="BP165" si="1409">BN166*$C165</f>
        <v>217.65758655059074</v>
      </c>
      <c r="BQ165" s="218">
        <f t="shared" ref="BQ165" si="1410">BO166*$C165</f>
        <v>232.50259368443335</v>
      </c>
      <c r="BR165" s="218">
        <f t="shared" ref="BR165" si="1411">BP166*$C165</f>
        <v>247.61971435690381</v>
      </c>
      <c r="BS165" s="218">
        <f t="shared" ref="BS165" si="1412">BQ166*$C165</f>
        <v>262.99458467268215</v>
      </c>
      <c r="BT165" s="218">
        <f t="shared" ref="BT165" si="1413">BR166*$C165</f>
        <v>278.61359895483696</v>
      </c>
      <c r="BU165" s="218">
        <f t="shared" ref="BU165" si="1414">BS166*$C165</f>
        <v>294.46386972120285</v>
      </c>
      <c r="BV165" s="218">
        <f t="shared" ref="BV165" si="1415">BT166*$C165</f>
        <v>310.53318977346106</v>
      </c>
      <c r="BW165" s="218">
        <f t="shared" ref="BW165" si="1416">BU166*$C165</f>
        <v>326.80999628740091</v>
      </c>
      <c r="BX165" s="218">
        <f t="shared" ref="BX165" si="1417">BV166*$C165</f>
        <v>343.28333679872782</v>
      </c>
      <c r="BY165" s="217">
        <f t="shared" ref="BY165" si="1418">BW166*$C165</f>
        <v>359.94283698435777</v>
      </c>
      <c r="BZ165" s="218">
        <f t="shared" ref="BZ165" si="1419">BX166*$C165</f>
        <v>376.77867014442137</v>
      </c>
      <c r="CA165" s="218">
        <f t="shared" ref="CA165" si="1420">BY166*$C165</f>
        <v>393.78152829520349</v>
      </c>
      <c r="CB165" s="218">
        <f t="shared" ref="CB165" si="1421">BZ166*$C165</f>
        <v>410.94259478798244</v>
      </c>
      <c r="CC165" s="218">
        <f t="shared" ref="CC165" si="1422">CA166*$C165</f>
        <v>428.25351837322228</v>
      </c>
      <c r="CD165" s="218">
        <f t="shared" ref="CD165" si="1423">CB166*$C165</f>
        <v>445.70638863382311</v>
      </c>
      <c r="CE165" s="218">
        <f t="shared" ref="CE165" si="1424">CC166*$C165</f>
        <v>463.29371271516203</v>
      </c>
      <c r="CF165" s="218">
        <f t="shared" ref="CF165" si="1425">CD166*$C165</f>
        <v>481.00839328347087</v>
      </c>
      <c r="CG165" s="218">
        <f t="shared" ref="CG165" si="1426">CE166*$C165</f>
        <v>498.84370764771279</v>
      </c>
      <c r="CH165" s="218">
        <f t="shared" ref="CH165" si="1427">CF166*$C165</f>
        <v>516.79328798353924</v>
      </c>
      <c r="CI165" s="218">
        <f t="shared" ref="CI165" si="1428">CG166*$C165</f>
        <v>534.85110260115357</v>
      </c>
      <c r="CJ165" s="218">
        <f t="shared" ref="CJ165" si="1429">CH166*$C165</f>
        <v>553.0114382019766</v>
      </c>
      <c r="CK165" s="217">
        <f t="shared" ref="CK165" si="1430">CI166*$C165</f>
        <v>571.26888307191894</v>
      </c>
    </row>
    <row r="166" spans="2:89" x14ac:dyDescent="0.2">
      <c r="B166" s="21" t="s">
        <v>72</v>
      </c>
      <c r="C166" s="211"/>
      <c r="M166" s="108">
        <v>0</v>
      </c>
      <c r="N166" s="216">
        <f>M166+N164</f>
        <v>0</v>
      </c>
      <c r="O166" s="216">
        <f>N166+O164</f>
        <v>0</v>
      </c>
      <c r="P166" s="384">
        <f t="shared" ref="P166:BA166" si="1431">O166+P164-P165</f>
        <v>0</v>
      </c>
      <c r="Q166" s="385">
        <f t="shared" si="1431"/>
        <v>0</v>
      </c>
      <c r="R166" s="216">
        <f t="shared" si="1431"/>
        <v>0</v>
      </c>
      <c r="S166" s="216">
        <f t="shared" si="1431"/>
        <v>0</v>
      </c>
      <c r="T166" s="216">
        <f t="shared" si="1431"/>
        <v>0</v>
      </c>
      <c r="U166" s="216">
        <f t="shared" si="1431"/>
        <v>0</v>
      </c>
      <c r="V166" s="216">
        <f t="shared" si="1431"/>
        <v>0</v>
      </c>
      <c r="W166" s="216">
        <f t="shared" si="1431"/>
        <v>0</v>
      </c>
      <c r="X166" s="216">
        <f t="shared" si="1431"/>
        <v>0</v>
      </c>
      <c r="Y166" s="216">
        <f t="shared" si="1431"/>
        <v>0</v>
      </c>
      <c r="Z166" s="216">
        <f t="shared" si="1431"/>
        <v>0</v>
      </c>
      <c r="AA166" s="216">
        <f t="shared" si="1431"/>
        <v>0</v>
      </c>
      <c r="AB166" s="216">
        <f t="shared" si="1431"/>
        <v>0</v>
      </c>
      <c r="AC166" s="215">
        <f t="shared" si="1431"/>
        <v>0</v>
      </c>
      <c r="AD166" s="216">
        <f t="shared" si="1431"/>
        <v>0</v>
      </c>
      <c r="AE166" s="216">
        <f t="shared" si="1431"/>
        <v>0</v>
      </c>
      <c r="AF166" s="216">
        <f t="shared" si="1431"/>
        <v>0</v>
      </c>
      <c r="AG166" s="216">
        <f t="shared" si="1431"/>
        <v>0</v>
      </c>
      <c r="AH166" s="216">
        <f t="shared" si="1431"/>
        <v>0</v>
      </c>
      <c r="AI166" s="216">
        <f t="shared" si="1431"/>
        <v>0</v>
      </c>
      <c r="AJ166" s="216">
        <f t="shared" si="1431"/>
        <v>0</v>
      </c>
      <c r="AK166" s="216">
        <f t="shared" si="1431"/>
        <v>0</v>
      </c>
      <c r="AL166" s="216">
        <f t="shared" si="1431"/>
        <v>0</v>
      </c>
      <c r="AM166" s="216"/>
      <c r="AN166" s="216"/>
      <c r="AO166" s="215"/>
      <c r="AP166" s="216"/>
      <c r="AQ166" s="216"/>
      <c r="AR166" s="216">
        <f t="shared" si="1431"/>
        <v>40</v>
      </c>
      <c r="AS166" s="216">
        <f t="shared" si="1431"/>
        <v>100</v>
      </c>
      <c r="AT166" s="216">
        <f t="shared" si="1431"/>
        <v>178</v>
      </c>
      <c r="AU166" s="216">
        <f t="shared" si="1431"/>
        <v>273</v>
      </c>
      <c r="AV166" s="216">
        <f t="shared" si="1431"/>
        <v>384.1</v>
      </c>
      <c r="AW166" s="216">
        <f t="shared" si="1431"/>
        <v>510.45000000000005</v>
      </c>
      <c r="AX166" s="216">
        <f t="shared" si="1431"/>
        <v>651.245</v>
      </c>
      <c r="AY166" s="216">
        <f t="shared" si="1431"/>
        <v>805.72249999999997</v>
      </c>
      <c r="AZ166" s="216">
        <f t="shared" si="1431"/>
        <v>973.16025000000002</v>
      </c>
      <c r="BA166" s="215">
        <f t="shared" si="1431"/>
        <v>1152.8741249999998</v>
      </c>
      <c r="BB166" s="216">
        <f t="shared" ref="BB166" si="1432">BA166+BB164-BB165</f>
        <v>1344.2161124999998</v>
      </c>
      <c r="BC166" s="216">
        <f t="shared" ref="BC166" si="1433">BB166+BC164-BC165</f>
        <v>1546.5724062499999</v>
      </c>
      <c r="BD166" s="216">
        <f t="shared" ref="BD166" si="1434">BC166+BD164-BD165</f>
        <v>1759.3616006249999</v>
      </c>
      <c r="BE166" s="216">
        <f t="shared" ref="BE166" si="1435">BD166+BE164-BE165</f>
        <v>1982.0329803125001</v>
      </c>
      <c r="BF166" s="216">
        <f t="shared" ref="BF166" si="1436">BE166+BF164-BF165</f>
        <v>2214.0649002812502</v>
      </c>
      <c r="BG166" s="216">
        <f t="shared" ref="BG166" si="1437">BF166+BG164-BG165</f>
        <v>2454.9632512656253</v>
      </c>
      <c r="BH166" s="216">
        <f t="shared" ref="BH166" si="1438">BG166+BH164-BH165</f>
        <v>2704.260006251563</v>
      </c>
      <c r="BI166" s="216">
        <f t="shared" ref="BI166" si="1439">BH166+BI164-BI165</f>
        <v>2961.5118436882817</v>
      </c>
      <c r="BJ166" s="216">
        <f t="shared" ref="BJ166" si="1440">BI166+BJ164-BJ165</f>
        <v>3226.2988433757037</v>
      </c>
      <c r="BK166" s="216">
        <f t="shared" ref="BK166" si="1441">BJ166+BK164-BK165</f>
        <v>3498.2232511912894</v>
      </c>
      <c r="BL166" s="216">
        <f t="shared" ref="BL166" si="1442">BK166+BL164-BL165</f>
        <v>3776.908309022504</v>
      </c>
      <c r="BM166" s="215">
        <f t="shared" ref="BM166" si="1443">BL166+BM164-BM165</f>
        <v>4061.9971464629393</v>
      </c>
      <c r="BN166" s="216">
        <f t="shared" ref="BN166" si="1444">BM166+BN164-BN165</f>
        <v>4353.1517310118143</v>
      </c>
      <c r="BO166" s="216">
        <f t="shared" ref="BO166" si="1445">BN166+BO164-BO165</f>
        <v>4650.051873688667</v>
      </c>
      <c r="BP166" s="216">
        <f t="shared" ref="BP166" si="1446">BO166+BP164-BP165</f>
        <v>4952.3942871380759</v>
      </c>
      <c r="BQ166" s="216">
        <f t="shared" ref="BQ166" si="1447">BP166+BQ164-BQ165</f>
        <v>5259.8916934536428</v>
      </c>
      <c r="BR166" s="216">
        <f t="shared" ref="BR166" si="1448">BQ166+BR164-BR165</f>
        <v>5572.2719790967394</v>
      </c>
      <c r="BS166" s="216">
        <f t="shared" ref="BS166" si="1449">BR166+BS164-BS165</f>
        <v>5889.2773944240571</v>
      </c>
      <c r="BT166" s="216">
        <f t="shared" ref="BT166" si="1450">BS166+BT164-BT165</f>
        <v>6210.6637954692205</v>
      </c>
      <c r="BU166" s="216">
        <f t="shared" ref="BU166" si="1451">BT166+BU164-BU165</f>
        <v>6536.1999257480174</v>
      </c>
      <c r="BV166" s="216">
        <f t="shared" ref="BV166" si="1452">BU166+BV164-BV165</f>
        <v>6865.6667359745561</v>
      </c>
      <c r="BW166" s="216">
        <f t="shared" ref="BW166" si="1453">BV166+BW164-BW165</f>
        <v>7198.8567396871549</v>
      </c>
      <c r="BX166" s="216">
        <f t="shared" ref="BX166" si="1454">BW166+BX164-BX165</f>
        <v>7535.5734028884272</v>
      </c>
      <c r="BY166" s="215">
        <f t="shared" ref="BY166" si="1455">BX166+BY164-BY165</f>
        <v>7875.630565904069</v>
      </c>
      <c r="BZ166" s="216">
        <f t="shared" ref="BZ166" si="1456">BY166+BZ164-BZ165</f>
        <v>8218.851895759648</v>
      </c>
      <c r="CA166" s="216">
        <f t="shared" ref="CA166" si="1457">BZ166+CA164-CA165</f>
        <v>8565.0703674644446</v>
      </c>
      <c r="CB166" s="216">
        <f t="shared" ref="CB166" si="1458">CA166+CB164-CB165</f>
        <v>8914.127772676462</v>
      </c>
      <c r="CC166" s="216">
        <f t="shared" ref="CC166" si="1459">CB166+CC164-CC165</f>
        <v>9265.8742543032404</v>
      </c>
      <c r="CD166" s="216">
        <f t="shared" ref="CD166" si="1460">CC166+CD164-CD165</f>
        <v>9620.1678656694166</v>
      </c>
      <c r="CE166" s="216">
        <f t="shared" ref="CE166" si="1461">CD166+CE164-CE165</f>
        <v>9976.8741529542549</v>
      </c>
      <c r="CF166" s="216">
        <f t="shared" ref="CF166" si="1462">CE166+CF164-CF165</f>
        <v>10335.865759670784</v>
      </c>
      <c r="CG166" s="216">
        <f t="shared" ref="CG166" si="1463">CF166+CG164-CG165</f>
        <v>10697.022052023071</v>
      </c>
      <c r="CH166" s="216">
        <f t="shared" ref="CH166" si="1464">CG166+CH164-CH165</f>
        <v>11060.228764039532</v>
      </c>
      <c r="CI166" s="216">
        <f t="shared" ref="CI166" si="1465">CH166+CI164-CI165</f>
        <v>11425.377661438379</v>
      </c>
      <c r="CJ166" s="216">
        <f t="shared" ref="CJ166" si="1466">CI166+CJ164-CJ165</f>
        <v>11792.366223236402</v>
      </c>
      <c r="CK166" s="215">
        <f t="shared" ref="CK166" si="1467">CJ166+CK164-CK165</f>
        <v>12161.097340164484</v>
      </c>
    </row>
    <row r="167" spans="2:89" x14ac:dyDescent="0.2">
      <c r="B167" s="121" t="s">
        <v>82</v>
      </c>
      <c r="C167" s="214">
        <v>75</v>
      </c>
      <c r="N167" s="169"/>
      <c r="O167" s="169"/>
      <c r="P167" s="386"/>
      <c r="Q167" s="387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  <c r="AB167" s="169"/>
      <c r="AC167" s="170"/>
      <c r="AD167" s="169"/>
      <c r="AE167" s="169"/>
      <c r="AF167" s="169"/>
      <c r="AG167" s="169"/>
      <c r="AH167" s="169"/>
      <c r="AI167" s="169"/>
      <c r="AJ167" s="169"/>
      <c r="AK167" s="169"/>
      <c r="AL167" s="169"/>
      <c r="AM167" s="169"/>
      <c r="AN167" s="169"/>
      <c r="AO167" s="170"/>
      <c r="AP167" s="169"/>
      <c r="AQ167" s="169"/>
      <c r="AR167" s="169"/>
      <c r="AS167" s="169"/>
      <c r="AT167" s="169"/>
      <c r="AU167" s="169"/>
      <c r="AV167" s="169"/>
      <c r="AW167" s="169"/>
      <c r="AX167" s="169"/>
      <c r="AY167" s="169"/>
      <c r="AZ167" s="169"/>
      <c r="BA167" s="170"/>
      <c r="BB167" s="169"/>
      <c r="BC167" s="169"/>
      <c r="BD167" s="169"/>
      <c r="BE167" s="169"/>
      <c r="BF167" s="169"/>
      <c r="BG167" s="169"/>
      <c r="BH167" s="169"/>
      <c r="BI167" s="169"/>
      <c r="BJ167" s="169"/>
      <c r="BK167" s="169"/>
      <c r="BL167" s="169"/>
      <c r="BM167" s="170"/>
      <c r="BN167" s="169"/>
      <c r="BO167" s="169"/>
      <c r="BP167" s="169"/>
      <c r="BQ167" s="169"/>
      <c r="BR167" s="169"/>
      <c r="BS167" s="169"/>
      <c r="BT167" s="169"/>
      <c r="BU167" s="169"/>
      <c r="BV167" s="169"/>
      <c r="BW167" s="169"/>
      <c r="BX167" s="169"/>
      <c r="BY167" s="170"/>
      <c r="BZ167" s="169"/>
      <c r="CA167" s="169"/>
      <c r="CB167" s="169"/>
      <c r="CC167" s="169"/>
      <c r="CD167" s="169"/>
      <c r="CE167" s="169"/>
      <c r="CF167" s="169"/>
      <c r="CG167" s="169"/>
      <c r="CH167" s="169"/>
      <c r="CI167" s="169"/>
      <c r="CJ167" s="169"/>
      <c r="CK167" s="170"/>
    </row>
    <row r="168" spans="2:89" s="107" customFormat="1" x14ac:dyDescent="0.2">
      <c r="B168" s="142" t="s">
        <v>83</v>
      </c>
      <c r="E168" s="143"/>
      <c r="N168" s="213">
        <f t="shared" ref="N168:BA168" si="1468">$C167*N166</f>
        <v>0</v>
      </c>
      <c r="O168" s="213">
        <f t="shared" si="1468"/>
        <v>0</v>
      </c>
      <c r="P168" s="386">
        <f t="shared" si="1468"/>
        <v>0</v>
      </c>
      <c r="Q168" s="387">
        <f t="shared" si="1468"/>
        <v>0</v>
      </c>
      <c r="R168" s="213">
        <f t="shared" si="1468"/>
        <v>0</v>
      </c>
      <c r="S168" s="213">
        <f t="shared" si="1468"/>
        <v>0</v>
      </c>
      <c r="T168" s="213">
        <f t="shared" si="1468"/>
        <v>0</v>
      </c>
      <c r="U168" s="213">
        <f t="shared" si="1468"/>
        <v>0</v>
      </c>
      <c r="V168" s="213">
        <f t="shared" si="1468"/>
        <v>0</v>
      </c>
      <c r="W168" s="213">
        <f t="shared" si="1468"/>
        <v>0</v>
      </c>
      <c r="X168" s="213">
        <f t="shared" si="1468"/>
        <v>0</v>
      </c>
      <c r="Y168" s="213">
        <f t="shared" si="1468"/>
        <v>0</v>
      </c>
      <c r="Z168" s="213">
        <f t="shared" si="1468"/>
        <v>0</v>
      </c>
      <c r="AA168" s="213">
        <f t="shared" si="1468"/>
        <v>0</v>
      </c>
      <c r="AB168" s="213">
        <f t="shared" si="1468"/>
        <v>0</v>
      </c>
      <c r="AC168" s="212">
        <f t="shared" si="1468"/>
        <v>0</v>
      </c>
      <c r="AD168" s="213">
        <f t="shared" si="1468"/>
        <v>0</v>
      </c>
      <c r="AE168" s="213">
        <f t="shared" si="1468"/>
        <v>0</v>
      </c>
      <c r="AF168" s="213">
        <f t="shared" si="1468"/>
        <v>0</v>
      </c>
      <c r="AG168" s="213">
        <f t="shared" si="1468"/>
        <v>0</v>
      </c>
      <c r="AH168" s="213">
        <f t="shared" si="1468"/>
        <v>0</v>
      </c>
      <c r="AI168" s="213">
        <f t="shared" si="1468"/>
        <v>0</v>
      </c>
      <c r="AJ168" s="213">
        <f t="shared" si="1468"/>
        <v>0</v>
      </c>
      <c r="AK168" s="213">
        <f t="shared" si="1468"/>
        <v>0</v>
      </c>
      <c r="AL168" s="213">
        <f t="shared" si="1468"/>
        <v>0</v>
      </c>
      <c r="AM168" s="213">
        <f t="shared" si="1468"/>
        <v>0</v>
      </c>
      <c r="AN168" s="213">
        <f t="shared" si="1468"/>
        <v>0</v>
      </c>
      <c r="AO168" s="212">
        <f t="shared" si="1468"/>
        <v>0</v>
      </c>
      <c r="AP168" s="213">
        <f t="shared" si="1468"/>
        <v>0</v>
      </c>
      <c r="AQ168" s="213">
        <f t="shared" si="1468"/>
        <v>0</v>
      </c>
      <c r="AR168" s="213">
        <f t="shared" si="1468"/>
        <v>3000</v>
      </c>
      <c r="AS168" s="213">
        <f t="shared" si="1468"/>
        <v>7500</v>
      </c>
      <c r="AT168" s="213">
        <f t="shared" si="1468"/>
        <v>13350</v>
      </c>
      <c r="AU168" s="213">
        <f t="shared" si="1468"/>
        <v>20475</v>
      </c>
      <c r="AV168" s="213">
        <f t="shared" si="1468"/>
        <v>28807.5</v>
      </c>
      <c r="AW168" s="213">
        <f t="shared" si="1468"/>
        <v>38283.75</v>
      </c>
      <c r="AX168" s="213">
        <f t="shared" si="1468"/>
        <v>48843.375</v>
      </c>
      <c r="AY168" s="213">
        <f t="shared" si="1468"/>
        <v>60429.1875</v>
      </c>
      <c r="AZ168" s="213">
        <f t="shared" si="1468"/>
        <v>72987.018750000003</v>
      </c>
      <c r="BA168" s="212">
        <f t="shared" si="1468"/>
        <v>86465.559374999983</v>
      </c>
      <c r="BB168" s="213">
        <f t="shared" ref="BB168:BM168" si="1469">$C167*BB166</f>
        <v>100816.20843749998</v>
      </c>
      <c r="BC168" s="213">
        <f t="shared" si="1469"/>
        <v>115992.93046874998</v>
      </c>
      <c r="BD168" s="213">
        <f t="shared" si="1469"/>
        <v>131952.120046875</v>
      </c>
      <c r="BE168" s="213">
        <f t="shared" si="1469"/>
        <v>148652.47352343751</v>
      </c>
      <c r="BF168" s="213">
        <f t="shared" si="1469"/>
        <v>166054.86752109375</v>
      </c>
      <c r="BG168" s="213">
        <f t="shared" si="1469"/>
        <v>184122.2438449219</v>
      </c>
      <c r="BH168" s="213">
        <f t="shared" si="1469"/>
        <v>202819.50046886722</v>
      </c>
      <c r="BI168" s="213">
        <f t="shared" si="1469"/>
        <v>222113.38827662112</v>
      </c>
      <c r="BJ168" s="213">
        <f t="shared" si="1469"/>
        <v>241972.41325317777</v>
      </c>
      <c r="BK168" s="213">
        <f t="shared" si="1469"/>
        <v>262366.74383934669</v>
      </c>
      <c r="BL168" s="213">
        <f t="shared" si="1469"/>
        <v>283268.1231766878</v>
      </c>
      <c r="BM168" s="212">
        <f t="shared" si="1469"/>
        <v>304649.78598472045</v>
      </c>
      <c r="BN168" s="213">
        <f t="shared" ref="BN168:BY168" si="1470">$C167*BN166</f>
        <v>326486.37982588605</v>
      </c>
      <c r="BO168" s="213">
        <f t="shared" si="1470"/>
        <v>348753.89052665001</v>
      </c>
      <c r="BP168" s="213">
        <f t="shared" si="1470"/>
        <v>371429.5715353557</v>
      </c>
      <c r="BQ168" s="213">
        <f t="shared" si="1470"/>
        <v>394491.87700902321</v>
      </c>
      <c r="BR168" s="213">
        <f t="shared" si="1470"/>
        <v>417920.39843225543</v>
      </c>
      <c r="BS168" s="213">
        <f t="shared" si="1470"/>
        <v>441695.80458180426</v>
      </c>
      <c r="BT168" s="213">
        <f t="shared" si="1470"/>
        <v>465799.78466019157</v>
      </c>
      <c r="BU168" s="213">
        <f t="shared" si="1470"/>
        <v>490214.99443110131</v>
      </c>
      <c r="BV168" s="213">
        <f t="shared" si="1470"/>
        <v>514925.00519809173</v>
      </c>
      <c r="BW168" s="213">
        <f t="shared" si="1470"/>
        <v>539914.25547653658</v>
      </c>
      <c r="BX168" s="213">
        <f t="shared" si="1470"/>
        <v>565168.00521663204</v>
      </c>
      <c r="BY168" s="212">
        <f t="shared" si="1470"/>
        <v>590672.29244280513</v>
      </c>
      <c r="BZ168" s="213">
        <f t="shared" ref="BZ168:CK168" si="1471">$C167*BZ166</f>
        <v>616413.89218197356</v>
      </c>
      <c r="CA168" s="213">
        <f t="shared" si="1471"/>
        <v>642380.27755983337</v>
      </c>
      <c r="CB168" s="213">
        <f t="shared" si="1471"/>
        <v>668559.58295073465</v>
      </c>
      <c r="CC168" s="213">
        <f t="shared" si="1471"/>
        <v>694940.56907274306</v>
      </c>
      <c r="CD168" s="213">
        <f t="shared" si="1471"/>
        <v>721512.58992520627</v>
      </c>
      <c r="CE168" s="213">
        <f t="shared" si="1471"/>
        <v>748265.56147156912</v>
      </c>
      <c r="CF168" s="213">
        <f t="shared" si="1471"/>
        <v>775189.93197530881</v>
      </c>
      <c r="CG168" s="213">
        <f t="shared" si="1471"/>
        <v>802276.65390173031</v>
      </c>
      <c r="CH168" s="213">
        <f t="shared" si="1471"/>
        <v>829517.15730296483</v>
      </c>
      <c r="CI168" s="213">
        <f t="shared" si="1471"/>
        <v>856903.32460787846</v>
      </c>
      <c r="CJ168" s="213">
        <f t="shared" si="1471"/>
        <v>884427.46674273012</v>
      </c>
      <c r="CK168" s="212">
        <f t="shared" si="1471"/>
        <v>912082.30051233631</v>
      </c>
    </row>
    <row r="169" spans="2:89" x14ac:dyDescent="0.2">
      <c r="B169" s="121"/>
      <c r="C169" s="211"/>
      <c r="E169" s="205"/>
      <c r="N169" s="169"/>
      <c r="O169" s="169"/>
      <c r="P169" s="386"/>
      <c r="Q169" s="387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  <c r="AB169" s="169"/>
      <c r="AC169" s="170"/>
      <c r="AD169" s="169"/>
      <c r="AE169" s="169"/>
      <c r="AF169" s="169"/>
      <c r="AG169" s="169"/>
      <c r="AH169" s="169"/>
      <c r="AI169" s="169"/>
      <c r="AJ169" s="169"/>
      <c r="AK169" s="169"/>
      <c r="AL169" s="169"/>
      <c r="AM169" s="169"/>
      <c r="AN169" s="169"/>
      <c r="AO169" s="170"/>
      <c r="AP169" s="169"/>
      <c r="AQ169" s="169"/>
      <c r="AR169" s="169"/>
      <c r="AS169" s="169"/>
      <c r="AT169" s="169"/>
      <c r="AU169" s="169"/>
      <c r="AV169" s="169"/>
      <c r="AW169" s="169"/>
      <c r="AX169" s="169"/>
      <c r="AY169" s="169"/>
      <c r="AZ169" s="169"/>
      <c r="BA169" s="170"/>
      <c r="BB169" s="169"/>
      <c r="BC169" s="169"/>
      <c r="BD169" s="169"/>
      <c r="BE169" s="169"/>
      <c r="BF169" s="169"/>
      <c r="BG169" s="169"/>
      <c r="BH169" s="169"/>
      <c r="BI169" s="169"/>
      <c r="BJ169" s="169"/>
      <c r="BK169" s="169"/>
      <c r="BL169" s="169"/>
      <c r="BM169" s="170"/>
      <c r="BN169" s="169"/>
      <c r="BO169" s="169"/>
      <c r="BP169" s="169"/>
      <c r="BQ169" s="169"/>
      <c r="BR169" s="169"/>
      <c r="BS169" s="169"/>
      <c r="BT169" s="169"/>
      <c r="BU169" s="169"/>
      <c r="BV169" s="169"/>
      <c r="BW169" s="169"/>
      <c r="BX169" s="169"/>
      <c r="BY169" s="170"/>
      <c r="BZ169" s="169"/>
      <c r="CA169" s="169"/>
      <c r="CB169" s="169"/>
      <c r="CC169" s="169"/>
      <c r="CD169" s="169"/>
      <c r="CE169" s="169"/>
      <c r="CF169" s="169"/>
      <c r="CG169" s="169"/>
      <c r="CH169" s="169"/>
      <c r="CI169" s="169"/>
      <c r="CJ169" s="169"/>
      <c r="CK169" s="170"/>
    </row>
    <row r="170" spans="2:89" s="2" customFormat="1" x14ac:dyDescent="0.2">
      <c r="B170" s="118" t="s">
        <v>84</v>
      </c>
      <c r="C170" s="210">
        <v>1</v>
      </c>
      <c r="E170" s="209"/>
      <c r="N170" s="208">
        <f t="shared" ref="N170:BA170" si="1472">N168*$C170</f>
        <v>0</v>
      </c>
      <c r="O170" s="208">
        <f t="shared" si="1472"/>
        <v>0</v>
      </c>
      <c r="P170" s="388">
        <f t="shared" si="1472"/>
        <v>0</v>
      </c>
      <c r="Q170" s="389">
        <f t="shared" si="1472"/>
        <v>0</v>
      </c>
      <c r="R170" s="208">
        <f t="shared" si="1472"/>
        <v>0</v>
      </c>
      <c r="S170" s="208">
        <f t="shared" si="1472"/>
        <v>0</v>
      </c>
      <c r="T170" s="208">
        <f t="shared" si="1472"/>
        <v>0</v>
      </c>
      <c r="U170" s="208">
        <f t="shared" si="1472"/>
        <v>0</v>
      </c>
      <c r="V170" s="208">
        <f t="shared" si="1472"/>
        <v>0</v>
      </c>
      <c r="W170" s="208">
        <f t="shared" si="1472"/>
        <v>0</v>
      </c>
      <c r="X170" s="208">
        <f t="shared" si="1472"/>
        <v>0</v>
      </c>
      <c r="Y170" s="208">
        <f t="shared" si="1472"/>
        <v>0</v>
      </c>
      <c r="Z170" s="208">
        <f t="shared" si="1472"/>
        <v>0</v>
      </c>
      <c r="AA170" s="208">
        <f t="shared" si="1472"/>
        <v>0</v>
      </c>
      <c r="AB170" s="208">
        <f t="shared" si="1472"/>
        <v>0</v>
      </c>
      <c r="AC170" s="207">
        <f t="shared" si="1472"/>
        <v>0</v>
      </c>
      <c r="AD170" s="208">
        <f t="shared" si="1472"/>
        <v>0</v>
      </c>
      <c r="AE170" s="208">
        <f t="shared" si="1472"/>
        <v>0</v>
      </c>
      <c r="AF170" s="208">
        <f t="shared" si="1472"/>
        <v>0</v>
      </c>
      <c r="AG170" s="208">
        <f t="shared" si="1472"/>
        <v>0</v>
      </c>
      <c r="AH170" s="208">
        <f t="shared" si="1472"/>
        <v>0</v>
      </c>
      <c r="AI170" s="208">
        <f t="shared" si="1472"/>
        <v>0</v>
      </c>
      <c r="AJ170" s="208">
        <f t="shared" si="1472"/>
        <v>0</v>
      </c>
      <c r="AK170" s="208">
        <f t="shared" si="1472"/>
        <v>0</v>
      </c>
      <c r="AL170" s="208">
        <f t="shared" si="1472"/>
        <v>0</v>
      </c>
      <c r="AM170" s="208">
        <f t="shared" si="1472"/>
        <v>0</v>
      </c>
      <c r="AN170" s="208">
        <f t="shared" si="1472"/>
        <v>0</v>
      </c>
      <c r="AO170" s="207">
        <f t="shared" si="1472"/>
        <v>0</v>
      </c>
      <c r="AP170" s="208">
        <f t="shared" si="1472"/>
        <v>0</v>
      </c>
      <c r="AQ170" s="208">
        <f t="shared" si="1472"/>
        <v>0</v>
      </c>
      <c r="AR170" s="208">
        <f t="shared" si="1472"/>
        <v>3000</v>
      </c>
      <c r="AS170" s="208">
        <f t="shared" si="1472"/>
        <v>7500</v>
      </c>
      <c r="AT170" s="208">
        <f t="shared" si="1472"/>
        <v>13350</v>
      </c>
      <c r="AU170" s="208">
        <f t="shared" si="1472"/>
        <v>20475</v>
      </c>
      <c r="AV170" s="208">
        <f t="shared" si="1472"/>
        <v>28807.5</v>
      </c>
      <c r="AW170" s="208">
        <f t="shared" si="1472"/>
        <v>38283.75</v>
      </c>
      <c r="AX170" s="208">
        <f t="shared" si="1472"/>
        <v>48843.375</v>
      </c>
      <c r="AY170" s="208">
        <f t="shared" si="1472"/>
        <v>60429.1875</v>
      </c>
      <c r="AZ170" s="208">
        <f t="shared" si="1472"/>
        <v>72987.018750000003</v>
      </c>
      <c r="BA170" s="207">
        <f t="shared" si="1472"/>
        <v>86465.559374999983</v>
      </c>
      <c r="BB170" s="208">
        <f t="shared" ref="BB170:BM170" si="1473">BB168*$C170</f>
        <v>100816.20843749998</v>
      </c>
      <c r="BC170" s="208">
        <f t="shared" si="1473"/>
        <v>115992.93046874998</v>
      </c>
      <c r="BD170" s="208">
        <f t="shared" si="1473"/>
        <v>131952.120046875</v>
      </c>
      <c r="BE170" s="208">
        <f t="shared" si="1473"/>
        <v>148652.47352343751</v>
      </c>
      <c r="BF170" s="208">
        <f t="shared" si="1473"/>
        <v>166054.86752109375</v>
      </c>
      <c r="BG170" s="208">
        <f t="shared" si="1473"/>
        <v>184122.2438449219</v>
      </c>
      <c r="BH170" s="208">
        <f t="shared" si="1473"/>
        <v>202819.50046886722</v>
      </c>
      <c r="BI170" s="208">
        <f t="shared" si="1473"/>
        <v>222113.38827662112</v>
      </c>
      <c r="BJ170" s="208">
        <f t="shared" si="1473"/>
        <v>241972.41325317777</v>
      </c>
      <c r="BK170" s="208">
        <f t="shared" si="1473"/>
        <v>262366.74383934669</v>
      </c>
      <c r="BL170" s="208">
        <f t="shared" si="1473"/>
        <v>283268.1231766878</v>
      </c>
      <c r="BM170" s="207">
        <f t="shared" si="1473"/>
        <v>304649.78598472045</v>
      </c>
      <c r="BN170" s="208">
        <f t="shared" ref="BN170:BY170" si="1474">BN168*$C170</f>
        <v>326486.37982588605</v>
      </c>
      <c r="BO170" s="208">
        <f t="shared" si="1474"/>
        <v>348753.89052665001</v>
      </c>
      <c r="BP170" s="208">
        <f t="shared" si="1474"/>
        <v>371429.5715353557</v>
      </c>
      <c r="BQ170" s="208">
        <f t="shared" si="1474"/>
        <v>394491.87700902321</v>
      </c>
      <c r="BR170" s="208">
        <f t="shared" si="1474"/>
        <v>417920.39843225543</v>
      </c>
      <c r="BS170" s="208">
        <f t="shared" si="1474"/>
        <v>441695.80458180426</v>
      </c>
      <c r="BT170" s="208">
        <f t="shared" si="1474"/>
        <v>465799.78466019157</v>
      </c>
      <c r="BU170" s="208">
        <f t="shared" si="1474"/>
        <v>490214.99443110131</v>
      </c>
      <c r="BV170" s="208">
        <f t="shared" si="1474"/>
        <v>514925.00519809173</v>
      </c>
      <c r="BW170" s="208">
        <f t="shared" si="1474"/>
        <v>539914.25547653658</v>
      </c>
      <c r="BX170" s="208">
        <f t="shared" si="1474"/>
        <v>565168.00521663204</v>
      </c>
      <c r="BY170" s="207">
        <f t="shared" si="1474"/>
        <v>590672.29244280513</v>
      </c>
      <c r="BZ170" s="208">
        <f t="shared" ref="BZ170:CK170" si="1475">BZ168*$C170</f>
        <v>616413.89218197356</v>
      </c>
      <c r="CA170" s="208">
        <f t="shared" si="1475"/>
        <v>642380.27755983337</v>
      </c>
      <c r="CB170" s="208">
        <f t="shared" si="1475"/>
        <v>668559.58295073465</v>
      </c>
      <c r="CC170" s="208">
        <f t="shared" si="1475"/>
        <v>694940.56907274306</v>
      </c>
      <c r="CD170" s="208">
        <f t="shared" si="1475"/>
        <v>721512.58992520627</v>
      </c>
      <c r="CE170" s="208">
        <f t="shared" si="1475"/>
        <v>748265.56147156912</v>
      </c>
      <c r="CF170" s="208">
        <f t="shared" si="1475"/>
        <v>775189.93197530881</v>
      </c>
      <c r="CG170" s="208">
        <f t="shared" si="1475"/>
        <v>802276.65390173031</v>
      </c>
      <c r="CH170" s="208">
        <f t="shared" si="1475"/>
        <v>829517.15730296483</v>
      </c>
      <c r="CI170" s="208">
        <f t="shared" si="1475"/>
        <v>856903.32460787846</v>
      </c>
      <c r="CJ170" s="208">
        <f t="shared" si="1475"/>
        <v>884427.46674273012</v>
      </c>
      <c r="CK170" s="207">
        <f t="shared" si="1475"/>
        <v>912082.30051233631</v>
      </c>
    </row>
    <row r="171" spans="2:89" x14ac:dyDescent="0.2">
      <c r="B171" s="121" t="s">
        <v>85</v>
      </c>
      <c r="C171" s="206">
        <v>3</v>
      </c>
      <c r="E171" s="205"/>
      <c r="N171" s="169">
        <f t="shared" ref="N171:BA171" si="1476">N166*$C171</f>
        <v>0</v>
      </c>
      <c r="O171" s="169">
        <f t="shared" si="1476"/>
        <v>0</v>
      </c>
      <c r="P171" s="386">
        <f t="shared" si="1476"/>
        <v>0</v>
      </c>
      <c r="Q171" s="387">
        <f t="shared" si="1476"/>
        <v>0</v>
      </c>
      <c r="R171" s="169">
        <f t="shared" si="1476"/>
        <v>0</v>
      </c>
      <c r="S171" s="169">
        <f t="shared" si="1476"/>
        <v>0</v>
      </c>
      <c r="T171" s="169">
        <f t="shared" si="1476"/>
        <v>0</v>
      </c>
      <c r="U171" s="169">
        <f t="shared" si="1476"/>
        <v>0</v>
      </c>
      <c r="V171" s="169">
        <f t="shared" si="1476"/>
        <v>0</v>
      </c>
      <c r="W171" s="169">
        <f t="shared" si="1476"/>
        <v>0</v>
      </c>
      <c r="X171" s="169">
        <f t="shared" si="1476"/>
        <v>0</v>
      </c>
      <c r="Y171" s="169">
        <f t="shared" si="1476"/>
        <v>0</v>
      </c>
      <c r="Z171" s="169">
        <f t="shared" si="1476"/>
        <v>0</v>
      </c>
      <c r="AA171" s="169">
        <f t="shared" si="1476"/>
        <v>0</v>
      </c>
      <c r="AB171" s="169">
        <f t="shared" si="1476"/>
        <v>0</v>
      </c>
      <c r="AC171" s="170">
        <f t="shared" si="1476"/>
        <v>0</v>
      </c>
      <c r="AD171" s="169">
        <f t="shared" si="1476"/>
        <v>0</v>
      </c>
      <c r="AE171" s="169">
        <f t="shared" si="1476"/>
        <v>0</v>
      </c>
      <c r="AF171" s="169">
        <f t="shared" si="1476"/>
        <v>0</v>
      </c>
      <c r="AG171" s="169">
        <f t="shared" si="1476"/>
        <v>0</v>
      </c>
      <c r="AH171" s="169">
        <f t="shared" si="1476"/>
        <v>0</v>
      </c>
      <c r="AI171" s="169">
        <f t="shared" si="1476"/>
        <v>0</v>
      </c>
      <c r="AJ171" s="169">
        <f t="shared" si="1476"/>
        <v>0</v>
      </c>
      <c r="AK171" s="169">
        <f t="shared" si="1476"/>
        <v>0</v>
      </c>
      <c r="AL171" s="169">
        <f t="shared" si="1476"/>
        <v>0</v>
      </c>
      <c r="AM171" s="169">
        <f t="shared" si="1476"/>
        <v>0</v>
      </c>
      <c r="AN171" s="169">
        <f t="shared" si="1476"/>
        <v>0</v>
      </c>
      <c r="AO171" s="170">
        <f t="shared" si="1476"/>
        <v>0</v>
      </c>
      <c r="AP171" s="169">
        <f t="shared" si="1476"/>
        <v>0</v>
      </c>
      <c r="AQ171" s="169">
        <f t="shared" si="1476"/>
        <v>0</v>
      </c>
      <c r="AR171" s="169">
        <f t="shared" si="1476"/>
        <v>120</v>
      </c>
      <c r="AS171" s="169">
        <f t="shared" si="1476"/>
        <v>300</v>
      </c>
      <c r="AT171" s="169">
        <f t="shared" si="1476"/>
        <v>534</v>
      </c>
      <c r="AU171" s="169">
        <f t="shared" si="1476"/>
        <v>819</v>
      </c>
      <c r="AV171" s="169">
        <f t="shared" si="1476"/>
        <v>1152.3000000000002</v>
      </c>
      <c r="AW171" s="169">
        <f t="shared" si="1476"/>
        <v>1531.3500000000001</v>
      </c>
      <c r="AX171" s="169">
        <f t="shared" si="1476"/>
        <v>1953.7350000000001</v>
      </c>
      <c r="AY171" s="169">
        <f t="shared" si="1476"/>
        <v>2417.1675</v>
      </c>
      <c r="AZ171" s="169">
        <f t="shared" si="1476"/>
        <v>2919.4807500000002</v>
      </c>
      <c r="BA171" s="170">
        <f t="shared" si="1476"/>
        <v>3458.6223749999995</v>
      </c>
      <c r="BB171" s="169">
        <f t="shared" ref="BB171:BM171" si="1477">BB166*$C171</f>
        <v>4032.6483374999993</v>
      </c>
      <c r="BC171" s="169">
        <f t="shared" si="1477"/>
        <v>4639.71721875</v>
      </c>
      <c r="BD171" s="169">
        <f t="shared" si="1477"/>
        <v>5278.0848018750003</v>
      </c>
      <c r="BE171" s="169">
        <f t="shared" si="1477"/>
        <v>5946.0989409374997</v>
      </c>
      <c r="BF171" s="169">
        <f t="shared" si="1477"/>
        <v>6642.194700843751</v>
      </c>
      <c r="BG171" s="169">
        <f t="shared" si="1477"/>
        <v>7364.889753796876</v>
      </c>
      <c r="BH171" s="169">
        <f t="shared" si="1477"/>
        <v>8112.7800187546891</v>
      </c>
      <c r="BI171" s="169">
        <f t="shared" si="1477"/>
        <v>8884.5355310648447</v>
      </c>
      <c r="BJ171" s="169">
        <f t="shared" si="1477"/>
        <v>9678.896530127111</v>
      </c>
      <c r="BK171" s="169">
        <f t="shared" si="1477"/>
        <v>10494.669753573868</v>
      </c>
      <c r="BL171" s="169">
        <f t="shared" si="1477"/>
        <v>11330.724927067513</v>
      </c>
      <c r="BM171" s="170">
        <f t="shared" si="1477"/>
        <v>12185.991439388818</v>
      </c>
      <c r="BN171" s="169">
        <f t="shared" ref="BN171:BY171" si="1478">BN166*$C171</f>
        <v>13059.455193035443</v>
      </c>
      <c r="BO171" s="169">
        <f t="shared" si="1478"/>
        <v>13950.155621066002</v>
      </c>
      <c r="BP171" s="169">
        <f t="shared" si="1478"/>
        <v>14857.182861414229</v>
      </c>
      <c r="BQ171" s="169">
        <f t="shared" si="1478"/>
        <v>15779.675080360928</v>
      </c>
      <c r="BR171" s="169">
        <f t="shared" si="1478"/>
        <v>16716.815937290219</v>
      </c>
      <c r="BS171" s="169">
        <f t="shared" si="1478"/>
        <v>17667.83218327217</v>
      </c>
      <c r="BT171" s="169">
        <f t="shared" si="1478"/>
        <v>18631.991386407663</v>
      </c>
      <c r="BU171" s="169">
        <f t="shared" si="1478"/>
        <v>19608.599777244053</v>
      </c>
      <c r="BV171" s="169">
        <f t="shared" si="1478"/>
        <v>20597.000207923669</v>
      </c>
      <c r="BW171" s="169">
        <f t="shared" si="1478"/>
        <v>21596.570219061465</v>
      </c>
      <c r="BX171" s="169">
        <f t="shared" si="1478"/>
        <v>22606.720208665283</v>
      </c>
      <c r="BY171" s="170">
        <f t="shared" si="1478"/>
        <v>23626.891697712206</v>
      </c>
      <c r="BZ171" s="169">
        <f t="shared" ref="BZ171:CK171" si="1479">BZ166*$C171</f>
        <v>24656.555687278946</v>
      </c>
      <c r="CA171" s="169">
        <f t="shared" si="1479"/>
        <v>25695.211102393332</v>
      </c>
      <c r="CB171" s="169">
        <f t="shared" si="1479"/>
        <v>26742.383318029388</v>
      </c>
      <c r="CC171" s="169">
        <f t="shared" si="1479"/>
        <v>27797.622762909719</v>
      </c>
      <c r="CD171" s="169">
        <f t="shared" si="1479"/>
        <v>28860.50359700825</v>
      </c>
      <c r="CE171" s="169">
        <f t="shared" si="1479"/>
        <v>29930.622458862767</v>
      </c>
      <c r="CF171" s="169">
        <f t="shared" si="1479"/>
        <v>31007.597279012349</v>
      </c>
      <c r="CG171" s="169">
        <f t="shared" si="1479"/>
        <v>32091.06615606921</v>
      </c>
      <c r="CH171" s="169">
        <f t="shared" si="1479"/>
        <v>33180.686292118597</v>
      </c>
      <c r="CI171" s="169">
        <f t="shared" si="1479"/>
        <v>34276.132984315132</v>
      </c>
      <c r="CJ171" s="169">
        <f t="shared" si="1479"/>
        <v>35377.098669709208</v>
      </c>
      <c r="CK171" s="170">
        <f t="shared" si="1479"/>
        <v>36483.292020493449</v>
      </c>
    </row>
    <row r="172" spans="2:89" ht="17" thickBot="1" x14ac:dyDescent="0.25">
      <c r="B172" s="124"/>
      <c r="C172" s="125"/>
      <c r="D172" s="125"/>
      <c r="E172" s="126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394"/>
      <c r="Q172" s="39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6"/>
      <c r="AD172" s="125"/>
      <c r="AE172" s="125"/>
      <c r="AF172" s="125"/>
      <c r="AG172" s="125"/>
      <c r="AH172" s="125"/>
      <c r="AI172" s="125"/>
      <c r="AJ172" s="125"/>
      <c r="AK172" s="125"/>
      <c r="AL172" s="125"/>
      <c r="AM172" s="125"/>
      <c r="AN172" s="125"/>
      <c r="AO172" s="126"/>
      <c r="AP172" s="125"/>
      <c r="AQ172" s="125"/>
      <c r="AR172" s="125"/>
      <c r="AS172" s="125"/>
      <c r="AT172" s="125"/>
      <c r="AU172" s="125"/>
      <c r="AV172" s="125"/>
      <c r="AW172" s="125"/>
      <c r="AX172" s="125"/>
      <c r="AY172" s="125"/>
      <c r="AZ172" s="125"/>
      <c r="BA172" s="126"/>
      <c r="BB172" s="125"/>
      <c r="BC172" s="125"/>
      <c r="BD172" s="125"/>
      <c r="BE172" s="125"/>
      <c r="BF172" s="125"/>
      <c r="BG172" s="125"/>
      <c r="BH172" s="125"/>
      <c r="BI172" s="125"/>
      <c r="BJ172" s="125"/>
      <c r="BK172" s="125"/>
      <c r="BL172" s="125"/>
      <c r="BM172" s="126"/>
      <c r="BN172" s="125"/>
      <c r="BO172" s="125"/>
      <c r="BP172" s="125"/>
      <c r="BQ172" s="125"/>
      <c r="BR172" s="125"/>
      <c r="BS172" s="125"/>
      <c r="BT172" s="125"/>
      <c r="BU172" s="125"/>
      <c r="BV172" s="125"/>
      <c r="BW172" s="125"/>
      <c r="BX172" s="125"/>
      <c r="BY172" s="126"/>
      <c r="BZ172" s="125"/>
      <c r="CA172" s="125"/>
      <c r="CB172" s="125"/>
      <c r="CC172" s="125"/>
      <c r="CD172" s="125"/>
      <c r="CE172" s="125"/>
      <c r="CF172" s="125"/>
      <c r="CG172" s="125"/>
      <c r="CH172" s="125"/>
      <c r="CI172" s="125"/>
      <c r="CJ172" s="125"/>
      <c r="CK172" s="126"/>
    </row>
    <row r="173" spans="2:89" ht="21" x14ac:dyDescent="0.25">
      <c r="B173" s="144" t="s">
        <v>360</v>
      </c>
      <c r="C173" s="122"/>
      <c r="D173" s="122"/>
      <c r="E173" s="123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392"/>
      <c r="Q173" s="393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3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3"/>
      <c r="AP173" s="122"/>
      <c r="AQ173" s="122"/>
      <c r="AR173" s="122"/>
      <c r="AS173" s="122"/>
      <c r="AT173" s="122"/>
      <c r="AU173" s="122"/>
      <c r="AV173" s="122"/>
      <c r="AW173" s="122"/>
      <c r="AX173" s="122"/>
      <c r="AY173" s="122"/>
      <c r="AZ173" s="122"/>
      <c r="BA173" s="123"/>
      <c r="BB173" s="122"/>
      <c r="BC173" s="122"/>
      <c r="BD173" s="122"/>
      <c r="BE173" s="122"/>
      <c r="BF173" s="122"/>
      <c r="BG173" s="122"/>
      <c r="BH173" s="122"/>
      <c r="BI173" s="122"/>
      <c r="BJ173" s="122"/>
      <c r="BK173" s="122"/>
      <c r="BL173" s="122"/>
      <c r="BM173" s="123"/>
      <c r="BN173" s="122"/>
      <c r="BO173" s="122"/>
      <c r="BP173" s="122"/>
      <c r="BQ173" s="122"/>
      <c r="BR173" s="122"/>
      <c r="BS173" s="122"/>
      <c r="BT173" s="122"/>
      <c r="BU173" s="122"/>
      <c r="BV173" s="122"/>
      <c r="BW173" s="122"/>
      <c r="BX173" s="122"/>
      <c r="BY173" s="123"/>
      <c r="BZ173" s="122"/>
      <c r="CA173" s="122"/>
      <c r="CB173" s="122"/>
      <c r="CC173" s="122"/>
      <c r="CD173" s="122"/>
      <c r="CE173" s="122"/>
      <c r="CF173" s="122"/>
      <c r="CG173" s="122"/>
      <c r="CH173" s="122"/>
      <c r="CI173" s="122"/>
      <c r="CJ173" s="122"/>
      <c r="CK173" s="123"/>
    </row>
    <row r="174" spans="2:89" x14ac:dyDescent="0.2">
      <c r="B174" s="118"/>
      <c r="E174" s="140"/>
      <c r="N174" s="103"/>
      <c r="O174" s="103"/>
      <c r="P174" s="380"/>
      <c r="Q174" s="381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17"/>
      <c r="AD174" s="103"/>
      <c r="AE174" s="103"/>
      <c r="AF174" s="103"/>
      <c r="AG174" s="103"/>
      <c r="AH174" s="103"/>
      <c r="AI174" s="103"/>
      <c r="AJ174" s="103"/>
      <c r="AK174" s="103"/>
      <c r="AL174" s="103"/>
      <c r="AM174" s="103"/>
      <c r="AN174" s="103"/>
      <c r="AO174" s="117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17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17"/>
      <c r="BN174" s="103"/>
      <c r="BO174" s="103"/>
      <c r="BP174" s="103"/>
      <c r="BQ174" s="103"/>
      <c r="BR174" s="103"/>
      <c r="BS174" s="103"/>
      <c r="BT174" s="103"/>
      <c r="BU174" s="103"/>
      <c r="BV174" s="103"/>
      <c r="BW174" s="103"/>
      <c r="BX174" s="103"/>
      <c r="BY174" s="117"/>
      <c r="BZ174" s="103"/>
      <c r="CA174" s="103"/>
      <c r="CB174" s="103"/>
      <c r="CC174" s="103"/>
      <c r="CD174" s="103"/>
      <c r="CE174" s="103"/>
      <c r="CF174" s="103"/>
      <c r="CG174" s="103"/>
      <c r="CH174" s="103"/>
      <c r="CI174" s="103"/>
      <c r="CJ174" s="103"/>
      <c r="CK174" s="117"/>
    </row>
    <row r="175" spans="2:89" s="17" customFormat="1" x14ac:dyDescent="0.2">
      <c r="B175" s="121" t="s">
        <v>79</v>
      </c>
      <c r="C175" s="224"/>
      <c r="E175" s="141"/>
      <c r="N175" s="223">
        <v>0</v>
      </c>
      <c r="O175" s="223">
        <v>0</v>
      </c>
      <c r="P175" s="390">
        <v>0</v>
      </c>
      <c r="Q175" s="391">
        <v>0</v>
      </c>
      <c r="R175" s="223">
        <v>0</v>
      </c>
      <c r="S175" s="223">
        <v>0</v>
      </c>
      <c r="T175" s="223">
        <v>0</v>
      </c>
      <c r="U175" s="223">
        <v>0</v>
      </c>
      <c r="V175" s="223">
        <v>0</v>
      </c>
      <c r="W175" s="660">
        <v>0</v>
      </c>
      <c r="X175" s="660">
        <v>0</v>
      </c>
      <c r="Y175" s="660">
        <v>0</v>
      </c>
      <c r="Z175" s="660">
        <v>0</v>
      </c>
      <c r="AA175" s="660">
        <v>0</v>
      </c>
      <c r="AB175" s="660">
        <v>0</v>
      </c>
      <c r="AC175" s="661">
        <v>0</v>
      </c>
      <c r="AD175" s="660">
        <v>0</v>
      </c>
      <c r="AE175" s="660">
        <v>0</v>
      </c>
      <c r="AF175" s="660">
        <v>0</v>
      </c>
      <c r="AG175" s="660">
        <v>0</v>
      </c>
      <c r="AH175" s="660">
        <v>0</v>
      </c>
      <c r="AI175" s="660">
        <v>0</v>
      </c>
      <c r="AJ175" s="660"/>
      <c r="AK175" s="223"/>
      <c r="AL175" s="223"/>
      <c r="AM175" s="223"/>
      <c r="AN175" s="223"/>
      <c r="AO175" s="222"/>
      <c r="AP175" s="223"/>
      <c r="AQ175" s="223"/>
      <c r="AR175" s="223"/>
      <c r="AS175" s="223"/>
      <c r="AT175" s="223"/>
      <c r="AU175" s="223"/>
      <c r="AV175" s="660">
        <v>10</v>
      </c>
      <c r="AW175" s="223">
        <f t="shared" ref="AW175" si="1480">AV175+1</f>
        <v>11</v>
      </c>
      <c r="AX175" s="223">
        <f t="shared" ref="AX175" si="1481">AW175+1</f>
        <v>12</v>
      </c>
      <c r="AY175" s="223">
        <f t="shared" ref="AY175" si="1482">AX175+1</f>
        <v>13</v>
      </c>
      <c r="AZ175" s="223">
        <f t="shared" ref="AZ175" si="1483">AY175+1</f>
        <v>14</v>
      </c>
      <c r="BA175" s="222">
        <f t="shared" ref="BA175" si="1484">AZ175+1</f>
        <v>15</v>
      </c>
      <c r="BB175" s="223">
        <f t="shared" ref="BB175" si="1485">BA175+1</f>
        <v>16</v>
      </c>
      <c r="BC175" s="223">
        <f t="shared" ref="BC175" si="1486">BB175+1</f>
        <v>17</v>
      </c>
      <c r="BD175" s="223">
        <f t="shared" ref="BD175" si="1487">BC175+1</f>
        <v>18</v>
      </c>
      <c r="BE175" s="223">
        <f t="shared" ref="BE175" si="1488">BD175+1</f>
        <v>19</v>
      </c>
      <c r="BF175" s="223">
        <f t="shared" ref="BF175" si="1489">BE175+1</f>
        <v>20</v>
      </c>
      <c r="BG175" s="223">
        <f t="shared" ref="BG175" si="1490">BF175+1</f>
        <v>21</v>
      </c>
      <c r="BH175" s="223">
        <f t="shared" ref="BH175" si="1491">BG175+1</f>
        <v>22</v>
      </c>
      <c r="BI175" s="223">
        <f t="shared" ref="BI175" si="1492">BH175+1</f>
        <v>23</v>
      </c>
      <c r="BJ175" s="223">
        <f t="shared" ref="BJ175" si="1493">BI175+1</f>
        <v>24</v>
      </c>
      <c r="BK175" s="223">
        <f t="shared" ref="BK175" si="1494">BJ175+1</f>
        <v>25</v>
      </c>
      <c r="BL175" s="223">
        <f t="shared" ref="BL175" si="1495">BK175+1</f>
        <v>26</v>
      </c>
      <c r="BM175" s="222">
        <f t="shared" ref="BM175" si="1496">BL175+1</f>
        <v>27</v>
      </c>
      <c r="BN175" s="223">
        <f t="shared" ref="BN175" si="1497">BM175+1</f>
        <v>28</v>
      </c>
      <c r="BO175" s="223">
        <f t="shared" ref="BO175" si="1498">BN175+1</f>
        <v>29</v>
      </c>
      <c r="BP175" s="223">
        <f t="shared" ref="BP175" si="1499">BO175+1</f>
        <v>30</v>
      </c>
      <c r="BQ175" s="223">
        <f t="shared" ref="BQ175" si="1500">BP175+1</f>
        <v>31</v>
      </c>
      <c r="BR175" s="223">
        <f t="shared" ref="BR175" si="1501">BQ175+1</f>
        <v>32</v>
      </c>
      <c r="BS175" s="223">
        <f t="shared" ref="BS175" si="1502">BR175+1</f>
        <v>33</v>
      </c>
      <c r="BT175" s="223">
        <f t="shared" ref="BT175" si="1503">BS175+1</f>
        <v>34</v>
      </c>
      <c r="BU175" s="223">
        <f t="shared" ref="BU175" si="1504">BT175+1</f>
        <v>35</v>
      </c>
      <c r="BV175" s="223">
        <f t="shared" ref="BV175" si="1505">BU175+1</f>
        <v>36</v>
      </c>
      <c r="BW175" s="223">
        <f t="shared" ref="BW175" si="1506">BV175+1</f>
        <v>37</v>
      </c>
      <c r="BX175" s="223">
        <f t="shared" ref="BX175" si="1507">BW175+1</f>
        <v>38</v>
      </c>
      <c r="BY175" s="222">
        <f t="shared" ref="BY175" si="1508">BX175+1</f>
        <v>39</v>
      </c>
      <c r="BZ175" s="223">
        <f t="shared" ref="BZ175" si="1509">BY175+1</f>
        <v>40</v>
      </c>
      <c r="CA175" s="223">
        <f t="shared" ref="CA175" si="1510">BZ175+1</f>
        <v>41</v>
      </c>
      <c r="CB175" s="223">
        <f t="shared" ref="CB175" si="1511">CA175+1</f>
        <v>42</v>
      </c>
      <c r="CC175" s="223">
        <f t="shared" ref="CC175" si="1512">CB175+1</f>
        <v>43</v>
      </c>
      <c r="CD175" s="223">
        <f t="shared" ref="CD175" si="1513">CC175+1</f>
        <v>44</v>
      </c>
      <c r="CE175" s="223">
        <f t="shared" ref="CE175" si="1514">CD175+1</f>
        <v>45</v>
      </c>
      <c r="CF175" s="223">
        <f t="shared" ref="CF175" si="1515">CE175+1</f>
        <v>46</v>
      </c>
      <c r="CG175" s="223">
        <f t="shared" ref="CG175" si="1516">CF175+1</f>
        <v>47</v>
      </c>
      <c r="CH175" s="223">
        <f t="shared" ref="CH175" si="1517">CG175+1</f>
        <v>48</v>
      </c>
      <c r="CI175" s="223">
        <f t="shared" ref="CI175" si="1518">CH175+1</f>
        <v>49</v>
      </c>
      <c r="CJ175" s="223">
        <f t="shared" ref="CJ175" si="1519">CI175+1</f>
        <v>50</v>
      </c>
      <c r="CK175" s="222">
        <f t="shared" ref="CK175" si="1520">CJ175+1</f>
        <v>51</v>
      </c>
    </row>
    <row r="176" spans="2:89" s="17" customFormat="1" x14ac:dyDescent="0.2">
      <c r="B176" s="121" t="s">
        <v>80</v>
      </c>
      <c r="C176" s="221">
        <v>20</v>
      </c>
      <c r="D176" s="17" t="s">
        <v>81</v>
      </c>
      <c r="E176" s="219"/>
      <c r="N176" s="218">
        <f t="shared" ref="N176:BM176" si="1521">N175*$C176</f>
        <v>0</v>
      </c>
      <c r="O176" s="218">
        <f t="shared" si="1521"/>
        <v>0</v>
      </c>
      <c r="P176" s="382">
        <f t="shared" si="1521"/>
        <v>0</v>
      </c>
      <c r="Q176" s="383">
        <f t="shared" si="1521"/>
        <v>0</v>
      </c>
      <c r="R176" s="218">
        <f t="shared" si="1521"/>
        <v>0</v>
      </c>
      <c r="S176" s="218">
        <f t="shared" si="1521"/>
        <v>0</v>
      </c>
      <c r="T176" s="218">
        <f t="shared" si="1521"/>
        <v>0</v>
      </c>
      <c r="U176" s="218">
        <f t="shared" si="1521"/>
        <v>0</v>
      </c>
      <c r="V176" s="218">
        <f t="shared" si="1521"/>
        <v>0</v>
      </c>
      <c r="W176" s="218">
        <f t="shared" si="1521"/>
        <v>0</v>
      </c>
      <c r="X176" s="218">
        <f t="shared" si="1521"/>
        <v>0</v>
      </c>
      <c r="Y176" s="218">
        <f t="shared" si="1521"/>
        <v>0</v>
      </c>
      <c r="Z176" s="218">
        <f t="shared" si="1521"/>
        <v>0</v>
      </c>
      <c r="AA176" s="218">
        <f t="shared" si="1521"/>
        <v>0</v>
      </c>
      <c r="AB176" s="218">
        <f t="shared" si="1521"/>
        <v>0</v>
      </c>
      <c r="AC176" s="217">
        <f t="shared" si="1521"/>
        <v>0</v>
      </c>
      <c r="AD176" s="218">
        <f t="shared" si="1521"/>
        <v>0</v>
      </c>
      <c r="AE176" s="218">
        <f t="shared" si="1521"/>
        <v>0</v>
      </c>
      <c r="AF176" s="218">
        <f t="shared" si="1521"/>
        <v>0</v>
      </c>
      <c r="AG176" s="218">
        <f t="shared" si="1521"/>
        <v>0</v>
      </c>
      <c r="AH176" s="218">
        <f t="shared" si="1521"/>
        <v>0</v>
      </c>
      <c r="AI176" s="218">
        <f t="shared" si="1521"/>
        <v>0</v>
      </c>
      <c r="AJ176" s="218">
        <f t="shared" si="1521"/>
        <v>0</v>
      </c>
      <c r="AK176" s="218">
        <f t="shared" si="1521"/>
        <v>0</v>
      </c>
      <c r="AL176" s="218">
        <f t="shared" si="1521"/>
        <v>0</v>
      </c>
      <c r="AM176" s="218">
        <f t="shared" si="1521"/>
        <v>0</v>
      </c>
      <c r="AN176" s="218">
        <f t="shared" si="1521"/>
        <v>0</v>
      </c>
      <c r="AO176" s="217">
        <f t="shared" si="1521"/>
        <v>0</v>
      </c>
      <c r="AP176" s="218">
        <f t="shared" si="1521"/>
        <v>0</v>
      </c>
      <c r="AQ176" s="218">
        <f t="shared" si="1521"/>
        <v>0</v>
      </c>
      <c r="AR176" s="218">
        <f t="shared" si="1521"/>
        <v>0</v>
      </c>
      <c r="AS176" s="218">
        <f t="shared" si="1521"/>
        <v>0</v>
      </c>
      <c r="AT176" s="218">
        <f t="shared" si="1521"/>
        <v>0</v>
      </c>
      <c r="AU176" s="218">
        <f t="shared" si="1521"/>
        <v>0</v>
      </c>
      <c r="AV176" s="218">
        <f t="shared" si="1521"/>
        <v>200</v>
      </c>
      <c r="AW176" s="218">
        <f t="shared" si="1521"/>
        <v>220</v>
      </c>
      <c r="AX176" s="218">
        <f t="shared" si="1521"/>
        <v>240</v>
      </c>
      <c r="AY176" s="218">
        <f t="shared" si="1521"/>
        <v>260</v>
      </c>
      <c r="AZ176" s="218">
        <f t="shared" si="1521"/>
        <v>280</v>
      </c>
      <c r="BA176" s="217">
        <f t="shared" si="1521"/>
        <v>300</v>
      </c>
      <c r="BB176" s="218">
        <f t="shared" si="1521"/>
        <v>320</v>
      </c>
      <c r="BC176" s="218">
        <f t="shared" si="1521"/>
        <v>340</v>
      </c>
      <c r="BD176" s="218">
        <f t="shared" si="1521"/>
        <v>360</v>
      </c>
      <c r="BE176" s="218">
        <f t="shared" si="1521"/>
        <v>380</v>
      </c>
      <c r="BF176" s="218">
        <f t="shared" si="1521"/>
        <v>400</v>
      </c>
      <c r="BG176" s="218">
        <f t="shared" si="1521"/>
        <v>420</v>
      </c>
      <c r="BH176" s="218">
        <f t="shared" si="1521"/>
        <v>440</v>
      </c>
      <c r="BI176" s="218">
        <f t="shared" si="1521"/>
        <v>460</v>
      </c>
      <c r="BJ176" s="218">
        <f t="shared" si="1521"/>
        <v>480</v>
      </c>
      <c r="BK176" s="218">
        <f t="shared" si="1521"/>
        <v>500</v>
      </c>
      <c r="BL176" s="218">
        <f t="shared" si="1521"/>
        <v>520</v>
      </c>
      <c r="BM176" s="217">
        <f t="shared" si="1521"/>
        <v>540</v>
      </c>
      <c r="BN176" s="218">
        <f t="shared" ref="BN176:BY176" si="1522">BN175*$C176</f>
        <v>560</v>
      </c>
      <c r="BO176" s="218">
        <f t="shared" si="1522"/>
        <v>580</v>
      </c>
      <c r="BP176" s="218">
        <f t="shared" si="1522"/>
        <v>600</v>
      </c>
      <c r="BQ176" s="218">
        <f t="shared" si="1522"/>
        <v>620</v>
      </c>
      <c r="BR176" s="218">
        <f t="shared" si="1522"/>
        <v>640</v>
      </c>
      <c r="BS176" s="218">
        <f t="shared" si="1522"/>
        <v>660</v>
      </c>
      <c r="BT176" s="218">
        <f t="shared" si="1522"/>
        <v>680</v>
      </c>
      <c r="BU176" s="218">
        <f t="shared" si="1522"/>
        <v>700</v>
      </c>
      <c r="BV176" s="218">
        <f t="shared" si="1522"/>
        <v>720</v>
      </c>
      <c r="BW176" s="218">
        <f t="shared" si="1522"/>
        <v>740</v>
      </c>
      <c r="BX176" s="218">
        <f t="shared" si="1522"/>
        <v>760</v>
      </c>
      <c r="BY176" s="217">
        <f t="shared" si="1522"/>
        <v>780</v>
      </c>
      <c r="BZ176" s="218">
        <f t="shared" ref="BZ176:CK176" si="1523">BZ175*$C176</f>
        <v>800</v>
      </c>
      <c r="CA176" s="218">
        <f t="shared" si="1523"/>
        <v>820</v>
      </c>
      <c r="CB176" s="218">
        <f t="shared" si="1523"/>
        <v>840</v>
      </c>
      <c r="CC176" s="218">
        <f t="shared" si="1523"/>
        <v>860</v>
      </c>
      <c r="CD176" s="218">
        <f t="shared" si="1523"/>
        <v>880</v>
      </c>
      <c r="CE176" s="218">
        <f t="shared" si="1523"/>
        <v>900</v>
      </c>
      <c r="CF176" s="218">
        <f t="shared" si="1523"/>
        <v>920</v>
      </c>
      <c r="CG176" s="218">
        <f t="shared" si="1523"/>
        <v>940</v>
      </c>
      <c r="CH176" s="218">
        <f t="shared" si="1523"/>
        <v>960</v>
      </c>
      <c r="CI176" s="218">
        <f t="shared" si="1523"/>
        <v>980</v>
      </c>
      <c r="CJ176" s="218">
        <f t="shared" si="1523"/>
        <v>1000</v>
      </c>
      <c r="CK176" s="217">
        <f t="shared" si="1523"/>
        <v>1020</v>
      </c>
    </row>
    <row r="177" spans="2:89" s="17" customFormat="1" x14ac:dyDescent="0.2">
      <c r="B177" s="121" t="s">
        <v>59</v>
      </c>
      <c r="C177" s="220">
        <v>0.05</v>
      </c>
      <c r="E177" s="219"/>
      <c r="N177" s="218"/>
      <c r="O177" s="218"/>
      <c r="P177" s="382">
        <f t="shared" ref="P177" si="1524">N178*$C177</f>
        <v>0</v>
      </c>
      <c r="Q177" s="383">
        <f t="shared" ref="Q177" si="1525">O178*$C177</f>
        <v>0</v>
      </c>
      <c r="R177" s="218">
        <f t="shared" ref="R177" si="1526">P178*$C177</f>
        <v>0</v>
      </c>
      <c r="S177" s="218">
        <f t="shared" ref="S177" si="1527">Q178*$C177</f>
        <v>0</v>
      </c>
      <c r="T177" s="218">
        <f t="shared" ref="T177" si="1528">R178*$C177</f>
        <v>0</v>
      </c>
      <c r="U177" s="218">
        <f t="shared" ref="U177" si="1529">S178*$C177</f>
        <v>0</v>
      </c>
      <c r="V177" s="218">
        <f t="shared" ref="V177" si="1530">T178*$C177</f>
        <v>0</v>
      </c>
      <c r="W177" s="218">
        <f t="shared" ref="W177" si="1531">U178*$C177</f>
        <v>0</v>
      </c>
      <c r="X177" s="218">
        <f t="shared" ref="X177" si="1532">V178*$C177</f>
        <v>0</v>
      </c>
      <c r="Y177" s="218">
        <f t="shared" ref="Y177" si="1533">W178*$C177</f>
        <v>0</v>
      </c>
      <c r="Z177" s="218">
        <f t="shared" ref="Z177" si="1534">X178*$C177</f>
        <v>0</v>
      </c>
      <c r="AA177" s="218">
        <f t="shared" ref="AA177" si="1535">Y178*$C177</f>
        <v>0</v>
      </c>
      <c r="AB177" s="218">
        <f t="shared" ref="AB177" si="1536">Z178*$C177</f>
        <v>0</v>
      </c>
      <c r="AC177" s="217">
        <f t="shared" ref="AC177" si="1537">AA178*$C177</f>
        <v>0</v>
      </c>
      <c r="AD177" s="218">
        <f t="shared" ref="AD177" si="1538">AB178*$C177</f>
        <v>0</v>
      </c>
      <c r="AE177" s="218">
        <f t="shared" ref="AE177" si="1539">AC178*$C177</f>
        <v>0</v>
      </c>
      <c r="AF177" s="218">
        <f t="shared" ref="AF177" si="1540">AD178*$C177</f>
        <v>0</v>
      </c>
      <c r="AG177" s="218">
        <f t="shared" ref="AG177" si="1541">AE178*$C177</f>
        <v>0</v>
      </c>
      <c r="AH177" s="218">
        <f t="shared" ref="AH177" si="1542">AF178*$C177</f>
        <v>0</v>
      </c>
      <c r="AI177" s="218">
        <f t="shared" ref="AI177" si="1543">AG178*$C177</f>
        <v>0</v>
      </c>
      <c r="AJ177" s="218">
        <f t="shared" ref="AJ177" si="1544">AH178*$C177</f>
        <v>0</v>
      </c>
      <c r="AK177" s="218">
        <f t="shared" ref="AK177" si="1545">AI178*$C177</f>
        <v>0</v>
      </c>
      <c r="AL177" s="218">
        <f t="shared" ref="AL177" si="1546">AJ178*$C177</f>
        <v>0</v>
      </c>
      <c r="AM177" s="218">
        <f t="shared" ref="AM177" si="1547">AK178*$C177</f>
        <v>0</v>
      </c>
      <c r="AN177" s="218">
        <f t="shared" ref="AN177" si="1548">AL178*$C177</f>
        <v>0</v>
      </c>
      <c r="AO177" s="217">
        <f t="shared" ref="AO177" si="1549">AM178*$C177</f>
        <v>0</v>
      </c>
      <c r="AP177" s="218">
        <f t="shared" ref="AP177" si="1550">AN178*$C177</f>
        <v>0</v>
      </c>
      <c r="AQ177" s="218">
        <f t="shared" ref="AQ177" si="1551">AO178*$C177</f>
        <v>0</v>
      </c>
      <c r="AR177" s="218">
        <f t="shared" ref="AR177" si="1552">AP178*$C177</f>
        <v>0</v>
      </c>
      <c r="AS177" s="218">
        <f t="shared" ref="AS177" si="1553">AQ178*$C177</f>
        <v>0</v>
      </c>
      <c r="AT177" s="218">
        <f t="shared" ref="AT177" si="1554">AR178*$C177</f>
        <v>0</v>
      </c>
      <c r="AU177" s="218">
        <f t="shared" ref="AU177" si="1555">AS178*$C177</f>
        <v>0</v>
      </c>
      <c r="AV177" s="218">
        <f t="shared" ref="AV177" si="1556">AT178*$C177</f>
        <v>0</v>
      </c>
      <c r="AW177" s="218">
        <f t="shared" ref="AW177" si="1557">AU178*$C177</f>
        <v>0</v>
      </c>
      <c r="AX177" s="218">
        <f t="shared" ref="AX177" si="1558">AV178*$C177</f>
        <v>10</v>
      </c>
      <c r="AY177" s="218">
        <f t="shared" ref="AY177" si="1559">AW178*$C177</f>
        <v>21</v>
      </c>
      <c r="AZ177" s="218">
        <f t="shared" ref="AZ177" si="1560">AX178*$C177</f>
        <v>32.5</v>
      </c>
      <c r="BA177" s="217">
        <f t="shared" ref="BA177" si="1561">AY178*$C177</f>
        <v>44.45</v>
      </c>
      <c r="BB177" s="218">
        <f t="shared" ref="BB177" si="1562">AZ178*$C177</f>
        <v>56.825000000000003</v>
      </c>
      <c r="BC177" s="218">
        <f t="shared" ref="BC177" si="1563">BA178*$C177</f>
        <v>69.602500000000006</v>
      </c>
      <c r="BD177" s="218">
        <f t="shared" ref="BD177" si="1564">BB178*$C177</f>
        <v>82.761250000000004</v>
      </c>
      <c r="BE177" s="218">
        <f t="shared" ref="BE177" si="1565">BC178*$C177</f>
        <v>96.281125000000003</v>
      </c>
      <c r="BF177" s="218">
        <f t="shared" ref="BF177" si="1566">BD178*$C177</f>
        <v>110.1430625</v>
      </c>
      <c r="BG177" s="218">
        <f t="shared" ref="BG177" si="1567">BE178*$C177</f>
        <v>124.32900625000001</v>
      </c>
      <c r="BH177" s="218">
        <f t="shared" ref="BH177" si="1568">BF178*$C177</f>
        <v>138.82185312500002</v>
      </c>
      <c r="BI177" s="218">
        <f t="shared" ref="BI177" si="1569">BG178*$C177</f>
        <v>153.60540281250002</v>
      </c>
      <c r="BJ177" s="218">
        <f t="shared" ref="BJ177" si="1570">BH178*$C177</f>
        <v>168.66431015625002</v>
      </c>
      <c r="BK177" s="218">
        <f t="shared" ref="BK177" si="1571">BI178*$C177</f>
        <v>183.98404001562503</v>
      </c>
      <c r="BL177" s="218">
        <f t="shared" ref="BL177" si="1572">BJ178*$C177</f>
        <v>199.55082450781254</v>
      </c>
      <c r="BM177" s="217">
        <f t="shared" ref="BM177" si="1573">BK178*$C177</f>
        <v>215.35162250703129</v>
      </c>
      <c r="BN177" s="218">
        <f t="shared" ref="BN177" si="1574">BL178*$C177</f>
        <v>231.37408128164066</v>
      </c>
      <c r="BO177" s="218">
        <f t="shared" ref="BO177" si="1575">BM178*$C177</f>
        <v>247.60650015628909</v>
      </c>
      <c r="BP177" s="218">
        <f t="shared" ref="BP177" si="1576">BN178*$C177</f>
        <v>264.03779609220709</v>
      </c>
      <c r="BQ177" s="218">
        <f t="shared" ref="BQ177" si="1577">BO178*$C177</f>
        <v>280.65747108439263</v>
      </c>
      <c r="BR177" s="218">
        <f t="shared" ref="BR177" si="1578">BP178*$C177</f>
        <v>297.45558127978228</v>
      </c>
      <c r="BS177" s="218">
        <f t="shared" ref="BS177" si="1579">BQ178*$C177</f>
        <v>314.42270772556265</v>
      </c>
      <c r="BT177" s="218">
        <f t="shared" ref="BT177" si="1580">BR178*$C177</f>
        <v>331.54992866157352</v>
      </c>
      <c r="BU177" s="218">
        <f t="shared" ref="BU177" si="1581">BS178*$C177</f>
        <v>348.82879327529537</v>
      </c>
      <c r="BV177" s="218">
        <f t="shared" ref="BV177" si="1582">BT178*$C177</f>
        <v>366.25129684221673</v>
      </c>
      <c r="BW177" s="218">
        <f t="shared" ref="BW177" si="1583">BU178*$C177</f>
        <v>383.80985717845192</v>
      </c>
      <c r="BX177" s="218">
        <f t="shared" ref="BX177" si="1584">BV178*$C177</f>
        <v>401.49729233634116</v>
      </c>
      <c r="BY177" s="217">
        <f t="shared" ref="BY177" si="1585">BW178*$C177</f>
        <v>419.30679947741856</v>
      </c>
      <c r="BZ177" s="218">
        <f t="shared" ref="BZ177" si="1586">BX178*$C177</f>
        <v>437.23193486060154</v>
      </c>
      <c r="CA177" s="218">
        <f t="shared" ref="CA177" si="1587">BY178*$C177</f>
        <v>455.26659488673062</v>
      </c>
      <c r="CB177" s="218">
        <f t="shared" ref="CB177" si="1588">BZ178*$C177</f>
        <v>473.40499814370054</v>
      </c>
      <c r="CC177" s="218">
        <f t="shared" ref="CC177" si="1589">CA178*$C177</f>
        <v>491.64166839936399</v>
      </c>
      <c r="CD177" s="218">
        <f t="shared" ref="CD177" si="1590">CB178*$C177</f>
        <v>509.971418492179</v>
      </c>
      <c r="CE177" s="218">
        <f t="shared" ref="CE177" si="1591">CC178*$C177</f>
        <v>528.38933507221077</v>
      </c>
      <c r="CF177" s="218">
        <f t="shared" ref="CF177" si="1592">CD178*$C177</f>
        <v>546.89076414760177</v>
      </c>
      <c r="CG177" s="218">
        <f t="shared" ref="CG177" si="1593">CE178*$C177</f>
        <v>565.47129739399122</v>
      </c>
      <c r="CH177" s="218">
        <f t="shared" ref="CH177" si="1594">CF178*$C177</f>
        <v>584.12675918661114</v>
      </c>
      <c r="CI177" s="218">
        <f t="shared" ref="CI177" si="1595">CG178*$C177</f>
        <v>602.85319431691164</v>
      </c>
      <c r="CJ177" s="218">
        <f t="shared" ref="CJ177" si="1596">CH178*$C177</f>
        <v>621.6468563575811</v>
      </c>
      <c r="CK177" s="217">
        <f t="shared" ref="CK177" si="1597">CI178*$C177</f>
        <v>640.50419664173558</v>
      </c>
    </row>
    <row r="178" spans="2:89" x14ac:dyDescent="0.2">
      <c r="B178" s="21" t="s">
        <v>72</v>
      </c>
      <c r="C178" s="211"/>
      <c r="M178" s="108">
        <v>0</v>
      </c>
      <c r="N178" s="216">
        <f>M178+N176</f>
        <v>0</v>
      </c>
      <c r="O178" s="216">
        <f>N178+O176</f>
        <v>0</v>
      </c>
      <c r="P178" s="384">
        <f t="shared" ref="P178" si="1598">O178+P176-P177</f>
        <v>0</v>
      </c>
      <c r="Q178" s="385">
        <f t="shared" ref="Q178" si="1599">P178+Q176-Q177</f>
        <v>0</v>
      </c>
      <c r="R178" s="216">
        <f t="shared" ref="R178" si="1600">Q178+R176-R177</f>
        <v>0</v>
      </c>
      <c r="S178" s="216">
        <f t="shared" ref="S178" si="1601">R178+S176-S177</f>
        <v>0</v>
      </c>
      <c r="T178" s="216">
        <f t="shared" ref="T178" si="1602">S178+T176-T177</f>
        <v>0</v>
      </c>
      <c r="U178" s="216">
        <f t="shared" ref="U178" si="1603">T178+U176-U177</f>
        <v>0</v>
      </c>
      <c r="V178" s="216">
        <f t="shared" ref="V178" si="1604">U178+V176-V177</f>
        <v>0</v>
      </c>
      <c r="W178" s="216">
        <f t="shared" ref="W178" si="1605">V178+W176-W177</f>
        <v>0</v>
      </c>
      <c r="X178" s="216">
        <f t="shared" ref="X178" si="1606">W178+X176-X177</f>
        <v>0</v>
      </c>
      <c r="Y178" s="216">
        <f t="shared" ref="Y178" si="1607">X178+Y176-Y177</f>
        <v>0</v>
      </c>
      <c r="Z178" s="216">
        <f t="shared" ref="Z178" si="1608">Y178+Z176-Z177</f>
        <v>0</v>
      </c>
      <c r="AA178" s="216">
        <f t="shared" ref="AA178" si="1609">Z178+AA176-AA177</f>
        <v>0</v>
      </c>
      <c r="AB178" s="216">
        <f t="shared" ref="AB178" si="1610">AA178+AB176-AB177</f>
        <v>0</v>
      </c>
      <c r="AC178" s="215">
        <f t="shared" ref="AC178" si="1611">AB178+AC176-AC177</f>
        <v>0</v>
      </c>
      <c r="AD178" s="216">
        <f t="shared" ref="AD178" si="1612">AC178+AD176-AD177</f>
        <v>0</v>
      </c>
      <c r="AE178" s="216">
        <f t="shared" ref="AE178" si="1613">AD178+AE176-AE177</f>
        <v>0</v>
      </c>
      <c r="AF178" s="216">
        <f t="shared" ref="AF178" si="1614">AE178+AF176-AF177</f>
        <v>0</v>
      </c>
      <c r="AG178" s="216">
        <f t="shared" ref="AG178" si="1615">AF178+AG176-AG177</f>
        <v>0</v>
      </c>
      <c r="AH178" s="216">
        <f t="shared" ref="AH178" si="1616">AG178+AH176-AH177</f>
        <v>0</v>
      </c>
      <c r="AI178" s="216">
        <f t="shared" ref="AI178" si="1617">AH178+AI176-AI177</f>
        <v>0</v>
      </c>
      <c r="AJ178" s="216">
        <f t="shared" ref="AJ178" si="1618">AI178+AJ176-AJ177</f>
        <v>0</v>
      </c>
      <c r="AK178" s="216">
        <f t="shared" ref="AK178" si="1619">AJ178+AK176-AK177</f>
        <v>0</v>
      </c>
      <c r="AL178" s="216">
        <f t="shared" ref="AL178" si="1620">AK178+AL176-AL177</f>
        <v>0</v>
      </c>
      <c r="AM178" s="216">
        <f t="shared" ref="AM178" si="1621">AL178+AM176-AM177</f>
        <v>0</v>
      </c>
      <c r="AN178" s="216">
        <f t="shared" ref="AN178" si="1622">AM178+AN176-AN177</f>
        <v>0</v>
      </c>
      <c r="AO178" s="215">
        <f t="shared" ref="AO178" si="1623">AN178+AO176-AO177</f>
        <v>0</v>
      </c>
      <c r="AP178" s="216">
        <f t="shared" ref="AP178" si="1624">AO178+AP176-AP177</f>
        <v>0</v>
      </c>
      <c r="AQ178" s="216">
        <f t="shared" ref="AQ178" si="1625">AP178+AQ176-AQ177</f>
        <v>0</v>
      </c>
      <c r="AR178" s="216">
        <f t="shared" ref="AR178" si="1626">AQ178+AR176-AR177</f>
        <v>0</v>
      </c>
      <c r="AS178" s="216">
        <f t="shared" ref="AS178" si="1627">AR178+AS176-AS177</f>
        <v>0</v>
      </c>
      <c r="AT178" s="216">
        <f t="shared" ref="AT178" si="1628">AS178+AT176-AT177</f>
        <v>0</v>
      </c>
      <c r="AU178" s="216">
        <f t="shared" ref="AU178" si="1629">AT178+AU176-AU177</f>
        <v>0</v>
      </c>
      <c r="AV178" s="216">
        <f t="shared" ref="AV178" si="1630">AU178+AV176-AV177</f>
        <v>200</v>
      </c>
      <c r="AW178" s="216">
        <f t="shared" ref="AW178" si="1631">AV178+AW176-AW177</f>
        <v>420</v>
      </c>
      <c r="AX178" s="216">
        <f t="shared" ref="AX178" si="1632">AW178+AX176-AX177</f>
        <v>650</v>
      </c>
      <c r="AY178" s="216">
        <f t="shared" ref="AY178" si="1633">AX178+AY176-AY177</f>
        <v>889</v>
      </c>
      <c r="AZ178" s="216">
        <f t="shared" ref="AZ178" si="1634">AY178+AZ176-AZ177</f>
        <v>1136.5</v>
      </c>
      <c r="BA178" s="215">
        <f t="shared" ref="BA178" si="1635">AZ178+BA176-BA177</f>
        <v>1392.05</v>
      </c>
      <c r="BB178" s="216">
        <f t="shared" ref="BB178" si="1636">BA178+BB176-BB177</f>
        <v>1655.2249999999999</v>
      </c>
      <c r="BC178" s="216">
        <f t="shared" ref="BC178" si="1637">BB178+BC176-BC177</f>
        <v>1925.6224999999999</v>
      </c>
      <c r="BD178" s="216">
        <f t="shared" ref="BD178" si="1638">BC178+BD176-BD177</f>
        <v>2202.8612499999999</v>
      </c>
      <c r="BE178" s="216">
        <f t="shared" ref="BE178" si="1639">BD178+BE176-BE177</f>
        <v>2486.580125</v>
      </c>
      <c r="BF178" s="216">
        <f t="shared" ref="BF178" si="1640">BE178+BF176-BF177</f>
        <v>2776.4370625000001</v>
      </c>
      <c r="BG178" s="216">
        <f t="shared" ref="BG178" si="1641">BF178+BG176-BG177</f>
        <v>3072.1080562500001</v>
      </c>
      <c r="BH178" s="216">
        <f t="shared" ref="BH178" si="1642">BG178+BH176-BH177</f>
        <v>3373.2862031250002</v>
      </c>
      <c r="BI178" s="216">
        <f t="shared" ref="BI178" si="1643">BH178+BI176-BI177</f>
        <v>3679.6808003125002</v>
      </c>
      <c r="BJ178" s="216">
        <f t="shared" ref="BJ178" si="1644">BI178+BJ176-BJ177</f>
        <v>3991.0164901562507</v>
      </c>
      <c r="BK178" s="216">
        <f t="shared" ref="BK178" si="1645">BJ178+BK176-BK177</f>
        <v>4307.0324501406258</v>
      </c>
      <c r="BL178" s="216">
        <f t="shared" ref="BL178" si="1646">BK178+BL176-BL177</f>
        <v>4627.4816256328131</v>
      </c>
      <c r="BM178" s="215">
        <f t="shared" ref="BM178" si="1647">BL178+BM176-BM177</f>
        <v>4952.1300031257815</v>
      </c>
      <c r="BN178" s="216">
        <f t="shared" ref="BN178" si="1648">BM178+BN176-BN177</f>
        <v>5280.7559218441411</v>
      </c>
      <c r="BO178" s="216">
        <f t="shared" ref="BO178" si="1649">BN178+BO176-BO177</f>
        <v>5613.1494216878518</v>
      </c>
      <c r="BP178" s="216">
        <f t="shared" ref="BP178" si="1650">BO178+BP176-BP177</f>
        <v>5949.1116255956449</v>
      </c>
      <c r="BQ178" s="216">
        <f t="shared" ref="BQ178" si="1651">BP178+BQ176-BQ177</f>
        <v>6288.4541545112525</v>
      </c>
      <c r="BR178" s="216">
        <f t="shared" ref="BR178" si="1652">BQ178+BR176-BR177</f>
        <v>6630.9985732314699</v>
      </c>
      <c r="BS178" s="216">
        <f t="shared" ref="BS178" si="1653">BR178+BS176-BS177</f>
        <v>6976.5758655059071</v>
      </c>
      <c r="BT178" s="216">
        <f t="shared" ref="BT178" si="1654">BS178+BT176-BT177</f>
        <v>7325.025936844334</v>
      </c>
      <c r="BU178" s="216">
        <f t="shared" ref="BU178" si="1655">BT178+BU176-BU177</f>
        <v>7676.1971435690384</v>
      </c>
      <c r="BV178" s="216">
        <f t="shared" ref="BV178" si="1656">BU178+BV176-BV177</f>
        <v>8029.9458467268223</v>
      </c>
      <c r="BW178" s="216">
        <f t="shared" ref="BW178" si="1657">BV178+BW176-BW177</f>
        <v>8386.1359895483711</v>
      </c>
      <c r="BX178" s="216">
        <f t="shared" ref="BX178" si="1658">BW178+BX176-BX177</f>
        <v>8744.6386972120308</v>
      </c>
      <c r="BY178" s="215">
        <f t="shared" ref="BY178" si="1659">BX178+BY176-BY177</f>
        <v>9105.3318977346116</v>
      </c>
      <c r="BZ178" s="216">
        <f t="shared" ref="BZ178" si="1660">BY178+BZ176-BZ177</f>
        <v>9468.0999628740101</v>
      </c>
      <c r="CA178" s="216">
        <f t="shared" ref="CA178" si="1661">BZ178+CA176-CA177</f>
        <v>9832.8333679872794</v>
      </c>
      <c r="CB178" s="216">
        <f t="shared" ref="CB178" si="1662">CA178+CB176-CB177</f>
        <v>10199.428369843579</v>
      </c>
      <c r="CC178" s="216">
        <f t="shared" ref="CC178" si="1663">CB178+CC176-CC177</f>
        <v>10567.786701444214</v>
      </c>
      <c r="CD178" s="216">
        <f t="shared" ref="CD178" si="1664">CC178+CD176-CD177</f>
        <v>10937.815282952035</v>
      </c>
      <c r="CE178" s="216">
        <f t="shared" ref="CE178" si="1665">CD178+CE176-CE177</f>
        <v>11309.425947879825</v>
      </c>
      <c r="CF178" s="216">
        <f t="shared" ref="CF178" si="1666">CE178+CF176-CF177</f>
        <v>11682.535183732223</v>
      </c>
      <c r="CG178" s="216">
        <f t="shared" ref="CG178" si="1667">CF178+CG176-CG177</f>
        <v>12057.063886338232</v>
      </c>
      <c r="CH178" s="216">
        <f t="shared" ref="CH178" si="1668">CG178+CH176-CH177</f>
        <v>12432.937127151621</v>
      </c>
      <c r="CI178" s="216">
        <f t="shared" ref="CI178" si="1669">CH178+CI176-CI177</f>
        <v>12810.08393283471</v>
      </c>
      <c r="CJ178" s="216">
        <f t="shared" ref="CJ178" si="1670">CI178+CJ176-CJ177</f>
        <v>13188.437076477128</v>
      </c>
      <c r="CK178" s="215">
        <f t="shared" ref="CK178" si="1671">CJ178+CK176-CK177</f>
        <v>13567.932879835393</v>
      </c>
    </row>
    <row r="179" spans="2:89" x14ac:dyDescent="0.2">
      <c r="B179" s="121" t="s">
        <v>82</v>
      </c>
      <c r="C179" s="214">
        <v>75</v>
      </c>
      <c r="N179" s="169"/>
      <c r="O179" s="169"/>
      <c r="P179" s="386"/>
      <c r="Q179" s="387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  <c r="AB179" s="169"/>
      <c r="AC179" s="170"/>
      <c r="AD179" s="169"/>
      <c r="AE179" s="169"/>
      <c r="AF179" s="169"/>
      <c r="AG179" s="169"/>
      <c r="AH179" s="169"/>
      <c r="AI179" s="169"/>
      <c r="AJ179" s="169"/>
      <c r="AK179" s="169"/>
      <c r="AL179" s="169"/>
      <c r="AM179" s="169"/>
      <c r="AN179" s="169"/>
      <c r="AO179" s="170"/>
      <c r="AP179" s="169"/>
      <c r="AQ179" s="169"/>
      <c r="AR179" s="169"/>
      <c r="AS179" s="169"/>
      <c r="AT179" s="169"/>
      <c r="AU179" s="169"/>
      <c r="AV179" s="169"/>
      <c r="AW179" s="169"/>
      <c r="AX179" s="169"/>
      <c r="AY179" s="169"/>
      <c r="AZ179" s="169"/>
      <c r="BA179" s="170"/>
      <c r="BB179" s="169"/>
      <c r="BC179" s="169"/>
      <c r="BD179" s="169"/>
      <c r="BE179" s="169"/>
      <c r="BF179" s="169"/>
      <c r="BG179" s="169"/>
      <c r="BH179" s="169"/>
      <c r="BI179" s="169"/>
      <c r="BJ179" s="169"/>
      <c r="BK179" s="169"/>
      <c r="BL179" s="169"/>
      <c r="BM179" s="170"/>
      <c r="BN179" s="169"/>
      <c r="BO179" s="169"/>
      <c r="BP179" s="169"/>
      <c r="BQ179" s="169"/>
      <c r="BR179" s="169"/>
      <c r="BS179" s="169"/>
      <c r="BT179" s="169"/>
      <c r="BU179" s="169"/>
      <c r="BV179" s="169"/>
      <c r="BW179" s="169"/>
      <c r="BX179" s="169"/>
      <c r="BY179" s="170"/>
      <c r="BZ179" s="169"/>
      <c r="CA179" s="169"/>
      <c r="CB179" s="169"/>
      <c r="CC179" s="169"/>
      <c r="CD179" s="169"/>
      <c r="CE179" s="169"/>
      <c r="CF179" s="169"/>
      <c r="CG179" s="169"/>
      <c r="CH179" s="169"/>
      <c r="CI179" s="169"/>
      <c r="CJ179" s="169"/>
      <c r="CK179" s="170"/>
    </row>
    <row r="180" spans="2:89" s="107" customFormat="1" x14ac:dyDescent="0.2">
      <c r="B180" s="142" t="s">
        <v>83</v>
      </c>
      <c r="E180" s="143"/>
      <c r="N180" s="213">
        <f t="shared" ref="N180:BM180" si="1672">$C179*N178</f>
        <v>0</v>
      </c>
      <c r="O180" s="213">
        <f t="shared" si="1672"/>
        <v>0</v>
      </c>
      <c r="P180" s="386">
        <f t="shared" si="1672"/>
        <v>0</v>
      </c>
      <c r="Q180" s="387">
        <f t="shared" si="1672"/>
        <v>0</v>
      </c>
      <c r="R180" s="213">
        <f t="shared" si="1672"/>
        <v>0</v>
      </c>
      <c r="S180" s="213">
        <f t="shared" si="1672"/>
        <v>0</v>
      </c>
      <c r="T180" s="213">
        <f t="shared" si="1672"/>
        <v>0</v>
      </c>
      <c r="U180" s="213">
        <f t="shared" si="1672"/>
        <v>0</v>
      </c>
      <c r="V180" s="213">
        <f t="shared" si="1672"/>
        <v>0</v>
      </c>
      <c r="W180" s="213">
        <f t="shared" si="1672"/>
        <v>0</v>
      </c>
      <c r="X180" s="213">
        <f t="shared" si="1672"/>
        <v>0</v>
      </c>
      <c r="Y180" s="213">
        <f t="shared" si="1672"/>
        <v>0</v>
      </c>
      <c r="Z180" s="213">
        <f t="shared" si="1672"/>
        <v>0</v>
      </c>
      <c r="AA180" s="213">
        <f t="shared" si="1672"/>
        <v>0</v>
      </c>
      <c r="AB180" s="213">
        <f t="shared" si="1672"/>
        <v>0</v>
      </c>
      <c r="AC180" s="212">
        <f t="shared" si="1672"/>
        <v>0</v>
      </c>
      <c r="AD180" s="213">
        <f t="shared" si="1672"/>
        <v>0</v>
      </c>
      <c r="AE180" s="213">
        <f t="shared" si="1672"/>
        <v>0</v>
      </c>
      <c r="AF180" s="213">
        <f t="shared" si="1672"/>
        <v>0</v>
      </c>
      <c r="AG180" s="213">
        <f t="shared" si="1672"/>
        <v>0</v>
      </c>
      <c r="AH180" s="213">
        <f t="shared" si="1672"/>
        <v>0</v>
      </c>
      <c r="AI180" s="213">
        <f t="shared" si="1672"/>
        <v>0</v>
      </c>
      <c r="AJ180" s="213">
        <f t="shared" si="1672"/>
        <v>0</v>
      </c>
      <c r="AK180" s="213">
        <f t="shared" si="1672"/>
        <v>0</v>
      </c>
      <c r="AL180" s="213">
        <f t="shared" si="1672"/>
        <v>0</v>
      </c>
      <c r="AM180" s="213">
        <f t="shared" si="1672"/>
        <v>0</v>
      </c>
      <c r="AN180" s="213">
        <f t="shared" si="1672"/>
        <v>0</v>
      </c>
      <c r="AO180" s="212">
        <f t="shared" si="1672"/>
        <v>0</v>
      </c>
      <c r="AP180" s="213">
        <f t="shared" si="1672"/>
        <v>0</v>
      </c>
      <c r="AQ180" s="213">
        <f t="shared" si="1672"/>
        <v>0</v>
      </c>
      <c r="AR180" s="213">
        <f t="shared" si="1672"/>
        <v>0</v>
      </c>
      <c r="AS180" s="213">
        <f t="shared" si="1672"/>
        <v>0</v>
      </c>
      <c r="AT180" s="213">
        <f t="shared" si="1672"/>
        <v>0</v>
      </c>
      <c r="AU180" s="213">
        <f t="shared" si="1672"/>
        <v>0</v>
      </c>
      <c r="AV180" s="213">
        <f t="shared" si="1672"/>
        <v>15000</v>
      </c>
      <c r="AW180" s="213">
        <f t="shared" si="1672"/>
        <v>31500</v>
      </c>
      <c r="AX180" s="213">
        <f t="shared" si="1672"/>
        <v>48750</v>
      </c>
      <c r="AY180" s="213">
        <f t="shared" si="1672"/>
        <v>66675</v>
      </c>
      <c r="AZ180" s="213">
        <f t="shared" si="1672"/>
        <v>85237.5</v>
      </c>
      <c r="BA180" s="212">
        <f t="shared" si="1672"/>
        <v>104403.75</v>
      </c>
      <c r="BB180" s="213">
        <f t="shared" si="1672"/>
        <v>124141.875</v>
      </c>
      <c r="BC180" s="213">
        <f t="shared" si="1672"/>
        <v>144421.6875</v>
      </c>
      <c r="BD180" s="213">
        <f t="shared" si="1672"/>
        <v>165214.59375</v>
      </c>
      <c r="BE180" s="213">
        <f t="shared" si="1672"/>
        <v>186493.50937499999</v>
      </c>
      <c r="BF180" s="213">
        <f t="shared" si="1672"/>
        <v>208232.77968750001</v>
      </c>
      <c r="BG180" s="213">
        <f t="shared" si="1672"/>
        <v>230408.10421875</v>
      </c>
      <c r="BH180" s="213">
        <f t="shared" si="1672"/>
        <v>252996.46523437501</v>
      </c>
      <c r="BI180" s="213">
        <f t="shared" si="1672"/>
        <v>275976.06002343749</v>
      </c>
      <c r="BJ180" s="213">
        <f t="shared" si="1672"/>
        <v>299326.23676171881</v>
      </c>
      <c r="BK180" s="213">
        <f t="shared" si="1672"/>
        <v>323027.4337605469</v>
      </c>
      <c r="BL180" s="213">
        <f t="shared" si="1672"/>
        <v>347061.12192246097</v>
      </c>
      <c r="BM180" s="212">
        <f t="shared" si="1672"/>
        <v>371409.75023443362</v>
      </c>
      <c r="BN180" s="213">
        <f t="shared" ref="BN180:BY180" si="1673">$C179*BN178</f>
        <v>396056.69413831056</v>
      </c>
      <c r="BO180" s="213">
        <f t="shared" si="1673"/>
        <v>420986.20662658889</v>
      </c>
      <c r="BP180" s="213">
        <f t="shared" si="1673"/>
        <v>446183.37191967334</v>
      </c>
      <c r="BQ180" s="213">
        <f t="shared" si="1673"/>
        <v>471634.06158834393</v>
      </c>
      <c r="BR180" s="213">
        <f t="shared" si="1673"/>
        <v>497324.89299236023</v>
      </c>
      <c r="BS180" s="213">
        <f t="shared" si="1673"/>
        <v>523243.18991294305</v>
      </c>
      <c r="BT180" s="213">
        <f t="shared" si="1673"/>
        <v>549376.945263325</v>
      </c>
      <c r="BU180" s="213">
        <f t="shared" si="1673"/>
        <v>575714.78576767794</v>
      </c>
      <c r="BV180" s="213">
        <f t="shared" si="1673"/>
        <v>602245.93850451172</v>
      </c>
      <c r="BW180" s="213">
        <f t="shared" si="1673"/>
        <v>628960.19921612786</v>
      </c>
      <c r="BX180" s="213">
        <f t="shared" si="1673"/>
        <v>655847.90229090233</v>
      </c>
      <c r="BY180" s="212">
        <f t="shared" si="1673"/>
        <v>682899.89233009587</v>
      </c>
      <c r="BZ180" s="213">
        <f t="shared" ref="BZ180:CK180" si="1674">$C179*BZ178</f>
        <v>710107.49721555074</v>
      </c>
      <c r="CA180" s="213">
        <f t="shared" si="1674"/>
        <v>737462.50259904598</v>
      </c>
      <c r="CB180" s="213">
        <f t="shared" si="1674"/>
        <v>764957.12773826846</v>
      </c>
      <c r="CC180" s="213">
        <f t="shared" si="1674"/>
        <v>792584.00260831614</v>
      </c>
      <c r="CD180" s="213">
        <f t="shared" si="1674"/>
        <v>820336.14622140257</v>
      </c>
      <c r="CE180" s="213">
        <f t="shared" si="1674"/>
        <v>848206.94609098684</v>
      </c>
      <c r="CF180" s="213">
        <f t="shared" si="1674"/>
        <v>876190.1387799168</v>
      </c>
      <c r="CG180" s="213">
        <f t="shared" si="1674"/>
        <v>904279.79147536738</v>
      </c>
      <c r="CH180" s="213">
        <f t="shared" si="1674"/>
        <v>932470.28453637159</v>
      </c>
      <c r="CI180" s="213">
        <f t="shared" si="1674"/>
        <v>960756.29496260325</v>
      </c>
      <c r="CJ180" s="213">
        <f t="shared" si="1674"/>
        <v>989132.78073578468</v>
      </c>
      <c r="CK180" s="212">
        <f t="shared" si="1674"/>
        <v>1017594.9659876544</v>
      </c>
    </row>
    <row r="181" spans="2:89" x14ac:dyDescent="0.2">
      <c r="B181" s="121"/>
      <c r="C181" s="211"/>
      <c r="E181" s="205"/>
      <c r="N181" s="169"/>
      <c r="O181" s="169"/>
      <c r="P181" s="386"/>
      <c r="Q181" s="387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  <c r="AB181" s="169"/>
      <c r="AC181" s="170"/>
      <c r="AD181" s="169"/>
      <c r="AE181" s="169"/>
      <c r="AF181" s="169"/>
      <c r="AG181" s="169"/>
      <c r="AH181" s="169"/>
      <c r="AI181" s="169"/>
      <c r="AJ181" s="169"/>
      <c r="AK181" s="169"/>
      <c r="AL181" s="169"/>
      <c r="AM181" s="169"/>
      <c r="AN181" s="169"/>
      <c r="AO181" s="170"/>
      <c r="AP181" s="169"/>
      <c r="AQ181" s="169"/>
      <c r="AR181" s="169"/>
      <c r="AS181" s="169"/>
      <c r="AT181" s="169"/>
      <c r="AU181" s="169"/>
      <c r="AV181" s="169"/>
      <c r="AW181" s="169"/>
      <c r="AX181" s="169"/>
      <c r="AY181" s="169"/>
      <c r="AZ181" s="169"/>
      <c r="BA181" s="170"/>
      <c r="BB181" s="169"/>
      <c r="BC181" s="169"/>
      <c r="BD181" s="169"/>
      <c r="BE181" s="169"/>
      <c r="BF181" s="169"/>
      <c r="BG181" s="169"/>
      <c r="BH181" s="169"/>
      <c r="BI181" s="169"/>
      <c r="BJ181" s="169"/>
      <c r="BK181" s="169"/>
      <c r="BL181" s="169"/>
      <c r="BM181" s="170"/>
      <c r="BN181" s="169"/>
      <c r="BO181" s="169"/>
      <c r="BP181" s="169"/>
      <c r="BQ181" s="169"/>
      <c r="BR181" s="169"/>
      <c r="BS181" s="169"/>
      <c r="BT181" s="169"/>
      <c r="BU181" s="169"/>
      <c r="BV181" s="169"/>
      <c r="BW181" s="169"/>
      <c r="BX181" s="169"/>
      <c r="BY181" s="170"/>
      <c r="BZ181" s="169"/>
      <c r="CA181" s="169"/>
      <c r="CB181" s="169"/>
      <c r="CC181" s="169"/>
      <c r="CD181" s="169"/>
      <c r="CE181" s="169"/>
      <c r="CF181" s="169"/>
      <c r="CG181" s="169"/>
      <c r="CH181" s="169"/>
      <c r="CI181" s="169"/>
      <c r="CJ181" s="169"/>
      <c r="CK181" s="170"/>
    </row>
    <row r="182" spans="2:89" s="2" customFormat="1" x14ac:dyDescent="0.2">
      <c r="B182" s="118" t="s">
        <v>84</v>
      </c>
      <c r="C182" s="210">
        <v>1</v>
      </c>
      <c r="E182" s="209"/>
      <c r="N182" s="208">
        <f t="shared" ref="N182:BM182" si="1675">N180*$C182</f>
        <v>0</v>
      </c>
      <c r="O182" s="208">
        <f t="shared" si="1675"/>
        <v>0</v>
      </c>
      <c r="P182" s="388">
        <f t="shared" si="1675"/>
        <v>0</v>
      </c>
      <c r="Q182" s="389">
        <f t="shared" si="1675"/>
        <v>0</v>
      </c>
      <c r="R182" s="208">
        <f t="shared" si="1675"/>
        <v>0</v>
      </c>
      <c r="S182" s="208">
        <f t="shared" si="1675"/>
        <v>0</v>
      </c>
      <c r="T182" s="208">
        <f t="shared" si="1675"/>
        <v>0</v>
      </c>
      <c r="U182" s="208">
        <f t="shared" si="1675"/>
        <v>0</v>
      </c>
      <c r="V182" s="208">
        <f t="shared" si="1675"/>
        <v>0</v>
      </c>
      <c r="W182" s="208">
        <f t="shared" si="1675"/>
        <v>0</v>
      </c>
      <c r="X182" s="208">
        <f t="shared" si="1675"/>
        <v>0</v>
      </c>
      <c r="Y182" s="208">
        <f t="shared" si="1675"/>
        <v>0</v>
      </c>
      <c r="Z182" s="208">
        <f t="shared" si="1675"/>
        <v>0</v>
      </c>
      <c r="AA182" s="208">
        <f t="shared" si="1675"/>
        <v>0</v>
      </c>
      <c r="AB182" s="208">
        <f t="shared" si="1675"/>
        <v>0</v>
      </c>
      <c r="AC182" s="207">
        <f t="shared" si="1675"/>
        <v>0</v>
      </c>
      <c r="AD182" s="208">
        <f t="shared" si="1675"/>
        <v>0</v>
      </c>
      <c r="AE182" s="208">
        <f t="shared" si="1675"/>
        <v>0</v>
      </c>
      <c r="AF182" s="208">
        <f t="shared" si="1675"/>
        <v>0</v>
      </c>
      <c r="AG182" s="208">
        <f t="shared" si="1675"/>
        <v>0</v>
      </c>
      <c r="AH182" s="208">
        <f t="shared" si="1675"/>
        <v>0</v>
      </c>
      <c r="AI182" s="208">
        <f t="shared" si="1675"/>
        <v>0</v>
      </c>
      <c r="AJ182" s="208">
        <f t="shared" si="1675"/>
        <v>0</v>
      </c>
      <c r="AK182" s="208">
        <f t="shared" si="1675"/>
        <v>0</v>
      </c>
      <c r="AL182" s="208">
        <f t="shared" si="1675"/>
        <v>0</v>
      </c>
      <c r="AM182" s="208">
        <f t="shared" si="1675"/>
        <v>0</v>
      </c>
      <c r="AN182" s="208">
        <f t="shared" si="1675"/>
        <v>0</v>
      </c>
      <c r="AO182" s="207">
        <f t="shared" si="1675"/>
        <v>0</v>
      </c>
      <c r="AP182" s="208">
        <f t="shared" si="1675"/>
        <v>0</v>
      </c>
      <c r="AQ182" s="208">
        <f t="shared" si="1675"/>
        <v>0</v>
      </c>
      <c r="AR182" s="208">
        <f t="shared" si="1675"/>
        <v>0</v>
      </c>
      <c r="AS182" s="208">
        <f t="shared" si="1675"/>
        <v>0</v>
      </c>
      <c r="AT182" s="208">
        <f t="shared" si="1675"/>
        <v>0</v>
      </c>
      <c r="AU182" s="208">
        <f t="shared" si="1675"/>
        <v>0</v>
      </c>
      <c r="AV182" s="208">
        <f t="shared" si="1675"/>
        <v>15000</v>
      </c>
      <c r="AW182" s="208">
        <f t="shared" si="1675"/>
        <v>31500</v>
      </c>
      <c r="AX182" s="208">
        <f t="shared" si="1675"/>
        <v>48750</v>
      </c>
      <c r="AY182" s="208">
        <f t="shared" si="1675"/>
        <v>66675</v>
      </c>
      <c r="AZ182" s="208">
        <f t="shared" si="1675"/>
        <v>85237.5</v>
      </c>
      <c r="BA182" s="207">
        <f t="shared" si="1675"/>
        <v>104403.75</v>
      </c>
      <c r="BB182" s="208">
        <f t="shared" si="1675"/>
        <v>124141.875</v>
      </c>
      <c r="BC182" s="208">
        <f t="shared" si="1675"/>
        <v>144421.6875</v>
      </c>
      <c r="BD182" s="208">
        <f t="shared" si="1675"/>
        <v>165214.59375</v>
      </c>
      <c r="BE182" s="208">
        <f t="shared" si="1675"/>
        <v>186493.50937499999</v>
      </c>
      <c r="BF182" s="208">
        <f t="shared" si="1675"/>
        <v>208232.77968750001</v>
      </c>
      <c r="BG182" s="208">
        <f t="shared" si="1675"/>
        <v>230408.10421875</v>
      </c>
      <c r="BH182" s="208">
        <f t="shared" si="1675"/>
        <v>252996.46523437501</v>
      </c>
      <c r="BI182" s="208">
        <f t="shared" si="1675"/>
        <v>275976.06002343749</v>
      </c>
      <c r="BJ182" s="208">
        <f t="shared" si="1675"/>
        <v>299326.23676171881</v>
      </c>
      <c r="BK182" s="208">
        <f t="shared" si="1675"/>
        <v>323027.4337605469</v>
      </c>
      <c r="BL182" s="208">
        <f t="shared" si="1675"/>
        <v>347061.12192246097</v>
      </c>
      <c r="BM182" s="207">
        <f t="shared" si="1675"/>
        <v>371409.75023443362</v>
      </c>
      <c r="BN182" s="208">
        <f t="shared" ref="BN182:BY182" si="1676">BN180*$C182</f>
        <v>396056.69413831056</v>
      </c>
      <c r="BO182" s="208">
        <f t="shared" si="1676"/>
        <v>420986.20662658889</v>
      </c>
      <c r="BP182" s="208">
        <f t="shared" si="1676"/>
        <v>446183.37191967334</v>
      </c>
      <c r="BQ182" s="208">
        <f t="shared" si="1676"/>
        <v>471634.06158834393</v>
      </c>
      <c r="BR182" s="208">
        <f t="shared" si="1676"/>
        <v>497324.89299236023</v>
      </c>
      <c r="BS182" s="208">
        <f t="shared" si="1676"/>
        <v>523243.18991294305</v>
      </c>
      <c r="BT182" s="208">
        <f t="shared" si="1676"/>
        <v>549376.945263325</v>
      </c>
      <c r="BU182" s="208">
        <f t="shared" si="1676"/>
        <v>575714.78576767794</v>
      </c>
      <c r="BV182" s="208">
        <f t="shared" si="1676"/>
        <v>602245.93850451172</v>
      </c>
      <c r="BW182" s="208">
        <f t="shared" si="1676"/>
        <v>628960.19921612786</v>
      </c>
      <c r="BX182" s="208">
        <f t="shared" si="1676"/>
        <v>655847.90229090233</v>
      </c>
      <c r="BY182" s="207">
        <f t="shared" si="1676"/>
        <v>682899.89233009587</v>
      </c>
      <c r="BZ182" s="208">
        <f t="shared" ref="BZ182:CK182" si="1677">BZ180*$C182</f>
        <v>710107.49721555074</v>
      </c>
      <c r="CA182" s="208">
        <f t="shared" si="1677"/>
        <v>737462.50259904598</v>
      </c>
      <c r="CB182" s="208">
        <f t="shared" si="1677"/>
        <v>764957.12773826846</v>
      </c>
      <c r="CC182" s="208">
        <f t="shared" si="1677"/>
        <v>792584.00260831614</v>
      </c>
      <c r="CD182" s="208">
        <f t="shared" si="1677"/>
        <v>820336.14622140257</v>
      </c>
      <c r="CE182" s="208">
        <f t="shared" si="1677"/>
        <v>848206.94609098684</v>
      </c>
      <c r="CF182" s="208">
        <f t="shared" si="1677"/>
        <v>876190.1387799168</v>
      </c>
      <c r="CG182" s="208">
        <f t="shared" si="1677"/>
        <v>904279.79147536738</v>
      </c>
      <c r="CH182" s="208">
        <f t="shared" si="1677"/>
        <v>932470.28453637159</v>
      </c>
      <c r="CI182" s="208">
        <f t="shared" si="1677"/>
        <v>960756.29496260325</v>
      </c>
      <c r="CJ182" s="208">
        <f t="shared" si="1677"/>
        <v>989132.78073578468</v>
      </c>
      <c r="CK182" s="207">
        <f t="shared" si="1677"/>
        <v>1017594.9659876544</v>
      </c>
    </row>
    <row r="183" spans="2:89" x14ac:dyDescent="0.2">
      <c r="B183" s="121" t="s">
        <v>85</v>
      </c>
      <c r="C183" s="206">
        <v>3</v>
      </c>
      <c r="E183" s="205"/>
      <c r="N183" s="169">
        <f t="shared" ref="N183:BM183" si="1678">N178*$C183</f>
        <v>0</v>
      </c>
      <c r="O183" s="169">
        <f t="shared" si="1678"/>
        <v>0</v>
      </c>
      <c r="P183" s="386">
        <f t="shared" si="1678"/>
        <v>0</v>
      </c>
      <c r="Q183" s="387">
        <f t="shared" si="1678"/>
        <v>0</v>
      </c>
      <c r="R183" s="169">
        <f t="shared" si="1678"/>
        <v>0</v>
      </c>
      <c r="S183" s="169">
        <f t="shared" si="1678"/>
        <v>0</v>
      </c>
      <c r="T183" s="169">
        <f t="shared" si="1678"/>
        <v>0</v>
      </c>
      <c r="U183" s="169">
        <f t="shared" si="1678"/>
        <v>0</v>
      </c>
      <c r="V183" s="169">
        <f t="shared" si="1678"/>
        <v>0</v>
      </c>
      <c r="W183" s="169">
        <f t="shared" si="1678"/>
        <v>0</v>
      </c>
      <c r="X183" s="169">
        <f t="shared" si="1678"/>
        <v>0</v>
      </c>
      <c r="Y183" s="169">
        <f t="shared" si="1678"/>
        <v>0</v>
      </c>
      <c r="Z183" s="169">
        <f t="shared" si="1678"/>
        <v>0</v>
      </c>
      <c r="AA183" s="169">
        <f t="shared" si="1678"/>
        <v>0</v>
      </c>
      <c r="AB183" s="169">
        <f t="shared" si="1678"/>
        <v>0</v>
      </c>
      <c r="AC183" s="170">
        <f t="shared" si="1678"/>
        <v>0</v>
      </c>
      <c r="AD183" s="169">
        <f t="shared" si="1678"/>
        <v>0</v>
      </c>
      <c r="AE183" s="169">
        <f t="shared" si="1678"/>
        <v>0</v>
      </c>
      <c r="AF183" s="169">
        <f t="shared" si="1678"/>
        <v>0</v>
      </c>
      <c r="AG183" s="169">
        <f t="shared" si="1678"/>
        <v>0</v>
      </c>
      <c r="AH183" s="169">
        <f t="shared" si="1678"/>
        <v>0</v>
      </c>
      <c r="AI183" s="169">
        <f t="shared" si="1678"/>
        <v>0</v>
      </c>
      <c r="AJ183" s="169">
        <f t="shared" si="1678"/>
        <v>0</v>
      </c>
      <c r="AK183" s="169">
        <f t="shared" si="1678"/>
        <v>0</v>
      </c>
      <c r="AL183" s="169">
        <f t="shared" si="1678"/>
        <v>0</v>
      </c>
      <c r="AM183" s="169">
        <f t="shared" si="1678"/>
        <v>0</v>
      </c>
      <c r="AN183" s="169">
        <f t="shared" si="1678"/>
        <v>0</v>
      </c>
      <c r="AO183" s="170">
        <f t="shared" si="1678"/>
        <v>0</v>
      </c>
      <c r="AP183" s="169">
        <f t="shared" si="1678"/>
        <v>0</v>
      </c>
      <c r="AQ183" s="169">
        <f t="shared" si="1678"/>
        <v>0</v>
      </c>
      <c r="AR183" s="169">
        <f t="shared" si="1678"/>
        <v>0</v>
      </c>
      <c r="AS183" s="169">
        <f t="shared" si="1678"/>
        <v>0</v>
      </c>
      <c r="AT183" s="169">
        <f t="shared" si="1678"/>
        <v>0</v>
      </c>
      <c r="AU183" s="169">
        <f t="shared" si="1678"/>
        <v>0</v>
      </c>
      <c r="AV183" s="169">
        <f t="shared" si="1678"/>
        <v>600</v>
      </c>
      <c r="AW183" s="169">
        <f t="shared" si="1678"/>
        <v>1260</v>
      </c>
      <c r="AX183" s="169">
        <f t="shared" si="1678"/>
        <v>1950</v>
      </c>
      <c r="AY183" s="169">
        <f t="shared" si="1678"/>
        <v>2667</v>
      </c>
      <c r="AZ183" s="169">
        <f t="shared" si="1678"/>
        <v>3409.5</v>
      </c>
      <c r="BA183" s="170">
        <f t="shared" si="1678"/>
        <v>4176.1499999999996</v>
      </c>
      <c r="BB183" s="169">
        <f t="shared" si="1678"/>
        <v>4965.6749999999993</v>
      </c>
      <c r="BC183" s="169">
        <f t="shared" si="1678"/>
        <v>5776.8675000000003</v>
      </c>
      <c r="BD183" s="169">
        <f t="shared" si="1678"/>
        <v>6608.5837499999998</v>
      </c>
      <c r="BE183" s="169">
        <f t="shared" si="1678"/>
        <v>7459.7403749999994</v>
      </c>
      <c r="BF183" s="169">
        <f t="shared" si="1678"/>
        <v>8329.3111874999995</v>
      </c>
      <c r="BG183" s="169">
        <f t="shared" si="1678"/>
        <v>9216.3241687500013</v>
      </c>
      <c r="BH183" s="169">
        <f t="shared" si="1678"/>
        <v>10119.858609375</v>
      </c>
      <c r="BI183" s="169">
        <f t="shared" si="1678"/>
        <v>11039.0424009375</v>
      </c>
      <c r="BJ183" s="169">
        <f t="shared" si="1678"/>
        <v>11973.049470468752</v>
      </c>
      <c r="BK183" s="169">
        <f t="shared" si="1678"/>
        <v>12921.097350421878</v>
      </c>
      <c r="BL183" s="169">
        <f t="shared" si="1678"/>
        <v>13882.44487689844</v>
      </c>
      <c r="BM183" s="170">
        <f t="shared" si="1678"/>
        <v>14856.390009377345</v>
      </c>
      <c r="BN183" s="169">
        <f t="shared" ref="BN183:BY183" si="1679">BN178*$C183</f>
        <v>15842.267765532422</v>
      </c>
      <c r="BO183" s="169">
        <f t="shared" si="1679"/>
        <v>16839.448265063555</v>
      </c>
      <c r="BP183" s="169">
        <f t="shared" si="1679"/>
        <v>17847.334876786936</v>
      </c>
      <c r="BQ183" s="169">
        <f t="shared" si="1679"/>
        <v>18865.362463533758</v>
      </c>
      <c r="BR183" s="169">
        <f t="shared" si="1679"/>
        <v>19892.995719694409</v>
      </c>
      <c r="BS183" s="169">
        <f t="shared" si="1679"/>
        <v>20929.727596517721</v>
      </c>
      <c r="BT183" s="169">
        <f t="shared" si="1679"/>
        <v>21975.077810533003</v>
      </c>
      <c r="BU183" s="169">
        <f t="shared" si="1679"/>
        <v>23028.591430707114</v>
      </c>
      <c r="BV183" s="169">
        <f t="shared" si="1679"/>
        <v>24089.837540180466</v>
      </c>
      <c r="BW183" s="169">
        <f t="shared" si="1679"/>
        <v>25158.407968645115</v>
      </c>
      <c r="BX183" s="169">
        <f t="shared" si="1679"/>
        <v>26233.916091636092</v>
      </c>
      <c r="BY183" s="170">
        <f t="shared" si="1679"/>
        <v>27315.995693203833</v>
      </c>
      <c r="BZ183" s="169">
        <f t="shared" ref="BZ183:CK183" si="1680">BZ178*$C183</f>
        <v>28404.29988862203</v>
      </c>
      <c r="CA183" s="169">
        <f t="shared" si="1680"/>
        <v>29498.500103961836</v>
      </c>
      <c r="CB183" s="169">
        <f t="shared" si="1680"/>
        <v>30598.285109530738</v>
      </c>
      <c r="CC183" s="169">
        <f t="shared" si="1680"/>
        <v>31703.360104332642</v>
      </c>
      <c r="CD183" s="169">
        <f t="shared" si="1680"/>
        <v>32813.445848856107</v>
      </c>
      <c r="CE183" s="169">
        <f t="shared" si="1680"/>
        <v>33928.277843639473</v>
      </c>
      <c r="CF183" s="169">
        <f t="shared" si="1680"/>
        <v>35047.60555119667</v>
      </c>
      <c r="CG183" s="169">
        <f t="shared" si="1680"/>
        <v>36171.191659014694</v>
      </c>
      <c r="CH183" s="169">
        <f t="shared" si="1680"/>
        <v>37298.811381454863</v>
      </c>
      <c r="CI183" s="169">
        <f t="shared" si="1680"/>
        <v>38430.251798504134</v>
      </c>
      <c r="CJ183" s="169">
        <f t="shared" si="1680"/>
        <v>39565.311229431383</v>
      </c>
      <c r="CK183" s="170">
        <f t="shared" si="1680"/>
        <v>40703.798639506174</v>
      </c>
    </row>
    <row r="184" spans="2:89" ht="17" thickBot="1" x14ac:dyDescent="0.25">
      <c r="B184" s="124"/>
      <c r="C184" s="125"/>
      <c r="D184" s="125"/>
      <c r="E184" s="126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394"/>
      <c r="Q184" s="39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6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6"/>
      <c r="AP184" s="125"/>
      <c r="AQ184" s="125"/>
      <c r="AR184" s="125"/>
      <c r="AS184" s="125"/>
      <c r="AT184" s="125"/>
      <c r="AU184" s="125"/>
      <c r="AV184" s="125"/>
      <c r="AW184" s="125"/>
      <c r="AX184" s="125"/>
      <c r="AY184" s="125"/>
      <c r="AZ184" s="125"/>
      <c r="BA184" s="126"/>
      <c r="BB184" s="125"/>
      <c r="BC184" s="125"/>
      <c r="BD184" s="125"/>
      <c r="BE184" s="125"/>
      <c r="BF184" s="125"/>
      <c r="BG184" s="125"/>
      <c r="BH184" s="125"/>
      <c r="BI184" s="125"/>
      <c r="BJ184" s="125"/>
      <c r="BK184" s="125"/>
      <c r="BL184" s="125"/>
      <c r="BM184" s="126"/>
      <c r="BN184" s="125"/>
      <c r="BO184" s="125"/>
      <c r="BP184" s="125"/>
      <c r="BQ184" s="125"/>
      <c r="BR184" s="125"/>
      <c r="BS184" s="125"/>
      <c r="BT184" s="125"/>
      <c r="BU184" s="125"/>
      <c r="BV184" s="125"/>
      <c r="BW184" s="125"/>
      <c r="BX184" s="125"/>
      <c r="BY184" s="126"/>
      <c r="BZ184" s="125"/>
      <c r="CA184" s="125"/>
      <c r="CB184" s="125"/>
      <c r="CC184" s="125"/>
      <c r="CD184" s="125"/>
      <c r="CE184" s="125"/>
      <c r="CF184" s="125"/>
      <c r="CG184" s="125"/>
      <c r="CH184" s="125"/>
      <c r="CI184" s="125"/>
      <c r="CJ184" s="125"/>
      <c r="CK184" s="126"/>
    </row>
  </sheetData>
  <mergeCells count="21">
    <mergeCell ref="BB2:BM2"/>
    <mergeCell ref="BB12:BM12"/>
    <mergeCell ref="BB22:BM22"/>
    <mergeCell ref="F22:Q22"/>
    <mergeCell ref="R22:AC22"/>
    <mergeCell ref="AD22:AO22"/>
    <mergeCell ref="AP22:BA22"/>
    <mergeCell ref="F2:Q2"/>
    <mergeCell ref="R2:AC2"/>
    <mergeCell ref="AD2:AO2"/>
    <mergeCell ref="AP2:BA2"/>
    <mergeCell ref="F12:Q12"/>
    <mergeCell ref="R12:AC12"/>
    <mergeCell ref="AD12:AO12"/>
    <mergeCell ref="AP12:BA12"/>
    <mergeCell ref="BN2:BY2"/>
    <mergeCell ref="BN12:BY12"/>
    <mergeCell ref="BN22:BY22"/>
    <mergeCell ref="BZ2:CK2"/>
    <mergeCell ref="BZ12:CK12"/>
    <mergeCell ref="BZ22:CK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4A7B-73D7-4BE9-8743-C1B7D68DE581}">
  <sheetPr>
    <tabColor theme="6" tint="-0.249977111117893"/>
  </sheetPr>
  <dimension ref="B1:J79"/>
  <sheetViews>
    <sheetView zoomScaleNormal="100" zoomScalePageLayoutView="125" workbookViewId="0">
      <selection activeCell="G23" sqref="G23"/>
    </sheetView>
  </sheetViews>
  <sheetFormatPr baseColWidth="10" defaultColWidth="4.5" defaultRowHeight="16" x14ac:dyDescent="0.2"/>
  <cols>
    <col min="2" max="2" width="2.83203125" customWidth="1"/>
    <col min="3" max="3" width="35.5" customWidth="1"/>
    <col min="4" max="7" width="20" customWidth="1"/>
  </cols>
  <sheetData>
    <row r="1" spans="2:9" x14ac:dyDescent="0.2">
      <c r="C1" s="745" t="s">
        <v>318</v>
      </c>
      <c r="D1" s="745"/>
    </row>
    <row r="2" spans="2:9" x14ac:dyDescent="0.2">
      <c r="C2" s="446"/>
      <c r="D2" s="446"/>
    </row>
    <row r="3" spans="2:9" x14ac:dyDescent="0.2">
      <c r="D3" s="746" t="s">
        <v>319</v>
      </c>
      <c r="E3" s="746"/>
      <c r="F3" s="746"/>
    </row>
    <row r="4" spans="2:9" s="19" customFormat="1" ht="21" x14ac:dyDescent="0.25">
      <c r="C4" s="45"/>
      <c r="D4" s="46" t="s">
        <v>309</v>
      </c>
      <c r="E4" s="46" t="s">
        <v>310</v>
      </c>
      <c r="F4" s="46" t="s">
        <v>311</v>
      </c>
      <c r="G4" s="46" t="s">
        <v>359</v>
      </c>
      <c r="I4" s="2"/>
    </row>
    <row r="5" spans="2:9" x14ac:dyDescent="0.2">
      <c r="B5" s="694" t="s">
        <v>90</v>
      </c>
      <c r="I5" s="17"/>
    </row>
    <row r="6" spans="2:9" x14ac:dyDescent="0.2">
      <c r="B6" s="694"/>
      <c r="C6" s="21" t="s">
        <v>71</v>
      </c>
      <c r="D6" s="186">
        <f>SUM('PSB-P&amp;L '!P10:AA10)</f>
        <v>1112.1155655938267</v>
      </c>
      <c r="E6" s="186">
        <f>SUM('PSB-P&amp;L '!AD10:AO10)</f>
        <v>12909.770209838322</v>
      </c>
      <c r="F6" s="186">
        <f>SUM('PSB-P&amp;L '!AP10:BA10)</f>
        <v>32575.341176470589</v>
      </c>
      <c r="G6" s="186">
        <f>SUM('PSB-P&amp;L '!AQ10:BB10)</f>
        <v>34268.141176470592</v>
      </c>
      <c r="I6" s="17"/>
    </row>
    <row r="7" spans="2:9" x14ac:dyDescent="0.2">
      <c r="B7" s="694"/>
      <c r="C7" s="21" t="s">
        <v>59</v>
      </c>
      <c r="D7" s="186">
        <f>SUM('PSB-P&amp;L '!P11:AA11)</f>
        <v>758.11151142729284</v>
      </c>
      <c r="E7" s="187">
        <f>SUM('PSB-P&amp;L '!AD11:AO11)</f>
        <v>1557.4311133336898</v>
      </c>
      <c r="F7" s="187">
        <f>SUM('PSB-P&amp;L '!AP11:BA11)</f>
        <v>5199.0281097400039</v>
      </c>
      <c r="G7" s="187">
        <f>SUM('PSB-P&amp;L '!AQ11:BB11)</f>
        <v>5684.9534627793937</v>
      </c>
      <c r="I7" s="17"/>
    </row>
    <row r="8" spans="2:9" x14ac:dyDescent="0.2">
      <c r="B8" s="694"/>
      <c r="C8" s="21" t="s">
        <v>72</v>
      </c>
      <c r="D8" s="186">
        <f>'PSB-P&amp;L '!AA12</f>
        <v>4645.6078121141209</v>
      </c>
      <c r="E8" s="186">
        <f>'PSB-P&amp;L '!AO12</f>
        <v>15819.689845912793</v>
      </c>
      <c r="F8" s="186">
        <f>'PSB-P&amp;L '!BA12</f>
        <v>42560.002912643387</v>
      </c>
      <c r="G8" s="186">
        <f>'PSB-P&amp;L '!BB12</f>
        <v>45238.431793479605</v>
      </c>
      <c r="I8" s="17"/>
    </row>
    <row r="9" spans="2:9" x14ac:dyDescent="0.2">
      <c r="B9" s="694"/>
      <c r="D9" s="186"/>
      <c r="E9" s="186"/>
      <c r="F9" s="186"/>
      <c r="G9" s="186"/>
      <c r="I9" s="17"/>
    </row>
    <row r="10" spans="2:9" x14ac:dyDescent="0.2">
      <c r="B10" s="694"/>
      <c r="C10" s="2" t="s">
        <v>325</v>
      </c>
      <c r="D10" s="450">
        <f>SUM('PSB-P&amp;L '!P17:AA17)</f>
        <v>4938062.7485171938</v>
      </c>
      <c r="E10" s="450">
        <f>SUM('PSB-P&amp;L '!AD17:AO17)</f>
        <v>8978508.2082866412</v>
      </c>
      <c r="F10" s="450">
        <f>SUM('PSB-P&amp;L '!AP17:BA17)</f>
        <v>27076731.785574999</v>
      </c>
      <c r="G10" s="450">
        <f>SUM('PSB-P&amp;L '!AQ17:BB17)</f>
        <v>28849108.206124794</v>
      </c>
      <c r="I10" s="17"/>
    </row>
    <row r="11" spans="2:9" x14ac:dyDescent="0.2">
      <c r="B11" s="694"/>
      <c r="D11" s="189"/>
      <c r="E11" s="189"/>
      <c r="F11" s="189"/>
      <c r="G11" s="189"/>
      <c r="I11" s="17"/>
    </row>
    <row r="12" spans="2:9" x14ac:dyDescent="0.2">
      <c r="B12" s="694"/>
      <c r="C12" t="s">
        <v>133</v>
      </c>
      <c r="D12" s="449">
        <f>SUM('PSB-P&amp;L '!P18:AA18)</f>
        <v>-3654166.4339027237</v>
      </c>
      <c r="E12" s="449">
        <f>SUM('PSB-P&amp;L '!AD18:AO18)</f>
        <v>-6554310.9920492461</v>
      </c>
      <c r="F12" s="449">
        <f>SUM('PSB-P&amp;L '!AP18:BA18)</f>
        <v>-19495246.885614004</v>
      </c>
      <c r="G12" s="449">
        <f>SUM('PSB-P&amp;L '!AQ18:BB18)</f>
        <v>-20771357.908409856</v>
      </c>
      <c r="I12" s="17"/>
    </row>
    <row r="13" spans="2:9" x14ac:dyDescent="0.2">
      <c r="B13" s="694"/>
      <c r="D13" s="189"/>
      <c r="E13" s="189"/>
      <c r="F13" s="189"/>
      <c r="G13" s="189"/>
      <c r="I13" s="17"/>
    </row>
    <row r="14" spans="2:9" x14ac:dyDescent="0.2">
      <c r="B14" s="694"/>
      <c r="C14" t="str">
        <f>'PSB-P&amp;L '!B20</f>
        <v>Professional Allocations</v>
      </c>
      <c r="D14" s="189">
        <f>SUM('PSB-P&amp;L '!P20:AA20)</f>
        <v>131938.75157034388</v>
      </c>
      <c r="E14" s="189">
        <f>SUM('PSB-P&amp;L '!AB20:AM20)</f>
        <v>148392.15710377955</v>
      </c>
      <c r="F14" s="189">
        <f>SUM('PSB-P&amp;L '!AN20:AY20)</f>
        <v>467525.34738775931</v>
      </c>
      <c r="G14" s="189">
        <f>SUM('PSB-P&amp;L '!AO20:AZ20)</f>
        <v>503880.35734500503</v>
      </c>
      <c r="I14" s="17"/>
    </row>
    <row r="15" spans="2:9" x14ac:dyDescent="0.2">
      <c r="B15" s="694"/>
      <c r="D15" s="189"/>
      <c r="E15" s="189"/>
      <c r="F15" s="189"/>
      <c r="G15" s="189"/>
      <c r="I15" s="17"/>
    </row>
    <row r="16" spans="2:9" x14ac:dyDescent="0.2">
      <c r="B16" s="694"/>
      <c r="C16" t="str">
        <f>'PSB-P&amp;L '!B22</f>
        <v>Distributor Savings</v>
      </c>
      <c r="D16" s="189">
        <f>SUM('PSB-P&amp;L '!P22:AA22)</f>
        <v>0</v>
      </c>
      <c r="E16" s="189">
        <f>SUM('PSB-P&amp;L '!AB22:AM22)</f>
        <v>227824.2111316142</v>
      </c>
      <c r="F16" s="189">
        <f>SUM('PSB-P&amp;L '!AN22:AY22)</f>
        <v>818169.35792857874</v>
      </c>
      <c r="G16" s="189">
        <f>SUM('PSB-P&amp;L '!AO22:AZ22)</f>
        <v>881790.62535375881</v>
      </c>
      <c r="I16" s="17"/>
    </row>
    <row r="17" spans="2:9" x14ac:dyDescent="0.2">
      <c r="B17" s="694"/>
      <c r="C17" t="str">
        <f>'PSB-P&amp;L '!B23</f>
        <v>Distributor Expenses</v>
      </c>
      <c r="D17" s="449">
        <f>SUM('PSB-P&amp;L '!P23:AA23)</f>
        <v>0</v>
      </c>
      <c r="E17" s="449">
        <f>SUM('PSB-P&amp;L '!AB23:AM23)</f>
        <v>-12500</v>
      </c>
      <c r="F17" s="449">
        <f>SUM('PSB-P&amp;L '!AN23:AY23)</f>
        <v>-15000</v>
      </c>
      <c r="G17" s="449">
        <f>SUM('PSB-P&amp;L '!AO23:AZ23)</f>
        <v>-15000</v>
      </c>
      <c r="I17" s="17"/>
    </row>
    <row r="18" spans="2:9" x14ac:dyDescent="0.2">
      <c r="B18" s="694"/>
      <c r="D18" s="189"/>
      <c r="E18" s="189"/>
      <c r="F18" s="189"/>
      <c r="G18" s="189"/>
      <c r="I18" s="17"/>
    </row>
    <row r="19" spans="2:9" x14ac:dyDescent="0.2">
      <c r="B19" s="694"/>
      <c r="C19" t="str">
        <f>'PSB-P&amp;L '!B25</f>
        <v>OTC upsell PSB</v>
      </c>
      <c r="D19" s="189">
        <f>SUM('PSB-P&amp;L '!P25:AA25)</f>
        <v>21822.394206582452</v>
      </c>
      <c r="E19" s="189">
        <f>SUM('PSB-P&amp;L '!AB25:AM25)</f>
        <v>103291.29462871098</v>
      </c>
      <c r="F19" s="189">
        <f>SUM('PSB-P&amp;L '!AN25:AY25)</f>
        <v>359380.72378149931</v>
      </c>
      <c r="G19" s="189">
        <f>SUM('PSB-P&amp;L '!AO25:AZ25)</f>
        <v>390186.33835367952</v>
      </c>
      <c r="I19" s="17"/>
    </row>
    <row r="20" spans="2:9" x14ac:dyDescent="0.2">
      <c r="B20" s="694"/>
    </row>
    <row r="21" spans="2:9" x14ac:dyDescent="0.2">
      <c r="B21" s="694"/>
      <c r="C21" s="47" t="s">
        <v>8</v>
      </c>
      <c r="D21" s="48">
        <f>SUM(D10:D20)</f>
        <v>1437657.4603913967</v>
      </c>
      <c r="E21" s="48">
        <f t="shared" ref="E21:F21" si="0">SUM(E10:E20)</f>
        <v>2891204.8791014999</v>
      </c>
      <c r="F21" s="48">
        <f t="shared" si="0"/>
        <v>9211560.3290588334</v>
      </c>
      <c r="G21" s="48">
        <f t="shared" ref="G21" si="1">SUM(G10:G20)</f>
        <v>9838607.6187673807</v>
      </c>
    </row>
    <row r="23" spans="2:9" ht="21" x14ac:dyDescent="0.25">
      <c r="C23" s="45"/>
      <c r="D23" s="46" t="str">
        <f>D4</f>
        <v>Oct 31 2023</v>
      </c>
      <c r="E23" s="46" t="str">
        <f t="shared" ref="E23:F23" si="2">E4</f>
        <v>Oct 31 2024</v>
      </c>
      <c r="F23" s="46" t="str">
        <f t="shared" si="2"/>
        <v>Oct 31 2025</v>
      </c>
      <c r="G23" s="46" t="str">
        <f t="shared" ref="G23" si="3">G4</f>
        <v>Oct 31 2026</v>
      </c>
    </row>
    <row r="24" spans="2:9" x14ac:dyDescent="0.2">
      <c r="B24" s="694" t="s">
        <v>17</v>
      </c>
      <c r="C24" s="18" t="str">
        <f>'PSB-P&amp;L '!B36</f>
        <v>Salaries</v>
      </c>
      <c r="D24" s="183"/>
      <c r="E24" s="183"/>
      <c r="F24" s="183"/>
      <c r="G24" s="183"/>
    </row>
    <row r="25" spans="2:9" x14ac:dyDescent="0.2">
      <c r="B25" s="694"/>
      <c r="C25" s="442" t="str">
        <f>'PSB-P&amp;L '!B37</f>
        <v>Pharmacists</v>
      </c>
      <c r="D25" s="185">
        <f>SUM('PSB-P&amp;L '!P37:AA37)</f>
        <v>267987.40000000002</v>
      </c>
      <c r="E25" s="185">
        <f>SUM('PSB-P&amp;L '!AB37:AM37)</f>
        <v>258774.59999999998</v>
      </c>
      <c r="F25" s="185">
        <f>SUM('PSB-P&amp;L '!AN37:AY37)</f>
        <v>278237.8666666667</v>
      </c>
      <c r="G25" s="185">
        <f>SUM('PSB-P&amp;L '!AO37:AZ37)</f>
        <v>279253.33333333337</v>
      </c>
    </row>
    <row r="26" spans="2:9" x14ac:dyDescent="0.2">
      <c r="B26" s="694"/>
      <c r="C26" s="442" t="str">
        <f>'PSB-P&amp;L '!B38</f>
        <v>ATP</v>
      </c>
      <c r="D26" s="185">
        <f>SUM('PSB-P&amp;L '!P38:AA38)</f>
        <v>296292.08499999996</v>
      </c>
      <c r="E26" s="185">
        <f>SUM('PSB-P&amp;L '!AB38:AM38)</f>
        <v>340046.95000000007</v>
      </c>
      <c r="F26" s="185">
        <f>SUM('PSB-P&amp;L '!AN38:AY38)</f>
        <v>454037.64999999991</v>
      </c>
      <c r="G26" s="185">
        <f>SUM('PSB-P&amp;L '!AO38:AZ38)</f>
        <v>464099.37499999994</v>
      </c>
    </row>
    <row r="27" spans="2:9" x14ac:dyDescent="0.2">
      <c r="B27" s="694"/>
      <c r="C27" s="442" t="str">
        <f>'PSB-P&amp;L '!B39</f>
        <v>SAC</v>
      </c>
      <c r="D27" s="185">
        <f>SUM('PSB-P&amp;L '!P39:AA39)</f>
        <v>278122.28000000003</v>
      </c>
      <c r="E27" s="185">
        <f>SUM('PSB-P&amp;L '!AB39:AM39)</f>
        <v>353855.03333333333</v>
      </c>
      <c r="F27" s="185">
        <f>SUM('PSB-P&amp;L '!AN39:AY39)</f>
        <v>421239.2333333334</v>
      </c>
      <c r="G27" s="185">
        <f>SUM('PSB-P&amp;L '!AO39:AZ39)</f>
        <v>429512.91666666674</v>
      </c>
    </row>
    <row r="28" spans="2:9" x14ac:dyDescent="0.2">
      <c r="B28" s="694"/>
      <c r="C28" s="442"/>
      <c r="D28" s="447">
        <f>SUM(D25:D27)</f>
        <v>842401.76500000001</v>
      </c>
      <c r="E28" s="447">
        <f t="shared" ref="E28:F28" si="4">SUM(E25:E27)</f>
        <v>952676.58333333337</v>
      </c>
      <c r="F28" s="447">
        <f t="shared" si="4"/>
        <v>1153514.75</v>
      </c>
      <c r="G28" s="447">
        <f t="shared" ref="G28" si="5">SUM(G25:G27)</f>
        <v>1172865.625</v>
      </c>
    </row>
    <row r="29" spans="2:9" x14ac:dyDescent="0.2">
      <c r="B29" s="694"/>
      <c r="C29" s="18"/>
      <c r="D29" s="448">
        <f>SUM('PSB-P&amp;L '!P40:AA40)</f>
        <v>0</v>
      </c>
      <c r="E29" s="448">
        <f>SUM('PSB-P&amp;L '!AB40:AM40)</f>
        <v>0</v>
      </c>
      <c r="F29" s="448">
        <f>SUM('PSB-P&amp;L '!AN40:AY40)</f>
        <v>0</v>
      </c>
      <c r="G29" s="448">
        <f>SUM('PSB-P&amp;L '!AO40:AZ40)</f>
        <v>0</v>
      </c>
    </row>
    <row r="30" spans="2:9" x14ac:dyDescent="0.2">
      <c r="B30" s="694"/>
      <c r="C30" s="18" t="str">
        <f>'PSB-P&amp;L '!B41</f>
        <v>Fringes + Bonus</v>
      </c>
      <c r="D30" s="448">
        <f>SUM('PSB-P&amp;L '!P41:AA41)</f>
        <v>62379.022749999982</v>
      </c>
      <c r="E30" s="448">
        <f>SUM('PSB-P&amp;L '!AB41:AM41)</f>
        <v>104794.42416666671</v>
      </c>
      <c r="F30" s="448">
        <f>SUM('PSB-P&amp;L '!AN41:AY41)</f>
        <v>126886.62249999998</v>
      </c>
      <c r="G30" s="448">
        <f>SUM('PSB-P&amp;L '!AO41:AZ41)</f>
        <v>129015.21874999999</v>
      </c>
    </row>
    <row r="31" spans="2:9" x14ac:dyDescent="0.2">
      <c r="B31" s="694"/>
      <c r="C31" s="18"/>
      <c r="D31" s="448"/>
      <c r="E31" s="448"/>
      <c r="F31" s="448"/>
      <c r="G31" s="448"/>
    </row>
    <row r="32" spans="2:9" x14ac:dyDescent="0.2">
      <c r="B32" s="694"/>
      <c r="C32" s="18" t="str">
        <f>'PSB-P&amp;L '!B43</f>
        <v>Contractuals Pharmacy Total</v>
      </c>
      <c r="D32" s="448">
        <f>SUM('PSB-P&amp;L '!P43:AA43)</f>
        <v>10000</v>
      </c>
      <c r="E32" s="448">
        <f>SUM('PSB-P&amp;L '!AB43:AM43)</f>
        <v>12000</v>
      </c>
      <c r="F32" s="448">
        <f>SUM('PSB-P&amp;L '!AN43:AY43)</f>
        <v>12000</v>
      </c>
      <c r="G32" s="448">
        <f>SUM('PSB-P&amp;L '!AO43:AZ43)</f>
        <v>12000</v>
      </c>
    </row>
    <row r="33" spans="2:9" x14ac:dyDescent="0.2">
      <c r="B33" s="694"/>
      <c r="C33" s="18"/>
      <c r="D33" s="448"/>
      <c r="E33" s="448"/>
      <c r="F33" s="448"/>
      <c r="G33" s="448"/>
    </row>
    <row r="34" spans="2:9" x14ac:dyDescent="0.2">
      <c r="B34" s="694"/>
      <c r="C34" s="18" t="str">
        <f>'PSB-P&amp;L '!B45</f>
        <v>Professionals</v>
      </c>
      <c r="D34" s="448">
        <f>SUM('PSB-P&amp;L '!P45:AA45)</f>
        <v>0</v>
      </c>
      <c r="E34" s="448">
        <f>SUM('PSB-P&amp;L '!AB45:AM45)</f>
        <v>0</v>
      </c>
      <c r="F34" s="448">
        <f>SUM('PSB-P&amp;L '!AN45:AY45)</f>
        <v>0</v>
      </c>
      <c r="G34" s="448">
        <f>SUM('PSB-P&amp;L '!AO45:AZ45)</f>
        <v>0</v>
      </c>
    </row>
    <row r="35" spans="2:9" x14ac:dyDescent="0.2">
      <c r="B35" s="694"/>
      <c r="C35" s="18" t="str">
        <f>'PSB-P&amp;L '!B46</f>
        <v>Accounting Fees</v>
      </c>
      <c r="D35" s="448">
        <f>SUM('PSB-P&amp;L '!P46:AA46)</f>
        <v>23948.7</v>
      </c>
      <c r="E35" s="448">
        <f>SUM('PSB-P&amp;L '!AB46:AM46)</f>
        <v>24400</v>
      </c>
      <c r="F35" s="448">
        <f>SUM('PSB-P&amp;L '!AN46:AY46)</f>
        <v>19400</v>
      </c>
      <c r="G35" s="448">
        <f>SUM('PSB-P&amp;L '!AO46:AZ46)</f>
        <v>19400</v>
      </c>
    </row>
    <row r="36" spans="2:9" x14ac:dyDescent="0.2">
      <c r="B36" s="694"/>
      <c r="C36" s="18" t="str">
        <f>'PSB-P&amp;L '!B47</f>
        <v>Legal Fees</v>
      </c>
      <c r="D36" s="448">
        <f>SUM('PSB-P&amp;L '!P47:AA47)</f>
        <v>5000</v>
      </c>
      <c r="E36" s="448">
        <f>SUM('PSB-P&amp;L '!AB47:AM47)</f>
        <v>6000</v>
      </c>
      <c r="F36" s="448">
        <f>SUM('PSB-P&amp;L '!AN47:AY47)</f>
        <v>6000</v>
      </c>
      <c r="G36" s="448">
        <f>SUM('PSB-P&amp;L '!AO47:AZ47)</f>
        <v>6000</v>
      </c>
    </row>
    <row r="37" spans="2:9" x14ac:dyDescent="0.2">
      <c r="B37" s="694"/>
      <c r="C37" s="18" t="str">
        <f>'PSB-P&amp;L '!B48</f>
        <v>Other</v>
      </c>
      <c r="D37" s="448">
        <f>SUM('PSB-P&amp;L '!P48:AA48)</f>
        <v>0</v>
      </c>
      <c r="E37" s="448">
        <f>SUM('PSB-P&amp;L '!AB48:AM48)</f>
        <v>0</v>
      </c>
      <c r="F37" s="448">
        <f>SUM('PSB-P&amp;L '!AN48:AY48)</f>
        <v>0</v>
      </c>
      <c r="G37" s="448">
        <f>SUM('PSB-P&amp;L '!AO48:AZ48)</f>
        <v>0</v>
      </c>
    </row>
    <row r="38" spans="2:9" x14ac:dyDescent="0.2">
      <c r="B38" s="694"/>
      <c r="C38" s="18"/>
      <c r="D38" s="448"/>
      <c r="E38" s="448"/>
      <c r="F38" s="448"/>
      <c r="G38" s="448"/>
      <c r="H38" s="1"/>
      <c r="I38" s="1"/>
    </row>
    <row r="39" spans="2:9" hidden="1" x14ac:dyDescent="0.2">
      <c r="B39" s="694"/>
      <c r="C39" s="18"/>
      <c r="D39" s="448"/>
      <c r="E39" s="448"/>
      <c r="F39" s="448"/>
      <c r="G39" s="448"/>
      <c r="H39" s="1"/>
      <c r="I39" s="1"/>
    </row>
    <row r="40" spans="2:9" hidden="1" x14ac:dyDescent="0.2">
      <c r="B40" s="694"/>
      <c r="C40" s="18"/>
      <c r="D40" s="448"/>
      <c r="E40" s="448"/>
      <c r="F40" s="448"/>
      <c r="G40" s="448"/>
      <c r="H40" s="1"/>
      <c r="I40" s="1"/>
    </row>
    <row r="41" spans="2:9" hidden="1" x14ac:dyDescent="0.2">
      <c r="B41" s="694"/>
      <c r="C41" s="18" t="str">
        <f>'PSB-P&amp;L '!B52</f>
        <v>SubTotal Salaries</v>
      </c>
      <c r="D41" s="448"/>
      <c r="E41" s="448"/>
      <c r="F41" s="448"/>
      <c r="G41" s="448"/>
      <c r="H41" s="1"/>
      <c r="I41" s="1"/>
    </row>
    <row r="42" spans="2:9" hidden="1" x14ac:dyDescent="0.2">
      <c r="B42" s="694"/>
      <c r="C42" s="18">
        <f>'PSB-P&amp;L '!B53</f>
        <v>0</v>
      </c>
      <c r="D42" s="448">
        <f>SUM('PSB-P&amp;L '!P53:AA53)</f>
        <v>0</v>
      </c>
      <c r="E42" s="448">
        <f>SUM('PSB-P&amp;L '!AB53:AM53)</f>
        <v>0</v>
      </c>
      <c r="F42" s="448">
        <f>SUM('PSB-P&amp;L '!AN53:AY53)</f>
        <v>0</v>
      </c>
      <c r="G42" s="448">
        <f>SUM('PSB-P&amp;L '!AO53:AZ53)</f>
        <v>0</v>
      </c>
      <c r="H42" s="1"/>
      <c r="I42" s="1"/>
    </row>
    <row r="43" spans="2:9" x14ac:dyDescent="0.2">
      <c r="B43" s="694"/>
      <c r="C43" s="18" t="str">
        <f>'PSB-P&amp;L '!B54</f>
        <v>Rent</v>
      </c>
      <c r="D43" s="448">
        <f>SUM('PSB-P&amp;L '!P54:AA54)</f>
        <v>0</v>
      </c>
      <c r="E43" s="448">
        <f>SUM('PSB-P&amp;L '!AB54:AM54)</f>
        <v>0</v>
      </c>
      <c r="F43" s="448">
        <f>SUM('PSB-P&amp;L '!AN54:AY54)</f>
        <v>0</v>
      </c>
      <c r="G43" s="448">
        <f>SUM('PSB-P&amp;L '!AO54:AZ54)</f>
        <v>0</v>
      </c>
      <c r="H43" s="1"/>
      <c r="I43" s="1"/>
    </row>
    <row r="44" spans="2:9" x14ac:dyDescent="0.2">
      <c r="B44" s="694"/>
      <c r="C44" s="18" t="str">
        <f>'PSB-P&amp;L '!B55</f>
        <v>Utiities</v>
      </c>
      <c r="D44" s="448">
        <f>SUM('PSB-P&amp;L '!P55:AA55)</f>
        <v>0</v>
      </c>
      <c r="E44" s="448">
        <f>SUM('PSB-P&amp;L '!AB55:AM55)</f>
        <v>0</v>
      </c>
      <c r="F44" s="448">
        <f>SUM('PSB-P&amp;L '!AN55:AY55)</f>
        <v>0</v>
      </c>
      <c r="G44" s="448">
        <f>SUM('PSB-P&amp;L '!AO55:AZ55)</f>
        <v>0</v>
      </c>
      <c r="H44" s="1"/>
      <c r="I44" s="1"/>
    </row>
    <row r="45" spans="2:9" x14ac:dyDescent="0.2">
      <c r="B45" s="694"/>
      <c r="C45" s="18" t="str">
        <f>'PSB-P&amp;L '!B56</f>
        <v>Insurance</v>
      </c>
      <c r="D45" s="448">
        <f>SUM('PSB-P&amp;L '!P56:AA56)</f>
        <v>0</v>
      </c>
      <c r="E45" s="448">
        <f>SUM('PSB-P&amp;L '!AB56:AM56)</f>
        <v>7500</v>
      </c>
      <c r="F45" s="448">
        <f>SUM('PSB-P&amp;L '!AN56:AY56)</f>
        <v>9000</v>
      </c>
      <c r="G45" s="448">
        <f>SUM('PSB-P&amp;L '!AO56:AZ56)</f>
        <v>9000</v>
      </c>
      <c r="H45" s="1"/>
      <c r="I45" s="1"/>
    </row>
    <row r="46" spans="2:9" x14ac:dyDescent="0.2">
      <c r="B46" s="694"/>
      <c r="C46" s="18" t="str">
        <f>'PSB-P&amp;L '!B57</f>
        <v>Meals and Entertainment</v>
      </c>
      <c r="D46" s="448">
        <f>SUM('PSB-P&amp;L '!P57:AA57)</f>
        <v>3175</v>
      </c>
      <c r="E46" s="448">
        <f>SUM('PSB-P&amp;L '!AB57:AM57)</f>
        <v>3000</v>
      </c>
      <c r="F46" s="448">
        <f>SUM('PSB-P&amp;L '!AN57:AY57)</f>
        <v>3000</v>
      </c>
      <c r="G46" s="448">
        <f>SUM('PSB-P&amp;L '!AO57:AZ57)</f>
        <v>3000</v>
      </c>
      <c r="H46" s="1"/>
      <c r="I46" s="1"/>
    </row>
    <row r="47" spans="2:9" x14ac:dyDescent="0.2">
      <c r="B47" s="694"/>
      <c r="C47" s="18" t="str">
        <f>'PSB-P&amp;L '!B58</f>
        <v>Travel Expenses</v>
      </c>
      <c r="D47" s="448">
        <f>SUM('PSB-P&amp;L '!P58:AA58)</f>
        <v>-160.55000000000001</v>
      </c>
      <c r="E47" s="448">
        <f>SUM('PSB-P&amp;L '!AB58:AM58)</f>
        <v>0</v>
      </c>
      <c r="F47" s="448">
        <f>SUM('PSB-P&amp;L '!AN58:AY58)</f>
        <v>0</v>
      </c>
      <c r="G47" s="448">
        <f>SUM('PSB-P&amp;L '!AO58:AZ58)</f>
        <v>0</v>
      </c>
      <c r="H47" s="1"/>
      <c r="I47" s="1"/>
    </row>
    <row r="48" spans="2:9" x14ac:dyDescent="0.2">
      <c r="B48" s="694"/>
      <c r="C48" s="18" t="str">
        <f>'PSB-P&amp;L '!B59</f>
        <v>Depreciation</v>
      </c>
      <c r="D48" s="448">
        <f>SUM('PSB-P&amp;L '!P59:AA59)</f>
        <v>0</v>
      </c>
      <c r="E48" s="448">
        <f>SUM('PSB-P&amp;L '!AB59:AM59)</f>
        <v>0</v>
      </c>
      <c r="F48" s="448">
        <f>SUM('PSB-P&amp;L '!AN59:AY59)</f>
        <v>0</v>
      </c>
      <c r="G48" s="448">
        <f>SUM('PSB-P&amp;L '!AO59:AZ59)</f>
        <v>0</v>
      </c>
      <c r="H48" s="1"/>
      <c r="I48" s="1"/>
    </row>
    <row r="49" spans="2:10" x14ac:dyDescent="0.2">
      <c r="B49" s="694"/>
      <c r="C49" s="18" t="str">
        <f>'PSB-P&amp;L '!B60</f>
        <v>Telecommunication</v>
      </c>
      <c r="D49" s="448">
        <f>SUM('PSB-P&amp;L '!P60:AA60)</f>
        <v>0</v>
      </c>
      <c r="E49" s="448">
        <f>SUM('PSB-P&amp;L '!AB60:AM60)</f>
        <v>0</v>
      </c>
      <c r="F49" s="448">
        <f>SUM('PSB-P&amp;L '!AN60:AY60)</f>
        <v>0</v>
      </c>
      <c r="G49" s="448">
        <f>SUM('PSB-P&amp;L '!AO60:AZ60)</f>
        <v>0</v>
      </c>
      <c r="H49" s="1"/>
      <c r="I49" s="1"/>
    </row>
    <row r="50" spans="2:10" x14ac:dyDescent="0.2">
      <c r="B50" s="694"/>
      <c r="C50" s="18" t="str">
        <f>'PSB-P&amp;L '!B61</f>
        <v>Pharmacy Automation (robot) - rental to Medzy</v>
      </c>
      <c r="D50" s="448">
        <f>SUM('PSB-P&amp;L '!P61:AA61)</f>
        <v>18000</v>
      </c>
      <c r="E50" s="448">
        <f>SUM('PSB-P&amp;L '!AB61:AM61)</f>
        <v>36000</v>
      </c>
      <c r="F50" s="448">
        <f>SUM('PSB-P&amp;L '!AN61:AY61)</f>
        <v>36000</v>
      </c>
      <c r="G50" s="448">
        <f>SUM('PSB-P&amp;L '!AO61:AZ61)</f>
        <v>36000</v>
      </c>
      <c r="H50" s="1"/>
      <c r="I50" s="1"/>
    </row>
    <row r="51" spans="2:10" x14ac:dyDescent="0.2">
      <c r="B51" s="694"/>
      <c r="C51" s="18" t="str">
        <f>'PSB-P&amp;L '!B62</f>
        <v>License and Subscriptions</v>
      </c>
      <c r="D51" s="448">
        <f>SUM('PSB-P&amp;L '!P62:AA62)</f>
        <v>3240.84</v>
      </c>
      <c r="E51" s="448">
        <f>SUM('PSB-P&amp;L '!AB62:AM62)</f>
        <v>3000</v>
      </c>
      <c r="F51" s="448">
        <f>SUM('PSB-P&amp;L '!AN62:AY62)</f>
        <v>3000</v>
      </c>
      <c r="G51" s="448">
        <f>SUM('PSB-P&amp;L '!AO62:AZ62)</f>
        <v>3000</v>
      </c>
      <c r="H51" s="1"/>
      <c r="I51" s="1"/>
    </row>
    <row r="52" spans="2:10" x14ac:dyDescent="0.2">
      <c r="B52" s="694"/>
      <c r="C52" s="18" t="str">
        <f>'PSB-P&amp;L '!B63</f>
        <v>Repair and Maintenance</v>
      </c>
      <c r="D52" s="448">
        <f>SUM('PSB-P&amp;L '!P63:AA63)</f>
        <v>0</v>
      </c>
      <c r="E52" s="448">
        <f>SUM('PSB-P&amp;L '!AB63:AM63)</f>
        <v>0</v>
      </c>
      <c r="F52" s="448">
        <f>SUM('PSB-P&amp;L '!AN63:AY63)</f>
        <v>0</v>
      </c>
      <c r="G52" s="448">
        <f>SUM('PSB-P&amp;L '!AO63:AZ63)</f>
        <v>0</v>
      </c>
      <c r="H52" s="1"/>
      <c r="I52" s="1"/>
      <c r="J52" s="39"/>
    </row>
    <row r="53" spans="2:10" x14ac:dyDescent="0.2">
      <c r="B53" s="694"/>
      <c r="C53" s="18" t="str">
        <f>'PSB-P&amp;L '!B64</f>
        <v>Recruitment Charges</v>
      </c>
      <c r="D53" s="448">
        <f>SUM('PSB-P&amp;L '!P64:AA64)</f>
        <v>0</v>
      </c>
      <c r="E53" s="448">
        <f>SUM('PSB-P&amp;L '!AB64:AM64)</f>
        <v>0</v>
      </c>
      <c r="F53" s="448">
        <f>SUM('PSB-P&amp;L '!AN64:AY64)</f>
        <v>0</v>
      </c>
      <c r="G53" s="448">
        <f>SUM('PSB-P&amp;L '!AO64:AZ64)</f>
        <v>0</v>
      </c>
      <c r="H53" s="1"/>
      <c r="I53" s="1"/>
      <c r="J53" s="40"/>
    </row>
    <row r="54" spans="2:10" x14ac:dyDescent="0.2">
      <c r="B54" s="694"/>
      <c r="C54" s="18" t="str">
        <f>'PSB-P&amp;L '!B65</f>
        <v>Offices Expenses</v>
      </c>
      <c r="D54" s="448">
        <f>SUM('PSB-P&amp;L '!P65:AA65)</f>
        <v>19972.629999999997</v>
      </c>
      <c r="E54" s="448">
        <f>SUM('PSB-P&amp;L '!AB65:AM65)</f>
        <v>12000</v>
      </c>
      <c r="F54" s="448">
        <f>SUM('PSB-P&amp;L '!AN65:AY65)</f>
        <v>12000</v>
      </c>
      <c r="G54" s="448">
        <f>SUM('PSB-P&amp;L '!AO65:AZ65)</f>
        <v>12000</v>
      </c>
      <c r="H54" s="1"/>
      <c r="I54" s="1"/>
      <c r="J54" s="40"/>
    </row>
    <row r="55" spans="2:10" x14ac:dyDescent="0.2">
      <c r="B55" s="694"/>
      <c r="C55" s="18" t="str">
        <f>'PSB-P&amp;L '!B66</f>
        <v>Taxes, Permit</v>
      </c>
      <c r="D55" s="448">
        <f>SUM('PSB-P&amp;L '!P66:AA66)</f>
        <v>0</v>
      </c>
      <c r="E55" s="448">
        <f>SUM('PSB-P&amp;L '!AB66:AM66)</f>
        <v>0</v>
      </c>
      <c r="F55" s="448">
        <f>SUM('PSB-P&amp;L '!AN66:AY66)</f>
        <v>0</v>
      </c>
      <c r="G55" s="448">
        <f>SUM('PSB-P&amp;L '!AO66:AZ66)</f>
        <v>0</v>
      </c>
      <c r="H55" s="2"/>
      <c r="I55" s="1"/>
      <c r="J55" s="40"/>
    </row>
    <row r="56" spans="2:10" x14ac:dyDescent="0.2">
      <c r="B56" s="694"/>
      <c r="C56" s="18" t="str">
        <f>'PSB-P&amp;L '!B67</f>
        <v>Interest and bank charges</v>
      </c>
      <c r="D56" s="448">
        <f>SUM('PSB-P&amp;L '!P67:AA67)</f>
        <v>5905.92</v>
      </c>
      <c r="E56" s="448">
        <f>SUM('PSB-P&amp;L '!AB67:AM67)</f>
        <v>6000</v>
      </c>
      <c r="F56" s="448">
        <f>SUM('PSB-P&amp;L '!AN67:AY67)</f>
        <v>6000</v>
      </c>
      <c r="G56" s="448">
        <f>SUM('PSB-P&amp;L '!AO67:AZ67)</f>
        <v>6000</v>
      </c>
      <c r="I56" s="1"/>
      <c r="J56" s="40"/>
    </row>
    <row r="57" spans="2:10" x14ac:dyDescent="0.2">
      <c r="B57" s="694"/>
      <c r="C57" s="18" t="str">
        <f>'PSB-P&amp;L '!B68</f>
        <v>Transactions Fees - Credit Card</v>
      </c>
      <c r="D57" s="448">
        <f>SUM('PSB-P&amp;L '!P68:AA68)</f>
        <v>29690.150471103163</v>
      </c>
      <c r="E57" s="448">
        <f>SUM('PSB-P&amp;L '!AB68:AM68)</f>
        <v>44517.647131133861</v>
      </c>
      <c r="F57" s="448">
        <f>SUM('PSB-P&amp;L '!AN68:AY68)</f>
        <v>140257.60421632777</v>
      </c>
      <c r="G57" s="448">
        <f>SUM('PSB-P&amp;L '!AO68:AZ68)</f>
        <v>151164.10720350151</v>
      </c>
      <c r="I57" s="1"/>
      <c r="J57" s="40"/>
    </row>
    <row r="58" spans="2:10" x14ac:dyDescent="0.2">
      <c r="B58" s="694"/>
      <c r="C58" s="18" t="str">
        <f>'PSB-P&amp;L '!B69</f>
        <v>Packaging and Shipping</v>
      </c>
      <c r="D58" s="448">
        <f>SUM('PSB-P&amp;L '!P69:AA69)</f>
        <v>261700.65541844568</v>
      </c>
      <c r="E58" s="448">
        <f>SUM('PSB-P&amp;L '!AB69:AM69)</f>
        <v>330271.77616681112</v>
      </c>
      <c r="F58" s="448">
        <f>SUM('PSB-P&amp;L '!AN69:AY69)</f>
        <v>947396.91994100693</v>
      </c>
      <c r="G58" s="448">
        <f>SUM('PSB-P&amp;L '!AO69:AZ69)</f>
        <v>1014235.0576353057</v>
      </c>
      <c r="I58" s="1"/>
      <c r="J58" s="40"/>
    </row>
    <row r="59" spans="2:10" x14ac:dyDescent="0.2">
      <c r="B59" s="694"/>
      <c r="C59" s="18" t="str">
        <f>'PSB-P&amp;L '!B70</f>
        <v>Exchange Gain or Loss</v>
      </c>
      <c r="D59" s="448">
        <f>SUM('PSB-P&amp;L '!P70:AA70)</f>
        <v>0</v>
      </c>
      <c r="E59" s="448">
        <f>SUM('PSB-P&amp;L '!AB70:AM70)</f>
        <v>0</v>
      </c>
      <c r="F59" s="448">
        <f>SUM('PSB-P&amp;L '!AN70:AY70)</f>
        <v>0</v>
      </c>
      <c r="G59" s="448">
        <f>SUM('PSB-P&amp;L '!AO70:AZ70)</f>
        <v>0</v>
      </c>
      <c r="I59" s="1"/>
      <c r="J59" s="40"/>
    </row>
    <row r="60" spans="2:10" x14ac:dyDescent="0.2">
      <c r="B60" s="694"/>
      <c r="C60" s="18" t="str">
        <f>'PSB-P&amp;L '!B71</f>
        <v>Loans</v>
      </c>
      <c r="D60" s="448">
        <f>SUM('PSB-P&amp;L '!P71:AA71)</f>
        <v>0</v>
      </c>
      <c r="E60" s="448">
        <f>SUM('PSB-P&amp;L '!AB71:AM71)</f>
        <v>0</v>
      </c>
      <c r="F60" s="448">
        <f>SUM('PSB-P&amp;L '!AN71:AY71)</f>
        <v>0</v>
      </c>
      <c r="G60" s="448">
        <f>SUM('PSB-P&amp;L '!AO71:AZ71)</f>
        <v>0</v>
      </c>
      <c r="I60" s="1"/>
      <c r="J60" s="40"/>
    </row>
    <row r="61" spans="2:10" hidden="1" x14ac:dyDescent="0.2">
      <c r="B61" s="694"/>
      <c r="C61" s="18"/>
      <c r="D61" s="448">
        <f>SUM('PSB-P&amp;L '!P72:AA72)</f>
        <v>0</v>
      </c>
      <c r="E61" s="448">
        <f>SUM('PSB-P&amp;L '!AB72:AM72)</f>
        <v>0</v>
      </c>
      <c r="F61" s="448">
        <f>SUM('PSB-P&amp;L '!AN72:AY72)</f>
        <v>0</v>
      </c>
      <c r="G61" s="448">
        <f>SUM('PSB-P&amp;L '!AO72:AZ72)</f>
        <v>0</v>
      </c>
      <c r="I61" s="1"/>
      <c r="J61" s="40"/>
    </row>
    <row r="62" spans="2:10" x14ac:dyDescent="0.2">
      <c r="B62" s="694"/>
      <c r="C62" s="18"/>
      <c r="D62" s="448">
        <f>SUM('PSB-P&amp;L '!P73:AA73)</f>
        <v>0</v>
      </c>
      <c r="E62" s="448">
        <f>SUM('PSB-P&amp;L '!AB73:AM73)</f>
        <v>0</v>
      </c>
      <c r="F62" s="448">
        <f>SUM('PSB-P&amp;L '!AN73:AY73)</f>
        <v>0</v>
      </c>
      <c r="G62" s="448">
        <f>SUM('PSB-P&amp;L '!AO73:AZ73)</f>
        <v>0</v>
      </c>
      <c r="I62" s="1"/>
      <c r="J62" s="40"/>
    </row>
    <row r="63" spans="2:10" x14ac:dyDescent="0.2">
      <c r="B63" s="694"/>
      <c r="C63" s="18" t="str">
        <f>'PSB-P&amp;L '!B74</f>
        <v>Platform Fees - Medzy</v>
      </c>
      <c r="D63" s="448">
        <f>SUM('PSB-P&amp;L '!P74:AA74)</f>
        <v>824433.30153380171</v>
      </c>
      <c r="E63" s="448">
        <f>SUM('PSB-P&amp;L '!AB74:AM74)</f>
        <v>1190998.5134512368</v>
      </c>
      <c r="F63" s="448">
        <f>SUM('PSB-P&amp;L '!AN74:AY74)</f>
        <v>3749421.7674402893</v>
      </c>
      <c r="G63" s="448">
        <f>SUM('PSB-P&amp;L '!AO74:AZ74)</f>
        <v>4045709.6235057125</v>
      </c>
      <c r="I63" s="1"/>
      <c r="J63" s="40"/>
    </row>
    <row r="64" spans="2:10" x14ac:dyDescent="0.2">
      <c r="B64" s="694"/>
      <c r="D64" s="183"/>
      <c r="E64" s="183"/>
      <c r="F64" s="183"/>
      <c r="G64" s="183"/>
      <c r="J64" s="40"/>
    </row>
    <row r="65" spans="2:7" x14ac:dyDescent="0.2">
      <c r="B65" s="694"/>
      <c r="C65" s="49" t="s">
        <v>6</v>
      </c>
      <c r="D65" s="184">
        <f>SUM(D28:D64)</f>
        <v>2109687.4351733504</v>
      </c>
      <c r="E65" s="184">
        <f t="shared" ref="E65:F65" si="6">SUM(E28:E64)</f>
        <v>2733158.944249182</v>
      </c>
      <c r="F65" s="184">
        <f t="shared" si="6"/>
        <v>6223877.6640976239</v>
      </c>
      <c r="G65" s="184">
        <f t="shared" ref="G65" si="7">SUM(G28:G64)</f>
        <v>6619389.6320945192</v>
      </c>
    </row>
    <row r="66" spans="2:7" x14ac:dyDescent="0.2">
      <c r="D66" s="183"/>
      <c r="E66" s="183"/>
      <c r="F66" s="183"/>
      <c r="G66" s="183"/>
    </row>
    <row r="67" spans="2:7" ht="26" x14ac:dyDescent="0.2">
      <c r="B67" s="181" t="s">
        <v>19</v>
      </c>
      <c r="C67" s="32" t="s">
        <v>13</v>
      </c>
      <c r="D67" s="182">
        <f>D21-D65</f>
        <v>-672029.97478195373</v>
      </c>
      <c r="E67" s="43">
        <f>E21-E65</f>
        <v>158045.93485231791</v>
      </c>
      <c r="F67" s="43">
        <f>F21-F65</f>
        <v>2987682.6649612095</v>
      </c>
      <c r="G67" s="43">
        <f>G21-G65</f>
        <v>3219217.9866728615</v>
      </c>
    </row>
    <row r="70" spans="2:7" ht="17" thickBot="1" x14ac:dyDescent="0.25"/>
    <row r="71" spans="2:7" x14ac:dyDescent="0.2">
      <c r="C71" s="747" t="s">
        <v>326</v>
      </c>
      <c r="D71" s="748"/>
      <c r="E71" s="749"/>
    </row>
    <row r="72" spans="2:7" x14ac:dyDescent="0.2">
      <c r="C72" s="458" t="s">
        <v>327</v>
      </c>
      <c r="D72" s="455">
        <f>'PSB-P&amp;L '!AD5</f>
        <v>45292</v>
      </c>
      <c r="E72" s="459"/>
    </row>
    <row r="73" spans="2:7" x14ac:dyDescent="0.2">
      <c r="C73" s="458" t="s">
        <v>328</v>
      </c>
      <c r="D73" s="475">
        <f>'PSB-P&amp;L '!AD17</f>
        <v>426918.17</v>
      </c>
      <c r="E73" s="459" t="s">
        <v>320</v>
      </c>
    </row>
    <row r="74" spans="2:7" x14ac:dyDescent="0.2">
      <c r="C74" s="458" t="s">
        <v>321</v>
      </c>
      <c r="D74" s="457">
        <f>D73/'PSB-P&amp;L '!R17</f>
        <v>1.06387962668261</v>
      </c>
      <c r="E74" s="459" t="s">
        <v>322</v>
      </c>
    </row>
    <row r="75" spans="2:7" x14ac:dyDescent="0.2">
      <c r="C75" s="463"/>
      <c r="D75" s="465"/>
      <c r="E75" s="464"/>
    </row>
    <row r="76" spans="2:7" ht="17" thickBot="1" x14ac:dyDescent="0.25">
      <c r="C76" s="460" t="s">
        <v>329</v>
      </c>
      <c r="D76" s="461">
        <f>'PSB-P&amp;L '!T87</f>
        <v>9979.7285649022087</v>
      </c>
      <c r="E76" s="462">
        <f>'PSB-P&amp;L '!T85</f>
        <v>44986</v>
      </c>
    </row>
    <row r="77" spans="2:7" ht="17" thickBot="1" x14ac:dyDescent="0.25">
      <c r="C77" s="460"/>
      <c r="D77" s="461"/>
      <c r="E77" s="462"/>
    </row>
    <row r="78" spans="2:7" x14ac:dyDescent="0.2">
      <c r="C78" s="463" t="s">
        <v>323</v>
      </c>
      <c r="D78" s="466">
        <f>'PSB-P&amp;L '!AC101</f>
        <v>2460316.1452333028</v>
      </c>
      <c r="E78" s="467">
        <f>'PSB-P&amp;L '!AC85</f>
        <v>45261</v>
      </c>
    </row>
    <row r="79" spans="2:7" x14ac:dyDescent="0.2">
      <c r="C79" s="454" t="s">
        <v>324</v>
      </c>
      <c r="D79" s="476">
        <f>'PSB-P&amp;L '!AQ85</f>
        <v>45689</v>
      </c>
      <c r="E79" s="456"/>
    </row>
  </sheetData>
  <mergeCells count="5">
    <mergeCell ref="B5:B21"/>
    <mergeCell ref="B24:B65"/>
    <mergeCell ref="C1:D1"/>
    <mergeCell ref="D3:F3"/>
    <mergeCell ref="C71:E71"/>
  </mergeCells>
  <phoneticPr fontId="75" type="noConversion"/>
  <pageMargins left="0.75" right="0.75" top="1" bottom="1" header="0.5" footer="0.5"/>
  <pageSetup orientation="portrait" horizontalDpi="4294967292" vertic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C63A-A5EE-4131-ADA8-08B6C23CE2CD}">
  <sheetPr>
    <tabColor theme="6" tint="-0.249977111117893"/>
  </sheetPr>
  <dimension ref="A1:BM108"/>
  <sheetViews>
    <sheetView zoomScale="70" zoomScaleNormal="70" workbookViewId="0">
      <pane xSplit="4" ySplit="5" topLeftCell="AA19" activePane="bottomRight" state="frozen"/>
      <selection activeCell="A52" sqref="A52"/>
      <selection pane="topRight" activeCell="A52" sqref="A52"/>
      <selection pane="bottomLeft" activeCell="A52" sqref="A52"/>
      <selection pane="bottomRight" activeCell="AZ101" sqref="AZ101:BA101"/>
    </sheetView>
  </sheetViews>
  <sheetFormatPr baseColWidth="10" defaultColWidth="4.5" defaultRowHeight="16" x14ac:dyDescent="0.2"/>
  <cols>
    <col min="1" max="1" width="1" customWidth="1"/>
    <col min="2" max="2" width="31.83203125" customWidth="1"/>
    <col min="3" max="3" width="9.83203125" customWidth="1"/>
    <col min="4" max="4" width="12.6640625" style="22" customWidth="1"/>
    <col min="5" max="5" width="4.33203125" style="22" customWidth="1"/>
    <col min="6" max="11" width="4.83203125" hidden="1" customWidth="1"/>
    <col min="12" max="15" width="6" hidden="1" customWidth="1"/>
    <col min="16" max="16" width="12.33203125" customWidth="1"/>
    <col min="17" max="17" width="12.33203125" style="22" customWidth="1"/>
    <col min="18" max="28" width="12.1640625" customWidth="1"/>
    <col min="29" max="29" width="12.1640625" style="22" customWidth="1"/>
    <col min="30" max="40" width="12.1640625" customWidth="1"/>
    <col min="41" max="41" width="12.1640625" style="22" customWidth="1"/>
    <col min="42" max="52" width="13.6640625" customWidth="1"/>
    <col min="53" max="53" width="13.6640625" style="22" customWidth="1"/>
    <col min="54" max="64" width="13.6640625" customWidth="1"/>
    <col min="65" max="65" width="13.6640625" style="22" customWidth="1"/>
  </cols>
  <sheetData>
    <row r="1" spans="1:65" ht="9" customHeight="1" x14ac:dyDescent="0.2"/>
    <row r="2" spans="1:65" ht="6" customHeight="1" x14ac:dyDescent="0.2">
      <c r="D2" s="230"/>
      <c r="E2" s="230"/>
    </row>
    <row r="3" spans="1:65" ht="14" customHeight="1" thickBot="1" x14ac:dyDescent="0.25">
      <c r="B3" s="17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751" t="s">
        <v>335</v>
      </c>
      <c r="Q3" s="751"/>
      <c r="R3" s="635" t="s">
        <v>356</v>
      </c>
      <c r="S3" s="635" t="s">
        <v>356</v>
      </c>
      <c r="T3" s="635" t="s">
        <v>356</v>
      </c>
      <c r="U3" s="635" t="s">
        <v>356</v>
      </c>
      <c r="V3" s="635" t="s">
        <v>356</v>
      </c>
      <c r="W3" s="635" t="s">
        <v>356</v>
      </c>
      <c r="X3" s="635" t="s">
        <v>356</v>
      </c>
      <c r="Y3" s="635" t="s">
        <v>356</v>
      </c>
      <c r="Z3" s="635" t="s">
        <v>356</v>
      </c>
      <c r="AA3" s="635" t="s">
        <v>356</v>
      </c>
      <c r="AB3" s="635" t="s">
        <v>356</v>
      </c>
      <c r="AC3" s="635" t="s">
        <v>356</v>
      </c>
      <c r="AD3" s="635" t="s">
        <v>356</v>
      </c>
      <c r="AE3" s="635" t="s">
        <v>356</v>
      </c>
      <c r="AF3" s="635" t="s">
        <v>356</v>
      </c>
      <c r="AG3" s="635" t="s">
        <v>356</v>
      </c>
      <c r="AH3" s="635" t="s">
        <v>356</v>
      </c>
      <c r="AI3" s="635" t="s">
        <v>356</v>
      </c>
      <c r="AJ3" s="635" t="s">
        <v>356</v>
      </c>
      <c r="AK3" s="635" t="s">
        <v>356</v>
      </c>
      <c r="AL3" s="635" t="s">
        <v>356</v>
      </c>
      <c r="AM3" s="635" t="s">
        <v>356</v>
      </c>
      <c r="AN3" s="635" t="s">
        <v>356</v>
      </c>
      <c r="AO3" s="635" t="s">
        <v>356</v>
      </c>
      <c r="AP3" s="635" t="s">
        <v>356</v>
      </c>
      <c r="AQ3" s="635" t="s">
        <v>356</v>
      </c>
      <c r="AR3" s="635" t="s">
        <v>356</v>
      </c>
      <c r="AS3" s="635" t="s">
        <v>356</v>
      </c>
      <c r="AT3" s="635" t="s">
        <v>356</v>
      </c>
      <c r="AU3" s="635" t="s">
        <v>356</v>
      </c>
      <c r="AV3" s="635" t="s">
        <v>356</v>
      </c>
      <c r="AW3" s="635" t="s">
        <v>356</v>
      </c>
      <c r="AX3" s="635" t="s">
        <v>356</v>
      </c>
      <c r="AY3" s="635" t="s">
        <v>356</v>
      </c>
      <c r="AZ3" s="635" t="s">
        <v>356</v>
      </c>
      <c r="BA3" s="635" t="s">
        <v>356</v>
      </c>
      <c r="BB3" s="635" t="s">
        <v>356</v>
      </c>
      <c r="BC3" s="635" t="s">
        <v>356</v>
      </c>
      <c r="BD3" s="635" t="s">
        <v>356</v>
      </c>
      <c r="BE3" s="635" t="s">
        <v>356</v>
      </c>
      <c r="BF3" s="635" t="s">
        <v>356</v>
      </c>
      <c r="BG3" s="635" t="s">
        <v>356</v>
      </c>
      <c r="BH3" s="635" t="s">
        <v>356</v>
      </c>
      <c r="BI3" s="635" t="s">
        <v>356</v>
      </c>
      <c r="BJ3" s="635" t="s">
        <v>356</v>
      </c>
      <c r="BK3" s="635" t="s">
        <v>356</v>
      </c>
      <c r="BL3" s="635" t="s">
        <v>356</v>
      </c>
      <c r="BM3" s="635" t="s">
        <v>356</v>
      </c>
    </row>
    <row r="4" spans="1:65" ht="14" customHeight="1" x14ac:dyDescent="0.2">
      <c r="A4" s="734"/>
      <c r="B4" s="127" t="s">
        <v>1</v>
      </c>
      <c r="C4" s="722"/>
      <c r="D4" s="723"/>
      <c r="E4" s="724"/>
      <c r="F4" s="715">
        <v>2022</v>
      </c>
      <c r="G4" s="716"/>
      <c r="H4" s="716"/>
      <c r="I4" s="716"/>
      <c r="J4" s="716"/>
      <c r="K4" s="716"/>
      <c r="L4" s="716"/>
      <c r="M4" s="716"/>
      <c r="N4" s="716"/>
      <c r="O4" s="716"/>
      <c r="P4" s="716"/>
      <c r="Q4" s="717"/>
      <c r="R4" s="752">
        <v>2023</v>
      </c>
      <c r="S4" s="702"/>
      <c r="T4" s="702"/>
      <c r="U4" s="702"/>
      <c r="V4" s="702"/>
      <c r="W4" s="702"/>
      <c r="X4" s="702"/>
      <c r="Y4" s="702"/>
      <c r="Z4" s="702"/>
      <c r="AA4" s="702"/>
      <c r="AB4" s="702"/>
      <c r="AC4" s="703"/>
      <c r="AD4" s="715">
        <v>2024</v>
      </c>
      <c r="AE4" s="716"/>
      <c r="AF4" s="716"/>
      <c r="AG4" s="716"/>
      <c r="AH4" s="716"/>
      <c r="AI4" s="716"/>
      <c r="AJ4" s="716"/>
      <c r="AK4" s="716"/>
      <c r="AL4" s="716"/>
      <c r="AM4" s="716"/>
      <c r="AN4" s="716"/>
      <c r="AO4" s="717"/>
      <c r="AP4" s="701">
        <v>2025</v>
      </c>
      <c r="AQ4" s="702"/>
      <c r="AR4" s="702"/>
      <c r="AS4" s="702"/>
      <c r="AT4" s="702"/>
      <c r="AU4" s="702"/>
      <c r="AV4" s="702"/>
      <c r="AW4" s="702"/>
      <c r="AX4" s="702"/>
      <c r="AY4" s="702"/>
      <c r="AZ4" s="702"/>
      <c r="BA4" s="703"/>
      <c r="BB4" s="701">
        <v>2026</v>
      </c>
      <c r="BC4" s="702"/>
      <c r="BD4" s="702"/>
      <c r="BE4" s="702"/>
      <c r="BF4" s="702"/>
      <c r="BG4" s="702"/>
      <c r="BH4" s="702"/>
      <c r="BI4" s="702"/>
      <c r="BJ4" s="702"/>
      <c r="BK4" s="702"/>
      <c r="BL4" s="702"/>
      <c r="BM4" s="703"/>
    </row>
    <row r="5" spans="1:65" x14ac:dyDescent="0.2">
      <c r="A5" s="734"/>
      <c r="B5" s="86"/>
      <c r="C5" s="145"/>
      <c r="D5" s="532"/>
      <c r="E5" s="146"/>
      <c r="F5" s="508">
        <v>44562</v>
      </c>
      <c r="G5" s="251">
        <v>44593</v>
      </c>
      <c r="H5" s="251">
        <v>44621</v>
      </c>
      <c r="I5" s="251">
        <v>44652</v>
      </c>
      <c r="J5" s="251">
        <v>44682</v>
      </c>
      <c r="K5" s="251">
        <v>44713</v>
      </c>
      <c r="L5" s="251">
        <v>44743</v>
      </c>
      <c r="M5" s="251">
        <v>44774</v>
      </c>
      <c r="N5" s="251">
        <v>44805</v>
      </c>
      <c r="O5" s="251">
        <v>44835</v>
      </c>
      <c r="P5" s="251">
        <v>44866</v>
      </c>
      <c r="Q5" s="251">
        <v>44896</v>
      </c>
      <c r="R5" s="248">
        <v>44927</v>
      </c>
      <c r="S5" s="248">
        <v>44958</v>
      </c>
      <c r="T5" s="248">
        <v>44986</v>
      </c>
      <c r="U5" s="248">
        <v>45017</v>
      </c>
      <c r="V5" s="248">
        <v>45047</v>
      </c>
      <c r="W5" s="248">
        <v>45078</v>
      </c>
      <c r="X5" s="248">
        <v>45108</v>
      </c>
      <c r="Y5" s="248">
        <v>45139</v>
      </c>
      <c r="Z5" s="248">
        <v>45170</v>
      </c>
      <c r="AA5" s="248">
        <v>45200</v>
      </c>
      <c r="AB5" s="248">
        <v>45231</v>
      </c>
      <c r="AC5" s="522">
        <v>45261</v>
      </c>
      <c r="AD5" s="506">
        <v>45292</v>
      </c>
      <c r="AE5" s="249">
        <v>45323</v>
      </c>
      <c r="AF5" s="249">
        <v>45352</v>
      </c>
      <c r="AG5" s="249">
        <v>45383</v>
      </c>
      <c r="AH5" s="249">
        <v>45413</v>
      </c>
      <c r="AI5" s="249">
        <v>45444</v>
      </c>
      <c r="AJ5" s="249">
        <v>45474</v>
      </c>
      <c r="AK5" s="249">
        <v>45505</v>
      </c>
      <c r="AL5" s="249">
        <v>45536</v>
      </c>
      <c r="AM5" s="249">
        <v>45566</v>
      </c>
      <c r="AN5" s="249">
        <v>45597</v>
      </c>
      <c r="AO5" s="529">
        <v>45627</v>
      </c>
      <c r="AP5" s="507">
        <v>45658</v>
      </c>
      <c r="AQ5" s="250">
        <v>45689</v>
      </c>
      <c r="AR5" s="250">
        <v>45717</v>
      </c>
      <c r="AS5" s="250">
        <v>45748</v>
      </c>
      <c r="AT5" s="250">
        <v>45778</v>
      </c>
      <c r="AU5" s="250">
        <v>45809</v>
      </c>
      <c r="AV5" s="250">
        <v>45839</v>
      </c>
      <c r="AW5" s="250">
        <v>45870</v>
      </c>
      <c r="AX5" s="250">
        <v>45901</v>
      </c>
      <c r="AY5" s="250">
        <v>45931</v>
      </c>
      <c r="AZ5" s="250">
        <v>45962</v>
      </c>
      <c r="BA5" s="530">
        <v>45992</v>
      </c>
      <c r="BB5" s="507">
        <v>45658</v>
      </c>
      <c r="BC5" s="250">
        <v>45689</v>
      </c>
      <c r="BD5" s="250">
        <v>45717</v>
      </c>
      <c r="BE5" s="250">
        <v>45748</v>
      </c>
      <c r="BF5" s="250">
        <v>45778</v>
      </c>
      <c r="BG5" s="250">
        <v>45809</v>
      </c>
      <c r="BH5" s="250">
        <v>45839</v>
      </c>
      <c r="BI5" s="250">
        <v>45870</v>
      </c>
      <c r="BJ5" s="250">
        <v>45901</v>
      </c>
      <c r="BK5" s="250">
        <v>45931</v>
      </c>
      <c r="BL5" s="250">
        <v>45962</v>
      </c>
      <c r="BM5" s="530">
        <v>45992</v>
      </c>
    </row>
    <row r="6" spans="1:65" x14ac:dyDescent="0.2">
      <c r="A6" s="734"/>
      <c r="B6" s="21"/>
    </row>
    <row r="7" spans="1:65" x14ac:dyDescent="0.2">
      <c r="A7" s="734"/>
      <c r="B7" s="21"/>
    </row>
    <row r="8" spans="1:65" x14ac:dyDescent="0.2">
      <c r="A8" s="734"/>
      <c r="B8" s="118" t="s">
        <v>91</v>
      </c>
    </row>
    <row r="9" spans="1:65" ht="7" customHeight="1" x14ac:dyDescent="0.2">
      <c r="A9" s="734"/>
      <c r="B9" s="21"/>
    </row>
    <row r="10" spans="1:65" x14ac:dyDescent="0.2">
      <c r="A10" s="734"/>
      <c r="B10" s="21" t="s">
        <v>59</v>
      </c>
      <c r="F10" s="189"/>
      <c r="G10" s="189"/>
      <c r="H10" s="189"/>
      <c r="I10" s="189"/>
      <c r="J10" s="189"/>
      <c r="K10" s="189"/>
      <c r="L10" s="189"/>
      <c r="M10" s="189"/>
      <c r="N10" s="203"/>
      <c r="O10" s="203"/>
      <c r="P10" s="203"/>
      <c r="Q10" s="202"/>
      <c r="R10" s="203">
        <f>'Marketing and Sales'!R5</f>
        <v>103.47826086956522</v>
      </c>
      <c r="S10" s="203">
        <f>'Marketing and Sales'!S5</f>
        <v>83.478260869565219</v>
      </c>
      <c r="T10" s="203">
        <f>'Marketing and Sales'!T5</f>
        <v>61.739130434782609</v>
      </c>
      <c r="U10" s="203">
        <f>'Marketing and Sales'!U5</f>
        <v>62.727272727272727</v>
      </c>
      <c r="V10" s="203">
        <f>'Marketing and Sales'!V5</f>
        <v>102.72727272727272</v>
      </c>
      <c r="W10" s="203">
        <f>'Marketing and Sales'!W5</f>
        <v>106.72727272727272</v>
      </c>
      <c r="X10" s="203">
        <f>'Marketing and Sales'!X5</f>
        <v>129.80952380952382</v>
      </c>
      <c r="Y10" s="203">
        <f>'Marketing and Sales'!Y5</f>
        <v>151.8095238095238</v>
      </c>
      <c r="Z10" s="203">
        <f>'Marketing and Sales'!Z5</f>
        <v>153.8095238095238</v>
      </c>
      <c r="AA10" s="203">
        <f>'Marketing and Sales'!AA5</f>
        <v>155.8095238095238</v>
      </c>
      <c r="AB10" s="203">
        <f>'Marketing and Sales'!AB5</f>
        <v>179</v>
      </c>
      <c r="AC10" s="202">
        <f>'Marketing and Sales'!AC5</f>
        <v>181</v>
      </c>
      <c r="AD10" s="203">
        <f>'Marketing and Sales'!AD5</f>
        <v>184.31578947368422</v>
      </c>
      <c r="AE10" s="203">
        <f>'Marketing and Sales'!AE5</f>
        <v>226.31578947368422</v>
      </c>
      <c r="AF10" s="203">
        <f>'Marketing and Sales'!AF5</f>
        <v>294.10526315789474</v>
      </c>
      <c r="AG10" s="203">
        <f>'Marketing and Sales'!AG5</f>
        <v>727.45263157894726</v>
      </c>
      <c r="AH10" s="203">
        <f>'Marketing and Sales'!AH5</f>
        <v>901.85263157894724</v>
      </c>
      <c r="AI10" s="203">
        <f>'Marketing and Sales'!AI5</f>
        <v>1019.6444444444445</v>
      </c>
      <c r="AJ10" s="203">
        <f>'Marketing and Sales'!AJ5</f>
        <v>1114.0444444444445</v>
      </c>
      <c r="AK10" s="203">
        <f>'Marketing and Sales'!AK5</f>
        <v>1228.4444444444443</v>
      </c>
      <c r="AL10" s="203">
        <f>'Marketing and Sales'!AL5</f>
        <v>1662.8444444444444</v>
      </c>
      <c r="AM10" s="203">
        <f>'Marketing and Sales'!AM5</f>
        <v>1777.2444444444445</v>
      </c>
      <c r="AN10" s="203">
        <f>'Marketing and Sales'!AN5</f>
        <v>1917.7882352941176</v>
      </c>
      <c r="AO10" s="202">
        <f>'Marketing and Sales'!AO5</f>
        <v>1855.7176470588236</v>
      </c>
      <c r="AP10" s="203">
        <f>'Marketing and Sales'!AP5</f>
        <v>2052.4705882352941</v>
      </c>
      <c r="AQ10" s="203">
        <f>'Marketing and Sales'!AQ5</f>
        <v>2166.8705882352942</v>
      </c>
      <c r="AR10" s="203">
        <f>'Marketing and Sales'!AR5</f>
        <v>2304.8000000000002</v>
      </c>
      <c r="AS10" s="203">
        <f>'Marketing and Sales'!AS5</f>
        <v>2419.1999999999998</v>
      </c>
      <c r="AT10" s="203">
        <f>'Marketing and Sales'!AT5</f>
        <v>2533.6</v>
      </c>
      <c r="AU10" s="203">
        <f>'Marketing and Sales'!AU5</f>
        <v>2648</v>
      </c>
      <c r="AV10" s="203">
        <f>'Marketing and Sales'!AV5</f>
        <v>2789.0666666666666</v>
      </c>
      <c r="AW10" s="203">
        <f>'Marketing and Sales'!AW5</f>
        <v>2903.4666666666667</v>
      </c>
      <c r="AX10" s="203">
        <f>'Marketing and Sales'!AX5</f>
        <v>3017.8666666666668</v>
      </c>
      <c r="AY10" s="203">
        <f>'Marketing and Sales'!AY5</f>
        <v>3132.2666666666664</v>
      </c>
      <c r="AZ10" s="203">
        <f>'Marketing and Sales'!AZ5</f>
        <v>3246.666666666667</v>
      </c>
      <c r="BA10" s="202">
        <f>'Marketing and Sales'!BA5</f>
        <v>3361.0666666666666</v>
      </c>
      <c r="BB10" s="203">
        <f>'Marketing and Sales'!BB5</f>
        <v>3745.2705882352939</v>
      </c>
      <c r="BC10" s="203">
        <f>'Marketing and Sales'!BC5</f>
        <v>3879.6705882352944</v>
      </c>
      <c r="BD10" s="203">
        <f>'Marketing and Sales'!BD5</f>
        <v>4037.6</v>
      </c>
      <c r="BE10" s="203">
        <f>'Marketing and Sales'!BE5</f>
        <v>4172</v>
      </c>
      <c r="BF10" s="203">
        <f>'Marketing and Sales'!BF5</f>
        <v>4306.3999999999996</v>
      </c>
      <c r="BG10" s="203">
        <f>'Marketing and Sales'!BG5</f>
        <v>4440.8</v>
      </c>
      <c r="BH10" s="203">
        <f>'Marketing and Sales'!BH5</f>
        <v>4601.8666666666668</v>
      </c>
      <c r="BI10" s="203">
        <f>'Marketing and Sales'!BI5</f>
        <v>4736.2666666666664</v>
      </c>
      <c r="BJ10" s="203">
        <f>'Marketing and Sales'!BJ5</f>
        <v>4870.666666666667</v>
      </c>
      <c r="BK10" s="203">
        <f>'Marketing and Sales'!BK5</f>
        <v>5005.0666666666666</v>
      </c>
      <c r="BL10" s="203">
        <f>'Marketing and Sales'!BL5</f>
        <v>5139.4666666666672</v>
      </c>
      <c r="BM10" s="202">
        <f>'Marketing and Sales'!BM5</f>
        <v>5273.8666666666668</v>
      </c>
    </row>
    <row r="11" spans="1:65" x14ac:dyDescent="0.2">
      <c r="A11" s="734"/>
      <c r="B11" s="21" t="s">
        <v>72</v>
      </c>
      <c r="F11" s="189"/>
      <c r="G11" s="189"/>
      <c r="H11" s="189"/>
      <c r="I11" s="189"/>
      <c r="J11" s="189"/>
      <c r="K11" s="189"/>
      <c r="L11" s="169"/>
      <c r="M11" s="169"/>
      <c r="N11" s="203"/>
      <c r="O11" s="203"/>
      <c r="P11" s="203"/>
      <c r="Q11" s="202"/>
      <c r="R11" s="203">
        <f>'Marketing and Sales'!R6</f>
        <v>72.388091639082816</v>
      </c>
      <c r="S11" s="203">
        <f>'Marketing and Sales'!S6</f>
        <v>75.442686225616242</v>
      </c>
      <c r="T11" s="203">
        <f>'Marketing and Sales'!T6</f>
        <v>75.992902656885363</v>
      </c>
      <c r="U11" s="203">
        <f>'Marketing and Sales'!U6</f>
        <v>75.758975899248554</v>
      </c>
      <c r="V11" s="203">
        <f>'Marketing and Sales'!V6</f>
        <v>75.539270872801467</v>
      </c>
      <c r="W11" s="203">
        <f>'Marketing and Sales'!W6</f>
        <v>75.323140753582834</v>
      </c>
      <c r="X11" s="203">
        <f>'Marketing and Sales'!X6</f>
        <v>75.810648341988809</v>
      </c>
      <c r="Y11" s="203">
        <f>'Marketing and Sales'!Y6</f>
        <v>76.320674088019473</v>
      </c>
      <c r="Z11" s="203">
        <f>'Marketing and Sales'!Z6</f>
        <v>77.171637052184181</v>
      </c>
      <c r="AA11" s="203">
        <f>'Marketing and Sales'!AA6</f>
        <v>78.363483897883043</v>
      </c>
      <c r="AB11" s="203">
        <f>'Marketing and Sales'!AB6</f>
        <v>79.540251552806751</v>
      </c>
      <c r="AC11" s="202">
        <f>'Marketing and Sales'!AC6</f>
        <v>80.716811153150886</v>
      </c>
      <c r="AD11" s="203">
        <f>'Marketing and Sales'!AD6</f>
        <v>82.222231881675924</v>
      </c>
      <c r="AE11" s="203">
        <f>'Marketing and Sales'!AE6</f>
        <v>83.729917816057238</v>
      </c>
      <c r="AF11" s="203">
        <f>'Marketing and Sales'!AF6</f>
        <v>85.210687600754923</v>
      </c>
      <c r="AG11" s="203">
        <f>'Marketing and Sales'!AG6</f>
        <v>87.641230334698562</v>
      </c>
      <c r="AH11" s="203">
        <f>'Marketing and Sales'!AH6</f>
        <v>97.547447445521499</v>
      </c>
      <c r="AI11" s="203">
        <f>'Marketing and Sales'!AI6</f>
        <v>108.18200919080311</v>
      </c>
      <c r="AJ11" s="203">
        <f>'Marketing and Sales'!AJ6</f>
        <v>122.29153273348089</v>
      </c>
      <c r="AK11" s="203">
        <f>'Marketing and Sales'!AK6</f>
        <v>137.84686719952117</v>
      </c>
      <c r="AL11" s="203">
        <f>'Marketing and Sales'!AL6</f>
        <v>154.7896060921631</v>
      </c>
      <c r="AM11" s="203">
        <f>'Marketing and Sales'!AM6</f>
        <v>173.19356159393118</v>
      </c>
      <c r="AN11" s="203">
        <f>'Marketing and Sales'!AN6</f>
        <v>198.68366787016512</v>
      </c>
      <c r="AO11" s="202">
        <f>'Marketing and Sales'!AO6</f>
        <v>226.09235357491701</v>
      </c>
      <c r="AP11" s="203">
        <f>'Marketing and Sales'!AP6</f>
        <v>251.74135435968358</v>
      </c>
      <c r="AQ11" s="203">
        <f>'Marketing and Sales'!AQ6</f>
        <v>280.18821027554441</v>
      </c>
      <c r="AR11" s="203">
        <f>'Marketing and Sales'!AR6</f>
        <v>309.9418698983182</v>
      </c>
      <c r="AS11" s="203">
        <f>'Marketing and Sales'!AS6</f>
        <v>341.39038555449054</v>
      </c>
      <c r="AT11" s="203">
        <f>'Marketing and Sales'!AT6</f>
        <v>374.09152754143918</v>
      </c>
      <c r="AU11" s="203">
        <f>'Marketing and Sales'!AU6</f>
        <v>408.02260677852115</v>
      </c>
      <c r="AV11" s="203">
        <f>'Marketing and Sales'!AV6</f>
        <v>443.16136728098371</v>
      </c>
      <c r="AW11" s="203">
        <f>'Marketing and Sales'!AW6</f>
        <v>479.95264441520345</v>
      </c>
      <c r="AX11" s="203">
        <f>'Marketing and Sales'!AX6</f>
        <v>517.90018998532412</v>
      </c>
      <c r="AY11" s="203">
        <f>'Marketing and Sales'!AY6</f>
        <v>556.98314039789454</v>
      </c>
      <c r="AZ11" s="203">
        <f>'Marketing and Sales'!AZ6</f>
        <v>597.18102998362087</v>
      </c>
      <c r="BA11" s="202">
        <f>'Marketing and Sales'!BA6</f>
        <v>638.47378326898047</v>
      </c>
      <c r="BB11" s="203">
        <f>'Marketing and Sales'!BB6</f>
        <v>737.66670739907306</v>
      </c>
      <c r="BC11" s="203">
        <f>'Marketing and Sales'!BC6</f>
        <v>792.98955333618596</v>
      </c>
      <c r="BD11" s="203">
        <f>'Marketing and Sales'!BD6</f>
        <v>849.74592524292564</v>
      </c>
      <c r="BE11" s="203">
        <f>'Marketing and Sales'!BE6</f>
        <v>908.30860481176228</v>
      </c>
      <c r="BF11" s="203">
        <f>'Marketing and Sales'!BF6</f>
        <v>968.22105941269899</v>
      </c>
      <c r="BG11" s="203">
        <f>'Marketing and Sales'!BG6</f>
        <v>1029.4472108817718</v>
      </c>
      <c r="BH11" s="203">
        <f>'Marketing and Sales'!BH6</f>
        <v>1091.9522766869779</v>
      </c>
      <c r="BI11" s="203">
        <f>'Marketing and Sales'!BI6</f>
        <v>1156.1693796429977</v>
      </c>
      <c r="BJ11" s="203">
        <f>'Marketing and Sales'!BJ6</f>
        <v>1221.5913270785809</v>
      </c>
      <c r="BK11" s="203">
        <f>'Marketing and Sales'!BK6</f>
        <v>1288.1870355634246</v>
      </c>
      <c r="BL11" s="203">
        <f>'Marketing and Sales'!BL6</f>
        <v>1355.9265031415212</v>
      </c>
      <c r="BM11" s="202">
        <f>'Marketing and Sales'!BM6</f>
        <v>1424.7807627386017</v>
      </c>
    </row>
    <row r="12" spans="1:65" s="2" customFormat="1" x14ac:dyDescent="0.2">
      <c r="A12" s="734"/>
      <c r="B12" s="112" t="s">
        <v>73</v>
      </c>
      <c r="D12" s="138"/>
      <c r="E12" s="138"/>
      <c r="F12" s="199"/>
      <c r="G12" s="199"/>
      <c r="H12" s="199"/>
      <c r="I12" s="199"/>
      <c r="J12" s="199"/>
      <c r="K12" s="199"/>
      <c r="L12" s="199"/>
      <c r="M12" s="199"/>
      <c r="N12" s="198"/>
      <c r="O12" s="198"/>
      <c r="P12" s="198"/>
      <c r="Q12" s="197"/>
      <c r="R12" s="198">
        <f>'Marketing and Sales'!R7</f>
        <v>4362.6939271780711</v>
      </c>
      <c r="S12" s="198">
        <f>'Marketing and Sales'!S7</f>
        <v>4370.7295018220193</v>
      </c>
      <c r="T12" s="198">
        <f>'Marketing and Sales'!T7</f>
        <v>4356.4757295999161</v>
      </c>
      <c r="U12" s="198">
        <f>'Marketing and Sales'!U7</f>
        <v>4343.4440264279401</v>
      </c>
      <c r="V12" s="198">
        <f>'Marketing and Sales'!V7</f>
        <v>4370.6320282824117</v>
      </c>
      <c r="W12" s="198">
        <f>'Marketing and Sales'!W7</f>
        <v>4398.0361602561015</v>
      </c>
      <c r="X12" s="198">
        <f>'Marketing and Sales'!X7</f>
        <v>4446.0350357236366</v>
      </c>
      <c r="Y12" s="198">
        <f>'Marketing and Sales'!Y7</f>
        <v>4513.52388544514</v>
      </c>
      <c r="Z12" s="198">
        <f>'Marketing and Sales'!Z7</f>
        <v>4580.1617722024803</v>
      </c>
      <c r="AA12" s="198">
        <f>'Marketing and Sales'!AA7</f>
        <v>4645.6078121141209</v>
      </c>
      <c r="AB12" s="198">
        <f>'Marketing and Sales'!AB7</f>
        <v>4731.0675605613142</v>
      </c>
      <c r="AC12" s="197">
        <f>'Marketing and Sales'!AC7</f>
        <v>4815.3507494081623</v>
      </c>
      <c r="AD12" s="198">
        <f>'Marketing and Sales'!AD7</f>
        <v>4899.4443070001707</v>
      </c>
      <c r="AE12" s="198">
        <f>'Marketing and Sales'!AE7</f>
        <v>5022.0301786577975</v>
      </c>
      <c r="AF12" s="198">
        <f>'Marketing and Sales'!AF7</f>
        <v>5208.9247542149378</v>
      </c>
      <c r="AG12" s="198">
        <f>'Marketing and Sales'!AG7</f>
        <v>5824.7361554591862</v>
      </c>
      <c r="AH12" s="198">
        <f>'Marketing and Sales'!AH7</f>
        <v>6603.0413395926125</v>
      </c>
      <c r="AI12" s="198">
        <f>'Marketing and Sales'!AI7</f>
        <v>7486.5037748462546</v>
      </c>
      <c r="AJ12" s="198">
        <f>'Marketing and Sales'!AJ7</f>
        <v>8448.2566865572189</v>
      </c>
      <c r="AK12" s="198">
        <f>'Marketing and Sales'!AK7</f>
        <v>9506.8542638021408</v>
      </c>
      <c r="AL12" s="198">
        <f>'Marketing and Sales'!AL7</f>
        <v>10980.909102154425</v>
      </c>
      <c r="AM12" s="198">
        <f>'Marketing and Sales'!AM7</f>
        <v>12548.959985004934</v>
      </c>
      <c r="AN12" s="198">
        <f>'Marketing and Sales'!AN7</f>
        <v>14230.06455242889</v>
      </c>
      <c r="AO12" s="197">
        <f>'Marketing and Sales'!AO7</f>
        <v>15819.689845912793</v>
      </c>
      <c r="AP12" s="198">
        <f>'Marketing and Sales'!AP7</f>
        <v>17578.419079788404</v>
      </c>
      <c r="AQ12" s="198">
        <f>'Marketing and Sales'!AQ7</f>
        <v>19421.101457748151</v>
      </c>
      <c r="AR12" s="198">
        <f>'Marketing and Sales'!AR7</f>
        <v>21369.959587849837</v>
      </c>
      <c r="AS12" s="198">
        <f>'Marketing and Sales'!AS7</f>
        <v>23399.769202295345</v>
      </c>
      <c r="AT12" s="198">
        <f>'Marketing and Sales'!AT7</f>
        <v>25509.277674753906</v>
      </c>
      <c r="AU12" s="198">
        <f>'Marketing and Sales'!AU7</f>
        <v>27697.255067975384</v>
      </c>
      <c r="AV12" s="198">
        <f>'Marketing and Sales'!AV7</f>
        <v>29989.160367361066</v>
      </c>
      <c r="AW12" s="198">
        <f>'Marketing and Sales'!AW7</f>
        <v>32356.67438961253</v>
      </c>
      <c r="AX12" s="198">
        <f>'Marketing and Sales'!AX7</f>
        <v>34798.640866293877</v>
      </c>
      <c r="AY12" s="198">
        <f>'Marketing and Sales'!AY7</f>
        <v>37313.924392562643</v>
      </c>
      <c r="AZ12" s="198">
        <f>'Marketing and Sales'!AZ7</f>
        <v>39901.410029245693</v>
      </c>
      <c r="BA12" s="197">
        <f>'Marketing and Sales'!BA7</f>
        <v>42560.002912643387</v>
      </c>
      <c r="BB12" s="198">
        <f>'Marketing and Sales'!BB7</f>
        <v>45238.431793479605</v>
      </c>
      <c r="BC12" s="198">
        <f>'Marketing and Sales'!BC7</f>
        <v>47986.715328378705</v>
      </c>
      <c r="BD12" s="198">
        <f>'Marketing and Sales'!BD7</f>
        <v>50827.330653135788</v>
      </c>
      <c r="BE12" s="198">
        <f>'Marketing and Sales'!BE7</f>
        <v>53735.303173324013</v>
      </c>
      <c r="BF12" s="198">
        <f>'Marketing and Sales'!BF7</f>
        <v>56709.625176411319</v>
      </c>
      <c r="BG12" s="198">
        <f>'Marketing and Sales'!BG7</f>
        <v>59749.306971779544</v>
      </c>
      <c r="BH12" s="198">
        <f>'Marketing and Sales'!BH7</f>
        <v>62880.043214884252</v>
      </c>
      <c r="BI12" s="198">
        <f>'Marketing and Sales'!BI7</f>
        <v>66073.745904720403</v>
      </c>
      <c r="BJ12" s="198">
        <f>'Marketing and Sales'!BJ7</f>
        <v>69329.485554464743</v>
      </c>
      <c r="BK12" s="198">
        <f>'Marketing and Sales'!BK7</f>
        <v>72646.349225583603</v>
      </c>
      <c r="BL12" s="198">
        <f>'Marketing and Sales'!BL7</f>
        <v>76023.440213616559</v>
      </c>
      <c r="BM12" s="197">
        <f>'Marketing and Sales'!BM7</f>
        <v>79459.877740051656</v>
      </c>
    </row>
    <row r="13" spans="1:65" s="2" customFormat="1" x14ac:dyDescent="0.2">
      <c r="A13" s="734"/>
      <c r="B13" s="406" t="s">
        <v>207</v>
      </c>
      <c r="D13" s="138"/>
      <c r="E13" s="138"/>
      <c r="F13" s="199"/>
      <c r="G13" s="199"/>
      <c r="H13" s="199"/>
      <c r="I13" s="199"/>
      <c r="J13" s="199"/>
      <c r="K13" s="199"/>
      <c r="L13" s="199"/>
      <c r="M13" s="199"/>
      <c r="N13" s="198"/>
      <c r="O13" s="198"/>
      <c r="P13" s="198"/>
      <c r="Q13" s="197"/>
      <c r="R13" s="201">
        <v>8</v>
      </c>
      <c r="S13" s="201">
        <v>8</v>
      </c>
      <c r="T13" s="201">
        <v>8</v>
      </c>
      <c r="U13" s="201">
        <v>8</v>
      </c>
      <c r="V13" s="201">
        <v>8</v>
      </c>
      <c r="W13" s="201">
        <v>8</v>
      </c>
      <c r="X13" s="201">
        <v>8</v>
      </c>
      <c r="Y13" s="201">
        <v>8</v>
      </c>
      <c r="Z13" s="201">
        <v>8</v>
      </c>
      <c r="AA13" s="201">
        <v>8</v>
      </c>
      <c r="AB13" s="201">
        <v>8</v>
      </c>
      <c r="AC13" s="547">
        <v>8</v>
      </c>
      <c r="AD13" s="201">
        <v>7.5</v>
      </c>
      <c r="AE13" s="201">
        <v>7.5</v>
      </c>
      <c r="AF13" s="201">
        <v>7.5</v>
      </c>
      <c r="AG13" s="201">
        <v>7.5</v>
      </c>
      <c r="AH13" s="201">
        <v>7.5</v>
      </c>
      <c r="AI13" s="201">
        <v>7.5</v>
      </c>
      <c r="AJ13" s="201">
        <v>7</v>
      </c>
      <c r="AK13" s="201">
        <v>7</v>
      </c>
      <c r="AL13" s="201">
        <v>7</v>
      </c>
      <c r="AM13" s="201">
        <v>7</v>
      </c>
      <c r="AN13" s="201">
        <v>7</v>
      </c>
      <c r="AO13" s="547">
        <v>7</v>
      </c>
      <c r="AP13" s="201">
        <v>7</v>
      </c>
      <c r="AQ13" s="201">
        <v>7</v>
      </c>
      <c r="AR13" s="201">
        <v>7</v>
      </c>
      <c r="AS13" s="201">
        <v>7</v>
      </c>
      <c r="AT13" s="201">
        <v>7</v>
      </c>
      <c r="AU13" s="201">
        <v>7</v>
      </c>
      <c r="AV13" s="201">
        <v>7</v>
      </c>
      <c r="AW13" s="201">
        <v>7</v>
      </c>
      <c r="AX13" s="201">
        <v>7</v>
      </c>
      <c r="AY13" s="201">
        <v>7</v>
      </c>
      <c r="AZ13" s="201">
        <v>7</v>
      </c>
      <c r="BA13" s="547">
        <v>7</v>
      </c>
      <c r="BB13" s="201">
        <v>7</v>
      </c>
      <c r="BC13" s="201">
        <v>7</v>
      </c>
      <c r="BD13" s="201">
        <v>7</v>
      </c>
      <c r="BE13" s="201">
        <v>7</v>
      </c>
      <c r="BF13" s="201">
        <v>7</v>
      </c>
      <c r="BG13" s="201">
        <v>7</v>
      </c>
      <c r="BH13" s="201">
        <v>7</v>
      </c>
      <c r="BI13" s="201">
        <v>7</v>
      </c>
      <c r="BJ13" s="201">
        <v>7</v>
      </c>
      <c r="BK13" s="201">
        <v>7</v>
      </c>
      <c r="BL13" s="201">
        <v>7</v>
      </c>
      <c r="BM13" s="547">
        <v>7</v>
      </c>
    </row>
    <row r="14" spans="1:65" s="2" customFormat="1" x14ac:dyDescent="0.2">
      <c r="A14" s="734"/>
      <c r="B14" s="406" t="s">
        <v>139</v>
      </c>
      <c r="D14" s="138"/>
      <c r="E14" s="138"/>
      <c r="F14" s="199"/>
      <c r="G14" s="199"/>
      <c r="H14" s="199"/>
      <c r="I14" s="199"/>
      <c r="J14" s="199"/>
      <c r="K14" s="199"/>
      <c r="L14" s="199"/>
      <c r="M14" s="199"/>
      <c r="N14" s="198"/>
      <c r="O14" s="198"/>
      <c r="P14" s="198"/>
      <c r="Q14" s="197"/>
      <c r="R14" s="200">
        <v>250</v>
      </c>
      <c r="S14" s="200">
        <f t="shared" ref="S14:BA14" si="0">R14+1</f>
        <v>251</v>
      </c>
      <c r="T14" s="200">
        <f t="shared" si="0"/>
        <v>252</v>
      </c>
      <c r="U14" s="200">
        <f t="shared" si="0"/>
        <v>253</v>
      </c>
      <c r="V14" s="200">
        <f t="shared" si="0"/>
        <v>254</v>
      </c>
      <c r="W14" s="200">
        <f t="shared" si="0"/>
        <v>255</v>
      </c>
      <c r="X14" s="200">
        <f t="shared" si="0"/>
        <v>256</v>
      </c>
      <c r="Y14" s="200">
        <f t="shared" si="0"/>
        <v>257</v>
      </c>
      <c r="Z14" s="200">
        <f t="shared" si="0"/>
        <v>258</v>
      </c>
      <c r="AA14" s="200">
        <f t="shared" si="0"/>
        <v>259</v>
      </c>
      <c r="AB14" s="200">
        <f t="shared" si="0"/>
        <v>260</v>
      </c>
      <c r="AC14" s="548">
        <f t="shared" si="0"/>
        <v>261</v>
      </c>
      <c r="AD14" s="200">
        <f t="shared" si="0"/>
        <v>262</v>
      </c>
      <c r="AE14" s="200">
        <f t="shared" si="0"/>
        <v>263</v>
      </c>
      <c r="AF14" s="200">
        <f t="shared" si="0"/>
        <v>264</v>
      </c>
      <c r="AG14" s="200">
        <f t="shared" si="0"/>
        <v>265</v>
      </c>
      <c r="AH14" s="200">
        <f t="shared" si="0"/>
        <v>266</v>
      </c>
      <c r="AI14" s="200">
        <f t="shared" si="0"/>
        <v>267</v>
      </c>
      <c r="AJ14" s="200">
        <f t="shared" si="0"/>
        <v>268</v>
      </c>
      <c r="AK14" s="200">
        <f t="shared" si="0"/>
        <v>269</v>
      </c>
      <c r="AL14" s="200">
        <f t="shared" si="0"/>
        <v>270</v>
      </c>
      <c r="AM14" s="200">
        <f t="shared" si="0"/>
        <v>271</v>
      </c>
      <c r="AN14" s="200">
        <f t="shared" si="0"/>
        <v>272</v>
      </c>
      <c r="AO14" s="548">
        <f t="shared" si="0"/>
        <v>273</v>
      </c>
      <c r="AP14" s="200">
        <f t="shared" si="0"/>
        <v>274</v>
      </c>
      <c r="AQ14" s="200">
        <f t="shared" si="0"/>
        <v>275</v>
      </c>
      <c r="AR14" s="200">
        <f t="shared" si="0"/>
        <v>276</v>
      </c>
      <c r="AS14" s="200">
        <f t="shared" si="0"/>
        <v>277</v>
      </c>
      <c r="AT14" s="200">
        <f t="shared" si="0"/>
        <v>278</v>
      </c>
      <c r="AU14" s="200">
        <f t="shared" si="0"/>
        <v>279</v>
      </c>
      <c r="AV14" s="200">
        <f t="shared" si="0"/>
        <v>280</v>
      </c>
      <c r="AW14" s="200">
        <f t="shared" si="0"/>
        <v>281</v>
      </c>
      <c r="AX14" s="200">
        <f t="shared" si="0"/>
        <v>282</v>
      </c>
      <c r="AY14" s="200">
        <f t="shared" si="0"/>
        <v>283</v>
      </c>
      <c r="AZ14" s="200">
        <f t="shared" si="0"/>
        <v>284</v>
      </c>
      <c r="BA14" s="548">
        <f t="shared" si="0"/>
        <v>285</v>
      </c>
      <c r="BB14" s="200">
        <f t="shared" ref="BB14" si="1">BA14+1</f>
        <v>286</v>
      </c>
      <c r="BC14" s="200">
        <f t="shared" ref="BC14" si="2">BB14+1</f>
        <v>287</v>
      </c>
      <c r="BD14" s="200">
        <f t="shared" ref="BD14" si="3">BC14+1</f>
        <v>288</v>
      </c>
      <c r="BE14" s="200">
        <f t="shared" ref="BE14" si="4">BD14+1</f>
        <v>289</v>
      </c>
      <c r="BF14" s="200">
        <f t="shared" ref="BF14" si="5">BE14+1</f>
        <v>290</v>
      </c>
      <c r="BG14" s="200">
        <f t="shared" ref="BG14" si="6">BF14+1</f>
        <v>291</v>
      </c>
      <c r="BH14" s="200">
        <f t="shared" ref="BH14" si="7">BG14+1</f>
        <v>292</v>
      </c>
      <c r="BI14" s="200">
        <f t="shared" ref="BI14" si="8">BH14+1</f>
        <v>293</v>
      </c>
      <c r="BJ14" s="200">
        <f t="shared" ref="BJ14" si="9">BI14+1</f>
        <v>294</v>
      </c>
      <c r="BK14" s="200">
        <f t="shared" ref="BK14" si="10">BJ14+1</f>
        <v>295</v>
      </c>
      <c r="BL14" s="200">
        <f t="shared" ref="BL14" si="11">BK14+1</f>
        <v>296</v>
      </c>
      <c r="BM14" s="548">
        <f t="shared" ref="BM14" si="12">BL14+1</f>
        <v>297</v>
      </c>
    </row>
    <row r="15" spans="1:65" s="2" customFormat="1" x14ac:dyDescent="0.2">
      <c r="A15" s="734"/>
      <c r="B15" s="21" t="s">
        <v>138</v>
      </c>
      <c r="D15" s="138"/>
      <c r="E15" s="138"/>
      <c r="F15" s="199"/>
      <c r="G15" s="199"/>
      <c r="H15" s="199"/>
      <c r="I15" s="199"/>
      <c r="J15" s="199"/>
      <c r="K15" s="199"/>
      <c r="L15" s="199"/>
      <c r="M15" s="199"/>
      <c r="N15" s="198"/>
      <c r="O15" s="198"/>
      <c r="P15" s="198"/>
      <c r="Q15" s="197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7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7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7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7"/>
    </row>
    <row r="16" spans="1:65" s="2" customFormat="1" x14ac:dyDescent="0.2">
      <c r="A16" s="734"/>
      <c r="B16" s="118"/>
      <c r="D16" s="138"/>
      <c r="E16" s="138"/>
      <c r="F16" s="199"/>
      <c r="G16" s="199"/>
      <c r="H16" s="199"/>
      <c r="I16" s="199"/>
      <c r="J16" s="199"/>
      <c r="K16" s="199"/>
      <c r="L16" s="199"/>
      <c r="M16" s="199"/>
      <c r="N16" s="198"/>
      <c r="O16" s="198"/>
      <c r="P16" s="198"/>
      <c r="Q16" s="197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7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7"/>
      <c r="AP16" s="198"/>
      <c r="AQ16" s="198"/>
      <c r="AR16" s="198"/>
      <c r="AS16" s="198"/>
      <c r="AT16" s="198"/>
      <c r="AU16" s="198"/>
      <c r="AV16" s="198"/>
      <c r="AW16" s="198"/>
      <c r="AX16" s="198"/>
      <c r="AY16" s="198"/>
      <c r="AZ16" s="198"/>
      <c r="BA16" s="197"/>
      <c r="BB16" s="198"/>
      <c r="BC16" s="198"/>
      <c r="BD16" s="198"/>
      <c r="BE16" s="198"/>
      <c r="BF16" s="198"/>
      <c r="BG16" s="198"/>
      <c r="BH16" s="198"/>
      <c r="BI16" s="198"/>
      <c r="BJ16" s="198"/>
      <c r="BK16" s="198"/>
      <c r="BL16" s="198"/>
      <c r="BM16" s="197"/>
    </row>
    <row r="17" spans="1:65" x14ac:dyDescent="0.2">
      <c r="A17" s="734"/>
      <c r="B17" s="118" t="s">
        <v>325</v>
      </c>
      <c r="F17" s="189"/>
      <c r="G17" s="189"/>
      <c r="H17" s="189"/>
      <c r="I17" s="189"/>
      <c r="J17" s="189"/>
      <c r="K17" s="189"/>
      <c r="L17" s="189"/>
      <c r="M17" s="169"/>
      <c r="N17" s="169"/>
      <c r="O17" s="169"/>
      <c r="P17" s="378">
        <f>'Marketing and Sales'!P8</f>
        <v>375747.67</v>
      </c>
      <c r="Q17" s="379">
        <f>'Marketing and Sales'!Q8</f>
        <v>359175</v>
      </c>
      <c r="R17" s="189">
        <f>'Marketing and Sales'!R8</f>
        <v>401284.28</v>
      </c>
      <c r="S17" s="189">
        <f>'Marketing and Sales'!S8</f>
        <v>395821.79518220195</v>
      </c>
      <c r="T17" s="189">
        <f>'Marketing and Sales'!T8</f>
        <v>393096.67333499168</v>
      </c>
      <c r="U17" s="189">
        <f>'Marketing and Sales'!U8</f>
        <v>436144.26</v>
      </c>
      <c r="V17" s="189">
        <f>'Marketing and Sales'!V8</f>
        <v>429750.16</v>
      </c>
      <c r="W17" s="189">
        <f>'Marketing and Sales'!W8</f>
        <v>407798.21</v>
      </c>
      <c r="X17" s="189">
        <f>'Marketing and Sales'!X8</f>
        <v>462265.2</v>
      </c>
      <c r="Y17" s="189">
        <f>'Marketing and Sales'!Y8</f>
        <v>385375.48</v>
      </c>
      <c r="Z17" s="189">
        <f>'Marketing and Sales'!Z8</f>
        <v>387962.24</v>
      </c>
      <c r="AA17" s="189">
        <f>'Marketing and Sales'!AA8</f>
        <v>503641.78</v>
      </c>
      <c r="AB17" s="189">
        <f>'Marketing and Sales'!AB8</f>
        <v>450193.95</v>
      </c>
      <c r="AC17" s="188">
        <f>'Marketing and Sales'!AC8</f>
        <v>460150.73</v>
      </c>
      <c r="AD17" s="189">
        <f>'Marketing and Sales'!AD8</f>
        <v>426918.17</v>
      </c>
      <c r="AE17" s="189">
        <f>'Marketing and Sales'!AE8</f>
        <v>434143.8451313313</v>
      </c>
      <c r="AF17" s="189">
        <f>'Marketing and Sales'!AF8</f>
        <v>448390.13150030689</v>
      </c>
      <c r="AG17" s="189">
        <f>'Marketing and Sales'!AG8</f>
        <v>504042.40265668137</v>
      </c>
      <c r="AH17" s="189">
        <f>'Marketing and Sales'!AH8</f>
        <v>568991.42744120746</v>
      </c>
      <c r="AI17" s="189">
        <f>'Marketing and Sales'!AI8</f>
        <v>641535.19037095027</v>
      </c>
      <c r="AJ17" s="189">
        <f>'Marketing and Sales'!AJ8</f>
        <v>719126.7886686204</v>
      </c>
      <c r="AK17" s="189">
        <f>'Marketing and Sales'!AK8</f>
        <v>803880.81714163173</v>
      </c>
      <c r="AL17" s="189">
        <f>'Marketing and Sales'!AL8</f>
        <v>919714.97040266229</v>
      </c>
      <c r="AM17" s="189">
        <f>'Marketing and Sales'!AM8</f>
        <v>1042519.4318755844</v>
      </c>
      <c r="AN17" s="189">
        <f>'Marketing and Sales'!AN8</f>
        <v>1174376.4440385473</v>
      </c>
      <c r="AO17" s="188">
        <f>'Marketing and Sales'!AO8</f>
        <v>1294868.5890591156</v>
      </c>
      <c r="AP17" s="189">
        <f>'Marketing and Sales'!AP8</f>
        <v>1437586.9891877263</v>
      </c>
      <c r="AQ17" s="189">
        <f>'Marketing and Sales'!AQ8</f>
        <v>1586698.7486653565</v>
      </c>
      <c r="AR17" s="189">
        <f>'Marketing and Sales'!AR8</f>
        <v>1747082.7493016773</v>
      </c>
      <c r="AS17" s="189">
        <f>'Marketing and Sales'!AS8</f>
        <v>1825455.234888555</v>
      </c>
      <c r="AT17" s="189">
        <f>'Marketing and Sales'!AT8</f>
        <v>1976168.7222244802</v>
      </c>
      <c r="AU17" s="189">
        <f>'Marketing and Sales'!AU8</f>
        <v>2131703.2527815755</v>
      </c>
      <c r="AV17" s="189">
        <f>'Marketing and Sales'!AV8</f>
        <v>2294654.556202522</v>
      </c>
      <c r="AW17" s="189">
        <f>'Marketing and Sales'!AW8</f>
        <v>2462239.6169467764</v>
      </c>
      <c r="AX17" s="189">
        <f>'Marketing and Sales'!AX8</f>
        <v>2634390.8004765739</v>
      </c>
      <c r="AY17" s="189">
        <f>'Marketing and Sales'!AY8</f>
        <v>2811041.6656150571</v>
      </c>
      <c r="AZ17" s="189">
        <f>'Marketing and Sales'!AZ8</f>
        <v>2992126.9419008335</v>
      </c>
      <c r="BA17" s="188">
        <f>'Marketing and Sales'!BA8</f>
        <v>3177582.507383869</v>
      </c>
      <c r="BB17" s="189">
        <f>'Marketing and Sales'!BB8</f>
        <v>3209963.4097375209</v>
      </c>
      <c r="BC17" s="189">
        <f>'Marketing and Sales'!BC8</f>
        <v>3695823.9454446179</v>
      </c>
      <c r="BD17" s="189">
        <f>'Marketing and Sales'!BD8</f>
        <v>3912317.1964999274</v>
      </c>
      <c r="BE17" s="189">
        <f>'Marketing and Sales'!BE8</f>
        <v>4133464.9333819151</v>
      </c>
      <c r="BF17" s="189">
        <f>'Marketing and Sales'!BF8</f>
        <v>4359182.0404619789</v>
      </c>
      <c r="BG17" s="189">
        <f>'Marketing and Sales'!BG8</f>
        <v>4589385.7937680474</v>
      </c>
      <c r="BH17" s="189">
        <f>'Marketing and Sales'!BH8</f>
        <v>4826662.4365841849</v>
      </c>
      <c r="BI17" s="189">
        <f>'Marketing and Sales'!BI8</f>
        <v>5068220.4258707752</v>
      </c>
      <c r="BJ17" s="189">
        <f>'Marketing and Sales'!BJ8</f>
        <v>5313984.4992985725</v>
      </c>
      <c r="BK17" s="189">
        <f>'Marketing and Sales'!BK8</f>
        <v>5563881.4317423105</v>
      </c>
      <c r="BL17" s="189">
        <f>'Marketing and Sales'!BL8</f>
        <v>5817839.9598813746</v>
      </c>
      <c r="BM17" s="188">
        <f>'Marketing and Sales'!BM8</f>
        <v>6075790.7101850826</v>
      </c>
    </row>
    <row r="18" spans="1:65" ht="18" customHeight="1" x14ac:dyDescent="0.2">
      <c r="A18" s="734"/>
      <c r="B18" s="121" t="s">
        <v>133</v>
      </c>
      <c r="C18" s="284" t="s">
        <v>231</v>
      </c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>
        <f t="shared" ref="P18" si="13">-P17*(1-0.26)</f>
        <v>-278053.2758</v>
      </c>
      <c r="Q18" s="188">
        <f t="shared" ref="Q18" si="14">-Q17*(1-0.26)</f>
        <v>-265789.5</v>
      </c>
      <c r="R18" s="189">
        <f t="shared" ref="R18:AC18" si="15">-R17*(1-0.26)</f>
        <v>-296950.36720000004</v>
      </c>
      <c r="S18" s="189">
        <f t="shared" si="15"/>
        <v>-292908.12843482941</v>
      </c>
      <c r="T18" s="189">
        <f t="shared" si="15"/>
        <v>-290891.53826789383</v>
      </c>
      <c r="U18" s="189">
        <f t="shared" si="15"/>
        <v>-322746.7524</v>
      </c>
      <c r="V18" s="189">
        <f t="shared" si="15"/>
        <v>-318015.11839999998</v>
      </c>
      <c r="W18" s="189">
        <f t="shared" si="15"/>
        <v>-301770.67540000001</v>
      </c>
      <c r="X18" s="189">
        <f t="shared" si="15"/>
        <v>-342076.24800000002</v>
      </c>
      <c r="Y18" s="189">
        <f t="shared" si="15"/>
        <v>-285177.85519999999</v>
      </c>
      <c r="Z18" s="189">
        <f t="shared" si="15"/>
        <v>-287092.0576</v>
      </c>
      <c r="AA18" s="189">
        <f t="shared" si="15"/>
        <v>-372694.91720000003</v>
      </c>
      <c r="AB18" s="189">
        <f t="shared" si="15"/>
        <v>-333143.52299999999</v>
      </c>
      <c r="AC18" s="188">
        <f t="shared" si="15"/>
        <v>-340511.54019999999</v>
      </c>
      <c r="AD18" s="189">
        <f t="shared" ref="AD18:AO18" si="16">-AD17*(1-0.27)</f>
        <v>-311650.26409999997</v>
      </c>
      <c r="AE18" s="189">
        <f t="shared" si="16"/>
        <v>-316925.00694587186</v>
      </c>
      <c r="AF18" s="189">
        <f t="shared" si="16"/>
        <v>-327324.79599522403</v>
      </c>
      <c r="AG18" s="189">
        <f t="shared" si="16"/>
        <v>-367950.95393937739</v>
      </c>
      <c r="AH18" s="189">
        <f t="shared" si="16"/>
        <v>-415363.74203208141</v>
      </c>
      <c r="AI18" s="189">
        <f t="shared" si="16"/>
        <v>-468320.68897079368</v>
      </c>
      <c r="AJ18" s="189">
        <f t="shared" si="16"/>
        <v>-524962.55572809291</v>
      </c>
      <c r="AK18" s="189">
        <f t="shared" si="16"/>
        <v>-586832.99651339115</v>
      </c>
      <c r="AL18" s="189">
        <f t="shared" si="16"/>
        <v>-671391.92839394347</v>
      </c>
      <c r="AM18" s="189">
        <f t="shared" si="16"/>
        <v>-761039.18526917661</v>
      </c>
      <c r="AN18" s="189">
        <f t="shared" si="16"/>
        <v>-857294.80414813955</v>
      </c>
      <c r="AO18" s="188">
        <f t="shared" si="16"/>
        <v>-945254.07001315441</v>
      </c>
      <c r="AP18" s="189">
        <f>-AP17*(1-0.28)</f>
        <v>-1035062.6322151629</v>
      </c>
      <c r="AQ18" s="189">
        <f t="shared" ref="AQ18:BA18" si="17">-AQ17*(1-0.28)</f>
        <v>-1142423.0990390566</v>
      </c>
      <c r="AR18" s="189">
        <f t="shared" si="17"/>
        <v>-1257899.5794972077</v>
      </c>
      <c r="AS18" s="189">
        <f t="shared" si="17"/>
        <v>-1314327.7691197596</v>
      </c>
      <c r="AT18" s="189">
        <f t="shared" si="17"/>
        <v>-1422841.4800016256</v>
      </c>
      <c r="AU18" s="189">
        <f t="shared" si="17"/>
        <v>-1534826.3420027343</v>
      </c>
      <c r="AV18" s="189">
        <f t="shared" si="17"/>
        <v>-1652151.2804658157</v>
      </c>
      <c r="AW18" s="189">
        <f t="shared" si="17"/>
        <v>-1772812.524201679</v>
      </c>
      <c r="AX18" s="189">
        <f t="shared" si="17"/>
        <v>-1896761.3763431332</v>
      </c>
      <c r="AY18" s="189">
        <f t="shared" si="17"/>
        <v>-2023949.999242841</v>
      </c>
      <c r="AZ18" s="189">
        <f t="shared" si="17"/>
        <v>-2154331.3981686002</v>
      </c>
      <c r="BA18" s="188">
        <f t="shared" si="17"/>
        <v>-2287859.4053163854</v>
      </c>
      <c r="BB18" s="189">
        <f>-BB17*(1-0.28)</f>
        <v>-2311173.655011015</v>
      </c>
      <c r="BC18" s="189">
        <f t="shared" ref="BC18:BM18" si="18">-BC17*(1-0.28)</f>
        <v>-2660993.2407201249</v>
      </c>
      <c r="BD18" s="189">
        <f t="shared" si="18"/>
        <v>-2816868.3814799478</v>
      </c>
      <c r="BE18" s="189">
        <f t="shared" si="18"/>
        <v>-2976094.7520349789</v>
      </c>
      <c r="BF18" s="189">
        <f t="shared" si="18"/>
        <v>-3138611.0691326247</v>
      </c>
      <c r="BG18" s="189">
        <f t="shared" si="18"/>
        <v>-3304357.7715129941</v>
      </c>
      <c r="BH18" s="189">
        <f t="shared" si="18"/>
        <v>-3475196.954340613</v>
      </c>
      <c r="BI18" s="189">
        <f t="shared" si="18"/>
        <v>-3649118.7066269582</v>
      </c>
      <c r="BJ18" s="189">
        <f t="shared" si="18"/>
        <v>-3826068.839494972</v>
      </c>
      <c r="BK18" s="189">
        <f t="shared" si="18"/>
        <v>-4005994.6308544632</v>
      </c>
      <c r="BL18" s="189">
        <f t="shared" si="18"/>
        <v>-4188844.7711145896</v>
      </c>
      <c r="BM18" s="188">
        <f t="shared" si="18"/>
        <v>-4374569.3113332596</v>
      </c>
    </row>
    <row r="19" spans="1:65" ht="18" customHeight="1" x14ac:dyDescent="0.2">
      <c r="A19" s="734"/>
      <c r="B19" s="121"/>
      <c r="C19" s="284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8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8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8"/>
      <c r="AP19" s="189"/>
      <c r="AQ19" s="189"/>
      <c r="AR19" s="189"/>
      <c r="AS19" s="189"/>
      <c r="AT19" s="189"/>
      <c r="AU19" s="189"/>
      <c r="AV19" s="189"/>
      <c r="AW19" s="189"/>
      <c r="AX19" s="189"/>
      <c r="AY19" s="189"/>
      <c r="AZ19" s="189"/>
      <c r="BA19" s="188"/>
      <c r="BB19" s="189"/>
      <c r="BC19" s="189"/>
      <c r="BD19" s="189"/>
      <c r="BE19" s="189"/>
      <c r="BF19" s="189"/>
      <c r="BG19" s="189"/>
      <c r="BH19" s="189"/>
      <c r="BI19" s="189"/>
      <c r="BJ19" s="189"/>
      <c r="BK19" s="189"/>
      <c r="BL19" s="189"/>
      <c r="BM19" s="188"/>
    </row>
    <row r="20" spans="1:65" ht="18" customHeight="1" x14ac:dyDescent="0.2">
      <c r="A20" s="734"/>
      <c r="B20" s="118" t="s">
        <v>306</v>
      </c>
      <c r="C20" s="441">
        <v>0.02</v>
      </c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378">
        <v>25611.24</v>
      </c>
      <c r="Q20" s="379">
        <v>22264.71</v>
      </c>
      <c r="R20" s="189">
        <f>+R17*$C$20</f>
        <v>8025.6856000000007</v>
      </c>
      <c r="S20" s="189">
        <f t="shared" ref="S20:BA20" si="19">+S17*$C$20</f>
        <v>7916.4359036440392</v>
      </c>
      <c r="T20" s="189">
        <f t="shared" si="19"/>
        <v>7861.9334666998338</v>
      </c>
      <c r="U20" s="189">
        <f t="shared" si="19"/>
        <v>8722.8852000000006</v>
      </c>
      <c r="V20" s="189">
        <f t="shared" si="19"/>
        <v>8595.0031999999992</v>
      </c>
      <c r="W20" s="189">
        <f t="shared" si="19"/>
        <v>8155.9642000000003</v>
      </c>
      <c r="X20" s="189">
        <f t="shared" si="19"/>
        <v>9245.3040000000001</v>
      </c>
      <c r="Y20" s="189">
        <f t="shared" si="19"/>
        <v>7707.5095999999994</v>
      </c>
      <c r="Z20" s="189">
        <f t="shared" si="19"/>
        <v>7759.2448000000004</v>
      </c>
      <c r="AA20" s="189">
        <f t="shared" si="19"/>
        <v>10072.8356</v>
      </c>
      <c r="AB20" s="189">
        <f t="shared" si="19"/>
        <v>9003.8790000000008</v>
      </c>
      <c r="AC20" s="188">
        <f t="shared" si="19"/>
        <v>9203.0146000000004</v>
      </c>
      <c r="AD20" s="189">
        <f t="shared" si="19"/>
        <v>8538.3634000000002</v>
      </c>
      <c r="AE20" s="189">
        <f t="shared" si="19"/>
        <v>8682.8769026266255</v>
      </c>
      <c r="AF20" s="189">
        <f t="shared" si="19"/>
        <v>8967.8026300061374</v>
      </c>
      <c r="AG20" s="189">
        <f t="shared" si="19"/>
        <v>10080.848053133628</v>
      </c>
      <c r="AH20" s="189">
        <f t="shared" si="19"/>
        <v>11379.828548824149</v>
      </c>
      <c r="AI20" s="189">
        <f t="shared" si="19"/>
        <v>12830.703807419006</v>
      </c>
      <c r="AJ20" s="189">
        <f t="shared" si="19"/>
        <v>14382.535773372409</v>
      </c>
      <c r="AK20" s="189">
        <f t="shared" si="19"/>
        <v>16077.616342832634</v>
      </c>
      <c r="AL20" s="189">
        <f t="shared" si="19"/>
        <v>18394.299408053248</v>
      </c>
      <c r="AM20" s="189">
        <f t="shared" si="19"/>
        <v>20850.388637511689</v>
      </c>
      <c r="AN20" s="189">
        <f t="shared" si="19"/>
        <v>23487.528880770948</v>
      </c>
      <c r="AO20" s="188">
        <f t="shared" si="19"/>
        <v>25897.371781182312</v>
      </c>
      <c r="AP20" s="189">
        <f t="shared" si="19"/>
        <v>28751.739783754525</v>
      </c>
      <c r="AQ20" s="189">
        <f t="shared" si="19"/>
        <v>31733.974973307133</v>
      </c>
      <c r="AR20" s="189">
        <f t="shared" si="19"/>
        <v>34941.654986033551</v>
      </c>
      <c r="AS20" s="189">
        <f t="shared" si="19"/>
        <v>36509.104697771101</v>
      </c>
      <c r="AT20" s="189">
        <f t="shared" si="19"/>
        <v>39523.374444489607</v>
      </c>
      <c r="AU20" s="189">
        <f t="shared" si="19"/>
        <v>42634.065055631509</v>
      </c>
      <c r="AV20" s="189">
        <f t="shared" si="19"/>
        <v>45893.091124050443</v>
      </c>
      <c r="AW20" s="189">
        <f t="shared" si="19"/>
        <v>49244.792338935527</v>
      </c>
      <c r="AX20" s="189">
        <f t="shared" si="19"/>
        <v>52687.816009531482</v>
      </c>
      <c r="AY20" s="189">
        <f t="shared" si="19"/>
        <v>56220.83331230114</v>
      </c>
      <c r="AZ20" s="189">
        <f t="shared" si="19"/>
        <v>59842.53883801667</v>
      </c>
      <c r="BA20" s="188">
        <f t="shared" si="19"/>
        <v>63551.650147677385</v>
      </c>
      <c r="BB20" s="189">
        <f t="shared" ref="BB20:BM20" si="20">+BB17*$C$20</f>
        <v>64199.268194750417</v>
      </c>
      <c r="BC20" s="189">
        <f t="shared" si="20"/>
        <v>73916.478908892357</v>
      </c>
      <c r="BD20" s="189">
        <f t="shared" si="20"/>
        <v>78246.343929998548</v>
      </c>
      <c r="BE20" s="189">
        <f t="shared" si="20"/>
        <v>82669.298667638301</v>
      </c>
      <c r="BF20" s="189">
        <f t="shared" si="20"/>
        <v>87183.640809239572</v>
      </c>
      <c r="BG20" s="189">
        <f t="shared" si="20"/>
        <v>91787.715875360955</v>
      </c>
      <c r="BH20" s="189">
        <f t="shared" si="20"/>
        <v>96533.248731683692</v>
      </c>
      <c r="BI20" s="189">
        <f t="shared" si="20"/>
        <v>101364.4085174155</v>
      </c>
      <c r="BJ20" s="189">
        <f t="shared" si="20"/>
        <v>106279.68998597145</v>
      </c>
      <c r="BK20" s="189">
        <f t="shared" si="20"/>
        <v>111277.62863484622</v>
      </c>
      <c r="BL20" s="189">
        <f t="shared" si="20"/>
        <v>116356.79919762749</v>
      </c>
      <c r="BM20" s="188">
        <f t="shared" si="20"/>
        <v>121515.81420370165</v>
      </c>
    </row>
    <row r="21" spans="1:65" ht="18" customHeight="1" x14ac:dyDescent="0.2">
      <c r="A21" s="734"/>
      <c r="B21" s="118"/>
      <c r="C21" s="284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8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8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8"/>
      <c r="AP21" s="189"/>
      <c r="AQ21" s="189"/>
      <c r="AR21" s="189"/>
      <c r="AS21" s="189"/>
      <c r="AT21" s="189"/>
      <c r="AU21" s="189"/>
      <c r="AV21" s="189"/>
      <c r="AW21" s="189"/>
      <c r="AX21" s="189"/>
      <c r="AY21" s="189"/>
      <c r="AZ21" s="189"/>
      <c r="BA21" s="188"/>
      <c r="BB21" s="189"/>
      <c r="BC21" s="189"/>
      <c r="BD21" s="189"/>
      <c r="BE21" s="189"/>
      <c r="BF21" s="189"/>
      <c r="BG21" s="189"/>
      <c r="BH21" s="189"/>
      <c r="BI21" s="189"/>
      <c r="BJ21" s="189"/>
      <c r="BK21" s="189"/>
      <c r="BL21" s="189"/>
      <c r="BM21" s="188"/>
    </row>
    <row r="22" spans="1:65" ht="18" customHeight="1" x14ac:dyDescent="0.2">
      <c r="A22" s="734"/>
      <c r="B22" s="118" t="s">
        <v>212</v>
      </c>
      <c r="C22" s="369">
        <v>-3.5000000000000003E-2</v>
      </c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8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8"/>
      <c r="AD22" s="189">
        <f t="shared" ref="AD22:BA22" si="21">-$C$22*AD17</f>
        <v>14942.135950000002</v>
      </c>
      <c r="AE22" s="189">
        <f t="shared" si="21"/>
        <v>15195.034579596597</v>
      </c>
      <c r="AF22" s="189">
        <f t="shared" si="21"/>
        <v>15693.654602510742</v>
      </c>
      <c r="AG22" s="189">
        <f t="shared" si="21"/>
        <v>17641.48409298385</v>
      </c>
      <c r="AH22" s="189">
        <f t="shared" si="21"/>
        <v>19914.699960442264</v>
      </c>
      <c r="AI22" s="189">
        <f t="shared" si="21"/>
        <v>22453.73166298326</v>
      </c>
      <c r="AJ22" s="189">
        <f t="shared" si="21"/>
        <v>25169.437603401715</v>
      </c>
      <c r="AK22" s="189">
        <f t="shared" si="21"/>
        <v>28135.828599957113</v>
      </c>
      <c r="AL22" s="189">
        <f t="shared" si="21"/>
        <v>32190.023964093183</v>
      </c>
      <c r="AM22" s="189">
        <f t="shared" si="21"/>
        <v>36488.18011564546</v>
      </c>
      <c r="AN22" s="189">
        <f t="shared" si="21"/>
        <v>41103.175541349163</v>
      </c>
      <c r="AO22" s="188">
        <f t="shared" si="21"/>
        <v>45320.400617069048</v>
      </c>
      <c r="AP22" s="189">
        <f t="shared" si="21"/>
        <v>50315.544621570421</v>
      </c>
      <c r="AQ22" s="189">
        <f t="shared" si="21"/>
        <v>55534.456203287482</v>
      </c>
      <c r="AR22" s="189">
        <f t="shared" si="21"/>
        <v>61147.89622555871</v>
      </c>
      <c r="AS22" s="189">
        <f t="shared" si="21"/>
        <v>63890.933221099433</v>
      </c>
      <c r="AT22" s="189">
        <f t="shared" si="21"/>
        <v>69165.905277856815</v>
      </c>
      <c r="AU22" s="189">
        <f t="shared" si="21"/>
        <v>74609.613847355155</v>
      </c>
      <c r="AV22" s="189">
        <f t="shared" si="21"/>
        <v>80312.909467088277</v>
      </c>
      <c r="AW22" s="189">
        <f t="shared" si="21"/>
        <v>86178.386593137184</v>
      </c>
      <c r="AX22" s="189">
        <f t="shared" si="21"/>
        <v>92203.678016680089</v>
      </c>
      <c r="AY22" s="189">
        <f t="shared" si="21"/>
        <v>98386.458296527009</v>
      </c>
      <c r="AZ22" s="189">
        <f t="shared" si="21"/>
        <v>104724.44296652918</v>
      </c>
      <c r="BA22" s="188">
        <f t="shared" si="21"/>
        <v>111215.38775843542</v>
      </c>
      <c r="BB22" s="189">
        <f t="shared" ref="BB22:BM22" si="22">-$C$22*BB17</f>
        <v>112348.71934081324</v>
      </c>
      <c r="BC22" s="189">
        <f t="shared" si="22"/>
        <v>129353.83809056164</v>
      </c>
      <c r="BD22" s="189">
        <f t="shared" si="22"/>
        <v>136931.10187749748</v>
      </c>
      <c r="BE22" s="189">
        <f t="shared" si="22"/>
        <v>144671.27266836705</v>
      </c>
      <c r="BF22" s="189">
        <f t="shared" si="22"/>
        <v>152571.37141616928</v>
      </c>
      <c r="BG22" s="189">
        <f t="shared" si="22"/>
        <v>160628.50278188166</v>
      </c>
      <c r="BH22" s="189">
        <f t="shared" si="22"/>
        <v>168933.18528044649</v>
      </c>
      <c r="BI22" s="189">
        <f t="shared" si="22"/>
        <v>177387.71490547716</v>
      </c>
      <c r="BJ22" s="189">
        <f t="shared" si="22"/>
        <v>185989.45747545006</v>
      </c>
      <c r="BK22" s="189">
        <f t="shared" si="22"/>
        <v>194735.85011098089</v>
      </c>
      <c r="BL22" s="189">
        <f t="shared" si="22"/>
        <v>203624.39859584812</v>
      </c>
      <c r="BM22" s="188">
        <f t="shared" si="22"/>
        <v>212652.67485647791</v>
      </c>
    </row>
    <row r="23" spans="1:65" ht="18" customHeight="1" x14ac:dyDescent="0.2">
      <c r="A23" s="734"/>
      <c r="B23" s="21" t="s">
        <v>213</v>
      </c>
      <c r="C23" s="305">
        <v>1250</v>
      </c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8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8"/>
      <c r="AD23" s="189">
        <f>-$C$23</f>
        <v>-1250</v>
      </c>
      <c r="AE23" s="189">
        <f t="shared" ref="AE23:BM23" si="23">-$C$23</f>
        <v>-1250</v>
      </c>
      <c r="AF23" s="189">
        <f t="shared" si="23"/>
        <v>-1250</v>
      </c>
      <c r="AG23" s="189">
        <f t="shared" si="23"/>
        <v>-1250</v>
      </c>
      <c r="AH23" s="189">
        <f t="shared" si="23"/>
        <v>-1250</v>
      </c>
      <c r="AI23" s="189">
        <f t="shared" si="23"/>
        <v>-1250</v>
      </c>
      <c r="AJ23" s="189">
        <f t="shared" si="23"/>
        <v>-1250</v>
      </c>
      <c r="AK23" s="189">
        <f t="shared" si="23"/>
        <v>-1250</v>
      </c>
      <c r="AL23" s="189">
        <f t="shared" si="23"/>
        <v>-1250</v>
      </c>
      <c r="AM23" s="189">
        <f t="shared" si="23"/>
        <v>-1250</v>
      </c>
      <c r="AN23" s="189">
        <f t="shared" si="23"/>
        <v>-1250</v>
      </c>
      <c r="AO23" s="188">
        <f t="shared" si="23"/>
        <v>-1250</v>
      </c>
      <c r="AP23" s="189">
        <f t="shared" si="23"/>
        <v>-1250</v>
      </c>
      <c r="AQ23" s="189">
        <f t="shared" si="23"/>
        <v>-1250</v>
      </c>
      <c r="AR23" s="189">
        <f t="shared" si="23"/>
        <v>-1250</v>
      </c>
      <c r="AS23" s="189">
        <f t="shared" si="23"/>
        <v>-1250</v>
      </c>
      <c r="AT23" s="189">
        <f t="shared" si="23"/>
        <v>-1250</v>
      </c>
      <c r="AU23" s="189">
        <f t="shared" si="23"/>
        <v>-1250</v>
      </c>
      <c r="AV23" s="189">
        <f t="shared" si="23"/>
        <v>-1250</v>
      </c>
      <c r="AW23" s="189">
        <f t="shared" si="23"/>
        <v>-1250</v>
      </c>
      <c r="AX23" s="189">
        <f t="shared" si="23"/>
        <v>-1250</v>
      </c>
      <c r="AY23" s="189">
        <f t="shared" si="23"/>
        <v>-1250</v>
      </c>
      <c r="AZ23" s="189">
        <f t="shared" si="23"/>
        <v>-1250</v>
      </c>
      <c r="BA23" s="188">
        <f t="shared" si="23"/>
        <v>-1250</v>
      </c>
      <c r="BB23" s="189">
        <f t="shared" si="23"/>
        <v>-1250</v>
      </c>
      <c r="BC23" s="189">
        <f t="shared" si="23"/>
        <v>-1250</v>
      </c>
      <c r="BD23" s="189">
        <f t="shared" si="23"/>
        <v>-1250</v>
      </c>
      <c r="BE23" s="189">
        <f t="shared" si="23"/>
        <v>-1250</v>
      </c>
      <c r="BF23" s="189">
        <f t="shared" si="23"/>
        <v>-1250</v>
      </c>
      <c r="BG23" s="189">
        <f t="shared" si="23"/>
        <v>-1250</v>
      </c>
      <c r="BH23" s="189">
        <f t="shared" si="23"/>
        <v>-1250</v>
      </c>
      <c r="BI23" s="189">
        <f t="shared" si="23"/>
        <v>-1250</v>
      </c>
      <c r="BJ23" s="189">
        <f t="shared" si="23"/>
        <v>-1250</v>
      </c>
      <c r="BK23" s="189">
        <f t="shared" si="23"/>
        <v>-1250</v>
      </c>
      <c r="BL23" s="189">
        <f t="shared" si="23"/>
        <v>-1250</v>
      </c>
      <c r="BM23" s="188">
        <f t="shared" si="23"/>
        <v>-1250</v>
      </c>
    </row>
    <row r="24" spans="1:65" ht="18" customHeight="1" x14ac:dyDescent="0.2">
      <c r="A24" s="734"/>
      <c r="B24" s="118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8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8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8"/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189"/>
      <c r="BA24" s="188"/>
      <c r="BB24" s="189"/>
      <c r="BC24" s="189"/>
      <c r="BD24" s="189"/>
      <c r="BE24" s="189"/>
      <c r="BF24" s="189"/>
      <c r="BG24" s="189"/>
      <c r="BH24" s="189"/>
      <c r="BI24" s="189"/>
      <c r="BJ24" s="189"/>
      <c r="BK24" s="189"/>
      <c r="BL24" s="189"/>
      <c r="BM24" s="188"/>
    </row>
    <row r="25" spans="1:65" ht="18" customHeight="1" x14ac:dyDescent="0.2">
      <c r="A25" s="734"/>
      <c r="B25" s="118" t="s">
        <v>172</v>
      </c>
      <c r="C25" s="15">
        <v>40</v>
      </c>
      <c r="D25" s="22" t="s">
        <v>57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25"/>
      <c r="R25" s="12"/>
      <c r="S25" s="12"/>
      <c r="T25" s="12"/>
      <c r="U25" s="12"/>
      <c r="V25" s="12"/>
      <c r="W25" s="12"/>
      <c r="X25" s="12">
        <f t="shared" ref="X25:BA25" si="24">X12*$C25*$C26</f>
        <v>5335.2420428683645</v>
      </c>
      <c r="Y25" s="12">
        <f t="shared" si="24"/>
        <v>5416.2286625341676</v>
      </c>
      <c r="Z25" s="12">
        <f t="shared" si="24"/>
        <v>5496.1941266429767</v>
      </c>
      <c r="AA25" s="12">
        <f t="shared" si="24"/>
        <v>5574.7293745369452</v>
      </c>
      <c r="AB25" s="12">
        <f t="shared" si="24"/>
        <v>5677.281072673577</v>
      </c>
      <c r="AC25" s="25">
        <f t="shared" si="24"/>
        <v>5778.4208992897948</v>
      </c>
      <c r="AD25" s="12">
        <f t="shared" si="24"/>
        <v>5879.3331684002051</v>
      </c>
      <c r="AE25" s="12">
        <f t="shared" si="24"/>
        <v>6026.4362143893568</v>
      </c>
      <c r="AF25" s="12">
        <f t="shared" si="24"/>
        <v>6250.709705057925</v>
      </c>
      <c r="AG25" s="12">
        <f t="shared" si="24"/>
        <v>6989.6833865510225</v>
      </c>
      <c r="AH25" s="12">
        <f t="shared" si="24"/>
        <v>7923.6496075111345</v>
      </c>
      <c r="AI25" s="12">
        <f t="shared" si="24"/>
        <v>8983.8045298155048</v>
      </c>
      <c r="AJ25" s="12">
        <f t="shared" si="24"/>
        <v>10137.908023868662</v>
      </c>
      <c r="AK25" s="12">
        <f t="shared" si="24"/>
        <v>11408.225116562568</v>
      </c>
      <c r="AL25" s="12">
        <f t="shared" si="24"/>
        <v>13177.090922585308</v>
      </c>
      <c r="AM25" s="12">
        <f t="shared" si="24"/>
        <v>15058.751982005921</v>
      </c>
      <c r="AN25" s="12">
        <f t="shared" si="24"/>
        <v>17076.077462914669</v>
      </c>
      <c r="AO25" s="25">
        <f t="shared" si="24"/>
        <v>18983.627815095351</v>
      </c>
      <c r="AP25" s="12">
        <f t="shared" si="24"/>
        <v>21094.102895746084</v>
      </c>
      <c r="AQ25" s="12">
        <f t="shared" si="24"/>
        <v>23305.321749297782</v>
      </c>
      <c r="AR25" s="12">
        <f t="shared" si="24"/>
        <v>25643.951505419802</v>
      </c>
      <c r="AS25" s="12">
        <f t="shared" si="24"/>
        <v>28079.723042754413</v>
      </c>
      <c r="AT25" s="12">
        <f t="shared" si="24"/>
        <v>30611.133209704687</v>
      </c>
      <c r="AU25" s="12">
        <f t="shared" si="24"/>
        <v>33236.706081570461</v>
      </c>
      <c r="AV25" s="12">
        <f t="shared" si="24"/>
        <v>35986.992440833281</v>
      </c>
      <c r="AW25" s="12">
        <f t="shared" si="24"/>
        <v>38828.009267535032</v>
      </c>
      <c r="AX25" s="12">
        <f t="shared" si="24"/>
        <v>41758.36903955265</v>
      </c>
      <c r="AY25" s="12">
        <f t="shared" si="24"/>
        <v>44776.709271075175</v>
      </c>
      <c r="AZ25" s="12">
        <f t="shared" si="24"/>
        <v>47881.692035094828</v>
      </c>
      <c r="BA25" s="25">
        <f t="shared" si="24"/>
        <v>51072.003495172066</v>
      </c>
      <c r="BB25" s="12">
        <f t="shared" ref="BB25:BM25" si="25">BB12*$C25*$C26</f>
        <v>54286.118152175521</v>
      </c>
      <c r="BC25" s="12">
        <f t="shared" si="25"/>
        <v>57584.058394054446</v>
      </c>
      <c r="BD25" s="12">
        <f t="shared" si="25"/>
        <v>60992.79678376294</v>
      </c>
      <c r="BE25" s="12">
        <f t="shared" si="25"/>
        <v>64482.363807988811</v>
      </c>
      <c r="BF25" s="12">
        <f t="shared" si="25"/>
        <v>68051.550211693582</v>
      </c>
      <c r="BG25" s="12">
        <f t="shared" si="25"/>
        <v>71699.168366135447</v>
      </c>
      <c r="BH25" s="12">
        <f t="shared" si="25"/>
        <v>75456.051857861094</v>
      </c>
      <c r="BI25" s="12">
        <f t="shared" si="25"/>
        <v>79288.495085664472</v>
      </c>
      <c r="BJ25" s="12">
        <f t="shared" si="25"/>
        <v>83195.382665357683</v>
      </c>
      <c r="BK25" s="12">
        <f t="shared" si="25"/>
        <v>87175.619070700326</v>
      </c>
      <c r="BL25" s="12">
        <f t="shared" si="25"/>
        <v>91228.128256339871</v>
      </c>
      <c r="BM25" s="25">
        <f t="shared" si="25"/>
        <v>95351.85328806199</v>
      </c>
    </row>
    <row r="26" spans="1:65" ht="18" customHeight="1" x14ac:dyDescent="0.2">
      <c r="A26" s="734"/>
      <c r="B26" s="21"/>
      <c r="C26" s="147">
        <v>0.03</v>
      </c>
      <c r="D26" s="22" t="s">
        <v>92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25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25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25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25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25"/>
    </row>
    <row r="27" spans="1:65" x14ac:dyDescent="0.2">
      <c r="A27" s="734"/>
      <c r="B27" s="21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2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2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2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2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26"/>
    </row>
    <row r="28" spans="1:65" x14ac:dyDescent="0.2">
      <c r="A28" s="734"/>
      <c r="B28" s="148" t="s">
        <v>232</v>
      </c>
      <c r="C28" s="7"/>
      <c r="D28" s="149"/>
      <c r="E28" s="149"/>
      <c r="F28" s="172">
        <f t="shared" ref="F28:K28" si="26">SUM(F8:F18)</f>
        <v>0</v>
      </c>
      <c r="G28" s="172">
        <f t="shared" si="26"/>
        <v>0</v>
      </c>
      <c r="H28" s="172">
        <f t="shared" si="26"/>
        <v>0</v>
      </c>
      <c r="I28" s="172">
        <f t="shared" si="26"/>
        <v>0</v>
      </c>
      <c r="J28" s="172">
        <f t="shared" si="26"/>
        <v>0</v>
      </c>
      <c r="K28" s="172">
        <f t="shared" si="26"/>
        <v>0</v>
      </c>
      <c r="L28" s="172" t="e">
        <f>#REF!</f>
        <v>#REF!</v>
      </c>
      <c r="M28" s="172"/>
      <c r="N28" s="172"/>
      <c r="O28" s="172"/>
      <c r="P28" s="172">
        <f t="shared" ref="P28:BA28" si="27">SUM(P17:P27)</f>
        <v>123305.63419999999</v>
      </c>
      <c r="Q28" s="28">
        <f t="shared" si="27"/>
        <v>115650.20999999999</v>
      </c>
      <c r="R28" s="172">
        <f t="shared" si="27"/>
        <v>112359.59839999999</v>
      </c>
      <c r="S28" s="172">
        <f t="shared" si="27"/>
        <v>110830.10265101658</v>
      </c>
      <c r="T28" s="172">
        <f t="shared" si="27"/>
        <v>110067.06853379768</v>
      </c>
      <c r="U28" s="172">
        <f t="shared" si="27"/>
        <v>122120.39280000002</v>
      </c>
      <c r="V28" s="172">
        <f t="shared" si="27"/>
        <v>120330.0448</v>
      </c>
      <c r="W28" s="172">
        <f t="shared" si="27"/>
        <v>114183.49880000002</v>
      </c>
      <c r="X28" s="172">
        <f t="shared" si="27"/>
        <v>134769.49804286836</v>
      </c>
      <c r="Y28" s="172">
        <f t="shared" si="27"/>
        <v>113321.36306253416</v>
      </c>
      <c r="Z28" s="172">
        <f t="shared" si="27"/>
        <v>114125.62132664297</v>
      </c>
      <c r="AA28" s="172">
        <f t="shared" si="27"/>
        <v>146594.42777453695</v>
      </c>
      <c r="AB28" s="172">
        <f t="shared" si="27"/>
        <v>131731.5870726736</v>
      </c>
      <c r="AC28" s="28">
        <f t="shared" si="27"/>
        <v>134620.62529928979</v>
      </c>
      <c r="AD28" s="172">
        <f t="shared" si="27"/>
        <v>143377.73841840023</v>
      </c>
      <c r="AE28" s="172">
        <f t="shared" si="27"/>
        <v>145873.18588207202</v>
      </c>
      <c r="AF28" s="172">
        <f t="shared" si="27"/>
        <v>150727.50244265766</v>
      </c>
      <c r="AG28" s="172">
        <f t="shared" si="27"/>
        <v>169553.46424997249</v>
      </c>
      <c r="AH28" s="172">
        <f t="shared" si="27"/>
        <v>191595.86352590358</v>
      </c>
      <c r="AI28" s="172">
        <f t="shared" si="27"/>
        <v>216232.74140037433</v>
      </c>
      <c r="AJ28" s="172">
        <f t="shared" si="27"/>
        <v>242604.11434117027</v>
      </c>
      <c r="AK28" s="172">
        <f t="shared" si="27"/>
        <v>271419.49068759289</v>
      </c>
      <c r="AL28" s="172">
        <f t="shared" si="27"/>
        <v>310834.45630345051</v>
      </c>
      <c r="AM28" s="172">
        <f t="shared" si="27"/>
        <v>352627.56734157086</v>
      </c>
      <c r="AN28" s="172">
        <f t="shared" si="27"/>
        <v>397498.42177544261</v>
      </c>
      <c r="AO28" s="28">
        <f t="shared" si="27"/>
        <v>438565.91925930791</v>
      </c>
      <c r="AP28" s="172">
        <f t="shared" si="27"/>
        <v>501435.74427363445</v>
      </c>
      <c r="AQ28" s="172">
        <f t="shared" si="27"/>
        <v>553599.40255219233</v>
      </c>
      <c r="AR28" s="172">
        <f t="shared" si="27"/>
        <v>609666.67252148176</v>
      </c>
      <c r="AS28" s="172">
        <f t="shared" si="27"/>
        <v>638357.22673042049</v>
      </c>
      <c r="AT28" s="172">
        <f t="shared" si="27"/>
        <v>691377.65515490575</v>
      </c>
      <c r="AU28" s="172">
        <f t="shared" si="27"/>
        <v>746107.2957633984</v>
      </c>
      <c r="AV28" s="172">
        <f t="shared" si="27"/>
        <v>803446.2687686783</v>
      </c>
      <c r="AW28" s="172">
        <f t="shared" si="27"/>
        <v>862428.28094470513</v>
      </c>
      <c r="AX28" s="172">
        <f t="shared" si="27"/>
        <v>923029.2871992049</v>
      </c>
      <c r="AY28" s="172">
        <f t="shared" si="27"/>
        <v>985225.66725211951</v>
      </c>
      <c r="AZ28" s="172">
        <f t="shared" si="27"/>
        <v>1048994.2175718739</v>
      </c>
      <c r="BA28" s="28">
        <f t="shared" si="27"/>
        <v>1114312.1434687686</v>
      </c>
      <c r="BB28" s="172">
        <f t="shared" ref="BB28:BM28" si="28">SUM(BB17:BB27)</f>
        <v>1128373.8604142452</v>
      </c>
      <c r="BC28" s="172">
        <f t="shared" si="28"/>
        <v>1294435.0801180012</v>
      </c>
      <c r="BD28" s="172">
        <f t="shared" si="28"/>
        <v>1370369.0576112387</v>
      </c>
      <c r="BE28" s="172">
        <f t="shared" si="28"/>
        <v>1447943.1164909303</v>
      </c>
      <c r="BF28" s="172">
        <f t="shared" si="28"/>
        <v>1527127.5337664566</v>
      </c>
      <c r="BG28" s="172">
        <f t="shared" si="28"/>
        <v>1607893.4092784314</v>
      </c>
      <c r="BH28" s="172">
        <f t="shared" si="28"/>
        <v>1691137.968113563</v>
      </c>
      <c r="BI28" s="172">
        <f t="shared" si="28"/>
        <v>1775892.3377523741</v>
      </c>
      <c r="BJ28" s="172">
        <f t="shared" si="28"/>
        <v>1862130.1899303799</v>
      </c>
      <c r="BK28" s="172">
        <f t="shared" si="28"/>
        <v>1949825.8987043749</v>
      </c>
      <c r="BL28" s="172">
        <f t="shared" si="28"/>
        <v>2038954.5148166004</v>
      </c>
      <c r="BM28" s="28">
        <f t="shared" si="28"/>
        <v>2129491.7412000648</v>
      </c>
    </row>
    <row r="29" spans="1:65" x14ac:dyDescent="0.2">
      <c r="A29" s="734"/>
      <c r="B29" s="196" t="s">
        <v>218</v>
      </c>
      <c r="C29" s="6"/>
      <c r="D29" s="87"/>
      <c r="E29" s="87"/>
      <c r="F29" s="173">
        <f>F28</f>
        <v>0</v>
      </c>
      <c r="G29" s="173">
        <f t="shared" ref="G29:L29" si="29">F29+G28</f>
        <v>0</v>
      </c>
      <c r="H29" s="173">
        <f t="shared" si="29"/>
        <v>0</v>
      </c>
      <c r="I29" s="173">
        <f t="shared" si="29"/>
        <v>0</v>
      </c>
      <c r="J29" s="173">
        <f t="shared" si="29"/>
        <v>0</v>
      </c>
      <c r="K29" s="173">
        <f t="shared" si="29"/>
        <v>0</v>
      </c>
      <c r="L29" s="173" t="e">
        <f t="shared" si="29"/>
        <v>#REF!</v>
      </c>
      <c r="M29" s="173"/>
      <c r="N29" s="173"/>
      <c r="O29" s="173"/>
      <c r="P29" s="173">
        <f t="shared" ref="P29" si="30">O29+P28</f>
        <v>123305.63419999999</v>
      </c>
      <c r="Q29" s="29">
        <f>P29+Q28</f>
        <v>238955.84419999999</v>
      </c>
      <c r="R29" s="173">
        <f t="shared" ref="R29:BA29" si="31">Q29+R28</f>
        <v>351315.44259999995</v>
      </c>
      <c r="S29" s="173">
        <f t="shared" si="31"/>
        <v>462145.54525101651</v>
      </c>
      <c r="T29" s="173">
        <f t="shared" si="31"/>
        <v>572212.61378481414</v>
      </c>
      <c r="U29" s="173">
        <f t="shared" si="31"/>
        <v>694333.00658481417</v>
      </c>
      <c r="V29" s="173">
        <f t="shared" si="31"/>
        <v>814663.0513848142</v>
      </c>
      <c r="W29" s="173">
        <f t="shared" si="31"/>
        <v>928846.55018481426</v>
      </c>
      <c r="X29" s="173">
        <f t="shared" si="31"/>
        <v>1063616.0482276827</v>
      </c>
      <c r="Y29" s="173">
        <f t="shared" si="31"/>
        <v>1176937.411290217</v>
      </c>
      <c r="Z29" s="173">
        <f t="shared" si="31"/>
        <v>1291063.03261686</v>
      </c>
      <c r="AA29" s="173">
        <f t="shared" si="31"/>
        <v>1437657.4603913969</v>
      </c>
      <c r="AB29" s="173">
        <f t="shared" si="31"/>
        <v>1569389.0474640704</v>
      </c>
      <c r="AC29" s="29">
        <f t="shared" si="31"/>
        <v>1704009.6727633602</v>
      </c>
      <c r="AD29" s="173">
        <f t="shared" si="31"/>
        <v>1847387.4111817605</v>
      </c>
      <c r="AE29" s="173">
        <f t="shared" si="31"/>
        <v>1993260.5970638325</v>
      </c>
      <c r="AF29" s="173">
        <f t="shared" si="31"/>
        <v>2143988.0995064899</v>
      </c>
      <c r="AG29" s="173">
        <f t="shared" si="31"/>
        <v>2313541.5637564622</v>
      </c>
      <c r="AH29" s="173">
        <f t="shared" si="31"/>
        <v>2505137.427282366</v>
      </c>
      <c r="AI29" s="173">
        <f t="shared" si="31"/>
        <v>2721370.1686827401</v>
      </c>
      <c r="AJ29" s="173">
        <f t="shared" si="31"/>
        <v>2963974.2830239101</v>
      </c>
      <c r="AK29" s="173">
        <f t="shared" si="31"/>
        <v>3235393.773711503</v>
      </c>
      <c r="AL29" s="173">
        <f t="shared" si="31"/>
        <v>3546228.2300149538</v>
      </c>
      <c r="AM29" s="173">
        <f t="shared" si="31"/>
        <v>3898855.7973565245</v>
      </c>
      <c r="AN29" s="173">
        <f t="shared" si="31"/>
        <v>4296354.2191319671</v>
      </c>
      <c r="AO29" s="29">
        <f t="shared" si="31"/>
        <v>4734920.138391275</v>
      </c>
      <c r="AP29" s="173">
        <f t="shared" si="31"/>
        <v>5236355.8826649096</v>
      </c>
      <c r="AQ29" s="173">
        <f t="shared" si="31"/>
        <v>5789955.2852171017</v>
      </c>
      <c r="AR29" s="173">
        <f t="shared" si="31"/>
        <v>6399621.9577385839</v>
      </c>
      <c r="AS29" s="173">
        <f t="shared" si="31"/>
        <v>7037979.1844690042</v>
      </c>
      <c r="AT29" s="173">
        <f t="shared" si="31"/>
        <v>7729356.8396239094</v>
      </c>
      <c r="AU29" s="173">
        <f t="shared" si="31"/>
        <v>8475464.135387307</v>
      </c>
      <c r="AV29" s="173">
        <f t="shared" si="31"/>
        <v>9278910.4041559845</v>
      </c>
      <c r="AW29" s="173">
        <f t="shared" si="31"/>
        <v>10141338.68510069</v>
      </c>
      <c r="AX29" s="173">
        <f t="shared" si="31"/>
        <v>11064367.972299894</v>
      </c>
      <c r="AY29" s="173">
        <f t="shared" si="31"/>
        <v>12049593.639552014</v>
      </c>
      <c r="AZ29" s="173">
        <f t="shared" si="31"/>
        <v>13098587.857123887</v>
      </c>
      <c r="BA29" s="29">
        <f t="shared" si="31"/>
        <v>14212900.000592656</v>
      </c>
      <c r="BB29" s="173">
        <f t="shared" ref="BB29" si="32">BA29+BB28</f>
        <v>15341273.861006901</v>
      </c>
      <c r="BC29" s="173">
        <f t="shared" ref="BC29" si="33">BB29+BC28</f>
        <v>16635708.941124901</v>
      </c>
      <c r="BD29" s="173">
        <f t="shared" ref="BD29" si="34">BC29+BD28</f>
        <v>18006077.998736139</v>
      </c>
      <c r="BE29" s="173">
        <f t="shared" ref="BE29" si="35">BD29+BE28</f>
        <v>19454021.11522707</v>
      </c>
      <c r="BF29" s="173">
        <f t="shared" ref="BF29" si="36">BE29+BF28</f>
        <v>20981148.648993526</v>
      </c>
      <c r="BG29" s="173">
        <f t="shared" ref="BG29" si="37">BF29+BG28</f>
        <v>22589042.058271956</v>
      </c>
      <c r="BH29" s="173">
        <f t="shared" ref="BH29" si="38">BG29+BH28</f>
        <v>24280180.02638552</v>
      </c>
      <c r="BI29" s="173">
        <f t="shared" ref="BI29" si="39">BH29+BI28</f>
        <v>26056072.364137895</v>
      </c>
      <c r="BJ29" s="173">
        <f t="shared" ref="BJ29" si="40">BI29+BJ28</f>
        <v>27918202.554068275</v>
      </c>
      <c r="BK29" s="173">
        <f t="shared" ref="BK29" si="41">BJ29+BK28</f>
        <v>29868028.452772651</v>
      </c>
      <c r="BL29" s="173">
        <f t="shared" ref="BL29" si="42">BK29+BL28</f>
        <v>31906982.967589252</v>
      </c>
      <c r="BM29" s="29">
        <f t="shared" ref="BM29" si="43">BL29+BM28</f>
        <v>34036474.708789319</v>
      </c>
    </row>
    <row r="30" spans="1:65" x14ac:dyDescent="0.2">
      <c r="A30" s="734"/>
      <c r="B30" s="30"/>
      <c r="C30" s="20"/>
      <c r="D30" s="31"/>
      <c r="E30" s="31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31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31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31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31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31"/>
    </row>
    <row r="31" spans="1:65" x14ac:dyDescent="0.2">
      <c r="B31" s="21"/>
    </row>
    <row r="32" spans="1:65" x14ac:dyDescent="0.2">
      <c r="B32" s="21"/>
    </row>
    <row r="33" spans="2:65" x14ac:dyDescent="0.2">
      <c r="B33" s="130" t="s">
        <v>2</v>
      </c>
      <c r="C33" s="55" t="s">
        <v>10</v>
      </c>
      <c r="D33" s="150"/>
      <c r="E33" s="150"/>
      <c r="F33" s="728">
        <v>2022</v>
      </c>
      <c r="G33" s="729"/>
      <c r="H33" s="729"/>
      <c r="I33" s="729"/>
      <c r="J33" s="729"/>
      <c r="K33" s="729"/>
      <c r="L33" s="729"/>
      <c r="M33" s="729"/>
      <c r="N33" s="729"/>
      <c r="O33" s="729"/>
      <c r="P33" s="729"/>
      <c r="Q33" s="730"/>
      <c r="R33" s="750">
        <v>2023</v>
      </c>
      <c r="S33" s="732"/>
      <c r="T33" s="732"/>
      <c r="U33" s="732"/>
      <c r="V33" s="732"/>
      <c r="W33" s="732"/>
      <c r="X33" s="732"/>
      <c r="Y33" s="732"/>
      <c r="Z33" s="732"/>
      <c r="AA33" s="732"/>
      <c r="AB33" s="732"/>
      <c r="AC33" s="733"/>
      <c r="AD33" s="728">
        <v>2024</v>
      </c>
      <c r="AE33" s="729"/>
      <c r="AF33" s="729"/>
      <c r="AG33" s="729"/>
      <c r="AH33" s="729"/>
      <c r="AI33" s="729"/>
      <c r="AJ33" s="729"/>
      <c r="AK33" s="729"/>
      <c r="AL33" s="729"/>
      <c r="AM33" s="729"/>
      <c r="AN33" s="729"/>
      <c r="AO33" s="730"/>
      <c r="AP33" s="704">
        <v>2025</v>
      </c>
      <c r="AQ33" s="705"/>
      <c r="AR33" s="705"/>
      <c r="AS33" s="705"/>
      <c r="AT33" s="705"/>
      <c r="AU33" s="705"/>
      <c r="AV33" s="705"/>
      <c r="AW33" s="705"/>
      <c r="AX33" s="705"/>
      <c r="AY33" s="705"/>
      <c r="AZ33" s="705"/>
      <c r="BA33" s="706"/>
      <c r="BB33" s="704">
        <v>2025</v>
      </c>
      <c r="BC33" s="705"/>
      <c r="BD33" s="705"/>
      <c r="BE33" s="705"/>
      <c r="BF33" s="705"/>
      <c r="BG33" s="705"/>
      <c r="BH33" s="705"/>
      <c r="BI33" s="705"/>
      <c r="BJ33" s="705"/>
      <c r="BK33" s="705"/>
      <c r="BL33" s="705"/>
      <c r="BM33" s="706"/>
    </row>
    <row r="34" spans="2:65" x14ac:dyDescent="0.2">
      <c r="B34" s="86"/>
      <c r="C34" s="10" t="s">
        <v>11</v>
      </c>
      <c r="D34" s="87"/>
      <c r="E34" s="87"/>
      <c r="F34" s="508">
        <v>44562</v>
      </c>
      <c r="G34" s="251">
        <v>44593</v>
      </c>
      <c r="H34" s="251">
        <v>44621</v>
      </c>
      <c r="I34" s="251">
        <v>44652</v>
      </c>
      <c r="J34" s="251">
        <v>44682</v>
      </c>
      <c r="K34" s="251">
        <v>44713</v>
      </c>
      <c r="L34" s="251">
        <v>44743</v>
      </c>
      <c r="M34" s="251">
        <v>44774</v>
      </c>
      <c r="N34" s="251">
        <v>44805</v>
      </c>
      <c r="O34" s="251">
        <v>44835</v>
      </c>
      <c r="P34" s="251">
        <v>44866</v>
      </c>
      <c r="Q34" s="251">
        <v>44896</v>
      </c>
      <c r="R34" s="248">
        <v>44927</v>
      </c>
      <c r="S34" s="248">
        <v>44958</v>
      </c>
      <c r="T34" s="248">
        <v>44986</v>
      </c>
      <c r="U34" s="248">
        <v>45017</v>
      </c>
      <c r="V34" s="248">
        <v>45047</v>
      </c>
      <c r="W34" s="248">
        <v>45078</v>
      </c>
      <c r="X34" s="248">
        <v>45108</v>
      </c>
      <c r="Y34" s="248">
        <v>45139</v>
      </c>
      <c r="Z34" s="248">
        <v>45170</v>
      </c>
      <c r="AA34" s="248">
        <v>45200</v>
      </c>
      <c r="AB34" s="248">
        <v>45231</v>
      </c>
      <c r="AC34" s="522">
        <v>45261</v>
      </c>
      <c r="AD34" s="506">
        <v>45292</v>
      </c>
      <c r="AE34" s="249">
        <v>45323</v>
      </c>
      <c r="AF34" s="249">
        <v>45352</v>
      </c>
      <c r="AG34" s="249">
        <v>45383</v>
      </c>
      <c r="AH34" s="249">
        <v>45413</v>
      </c>
      <c r="AI34" s="249">
        <v>45444</v>
      </c>
      <c r="AJ34" s="249">
        <v>45474</v>
      </c>
      <c r="AK34" s="249">
        <v>45505</v>
      </c>
      <c r="AL34" s="249">
        <v>45536</v>
      </c>
      <c r="AM34" s="249">
        <v>45566</v>
      </c>
      <c r="AN34" s="249">
        <v>45597</v>
      </c>
      <c r="AO34" s="529">
        <v>45627</v>
      </c>
      <c r="AP34" s="507">
        <v>45658</v>
      </c>
      <c r="AQ34" s="250">
        <v>45689</v>
      </c>
      <c r="AR34" s="250">
        <v>45717</v>
      </c>
      <c r="AS34" s="250">
        <v>45748</v>
      </c>
      <c r="AT34" s="250">
        <v>45778</v>
      </c>
      <c r="AU34" s="250">
        <v>45809</v>
      </c>
      <c r="AV34" s="250">
        <v>45839</v>
      </c>
      <c r="AW34" s="250">
        <v>45870</v>
      </c>
      <c r="AX34" s="250">
        <v>45901</v>
      </c>
      <c r="AY34" s="250">
        <v>45931</v>
      </c>
      <c r="AZ34" s="250">
        <v>45962</v>
      </c>
      <c r="BA34" s="530">
        <v>45992</v>
      </c>
      <c r="BB34" s="507">
        <v>45658</v>
      </c>
      <c r="BC34" s="250">
        <v>45689</v>
      </c>
      <c r="BD34" s="250">
        <v>45717</v>
      </c>
      <c r="BE34" s="250">
        <v>45748</v>
      </c>
      <c r="BF34" s="250">
        <v>45778</v>
      </c>
      <c r="BG34" s="250">
        <v>45809</v>
      </c>
      <c r="BH34" s="250">
        <v>45839</v>
      </c>
      <c r="BI34" s="250">
        <v>45870</v>
      </c>
      <c r="BJ34" s="250">
        <v>45901</v>
      </c>
      <c r="BK34" s="250">
        <v>45931</v>
      </c>
      <c r="BL34" s="250">
        <v>45962</v>
      </c>
      <c r="BM34" s="530">
        <v>45992</v>
      </c>
    </row>
    <row r="35" spans="2:65" x14ac:dyDescent="0.2">
      <c r="B35" s="21"/>
    </row>
    <row r="36" spans="2:65" x14ac:dyDescent="0.2">
      <c r="B36" s="118" t="s">
        <v>3</v>
      </c>
    </row>
    <row r="37" spans="2:65" x14ac:dyDescent="0.2">
      <c r="B37" s="195" t="s">
        <v>136</v>
      </c>
      <c r="F37" s="189"/>
      <c r="G37" s="189"/>
      <c r="H37" s="189"/>
      <c r="I37" s="189"/>
      <c r="J37" s="189"/>
      <c r="K37" s="189"/>
      <c r="L37" s="189"/>
      <c r="M37" s="169"/>
      <c r="N37" s="189"/>
      <c r="O37" s="189"/>
      <c r="P37" s="378">
        <v>36702.07</v>
      </c>
      <c r="Q37" s="379">
        <v>35882.28</v>
      </c>
      <c r="R37" s="378">
        <v>37886.35</v>
      </c>
      <c r="S37" s="189">
        <f>'PSB-Salaries &amp; Contractuals'!T19</f>
        <v>39087.300000000003</v>
      </c>
      <c r="T37" s="189">
        <f>'PSB-Salaries &amp; Contractuals'!U19</f>
        <v>34719.300000000003</v>
      </c>
      <c r="U37" s="189">
        <f>'PSB-Salaries &amp; Contractuals'!V19</f>
        <v>21594.3</v>
      </c>
      <c r="V37" s="189">
        <f>'PSB-Salaries &amp; Contractuals'!W19</f>
        <v>6685.9666666666672</v>
      </c>
      <c r="W37" s="189">
        <f>'PSB-Salaries &amp; Contractuals'!X19</f>
        <v>6685.9666666666672</v>
      </c>
      <c r="X37" s="189">
        <f>'PSB-Salaries &amp; Contractuals'!Y19</f>
        <v>6685.9666666666672</v>
      </c>
      <c r="Y37" s="189">
        <f>'PSB-Salaries &amp; Contractuals'!Z19</f>
        <v>6685.9666666666672</v>
      </c>
      <c r="Z37" s="189">
        <f>'PSB-Salaries &amp; Contractuals'!AA19</f>
        <v>17685.966666666667</v>
      </c>
      <c r="AA37" s="189">
        <f>'PSB-Salaries &amp; Contractuals'!AB19</f>
        <v>17685.966666666667</v>
      </c>
      <c r="AB37" s="189">
        <f>'PSB-Salaries &amp; Contractuals'!AC19</f>
        <v>17685.966666666667</v>
      </c>
      <c r="AC37" s="188">
        <f>'PSB-Salaries &amp; Contractuals'!AD19</f>
        <v>17685.966666666667</v>
      </c>
      <c r="AD37" s="189">
        <f>'PSB-Salaries &amp; Contractuals'!AE19</f>
        <v>22340.266666666666</v>
      </c>
      <c r="AE37" s="189">
        <f>'PSB-Salaries &amp; Contractuals'!AF19</f>
        <v>22340.266666666666</v>
      </c>
      <c r="AF37" s="189">
        <f>'PSB-Salaries &amp; Contractuals'!AG19</f>
        <v>22340.266666666666</v>
      </c>
      <c r="AG37" s="189">
        <f>'PSB-Salaries &amp; Contractuals'!AH19</f>
        <v>22340.266666666666</v>
      </c>
      <c r="AH37" s="189">
        <f>'PSB-Salaries &amp; Contractuals'!AI19</f>
        <v>22340.266666666666</v>
      </c>
      <c r="AI37" s="189">
        <f>'PSB-Salaries &amp; Contractuals'!AJ19</f>
        <v>22340.266666666666</v>
      </c>
      <c r="AJ37" s="189">
        <f>'PSB-Salaries &amp; Contractuals'!AK19</f>
        <v>22340.266666666666</v>
      </c>
      <c r="AK37" s="189">
        <f>'PSB-Salaries &amp; Contractuals'!AL19</f>
        <v>22340.266666666666</v>
      </c>
      <c r="AL37" s="189">
        <f>'PSB-Salaries &amp; Contractuals'!AM19</f>
        <v>22340.266666666666</v>
      </c>
      <c r="AM37" s="189">
        <f>'PSB-Salaries &amp; Contractuals'!AN19</f>
        <v>22340.266666666666</v>
      </c>
      <c r="AN37" s="189">
        <f>'PSB-Salaries &amp; Contractuals'!AO19</f>
        <v>22340.266666666666</v>
      </c>
      <c r="AO37" s="188">
        <f>'PSB-Salaries &amp; Contractuals'!AP19</f>
        <v>22340.266666666666</v>
      </c>
      <c r="AP37" s="189">
        <f>'PSB-Salaries &amp; Contractuals'!AQ19</f>
        <v>23355.733333333337</v>
      </c>
      <c r="AQ37" s="189">
        <f>'PSB-Salaries &amp; Contractuals'!AR19</f>
        <v>23355.733333333337</v>
      </c>
      <c r="AR37" s="189">
        <f>'PSB-Salaries &amp; Contractuals'!AS19</f>
        <v>23355.733333333337</v>
      </c>
      <c r="AS37" s="189">
        <f>'PSB-Salaries &amp; Contractuals'!AT19</f>
        <v>23355.733333333337</v>
      </c>
      <c r="AT37" s="189">
        <f>'PSB-Salaries &amp; Contractuals'!AU19</f>
        <v>23355.733333333337</v>
      </c>
      <c r="AU37" s="189">
        <f>'PSB-Salaries &amp; Contractuals'!AV19</f>
        <v>23355.733333333337</v>
      </c>
      <c r="AV37" s="189">
        <f>'PSB-Salaries &amp; Contractuals'!AW19</f>
        <v>23355.733333333337</v>
      </c>
      <c r="AW37" s="189">
        <f>'PSB-Salaries &amp; Contractuals'!AX19</f>
        <v>23355.733333333337</v>
      </c>
      <c r="AX37" s="189">
        <f>'PSB-Salaries &amp; Contractuals'!AY19</f>
        <v>23355.733333333337</v>
      </c>
      <c r="AY37" s="189">
        <f>'PSB-Salaries &amp; Contractuals'!AZ19</f>
        <v>23355.733333333337</v>
      </c>
      <c r="AZ37" s="189">
        <f>'PSB-Salaries &amp; Contractuals'!BA19</f>
        <v>23355.733333333337</v>
      </c>
      <c r="BA37" s="188">
        <f>'PSB-Salaries &amp; Contractuals'!BB19</f>
        <v>23355.733333333337</v>
      </c>
      <c r="BB37" s="189">
        <f>'PSB-Salaries &amp; Contractuals'!BC19</f>
        <v>23355.733333333337</v>
      </c>
      <c r="BC37" s="189">
        <f>'PSB-Salaries &amp; Contractuals'!BD19</f>
        <v>23355.733333333337</v>
      </c>
      <c r="BD37" s="189">
        <f>'PSB-Salaries &amp; Contractuals'!BE19</f>
        <v>23355.733333333337</v>
      </c>
      <c r="BE37" s="189">
        <f>'PSB-Salaries &amp; Contractuals'!BF19</f>
        <v>23355.733333333337</v>
      </c>
      <c r="BF37" s="189">
        <f>'PSB-Salaries &amp; Contractuals'!BG19</f>
        <v>23355.733333333337</v>
      </c>
      <c r="BG37" s="189">
        <f>'PSB-Salaries &amp; Contractuals'!BH19</f>
        <v>23355.733333333337</v>
      </c>
      <c r="BH37" s="189">
        <f>'PSB-Salaries &amp; Contractuals'!BI19</f>
        <v>23355.733333333337</v>
      </c>
      <c r="BI37" s="189">
        <f>'PSB-Salaries &amp; Contractuals'!BJ19</f>
        <v>23355.733333333337</v>
      </c>
      <c r="BJ37" s="189">
        <f>'PSB-Salaries &amp; Contractuals'!BK19</f>
        <v>23355.733333333337</v>
      </c>
      <c r="BK37" s="189">
        <f>'PSB-Salaries &amp; Contractuals'!BL19</f>
        <v>23355.733333333337</v>
      </c>
      <c r="BL37" s="189">
        <f>'PSB-Salaries &amp; Contractuals'!BM19</f>
        <v>23355.733333333337</v>
      </c>
      <c r="BM37" s="188">
        <f>'PSB-Salaries &amp; Contractuals'!BN19</f>
        <v>23355.733333333337</v>
      </c>
    </row>
    <row r="38" spans="2:65" x14ac:dyDescent="0.2">
      <c r="B38" s="151" t="s">
        <v>135</v>
      </c>
      <c r="C38" s="18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386">
        <v>33298.980000000003</v>
      </c>
      <c r="Q38" s="387">
        <v>33035.49</v>
      </c>
      <c r="R38" s="386">
        <v>33819.19</v>
      </c>
      <c r="S38" s="169">
        <f>'PSB-Salaries &amp; Contractuals'!T36</f>
        <v>22854.125</v>
      </c>
      <c r="T38" s="169">
        <f>'PSB-Salaries &amp; Contractuals'!U36</f>
        <v>22854.125</v>
      </c>
      <c r="U38" s="169">
        <f>'PSB-Salaries &amp; Contractuals'!V36</f>
        <v>22854.125</v>
      </c>
      <c r="V38" s="169">
        <f>'PSB-Salaries &amp; Contractuals'!W36</f>
        <v>22854.125</v>
      </c>
      <c r="W38" s="169">
        <f>'PSB-Salaries &amp; Contractuals'!X36</f>
        <v>22854.125</v>
      </c>
      <c r="X38" s="169">
        <f>'PSB-Salaries &amp; Contractuals'!Y36</f>
        <v>22854.125</v>
      </c>
      <c r="Y38" s="169">
        <f>'PSB-Salaries &amp; Contractuals'!Z36</f>
        <v>18358.724999999999</v>
      </c>
      <c r="Z38" s="169">
        <f>'PSB-Salaries &amp; Contractuals'!AA36</f>
        <v>18358.724999999999</v>
      </c>
      <c r="AA38" s="169">
        <f>'PSB-Salaries &amp; Contractuals'!AB36</f>
        <v>22296.224999999999</v>
      </c>
      <c r="AB38" s="169">
        <f>'PSB-Salaries &amp; Contractuals'!AC36</f>
        <v>22296.224999999999</v>
      </c>
      <c r="AC38" s="170">
        <f>'PSB-Salaries &amp; Contractuals'!AD36</f>
        <v>22296.224999999999</v>
      </c>
      <c r="AD38" s="169">
        <f>'PSB-Salaries &amp; Contractuals'!AE36</f>
        <v>27482.950000000004</v>
      </c>
      <c r="AE38" s="169">
        <f>'PSB-Salaries &amp; Contractuals'!AF36</f>
        <v>27482.950000000004</v>
      </c>
      <c r="AF38" s="169">
        <f>'PSB-Salaries &amp; Contractuals'!AG36</f>
        <v>27482.950000000004</v>
      </c>
      <c r="AG38" s="169">
        <f>'PSB-Salaries &amp; Contractuals'!AH36</f>
        <v>27482.950000000004</v>
      </c>
      <c r="AH38" s="169">
        <f>'PSB-Salaries &amp; Contractuals'!AI36</f>
        <v>27482.950000000004</v>
      </c>
      <c r="AI38" s="169">
        <f>'PSB-Salaries &amp; Contractuals'!AJ36</f>
        <v>31607.950000000004</v>
      </c>
      <c r="AJ38" s="169">
        <f>'PSB-Salaries &amp; Contractuals'!AK36</f>
        <v>31607.950000000004</v>
      </c>
      <c r="AK38" s="169">
        <f>'PSB-Salaries &amp; Contractuals'!AL36</f>
        <v>31607.950000000004</v>
      </c>
      <c r="AL38" s="169">
        <f>'PSB-Salaries &amp; Contractuals'!AM36</f>
        <v>31607.950000000004</v>
      </c>
      <c r="AM38" s="169">
        <f>'PSB-Salaries &amp; Contractuals'!AN36</f>
        <v>31607.950000000004</v>
      </c>
      <c r="AN38" s="169">
        <f>'PSB-Salaries &amp; Contractuals'!AO36</f>
        <v>31607.950000000004</v>
      </c>
      <c r="AO38" s="170">
        <f>'PSB-Salaries &amp; Contractuals'!AP36</f>
        <v>31607.950000000004</v>
      </c>
      <c r="AP38" s="169">
        <f>'PSB-Salaries &amp; Contractuals'!AQ36</f>
        <v>37357.175000000003</v>
      </c>
      <c r="AQ38" s="169">
        <f>'PSB-Salaries &amp; Contractuals'!AR36</f>
        <v>37357.175000000003</v>
      </c>
      <c r="AR38" s="169">
        <f>'PSB-Salaries &amp; Contractuals'!AS36</f>
        <v>37357.175000000003</v>
      </c>
      <c r="AS38" s="169">
        <f>'PSB-Salaries &amp; Contractuals'!AT36</f>
        <v>37357.175000000003</v>
      </c>
      <c r="AT38" s="169">
        <f>'PSB-Salaries &amp; Contractuals'!AU36</f>
        <v>37357.175000000003</v>
      </c>
      <c r="AU38" s="169">
        <f>'PSB-Salaries &amp; Contractuals'!AV36</f>
        <v>37357.175000000003</v>
      </c>
      <c r="AV38" s="169">
        <f>'PSB-Salaries &amp; Contractuals'!AW36</f>
        <v>41669.675000000003</v>
      </c>
      <c r="AW38" s="169">
        <f>'PSB-Salaries &amp; Contractuals'!AX36</f>
        <v>41669.675000000003</v>
      </c>
      <c r="AX38" s="169">
        <f>'PSB-Salaries &amp; Contractuals'!AY36</f>
        <v>41669.675000000003</v>
      </c>
      <c r="AY38" s="169">
        <f>'PSB-Salaries &amp; Contractuals'!AZ36</f>
        <v>41669.675000000003</v>
      </c>
      <c r="AZ38" s="169">
        <f>'PSB-Salaries &amp; Contractuals'!BA36</f>
        <v>41669.675000000003</v>
      </c>
      <c r="BA38" s="170">
        <f>'PSB-Salaries &amp; Contractuals'!BB36</f>
        <v>41669.675000000003</v>
      </c>
      <c r="BB38" s="169">
        <f>'PSB-Salaries &amp; Contractuals'!BC36</f>
        <v>37357.175000000003</v>
      </c>
      <c r="BC38" s="169">
        <f>'PSB-Salaries &amp; Contractuals'!BD36</f>
        <v>37357.175000000003</v>
      </c>
      <c r="BD38" s="169">
        <f>'PSB-Salaries &amp; Contractuals'!BE36</f>
        <v>37357.175000000003</v>
      </c>
      <c r="BE38" s="169">
        <f>'PSB-Salaries &amp; Contractuals'!BF36</f>
        <v>37357.175000000003</v>
      </c>
      <c r="BF38" s="169">
        <f>'PSB-Salaries &amp; Contractuals'!BG36</f>
        <v>37357.175000000003</v>
      </c>
      <c r="BG38" s="169">
        <f>'PSB-Salaries &amp; Contractuals'!BH36</f>
        <v>37357.175000000003</v>
      </c>
      <c r="BH38" s="169">
        <f>'PSB-Salaries &amp; Contractuals'!BI36</f>
        <v>41669.675000000003</v>
      </c>
      <c r="BI38" s="169">
        <f>'PSB-Salaries &amp; Contractuals'!BJ36</f>
        <v>41669.675000000003</v>
      </c>
      <c r="BJ38" s="169">
        <f>'PSB-Salaries &amp; Contractuals'!BK36</f>
        <v>41669.675000000003</v>
      </c>
      <c r="BK38" s="169">
        <f>'PSB-Salaries &amp; Contractuals'!BL36</f>
        <v>41669.675000000003</v>
      </c>
      <c r="BL38" s="169">
        <f>'PSB-Salaries &amp; Contractuals'!BM36</f>
        <v>41669.675000000003</v>
      </c>
      <c r="BM38" s="170">
        <f>'PSB-Salaries &amp; Contractuals'!BN36</f>
        <v>41669.675000000003</v>
      </c>
    </row>
    <row r="39" spans="2:65" x14ac:dyDescent="0.2">
      <c r="B39" s="151" t="s">
        <v>134</v>
      </c>
      <c r="C39" s="18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386">
        <v>18778.38</v>
      </c>
      <c r="Q39" s="387">
        <v>22958.5</v>
      </c>
      <c r="R39" s="386">
        <v>22958.5</v>
      </c>
      <c r="S39" s="169">
        <f>'PSB-Salaries &amp; Contractuals'!T53</f>
        <v>24585.224999999999</v>
      </c>
      <c r="T39" s="169">
        <f>'PSB-Salaries &amp; Contractuals'!U53</f>
        <v>24585.224999999999</v>
      </c>
      <c r="U39" s="169">
        <f>'PSB-Salaries &amp; Contractuals'!V53</f>
        <v>23072.35</v>
      </c>
      <c r="V39" s="169">
        <f>'PSB-Salaries &amp; Contractuals'!W53</f>
        <v>23072.35</v>
      </c>
      <c r="W39" s="169">
        <f>'PSB-Salaries &amp; Contractuals'!X53</f>
        <v>23072.35</v>
      </c>
      <c r="X39" s="169">
        <f>'PSB-Salaries &amp; Contractuals'!Y53</f>
        <v>23072.35</v>
      </c>
      <c r="Y39" s="169">
        <f>'PSB-Salaries &amp; Contractuals'!Z53</f>
        <v>23072.35</v>
      </c>
      <c r="Z39" s="169">
        <f>'PSB-Salaries &amp; Contractuals'!AA53</f>
        <v>23072.35</v>
      </c>
      <c r="AA39" s="169">
        <f>'PSB-Salaries &amp; Contractuals'!AB53</f>
        <v>25822.35</v>
      </c>
      <c r="AB39" s="169">
        <f>'PSB-Salaries &amp; Contractuals'!AC53</f>
        <v>25822.35</v>
      </c>
      <c r="AC39" s="170">
        <f>'PSB-Salaries &amp; Contractuals'!AD53</f>
        <v>25822.35</v>
      </c>
      <c r="AD39" s="169">
        <f>'PSB-Salaries &amp; Contractuals'!AE53</f>
        <v>30221.033333333336</v>
      </c>
      <c r="AE39" s="169">
        <f>'PSB-Salaries &amp; Contractuals'!AF53</f>
        <v>30221.033333333336</v>
      </c>
      <c r="AF39" s="169">
        <f>'PSB-Salaries &amp; Contractuals'!AG53</f>
        <v>30221.033333333336</v>
      </c>
      <c r="AG39" s="169">
        <f>'PSB-Salaries &amp; Contractuals'!AH53</f>
        <v>30221.033333333336</v>
      </c>
      <c r="AH39" s="169">
        <f>'PSB-Salaries &amp; Contractuals'!AI53</f>
        <v>30221.033333333336</v>
      </c>
      <c r="AI39" s="169">
        <f>'PSB-Salaries &amp; Contractuals'!AJ53</f>
        <v>30221.033333333336</v>
      </c>
      <c r="AJ39" s="169">
        <f>'PSB-Salaries &amp; Contractuals'!AK53</f>
        <v>30221.033333333336</v>
      </c>
      <c r="AK39" s="169">
        <f>'PSB-Salaries &amp; Contractuals'!AL53</f>
        <v>30221.033333333336</v>
      </c>
      <c r="AL39" s="169">
        <f>'PSB-Salaries &amp; Contractuals'!AM53</f>
        <v>30221.033333333336</v>
      </c>
      <c r="AM39" s="169">
        <f>'PSB-Salaries &amp; Contractuals'!AN53</f>
        <v>30221.033333333336</v>
      </c>
      <c r="AN39" s="169">
        <f>'PSB-Salaries &amp; Contractuals'!AO53</f>
        <v>30221.033333333336</v>
      </c>
      <c r="AO39" s="170">
        <f>'PSB-Salaries &amp; Contractuals'!AP53</f>
        <v>30221.033333333336</v>
      </c>
      <c r="AP39" s="169">
        <f>'PSB-Salaries &amp; Contractuals'!AQ53</f>
        <v>35044.716666666674</v>
      </c>
      <c r="AQ39" s="169">
        <f>'PSB-Salaries &amp; Contractuals'!AR53</f>
        <v>35044.716666666674</v>
      </c>
      <c r="AR39" s="169">
        <f>'PSB-Salaries &amp; Contractuals'!AS53</f>
        <v>35044.716666666674</v>
      </c>
      <c r="AS39" s="169">
        <f>'PSB-Salaries &amp; Contractuals'!AT53</f>
        <v>35044.716666666674</v>
      </c>
      <c r="AT39" s="169">
        <f>'PSB-Salaries &amp; Contractuals'!AU53</f>
        <v>35044.716666666674</v>
      </c>
      <c r="AU39" s="169">
        <f>'PSB-Salaries &amp; Contractuals'!AV53</f>
        <v>35044.716666666674</v>
      </c>
      <c r="AV39" s="169">
        <f>'PSB-Salaries &amp; Contractuals'!AW53</f>
        <v>35044.716666666674</v>
      </c>
      <c r="AW39" s="169">
        <f>'PSB-Salaries &amp; Contractuals'!AX53</f>
        <v>38494.716666666674</v>
      </c>
      <c r="AX39" s="169">
        <f>'PSB-Salaries &amp; Contractuals'!AY53</f>
        <v>38494.716666666674</v>
      </c>
      <c r="AY39" s="169">
        <f>'PSB-Salaries &amp; Contractuals'!AZ53</f>
        <v>38494.716666666674</v>
      </c>
      <c r="AZ39" s="169">
        <f>'PSB-Salaries &amp; Contractuals'!BA53</f>
        <v>38494.716666666674</v>
      </c>
      <c r="BA39" s="170">
        <f>'PSB-Salaries &amp; Contractuals'!BB53</f>
        <v>38494.716666666674</v>
      </c>
      <c r="BB39" s="169">
        <f>'PSB-Salaries &amp; Contractuals'!BC53</f>
        <v>35044.716666666674</v>
      </c>
      <c r="BC39" s="169">
        <f>'PSB-Salaries &amp; Contractuals'!BD53</f>
        <v>35044.716666666674</v>
      </c>
      <c r="BD39" s="169">
        <f>'PSB-Salaries &amp; Contractuals'!BE53</f>
        <v>35044.716666666674</v>
      </c>
      <c r="BE39" s="169">
        <f>'PSB-Salaries &amp; Contractuals'!BF53</f>
        <v>35044.716666666674</v>
      </c>
      <c r="BF39" s="169">
        <f>'PSB-Salaries &amp; Contractuals'!BG53</f>
        <v>35044.716666666674</v>
      </c>
      <c r="BG39" s="169">
        <f>'PSB-Salaries &amp; Contractuals'!BH53</f>
        <v>35044.716666666674</v>
      </c>
      <c r="BH39" s="169">
        <f>'PSB-Salaries &amp; Contractuals'!BI53</f>
        <v>35044.716666666674</v>
      </c>
      <c r="BI39" s="169">
        <f>'PSB-Salaries &amp; Contractuals'!BJ53</f>
        <v>38494.716666666674</v>
      </c>
      <c r="BJ39" s="169">
        <f>'PSB-Salaries &amp; Contractuals'!BK53</f>
        <v>38494.716666666674</v>
      </c>
      <c r="BK39" s="169">
        <f>'PSB-Salaries &amp; Contractuals'!BL53</f>
        <v>38494.716666666674</v>
      </c>
      <c r="BL39" s="169">
        <f>'PSB-Salaries &amp; Contractuals'!BM53</f>
        <v>38494.716666666674</v>
      </c>
      <c r="BM39" s="170">
        <f>'PSB-Salaries &amp; Contractuals'!BN53</f>
        <v>38494.716666666674</v>
      </c>
    </row>
    <row r="40" spans="2:65" x14ac:dyDescent="0.2">
      <c r="B40" s="151"/>
      <c r="C40" s="18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70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70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70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70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69"/>
      <c r="BM40" s="170"/>
    </row>
    <row r="41" spans="2:65" x14ac:dyDescent="0.2">
      <c r="B41" s="151" t="s">
        <v>18</v>
      </c>
      <c r="C41" s="285">
        <v>0.11</v>
      </c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70"/>
      <c r="R41" s="169">
        <v>0</v>
      </c>
      <c r="S41" s="169">
        <f t="shared" ref="S41:BA41" si="44">(SUM(S37:S39))*$C41</f>
        <v>9517.9314999999988</v>
      </c>
      <c r="T41" s="169">
        <f t="shared" si="44"/>
        <v>9037.4514999999992</v>
      </c>
      <c r="U41" s="169">
        <f t="shared" si="44"/>
        <v>7427.285249999999</v>
      </c>
      <c r="V41" s="169">
        <f t="shared" si="44"/>
        <v>5787.3685833333329</v>
      </c>
      <c r="W41" s="169">
        <f t="shared" si="44"/>
        <v>5787.3685833333329</v>
      </c>
      <c r="X41" s="169">
        <f t="shared" si="44"/>
        <v>5787.3685833333329</v>
      </c>
      <c r="Y41" s="169">
        <f t="shared" si="44"/>
        <v>5292.8745833333332</v>
      </c>
      <c r="Z41" s="169">
        <f t="shared" si="44"/>
        <v>6502.8745833333332</v>
      </c>
      <c r="AA41" s="169">
        <f t="shared" si="44"/>
        <v>7238.4995833333323</v>
      </c>
      <c r="AB41" s="169">
        <f t="shared" si="44"/>
        <v>7238.4995833333323</v>
      </c>
      <c r="AC41" s="170">
        <f t="shared" si="44"/>
        <v>7238.4995833333323</v>
      </c>
      <c r="AD41" s="169">
        <f t="shared" si="44"/>
        <v>8804.8675000000021</v>
      </c>
      <c r="AE41" s="169">
        <f t="shared" si="44"/>
        <v>8804.8675000000021</v>
      </c>
      <c r="AF41" s="169">
        <f t="shared" si="44"/>
        <v>8804.8675000000021</v>
      </c>
      <c r="AG41" s="169">
        <f t="shared" si="44"/>
        <v>8804.8675000000021</v>
      </c>
      <c r="AH41" s="169">
        <f t="shared" si="44"/>
        <v>8804.8675000000021</v>
      </c>
      <c r="AI41" s="169">
        <f t="shared" si="44"/>
        <v>9258.6175000000021</v>
      </c>
      <c r="AJ41" s="169">
        <f t="shared" si="44"/>
        <v>9258.6175000000021</v>
      </c>
      <c r="AK41" s="169">
        <f t="shared" si="44"/>
        <v>9258.6175000000021</v>
      </c>
      <c r="AL41" s="169">
        <f t="shared" si="44"/>
        <v>9258.6175000000021</v>
      </c>
      <c r="AM41" s="169">
        <f t="shared" si="44"/>
        <v>9258.6175000000021</v>
      </c>
      <c r="AN41" s="169">
        <f>(SUM(AN37:AN39))*$C41</f>
        <v>9258.6175000000021</v>
      </c>
      <c r="AO41" s="170">
        <f t="shared" si="44"/>
        <v>9258.6175000000021</v>
      </c>
      <c r="AP41" s="169">
        <f t="shared" si="44"/>
        <v>10533.338750000001</v>
      </c>
      <c r="AQ41" s="169">
        <f t="shared" si="44"/>
        <v>10533.338750000001</v>
      </c>
      <c r="AR41" s="169">
        <f t="shared" si="44"/>
        <v>10533.338750000001</v>
      </c>
      <c r="AS41" s="169">
        <f t="shared" si="44"/>
        <v>10533.338750000001</v>
      </c>
      <c r="AT41" s="169">
        <f t="shared" si="44"/>
        <v>10533.338750000001</v>
      </c>
      <c r="AU41" s="169">
        <f t="shared" si="44"/>
        <v>10533.338750000001</v>
      </c>
      <c r="AV41" s="169">
        <f t="shared" si="44"/>
        <v>11007.713750000001</v>
      </c>
      <c r="AW41" s="169">
        <f t="shared" si="44"/>
        <v>11387.213750000001</v>
      </c>
      <c r="AX41" s="169">
        <f t="shared" si="44"/>
        <v>11387.213750000001</v>
      </c>
      <c r="AY41" s="169">
        <f t="shared" si="44"/>
        <v>11387.213750000001</v>
      </c>
      <c r="AZ41" s="169">
        <f t="shared" si="44"/>
        <v>11387.213750000001</v>
      </c>
      <c r="BA41" s="170">
        <f t="shared" si="44"/>
        <v>11387.213750000001</v>
      </c>
      <c r="BB41" s="169">
        <f t="shared" ref="BB41:BM41" si="45">(SUM(BB37:BB39))*$C41</f>
        <v>10533.338750000001</v>
      </c>
      <c r="BC41" s="169">
        <f t="shared" si="45"/>
        <v>10533.338750000001</v>
      </c>
      <c r="BD41" s="169">
        <f t="shared" si="45"/>
        <v>10533.338750000001</v>
      </c>
      <c r="BE41" s="169">
        <f t="shared" si="45"/>
        <v>10533.338750000001</v>
      </c>
      <c r="BF41" s="169">
        <f t="shared" si="45"/>
        <v>10533.338750000001</v>
      </c>
      <c r="BG41" s="169">
        <f t="shared" si="45"/>
        <v>10533.338750000001</v>
      </c>
      <c r="BH41" s="169">
        <f t="shared" si="45"/>
        <v>11007.713750000001</v>
      </c>
      <c r="BI41" s="169">
        <f t="shared" si="45"/>
        <v>11387.213750000001</v>
      </c>
      <c r="BJ41" s="169">
        <f t="shared" si="45"/>
        <v>11387.213750000001</v>
      </c>
      <c r="BK41" s="169">
        <f t="shared" si="45"/>
        <v>11387.213750000001</v>
      </c>
      <c r="BL41" s="169">
        <f t="shared" si="45"/>
        <v>11387.213750000001</v>
      </c>
      <c r="BM41" s="170">
        <f t="shared" si="45"/>
        <v>11387.213750000001</v>
      </c>
    </row>
    <row r="42" spans="2:65" x14ac:dyDescent="0.2">
      <c r="B42" s="151"/>
      <c r="C42" s="18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70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70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70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70"/>
      <c r="BB42" s="169"/>
      <c r="BC42" s="169"/>
      <c r="BD42" s="169"/>
      <c r="BE42" s="169"/>
      <c r="BF42" s="169"/>
      <c r="BG42" s="169"/>
      <c r="BH42" s="169"/>
      <c r="BI42" s="169"/>
      <c r="BJ42" s="169"/>
      <c r="BK42" s="169"/>
      <c r="BL42" s="169"/>
      <c r="BM42" s="170"/>
    </row>
    <row r="43" spans="2:65" x14ac:dyDescent="0.2">
      <c r="B43" s="151" t="s">
        <v>235</v>
      </c>
      <c r="C43" s="18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70"/>
      <c r="R43" s="169">
        <f>'PSB-Salaries &amp; Contractuals'!S67</f>
        <v>1000</v>
      </c>
      <c r="S43" s="169">
        <f>'PSB-Salaries &amp; Contractuals'!T67</f>
        <v>1000</v>
      </c>
      <c r="T43" s="169">
        <f>'PSB-Salaries &amp; Contractuals'!U67</f>
        <v>1000</v>
      </c>
      <c r="U43" s="169">
        <f>'PSB-Salaries &amp; Contractuals'!V67</f>
        <v>1000</v>
      </c>
      <c r="V43" s="169">
        <f>'PSB-Salaries &amp; Contractuals'!W67</f>
        <v>1000</v>
      </c>
      <c r="W43" s="169">
        <f>'PSB-Salaries &amp; Contractuals'!X67</f>
        <v>1000</v>
      </c>
      <c r="X43" s="169">
        <f>'PSB-Salaries &amp; Contractuals'!Y67</f>
        <v>1000</v>
      </c>
      <c r="Y43" s="169">
        <f>'PSB-Salaries &amp; Contractuals'!Z67</f>
        <v>1000</v>
      </c>
      <c r="Z43" s="169">
        <f>'PSB-Salaries &amp; Contractuals'!AA67</f>
        <v>1000</v>
      </c>
      <c r="AA43" s="169">
        <f>'PSB-Salaries &amp; Contractuals'!AB67</f>
        <v>1000</v>
      </c>
      <c r="AB43" s="169">
        <f>'PSB-Salaries &amp; Contractuals'!AC67</f>
        <v>1000</v>
      </c>
      <c r="AC43" s="170">
        <f>'PSB-Salaries &amp; Contractuals'!AD67</f>
        <v>1000</v>
      </c>
      <c r="AD43" s="169">
        <f>'PSB-Salaries &amp; Contractuals'!AE67</f>
        <v>1000</v>
      </c>
      <c r="AE43" s="169">
        <f>'PSB-Salaries &amp; Contractuals'!AF67</f>
        <v>1000</v>
      </c>
      <c r="AF43" s="169">
        <f>'PSB-Salaries &amp; Contractuals'!AG67</f>
        <v>1000</v>
      </c>
      <c r="AG43" s="169">
        <f>'PSB-Salaries &amp; Contractuals'!AH67</f>
        <v>1000</v>
      </c>
      <c r="AH43" s="169">
        <f>'PSB-Salaries &amp; Contractuals'!AI67</f>
        <v>1000</v>
      </c>
      <c r="AI43" s="169">
        <f>'PSB-Salaries &amp; Contractuals'!AJ67</f>
        <v>1000</v>
      </c>
      <c r="AJ43" s="169">
        <f>'PSB-Salaries &amp; Contractuals'!AK67</f>
        <v>1000</v>
      </c>
      <c r="AK43" s="169">
        <f>'PSB-Salaries &amp; Contractuals'!AL67</f>
        <v>1000</v>
      </c>
      <c r="AL43" s="169">
        <f>'PSB-Salaries &amp; Contractuals'!AM67</f>
        <v>1000</v>
      </c>
      <c r="AM43" s="169">
        <f>'PSB-Salaries &amp; Contractuals'!AN67</f>
        <v>1000</v>
      </c>
      <c r="AN43" s="169">
        <f>'PSB-Salaries &amp; Contractuals'!AO67</f>
        <v>1000</v>
      </c>
      <c r="AO43" s="170">
        <f>'PSB-Salaries &amp; Contractuals'!AP67</f>
        <v>1000</v>
      </c>
      <c r="AP43" s="169">
        <f>'PSB-Salaries &amp; Contractuals'!AQ67</f>
        <v>1000</v>
      </c>
      <c r="AQ43" s="169">
        <f>'PSB-Salaries &amp; Contractuals'!AR67</f>
        <v>1000</v>
      </c>
      <c r="AR43" s="169">
        <f>'PSB-Salaries &amp; Contractuals'!AS67</f>
        <v>1000</v>
      </c>
      <c r="AS43" s="169">
        <f>'PSB-Salaries &amp; Contractuals'!AT67</f>
        <v>1000</v>
      </c>
      <c r="AT43" s="169">
        <f>'PSB-Salaries &amp; Contractuals'!AU67</f>
        <v>1000</v>
      </c>
      <c r="AU43" s="169">
        <f>'PSB-Salaries &amp; Contractuals'!AV67</f>
        <v>1000</v>
      </c>
      <c r="AV43" s="169">
        <f>'PSB-Salaries &amp; Contractuals'!AW67</f>
        <v>1000</v>
      </c>
      <c r="AW43" s="169">
        <f>'PSB-Salaries &amp; Contractuals'!AX67</f>
        <v>1000</v>
      </c>
      <c r="AX43" s="169">
        <f>'PSB-Salaries &amp; Contractuals'!AY67</f>
        <v>1000</v>
      </c>
      <c r="AY43" s="169">
        <f>'PSB-Salaries &amp; Contractuals'!AZ67</f>
        <v>1000</v>
      </c>
      <c r="AZ43" s="169">
        <f>'PSB-Salaries &amp; Contractuals'!BA67</f>
        <v>1000</v>
      </c>
      <c r="BA43" s="170">
        <f>'PSB-Salaries &amp; Contractuals'!BB67</f>
        <v>1000</v>
      </c>
      <c r="BB43" s="169">
        <f>'PSB-Salaries &amp; Contractuals'!BC67</f>
        <v>1000</v>
      </c>
      <c r="BC43" s="169">
        <f>'PSB-Salaries &amp; Contractuals'!BD67</f>
        <v>1000</v>
      </c>
      <c r="BD43" s="169">
        <f>'PSB-Salaries &amp; Contractuals'!BE67</f>
        <v>1000</v>
      </c>
      <c r="BE43" s="169">
        <f>'PSB-Salaries &amp; Contractuals'!BF67</f>
        <v>1000</v>
      </c>
      <c r="BF43" s="169">
        <f>'PSB-Salaries &amp; Contractuals'!BG67</f>
        <v>1000</v>
      </c>
      <c r="BG43" s="169">
        <f>'PSB-Salaries &amp; Contractuals'!BH67</f>
        <v>1000</v>
      </c>
      <c r="BH43" s="169">
        <f>'PSB-Salaries &amp; Contractuals'!BI67</f>
        <v>1000</v>
      </c>
      <c r="BI43" s="169">
        <f>'PSB-Salaries &amp; Contractuals'!BJ67</f>
        <v>1000</v>
      </c>
      <c r="BJ43" s="169">
        <f>'PSB-Salaries &amp; Contractuals'!BK67</f>
        <v>1000</v>
      </c>
      <c r="BK43" s="169">
        <f>'PSB-Salaries &amp; Contractuals'!BL67</f>
        <v>1000</v>
      </c>
      <c r="BL43" s="169">
        <f>'PSB-Salaries &amp; Contractuals'!BM67</f>
        <v>1000</v>
      </c>
      <c r="BM43" s="170">
        <f>'PSB-Salaries &amp; Contractuals'!BN67</f>
        <v>1000</v>
      </c>
    </row>
    <row r="44" spans="2:65" x14ac:dyDescent="0.2">
      <c r="B44" s="151"/>
      <c r="C44" s="189"/>
      <c r="F44" s="169"/>
      <c r="G44" s="169"/>
      <c r="H44" s="169"/>
      <c r="I44" s="189"/>
      <c r="J44" s="189"/>
      <c r="K44" s="189"/>
      <c r="L44" s="189"/>
      <c r="M44" s="189"/>
      <c r="N44" s="189"/>
      <c r="O44" s="189"/>
      <c r="P44" s="189"/>
      <c r="Q44" s="188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8"/>
      <c r="AD44" s="169"/>
      <c r="AE44" s="169"/>
      <c r="AF44" s="169"/>
      <c r="AG44" s="189"/>
      <c r="AH44" s="189"/>
      <c r="AI44" s="189"/>
      <c r="AJ44" s="189"/>
      <c r="AK44" s="189"/>
      <c r="AL44" s="189"/>
      <c r="AM44" s="189"/>
      <c r="AN44" s="189"/>
      <c r="AO44" s="188"/>
      <c r="AP44" s="189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8"/>
      <c r="BB44" s="189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M44" s="188"/>
    </row>
    <row r="45" spans="2:65" x14ac:dyDescent="0.2">
      <c r="B45" s="151" t="s">
        <v>93</v>
      </c>
      <c r="C45" s="189"/>
      <c r="F45" s="169"/>
      <c r="G45" s="169"/>
      <c r="H45" s="169"/>
      <c r="I45" s="189"/>
      <c r="J45" s="189"/>
      <c r="K45" s="189"/>
      <c r="L45" s="189"/>
      <c r="M45" s="189"/>
      <c r="N45" s="189"/>
      <c r="O45" s="189"/>
      <c r="P45" s="189"/>
      <c r="Q45" s="188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8"/>
      <c r="AD45" s="169"/>
      <c r="AE45" s="169"/>
      <c r="AF45" s="169"/>
      <c r="AG45" s="189"/>
      <c r="AH45" s="189"/>
      <c r="AI45" s="189"/>
      <c r="AJ45" s="189"/>
      <c r="AK45" s="189"/>
      <c r="AL45" s="189"/>
      <c r="AM45" s="189"/>
      <c r="AN45" s="189"/>
      <c r="AO45" s="188"/>
      <c r="AP45" s="189"/>
      <c r="AQ45" s="189"/>
      <c r="AR45" s="189"/>
      <c r="AS45" s="189"/>
      <c r="AT45" s="189"/>
      <c r="AU45" s="189"/>
      <c r="AV45" s="189"/>
      <c r="AW45" s="189"/>
      <c r="AX45" s="189"/>
      <c r="AY45" s="189"/>
      <c r="AZ45" s="189"/>
      <c r="BA45" s="188"/>
      <c r="BB45" s="189"/>
      <c r="BC45" s="189"/>
      <c r="BD45" s="189"/>
      <c r="BE45" s="189"/>
      <c r="BF45" s="189"/>
      <c r="BG45" s="189"/>
      <c r="BH45" s="189"/>
      <c r="BI45" s="189"/>
      <c r="BJ45" s="189"/>
      <c r="BK45" s="189"/>
      <c r="BL45" s="189"/>
      <c r="BM45" s="188"/>
    </row>
    <row r="46" spans="2:65" x14ac:dyDescent="0.2">
      <c r="B46" s="152" t="s">
        <v>94</v>
      </c>
      <c r="C46" s="189"/>
      <c r="F46" s="169"/>
      <c r="G46" s="169"/>
      <c r="H46" s="169"/>
      <c r="I46" s="189"/>
      <c r="J46" s="189"/>
      <c r="K46" s="189"/>
      <c r="L46" s="189"/>
      <c r="M46" s="189"/>
      <c r="N46" s="189"/>
      <c r="O46" s="189"/>
      <c r="P46" s="188">
        <v>5202.7</v>
      </c>
      <c r="Q46" s="188">
        <v>1746</v>
      </c>
      <c r="R46" s="189">
        <v>1200</v>
      </c>
      <c r="S46" s="189">
        <v>1200</v>
      </c>
      <c r="T46" s="189">
        <v>1200</v>
      </c>
      <c r="U46" s="189">
        <f>5000+1200</f>
        <v>6200</v>
      </c>
      <c r="V46" s="189">
        <v>1200</v>
      </c>
      <c r="W46" s="189">
        <v>1200</v>
      </c>
      <c r="X46" s="189">
        <v>1200</v>
      </c>
      <c r="Y46" s="189">
        <v>1200</v>
      </c>
      <c r="Z46" s="189">
        <v>1200</v>
      </c>
      <c r="AA46" s="189">
        <v>1200</v>
      </c>
      <c r="AB46" s="189">
        <v>1200</v>
      </c>
      <c r="AC46" s="188">
        <v>1200</v>
      </c>
      <c r="AD46" s="189">
        <v>1200</v>
      </c>
      <c r="AE46" s="189">
        <v>1200</v>
      </c>
      <c r="AF46" s="189">
        <v>1200</v>
      </c>
      <c r="AG46" s="189">
        <f>5000+1200</f>
        <v>6200</v>
      </c>
      <c r="AH46" s="189">
        <f>5000+1200</f>
        <v>6200</v>
      </c>
      <c r="AI46" s="189">
        <v>1200</v>
      </c>
      <c r="AJ46" s="189">
        <v>1200</v>
      </c>
      <c r="AK46" s="189">
        <v>1200</v>
      </c>
      <c r="AL46" s="189">
        <v>1200</v>
      </c>
      <c r="AM46" s="189">
        <v>1200</v>
      </c>
      <c r="AN46" s="189">
        <v>1200</v>
      </c>
      <c r="AO46" s="188">
        <v>1200</v>
      </c>
      <c r="AP46" s="189">
        <v>1200</v>
      </c>
      <c r="AQ46" s="189">
        <v>1200</v>
      </c>
      <c r="AR46" s="189">
        <v>1200</v>
      </c>
      <c r="AS46" s="189">
        <f>5000+1200</f>
        <v>6200</v>
      </c>
      <c r="AT46" s="189">
        <v>1200</v>
      </c>
      <c r="AU46" s="189">
        <v>1200</v>
      </c>
      <c r="AV46" s="189">
        <v>1200</v>
      </c>
      <c r="AW46" s="189">
        <v>1200</v>
      </c>
      <c r="AX46" s="189">
        <v>1200</v>
      </c>
      <c r="AY46" s="189">
        <v>1200</v>
      </c>
      <c r="AZ46" s="189">
        <v>1200</v>
      </c>
      <c r="BA46" s="188">
        <v>1200</v>
      </c>
      <c r="BB46" s="189">
        <v>1200</v>
      </c>
      <c r="BC46" s="189">
        <v>1200</v>
      </c>
      <c r="BD46" s="189">
        <v>1200</v>
      </c>
      <c r="BE46" s="189">
        <f>5000+1200</f>
        <v>6200</v>
      </c>
      <c r="BF46" s="189">
        <v>1200</v>
      </c>
      <c r="BG46" s="189">
        <v>1200</v>
      </c>
      <c r="BH46" s="189">
        <v>1200</v>
      </c>
      <c r="BI46" s="189">
        <v>1200</v>
      </c>
      <c r="BJ46" s="189">
        <v>1200</v>
      </c>
      <c r="BK46" s="189">
        <v>1200</v>
      </c>
      <c r="BL46" s="189">
        <v>1200</v>
      </c>
      <c r="BM46" s="188">
        <v>1200</v>
      </c>
    </row>
    <row r="47" spans="2:65" x14ac:dyDescent="0.2">
      <c r="B47" s="152" t="s">
        <v>95</v>
      </c>
      <c r="C47" s="189"/>
      <c r="F47" s="169"/>
      <c r="G47" s="169"/>
      <c r="H47" s="169"/>
      <c r="I47" s="189"/>
      <c r="J47" s="189"/>
      <c r="K47" s="189"/>
      <c r="L47" s="169"/>
      <c r="M47" s="169"/>
      <c r="N47" s="169"/>
      <c r="O47" s="169"/>
      <c r="P47" s="169"/>
      <c r="Q47" s="170"/>
      <c r="R47" s="169">
        <v>500</v>
      </c>
      <c r="S47" s="169">
        <v>500</v>
      </c>
      <c r="T47" s="169">
        <v>500</v>
      </c>
      <c r="U47" s="169">
        <v>500</v>
      </c>
      <c r="V47" s="169">
        <v>500</v>
      </c>
      <c r="W47" s="169">
        <v>500</v>
      </c>
      <c r="X47" s="169">
        <v>500</v>
      </c>
      <c r="Y47" s="169">
        <v>500</v>
      </c>
      <c r="Z47" s="169">
        <v>500</v>
      </c>
      <c r="AA47" s="169">
        <v>500</v>
      </c>
      <c r="AB47" s="169">
        <v>500</v>
      </c>
      <c r="AC47" s="170">
        <v>500</v>
      </c>
      <c r="AD47" s="169">
        <v>500</v>
      </c>
      <c r="AE47" s="169">
        <v>500</v>
      </c>
      <c r="AF47" s="169">
        <v>500</v>
      </c>
      <c r="AG47" s="169">
        <v>500</v>
      </c>
      <c r="AH47" s="169">
        <v>500</v>
      </c>
      <c r="AI47" s="169">
        <v>500</v>
      </c>
      <c r="AJ47" s="169">
        <v>500</v>
      </c>
      <c r="AK47" s="169">
        <v>500</v>
      </c>
      <c r="AL47" s="169">
        <v>500</v>
      </c>
      <c r="AM47" s="169">
        <v>500</v>
      </c>
      <c r="AN47" s="169">
        <v>500</v>
      </c>
      <c r="AO47" s="170">
        <v>500</v>
      </c>
      <c r="AP47" s="169">
        <v>500</v>
      </c>
      <c r="AQ47" s="169">
        <v>500</v>
      </c>
      <c r="AR47" s="169">
        <v>500</v>
      </c>
      <c r="AS47" s="169">
        <v>500</v>
      </c>
      <c r="AT47" s="169">
        <v>500</v>
      </c>
      <c r="AU47" s="169">
        <v>500</v>
      </c>
      <c r="AV47" s="169">
        <v>500</v>
      </c>
      <c r="AW47" s="169">
        <v>500</v>
      </c>
      <c r="AX47" s="169">
        <v>500</v>
      </c>
      <c r="AY47" s="169">
        <v>500</v>
      </c>
      <c r="AZ47" s="169">
        <v>500</v>
      </c>
      <c r="BA47" s="170">
        <v>500</v>
      </c>
      <c r="BB47" s="169">
        <v>500</v>
      </c>
      <c r="BC47" s="169">
        <v>500</v>
      </c>
      <c r="BD47" s="169">
        <v>500</v>
      </c>
      <c r="BE47" s="169">
        <v>500</v>
      </c>
      <c r="BF47" s="169">
        <v>500</v>
      </c>
      <c r="BG47" s="169">
        <v>500</v>
      </c>
      <c r="BH47" s="169">
        <v>500</v>
      </c>
      <c r="BI47" s="169">
        <v>500</v>
      </c>
      <c r="BJ47" s="169">
        <v>500</v>
      </c>
      <c r="BK47" s="169">
        <v>500</v>
      </c>
      <c r="BL47" s="169">
        <v>500</v>
      </c>
      <c r="BM47" s="170">
        <v>500</v>
      </c>
    </row>
    <row r="48" spans="2:65" x14ac:dyDescent="0.2">
      <c r="B48" s="153" t="s">
        <v>54</v>
      </c>
      <c r="C48" s="189"/>
      <c r="F48" s="194"/>
      <c r="G48" s="194"/>
      <c r="H48" s="194"/>
      <c r="I48" s="194"/>
      <c r="J48" s="194"/>
      <c r="K48" s="194"/>
      <c r="L48" s="194"/>
      <c r="M48" s="169"/>
      <c r="N48" s="194"/>
      <c r="O48" s="194"/>
      <c r="P48" s="194"/>
      <c r="Q48" s="193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70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70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70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70"/>
    </row>
    <row r="49" spans="2:65" x14ac:dyDescent="0.2">
      <c r="B49" s="151"/>
      <c r="F49" s="169"/>
      <c r="G49" s="169"/>
      <c r="H49" s="169"/>
      <c r="I49" s="189"/>
      <c r="J49" s="189"/>
      <c r="K49" s="189"/>
      <c r="L49" s="189"/>
      <c r="M49" s="189"/>
      <c r="N49" s="189"/>
      <c r="O49" s="189"/>
      <c r="P49" s="189"/>
      <c r="Q49" s="188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8"/>
      <c r="AD49" s="169"/>
      <c r="AE49" s="169"/>
      <c r="AF49" s="169"/>
      <c r="AG49" s="189"/>
      <c r="AH49" s="189"/>
      <c r="AI49" s="189"/>
      <c r="AJ49" s="189"/>
      <c r="AK49" s="189"/>
      <c r="AL49" s="189"/>
      <c r="AM49" s="189"/>
      <c r="AN49" s="189"/>
      <c r="AO49" s="188"/>
      <c r="AP49" s="189"/>
      <c r="AQ49" s="189"/>
      <c r="AR49" s="189"/>
      <c r="AS49" s="189"/>
      <c r="AT49" s="189"/>
      <c r="AU49" s="189"/>
      <c r="AV49" s="189"/>
      <c r="AW49" s="189"/>
      <c r="AX49" s="189"/>
      <c r="AY49" s="189"/>
      <c r="AZ49" s="189"/>
      <c r="BA49" s="188"/>
      <c r="BB49" s="189"/>
      <c r="BC49" s="189"/>
      <c r="BD49" s="189"/>
      <c r="BE49" s="189"/>
      <c r="BF49" s="189"/>
      <c r="BG49" s="189"/>
      <c r="BH49" s="189"/>
      <c r="BI49" s="189"/>
      <c r="BJ49" s="189"/>
      <c r="BK49" s="189"/>
      <c r="BL49" s="189"/>
      <c r="BM49" s="188"/>
    </row>
    <row r="51" spans="2:65" x14ac:dyDescent="0.2">
      <c r="B51" s="151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8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8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8"/>
      <c r="AP51" s="189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  <c r="BA51" s="188"/>
      <c r="BB51" s="189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8"/>
    </row>
    <row r="52" spans="2:65" x14ac:dyDescent="0.2">
      <c r="B52" s="155" t="s">
        <v>12</v>
      </c>
      <c r="C52" s="11"/>
      <c r="D52" s="156"/>
      <c r="E52" s="156"/>
      <c r="F52" s="174">
        <f t="shared" ref="F52:BA52" si="46">SUM(F37:F49)</f>
        <v>0</v>
      </c>
      <c r="G52" s="174">
        <f t="shared" si="46"/>
        <v>0</v>
      </c>
      <c r="H52" s="174">
        <f t="shared" si="46"/>
        <v>0</v>
      </c>
      <c r="I52" s="174">
        <f t="shared" si="46"/>
        <v>0</v>
      </c>
      <c r="J52" s="174">
        <f t="shared" si="46"/>
        <v>0</v>
      </c>
      <c r="K52" s="174">
        <f t="shared" si="46"/>
        <v>0</v>
      </c>
      <c r="L52" s="174">
        <f t="shared" si="46"/>
        <v>0</v>
      </c>
      <c r="M52" s="174">
        <f t="shared" si="46"/>
        <v>0</v>
      </c>
      <c r="N52" s="174">
        <f t="shared" si="46"/>
        <v>0</v>
      </c>
      <c r="O52" s="174">
        <f t="shared" si="46"/>
        <v>0</v>
      </c>
      <c r="P52" s="174">
        <f t="shared" si="46"/>
        <v>93982.13</v>
      </c>
      <c r="Q52" s="102">
        <f t="shared" si="46"/>
        <v>93622.26999999999</v>
      </c>
      <c r="R52" s="174">
        <f t="shared" si="46"/>
        <v>97364.040000000008</v>
      </c>
      <c r="S52" s="174">
        <f t="shared" si="46"/>
        <v>98744.5815</v>
      </c>
      <c r="T52" s="174">
        <f t="shared" si="46"/>
        <v>93896.10149999999</v>
      </c>
      <c r="U52" s="174">
        <f t="shared" si="46"/>
        <v>82648.060249999995</v>
      </c>
      <c r="V52" s="174">
        <f t="shared" si="46"/>
        <v>61099.810249999995</v>
      </c>
      <c r="W52" s="174">
        <f t="shared" si="46"/>
        <v>61099.810249999995</v>
      </c>
      <c r="X52" s="174">
        <f t="shared" si="46"/>
        <v>61099.810249999995</v>
      </c>
      <c r="Y52" s="174">
        <f t="shared" si="46"/>
        <v>56109.916249999995</v>
      </c>
      <c r="Z52" s="174">
        <f t="shared" si="46"/>
        <v>68319.916249999995</v>
      </c>
      <c r="AA52" s="174">
        <f t="shared" si="46"/>
        <v>75743.041249999995</v>
      </c>
      <c r="AB52" s="174">
        <f t="shared" si="46"/>
        <v>75743.041249999995</v>
      </c>
      <c r="AC52" s="102">
        <f t="shared" si="46"/>
        <v>75743.041249999995</v>
      </c>
      <c r="AD52" s="174">
        <f t="shared" si="46"/>
        <v>91549.117500000022</v>
      </c>
      <c r="AE52" s="174">
        <f t="shared" si="46"/>
        <v>91549.117500000022</v>
      </c>
      <c r="AF52" s="174">
        <f t="shared" si="46"/>
        <v>91549.117500000022</v>
      </c>
      <c r="AG52" s="174">
        <f t="shared" si="46"/>
        <v>96549.117500000022</v>
      </c>
      <c r="AH52" s="174">
        <f t="shared" si="46"/>
        <v>96549.117500000022</v>
      </c>
      <c r="AI52" s="174">
        <f t="shared" si="46"/>
        <v>96127.867500000022</v>
      </c>
      <c r="AJ52" s="174">
        <f t="shared" si="46"/>
        <v>96127.867500000022</v>
      </c>
      <c r="AK52" s="174">
        <f t="shared" si="46"/>
        <v>96127.867500000022</v>
      </c>
      <c r="AL52" s="174">
        <f t="shared" si="46"/>
        <v>96127.867500000022</v>
      </c>
      <c r="AM52" s="174">
        <f t="shared" si="46"/>
        <v>96127.867500000022</v>
      </c>
      <c r="AN52" s="174">
        <f t="shared" si="46"/>
        <v>96127.867500000022</v>
      </c>
      <c r="AO52" s="102">
        <f t="shared" si="46"/>
        <v>96127.867500000022</v>
      </c>
      <c r="AP52" s="174">
        <f t="shared" si="46"/>
        <v>108990.96375000001</v>
      </c>
      <c r="AQ52" s="174">
        <f t="shared" si="46"/>
        <v>108990.96375000001</v>
      </c>
      <c r="AR52" s="174">
        <f t="shared" si="46"/>
        <v>108990.96375000001</v>
      </c>
      <c r="AS52" s="174">
        <f t="shared" si="46"/>
        <v>113990.96375000001</v>
      </c>
      <c r="AT52" s="174">
        <f t="shared" si="46"/>
        <v>108990.96375000001</v>
      </c>
      <c r="AU52" s="174">
        <f t="shared" si="46"/>
        <v>108990.96375000001</v>
      </c>
      <c r="AV52" s="174">
        <f t="shared" si="46"/>
        <v>113777.83875000001</v>
      </c>
      <c r="AW52" s="174">
        <f t="shared" si="46"/>
        <v>117607.33875000001</v>
      </c>
      <c r="AX52" s="174">
        <f t="shared" si="46"/>
        <v>117607.33875000001</v>
      </c>
      <c r="AY52" s="174">
        <f t="shared" si="46"/>
        <v>117607.33875000001</v>
      </c>
      <c r="AZ52" s="174">
        <f t="shared" si="46"/>
        <v>117607.33875000001</v>
      </c>
      <c r="BA52" s="102">
        <f t="shared" si="46"/>
        <v>117607.33875000001</v>
      </c>
      <c r="BB52" s="174">
        <f t="shared" ref="BB52:BM52" si="47">SUM(BB37:BB49)</f>
        <v>108990.96375000001</v>
      </c>
      <c r="BC52" s="174">
        <f t="shared" si="47"/>
        <v>108990.96375000001</v>
      </c>
      <c r="BD52" s="174">
        <f t="shared" si="47"/>
        <v>108990.96375000001</v>
      </c>
      <c r="BE52" s="174">
        <f t="shared" si="47"/>
        <v>113990.96375000001</v>
      </c>
      <c r="BF52" s="174">
        <f t="shared" si="47"/>
        <v>108990.96375000001</v>
      </c>
      <c r="BG52" s="174">
        <f t="shared" si="47"/>
        <v>108990.96375000001</v>
      </c>
      <c r="BH52" s="174">
        <f t="shared" si="47"/>
        <v>113777.83875000001</v>
      </c>
      <c r="BI52" s="174">
        <f t="shared" si="47"/>
        <v>117607.33875000001</v>
      </c>
      <c r="BJ52" s="174">
        <f t="shared" si="47"/>
        <v>117607.33875000001</v>
      </c>
      <c r="BK52" s="174">
        <f t="shared" si="47"/>
        <v>117607.33875000001</v>
      </c>
      <c r="BL52" s="174">
        <f t="shared" si="47"/>
        <v>117607.33875000001</v>
      </c>
      <c r="BM52" s="102">
        <f t="shared" si="47"/>
        <v>117607.33875000001</v>
      </c>
    </row>
    <row r="53" spans="2:65" x14ac:dyDescent="0.2">
      <c r="B53" s="157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8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8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8"/>
      <c r="AP53" s="189"/>
      <c r="AQ53" s="189"/>
      <c r="AR53" s="189"/>
      <c r="AS53" s="189"/>
      <c r="AT53" s="189"/>
      <c r="AU53" s="189"/>
      <c r="AV53" s="189"/>
      <c r="AW53" s="189"/>
      <c r="AX53" s="189"/>
      <c r="AY53" s="189"/>
      <c r="AZ53" s="189"/>
      <c r="BA53" s="188"/>
      <c r="BB53" s="189"/>
      <c r="BC53" s="189"/>
      <c r="BD53" s="189"/>
      <c r="BE53" s="189"/>
      <c r="BF53" s="189"/>
      <c r="BG53" s="189"/>
      <c r="BH53" s="189"/>
      <c r="BI53" s="189"/>
      <c r="BJ53" s="189"/>
      <c r="BK53" s="189"/>
      <c r="BL53" s="189"/>
      <c r="BM53" s="188"/>
    </row>
    <row r="54" spans="2:65" x14ac:dyDescent="0.2">
      <c r="B54" s="483" t="s">
        <v>5</v>
      </c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386">
        <v>0</v>
      </c>
      <c r="Q54" s="387">
        <v>0</v>
      </c>
      <c r="R54" s="169">
        <v>0</v>
      </c>
      <c r="S54" s="169">
        <v>0</v>
      </c>
      <c r="T54" s="169">
        <v>0</v>
      </c>
      <c r="U54" s="169">
        <v>0</v>
      </c>
      <c r="V54" s="169">
        <v>0</v>
      </c>
      <c r="W54" s="169">
        <v>0</v>
      </c>
      <c r="X54" s="169">
        <v>0</v>
      </c>
      <c r="Y54" s="169">
        <v>0</v>
      </c>
      <c r="Z54" s="169">
        <v>0</v>
      </c>
      <c r="AA54" s="169">
        <v>0</v>
      </c>
      <c r="AB54" s="169">
        <v>0</v>
      </c>
      <c r="AC54" s="170">
        <v>0</v>
      </c>
      <c r="AD54" s="169">
        <v>0</v>
      </c>
      <c r="AE54" s="169">
        <v>0</v>
      </c>
      <c r="AF54" s="169">
        <v>0</v>
      </c>
      <c r="AG54" s="169">
        <v>0</v>
      </c>
      <c r="AH54" s="169">
        <v>0</v>
      </c>
      <c r="AI54" s="169">
        <v>0</v>
      </c>
      <c r="AJ54" s="169">
        <v>0</v>
      </c>
      <c r="AK54" s="169">
        <v>0</v>
      </c>
      <c r="AL54" s="169">
        <v>0</v>
      </c>
      <c r="AM54" s="169">
        <v>0</v>
      </c>
      <c r="AN54" s="169">
        <v>0</v>
      </c>
      <c r="AO54" s="170">
        <v>0</v>
      </c>
      <c r="AP54" s="169">
        <v>0</v>
      </c>
      <c r="AQ54" s="169">
        <v>0</v>
      </c>
      <c r="AR54" s="169">
        <v>0</v>
      </c>
      <c r="AS54" s="169">
        <v>0</v>
      </c>
      <c r="AT54" s="169">
        <v>0</v>
      </c>
      <c r="AU54" s="169">
        <v>0</v>
      </c>
      <c r="AV54" s="169">
        <v>0</v>
      </c>
      <c r="AW54" s="169">
        <v>0</v>
      </c>
      <c r="AX54" s="169">
        <v>0</v>
      </c>
      <c r="AY54" s="169">
        <v>0</v>
      </c>
      <c r="AZ54" s="169">
        <v>0</v>
      </c>
      <c r="BA54" s="170">
        <v>0</v>
      </c>
      <c r="BB54" s="169">
        <v>0</v>
      </c>
      <c r="BC54" s="169">
        <v>0</v>
      </c>
      <c r="BD54" s="169">
        <v>0</v>
      </c>
      <c r="BE54" s="169">
        <v>0</v>
      </c>
      <c r="BF54" s="169">
        <v>0</v>
      </c>
      <c r="BG54" s="169">
        <v>0</v>
      </c>
      <c r="BH54" s="169">
        <v>0</v>
      </c>
      <c r="BI54" s="169">
        <v>0</v>
      </c>
      <c r="BJ54" s="169">
        <v>0</v>
      </c>
      <c r="BK54" s="169">
        <v>0</v>
      </c>
      <c r="BL54" s="169">
        <v>0</v>
      </c>
      <c r="BM54" s="170">
        <v>0</v>
      </c>
    </row>
    <row r="55" spans="2:65" x14ac:dyDescent="0.2">
      <c r="B55" s="483" t="s">
        <v>132</v>
      </c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70"/>
      <c r="R55" s="169">
        <v>0</v>
      </c>
      <c r="S55" s="169">
        <v>0</v>
      </c>
      <c r="T55" s="169">
        <v>0</v>
      </c>
      <c r="U55" s="169">
        <v>0</v>
      </c>
      <c r="V55" s="169">
        <v>0</v>
      </c>
      <c r="W55" s="169">
        <v>0</v>
      </c>
      <c r="X55" s="169">
        <v>0</v>
      </c>
      <c r="Y55" s="169">
        <v>0</v>
      </c>
      <c r="Z55" s="169">
        <v>0</v>
      </c>
      <c r="AA55" s="169">
        <v>0</v>
      </c>
      <c r="AB55" s="169">
        <v>0</v>
      </c>
      <c r="AC55" s="170">
        <v>0</v>
      </c>
      <c r="AD55" s="169">
        <v>0</v>
      </c>
      <c r="AE55" s="169">
        <v>0</v>
      </c>
      <c r="AF55" s="169">
        <v>0</v>
      </c>
      <c r="AG55" s="169">
        <v>0</v>
      </c>
      <c r="AH55" s="169">
        <v>0</v>
      </c>
      <c r="AI55" s="169">
        <v>0</v>
      </c>
      <c r="AJ55" s="169">
        <v>0</v>
      </c>
      <c r="AK55" s="169">
        <v>0</v>
      </c>
      <c r="AL55" s="169">
        <v>0</v>
      </c>
      <c r="AM55" s="169">
        <v>0</v>
      </c>
      <c r="AN55" s="169">
        <v>0</v>
      </c>
      <c r="AO55" s="170">
        <v>0</v>
      </c>
      <c r="AP55" s="169">
        <v>0</v>
      </c>
      <c r="AQ55" s="169">
        <v>0</v>
      </c>
      <c r="AR55" s="169">
        <v>0</v>
      </c>
      <c r="AS55" s="169">
        <v>0</v>
      </c>
      <c r="AT55" s="169">
        <v>0</v>
      </c>
      <c r="AU55" s="169">
        <v>0</v>
      </c>
      <c r="AV55" s="169">
        <v>0</v>
      </c>
      <c r="AW55" s="169">
        <v>0</v>
      </c>
      <c r="AX55" s="169">
        <v>0</v>
      </c>
      <c r="AY55" s="169">
        <v>0</v>
      </c>
      <c r="AZ55" s="169">
        <v>0</v>
      </c>
      <c r="BA55" s="170">
        <v>0</v>
      </c>
      <c r="BB55" s="169">
        <v>0</v>
      </c>
      <c r="BC55" s="169">
        <v>0</v>
      </c>
      <c r="BD55" s="169">
        <v>0</v>
      </c>
      <c r="BE55" s="169">
        <v>0</v>
      </c>
      <c r="BF55" s="169">
        <v>0</v>
      </c>
      <c r="BG55" s="169">
        <v>0</v>
      </c>
      <c r="BH55" s="169">
        <v>0</v>
      </c>
      <c r="BI55" s="169">
        <v>0</v>
      </c>
      <c r="BJ55" s="169">
        <v>0</v>
      </c>
      <c r="BK55" s="169">
        <v>0</v>
      </c>
      <c r="BL55" s="169">
        <v>0</v>
      </c>
      <c r="BM55" s="170">
        <v>0</v>
      </c>
    </row>
    <row r="56" spans="2:65" x14ac:dyDescent="0.2">
      <c r="B56" s="483" t="s">
        <v>43</v>
      </c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70"/>
      <c r="R56" s="169">
        <v>0</v>
      </c>
      <c r="S56" s="169">
        <v>0</v>
      </c>
      <c r="T56" s="169">
        <v>0</v>
      </c>
      <c r="U56" s="169">
        <v>0</v>
      </c>
      <c r="V56" s="169">
        <v>0</v>
      </c>
      <c r="W56" s="169">
        <v>0</v>
      </c>
      <c r="X56" s="169">
        <v>0</v>
      </c>
      <c r="Y56" s="169">
        <v>0</v>
      </c>
      <c r="Z56" s="169">
        <v>0</v>
      </c>
      <c r="AA56" s="169">
        <v>0</v>
      </c>
      <c r="AB56" s="169">
        <v>0</v>
      </c>
      <c r="AC56" s="170">
        <v>0</v>
      </c>
      <c r="AD56" s="169">
        <v>750</v>
      </c>
      <c r="AE56" s="169">
        <v>750</v>
      </c>
      <c r="AF56" s="169">
        <v>750</v>
      </c>
      <c r="AG56" s="169">
        <v>750</v>
      </c>
      <c r="AH56" s="169">
        <v>750</v>
      </c>
      <c r="AI56" s="169">
        <v>750</v>
      </c>
      <c r="AJ56" s="169">
        <v>750</v>
      </c>
      <c r="AK56" s="169">
        <v>750</v>
      </c>
      <c r="AL56" s="169">
        <v>750</v>
      </c>
      <c r="AM56" s="169">
        <v>750</v>
      </c>
      <c r="AN56" s="169">
        <v>750</v>
      </c>
      <c r="AO56" s="170">
        <v>750</v>
      </c>
      <c r="AP56" s="169">
        <v>750</v>
      </c>
      <c r="AQ56" s="169">
        <v>750</v>
      </c>
      <c r="AR56" s="169">
        <v>750</v>
      </c>
      <c r="AS56" s="169">
        <v>750</v>
      </c>
      <c r="AT56" s="169">
        <v>750</v>
      </c>
      <c r="AU56" s="169">
        <v>750</v>
      </c>
      <c r="AV56" s="169">
        <v>750</v>
      </c>
      <c r="AW56" s="169">
        <v>750</v>
      </c>
      <c r="AX56" s="169">
        <v>750</v>
      </c>
      <c r="AY56" s="169">
        <v>750</v>
      </c>
      <c r="AZ56" s="169">
        <v>750</v>
      </c>
      <c r="BA56" s="170">
        <v>750</v>
      </c>
      <c r="BB56" s="169">
        <v>750</v>
      </c>
      <c r="BC56" s="169">
        <v>750</v>
      </c>
      <c r="BD56" s="169">
        <v>750</v>
      </c>
      <c r="BE56" s="169">
        <v>750</v>
      </c>
      <c r="BF56" s="169">
        <v>750</v>
      </c>
      <c r="BG56" s="169">
        <v>750</v>
      </c>
      <c r="BH56" s="169">
        <v>750</v>
      </c>
      <c r="BI56" s="169">
        <v>750</v>
      </c>
      <c r="BJ56" s="169">
        <v>750</v>
      </c>
      <c r="BK56" s="169">
        <v>750</v>
      </c>
      <c r="BL56" s="169">
        <v>750</v>
      </c>
      <c r="BM56" s="170">
        <v>750</v>
      </c>
    </row>
    <row r="57" spans="2:65" x14ac:dyDescent="0.2">
      <c r="B57" s="157" t="s">
        <v>44</v>
      </c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386">
        <v>675</v>
      </c>
      <c r="Q57" s="387"/>
      <c r="R57" s="169">
        <v>250</v>
      </c>
      <c r="S57" s="169">
        <v>250</v>
      </c>
      <c r="T57" s="169">
        <v>250</v>
      </c>
      <c r="U57" s="169">
        <v>250</v>
      </c>
      <c r="V57" s="169">
        <v>250</v>
      </c>
      <c r="W57" s="169">
        <v>250</v>
      </c>
      <c r="X57" s="169">
        <v>250</v>
      </c>
      <c r="Y57" s="169">
        <v>250</v>
      </c>
      <c r="Z57" s="169">
        <v>250</v>
      </c>
      <c r="AA57" s="169">
        <v>250</v>
      </c>
      <c r="AB57" s="169">
        <v>250</v>
      </c>
      <c r="AC57" s="170">
        <v>250</v>
      </c>
      <c r="AD57" s="169">
        <v>250</v>
      </c>
      <c r="AE57" s="169">
        <v>250</v>
      </c>
      <c r="AF57" s="169">
        <v>250</v>
      </c>
      <c r="AG57" s="169">
        <v>250</v>
      </c>
      <c r="AH57" s="169">
        <v>250</v>
      </c>
      <c r="AI57" s="169">
        <v>250</v>
      </c>
      <c r="AJ57" s="169">
        <v>250</v>
      </c>
      <c r="AK57" s="169">
        <v>250</v>
      </c>
      <c r="AL57" s="169">
        <v>250</v>
      </c>
      <c r="AM57" s="169">
        <v>250</v>
      </c>
      <c r="AN57" s="169">
        <v>250</v>
      </c>
      <c r="AO57" s="170">
        <v>250</v>
      </c>
      <c r="AP57" s="169">
        <v>250</v>
      </c>
      <c r="AQ57" s="169">
        <v>250</v>
      </c>
      <c r="AR57" s="169">
        <v>250</v>
      </c>
      <c r="AS57" s="169">
        <v>250</v>
      </c>
      <c r="AT57" s="169">
        <v>250</v>
      </c>
      <c r="AU57" s="169">
        <v>250</v>
      </c>
      <c r="AV57" s="169">
        <v>250</v>
      </c>
      <c r="AW57" s="169">
        <v>250</v>
      </c>
      <c r="AX57" s="169">
        <v>250</v>
      </c>
      <c r="AY57" s="169">
        <v>250</v>
      </c>
      <c r="AZ57" s="169">
        <v>250</v>
      </c>
      <c r="BA57" s="170">
        <v>250</v>
      </c>
      <c r="BB57" s="169">
        <v>250</v>
      </c>
      <c r="BC57" s="169">
        <v>250</v>
      </c>
      <c r="BD57" s="169">
        <v>250</v>
      </c>
      <c r="BE57" s="169">
        <v>250</v>
      </c>
      <c r="BF57" s="169">
        <v>250</v>
      </c>
      <c r="BG57" s="169">
        <v>250</v>
      </c>
      <c r="BH57" s="169">
        <v>250</v>
      </c>
      <c r="BI57" s="169">
        <v>250</v>
      </c>
      <c r="BJ57" s="169">
        <v>250</v>
      </c>
      <c r="BK57" s="169">
        <v>250</v>
      </c>
      <c r="BL57" s="169">
        <v>250</v>
      </c>
      <c r="BM57" s="170">
        <v>250</v>
      </c>
    </row>
    <row r="58" spans="2:65" x14ac:dyDescent="0.2">
      <c r="B58" s="157" t="s">
        <v>45</v>
      </c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386">
        <v>-82.62</v>
      </c>
      <c r="Q58" s="387">
        <v>-77.930000000000007</v>
      </c>
      <c r="R58" s="169">
        <v>0</v>
      </c>
      <c r="S58" s="169">
        <v>0</v>
      </c>
      <c r="T58" s="169">
        <v>0</v>
      </c>
      <c r="U58" s="169">
        <v>0</v>
      </c>
      <c r="V58" s="169">
        <v>0</v>
      </c>
      <c r="W58" s="169">
        <v>0</v>
      </c>
      <c r="X58" s="169">
        <v>0</v>
      </c>
      <c r="Y58" s="169">
        <v>0</v>
      </c>
      <c r="Z58" s="169">
        <v>0</v>
      </c>
      <c r="AA58" s="169">
        <v>0</v>
      </c>
      <c r="AB58" s="169">
        <v>0</v>
      </c>
      <c r="AC58" s="170">
        <v>0</v>
      </c>
      <c r="AD58" s="169">
        <v>0</v>
      </c>
      <c r="AE58" s="169">
        <v>0</v>
      </c>
      <c r="AF58" s="169">
        <v>0</v>
      </c>
      <c r="AG58" s="169">
        <v>0</v>
      </c>
      <c r="AH58" s="169">
        <v>0</v>
      </c>
      <c r="AI58" s="169">
        <v>0</v>
      </c>
      <c r="AJ58" s="169">
        <v>0</v>
      </c>
      <c r="AK58" s="169">
        <v>0</v>
      </c>
      <c r="AL58" s="169">
        <v>0</v>
      </c>
      <c r="AM58" s="169">
        <v>0</v>
      </c>
      <c r="AN58" s="169">
        <v>0</v>
      </c>
      <c r="AO58" s="170">
        <v>0</v>
      </c>
      <c r="AP58" s="169">
        <v>0</v>
      </c>
      <c r="AQ58" s="169">
        <v>0</v>
      </c>
      <c r="AR58" s="169">
        <v>0</v>
      </c>
      <c r="AS58" s="169">
        <v>0</v>
      </c>
      <c r="AT58" s="169">
        <v>0</v>
      </c>
      <c r="AU58" s="169">
        <v>0</v>
      </c>
      <c r="AV58" s="169">
        <v>0</v>
      </c>
      <c r="AW58" s="169">
        <v>0</v>
      </c>
      <c r="AX58" s="169">
        <v>0</v>
      </c>
      <c r="AY58" s="169">
        <v>0</v>
      </c>
      <c r="AZ58" s="169">
        <v>0</v>
      </c>
      <c r="BA58" s="170">
        <v>0</v>
      </c>
      <c r="BB58" s="169">
        <v>0</v>
      </c>
      <c r="BC58" s="169">
        <v>0</v>
      </c>
      <c r="BD58" s="169">
        <v>0</v>
      </c>
      <c r="BE58" s="169">
        <v>0</v>
      </c>
      <c r="BF58" s="169">
        <v>0</v>
      </c>
      <c r="BG58" s="169">
        <v>0</v>
      </c>
      <c r="BH58" s="169">
        <v>0</v>
      </c>
      <c r="BI58" s="169">
        <v>0</v>
      </c>
      <c r="BJ58" s="169">
        <v>0</v>
      </c>
      <c r="BK58" s="169">
        <v>0</v>
      </c>
      <c r="BL58" s="169">
        <v>0</v>
      </c>
      <c r="BM58" s="170">
        <v>0</v>
      </c>
    </row>
    <row r="59" spans="2:65" x14ac:dyDescent="0.2">
      <c r="B59" s="157" t="s">
        <v>96</v>
      </c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386"/>
      <c r="Q59" s="387"/>
      <c r="R59" s="169">
        <f t="shared" ref="R59:BA59" si="48">Q59/7</f>
        <v>0</v>
      </c>
      <c r="S59" s="169">
        <f t="shared" si="48"/>
        <v>0</v>
      </c>
      <c r="T59" s="169">
        <f t="shared" si="48"/>
        <v>0</v>
      </c>
      <c r="U59" s="169">
        <f t="shared" si="48"/>
        <v>0</v>
      </c>
      <c r="V59" s="169">
        <f t="shared" si="48"/>
        <v>0</v>
      </c>
      <c r="W59" s="169">
        <f t="shared" si="48"/>
        <v>0</v>
      </c>
      <c r="X59" s="169">
        <f t="shared" si="48"/>
        <v>0</v>
      </c>
      <c r="Y59" s="169">
        <f t="shared" si="48"/>
        <v>0</v>
      </c>
      <c r="Z59" s="169">
        <f t="shared" si="48"/>
        <v>0</v>
      </c>
      <c r="AA59" s="169">
        <f t="shared" si="48"/>
        <v>0</v>
      </c>
      <c r="AB59" s="169">
        <f t="shared" si="48"/>
        <v>0</v>
      </c>
      <c r="AC59" s="170">
        <f t="shared" si="48"/>
        <v>0</v>
      </c>
      <c r="AD59" s="169">
        <f t="shared" si="48"/>
        <v>0</v>
      </c>
      <c r="AE59" s="169">
        <f t="shared" si="48"/>
        <v>0</v>
      </c>
      <c r="AF59" s="169">
        <f t="shared" si="48"/>
        <v>0</v>
      </c>
      <c r="AG59" s="169">
        <f t="shared" si="48"/>
        <v>0</v>
      </c>
      <c r="AH59" s="169">
        <f t="shared" si="48"/>
        <v>0</v>
      </c>
      <c r="AI59" s="169">
        <f t="shared" si="48"/>
        <v>0</v>
      </c>
      <c r="AJ59" s="169">
        <f t="shared" si="48"/>
        <v>0</v>
      </c>
      <c r="AK59" s="169">
        <f t="shared" si="48"/>
        <v>0</v>
      </c>
      <c r="AL59" s="169">
        <f t="shared" si="48"/>
        <v>0</v>
      </c>
      <c r="AM59" s="169">
        <f t="shared" si="48"/>
        <v>0</v>
      </c>
      <c r="AN59" s="169">
        <f t="shared" si="48"/>
        <v>0</v>
      </c>
      <c r="AO59" s="170">
        <f t="shared" si="48"/>
        <v>0</v>
      </c>
      <c r="AP59" s="169">
        <f t="shared" si="48"/>
        <v>0</v>
      </c>
      <c r="AQ59" s="169">
        <f t="shared" si="48"/>
        <v>0</v>
      </c>
      <c r="AR59" s="169">
        <f t="shared" si="48"/>
        <v>0</v>
      </c>
      <c r="AS59" s="169">
        <f t="shared" si="48"/>
        <v>0</v>
      </c>
      <c r="AT59" s="169">
        <f t="shared" si="48"/>
        <v>0</v>
      </c>
      <c r="AU59" s="169">
        <f t="shared" si="48"/>
        <v>0</v>
      </c>
      <c r="AV59" s="169">
        <f t="shared" si="48"/>
        <v>0</v>
      </c>
      <c r="AW59" s="169">
        <f t="shared" si="48"/>
        <v>0</v>
      </c>
      <c r="AX59" s="169">
        <f t="shared" si="48"/>
        <v>0</v>
      </c>
      <c r="AY59" s="169">
        <f t="shared" si="48"/>
        <v>0</v>
      </c>
      <c r="AZ59" s="169">
        <f t="shared" si="48"/>
        <v>0</v>
      </c>
      <c r="BA59" s="170">
        <f t="shared" si="48"/>
        <v>0</v>
      </c>
      <c r="BB59" s="169">
        <f t="shared" ref="BB59" si="49">BA59/7</f>
        <v>0</v>
      </c>
      <c r="BC59" s="169">
        <f t="shared" ref="BC59" si="50">BB59/7</f>
        <v>0</v>
      </c>
      <c r="BD59" s="169">
        <f t="shared" ref="BD59" si="51">BC59/7</f>
        <v>0</v>
      </c>
      <c r="BE59" s="169">
        <f t="shared" ref="BE59" si="52">BD59/7</f>
        <v>0</v>
      </c>
      <c r="BF59" s="169">
        <f t="shared" ref="BF59" si="53">BE59/7</f>
        <v>0</v>
      </c>
      <c r="BG59" s="169">
        <f t="shared" ref="BG59" si="54">BF59/7</f>
        <v>0</v>
      </c>
      <c r="BH59" s="169">
        <f t="shared" ref="BH59" si="55">BG59/7</f>
        <v>0</v>
      </c>
      <c r="BI59" s="169">
        <f t="shared" ref="BI59" si="56">BH59/7</f>
        <v>0</v>
      </c>
      <c r="BJ59" s="169">
        <f t="shared" ref="BJ59" si="57">BI59/7</f>
        <v>0</v>
      </c>
      <c r="BK59" s="169">
        <f t="shared" ref="BK59" si="58">BJ59/7</f>
        <v>0</v>
      </c>
      <c r="BL59" s="169">
        <f t="shared" ref="BL59" si="59">BK59/7</f>
        <v>0</v>
      </c>
      <c r="BM59" s="170">
        <f t="shared" ref="BM59" si="60">BL59/7</f>
        <v>0</v>
      </c>
    </row>
    <row r="60" spans="2:65" x14ac:dyDescent="0.2">
      <c r="B60" s="157" t="s">
        <v>46</v>
      </c>
      <c r="F60" s="189"/>
      <c r="G60" s="189"/>
      <c r="H60" s="189"/>
      <c r="I60" s="189"/>
      <c r="J60" s="189"/>
      <c r="K60" s="189"/>
      <c r="L60" s="189"/>
      <c r="M60" s="169"/>
      <c r="N60" s="189"/>
      <c r="O60" s="189"/>
      <c r="P60" s="378"/>
      <c r="Q60" s="379"/>
      <c r="R60" s="169">
        <v>0</v>
      </c>
      <c r="S60" s="169">
        <v>0</v>
      </c>
      <c r="T60" s="169">
        <v>0</v>
      </c>
      <c r="U60" s="169">
        <v>0</v>
      </c>
      <c r="V60" s="169">
        <v>0</v>
      </c>
      <c r="W60" s="169">
        <v>0</v>
      </c>
      <c r="X60" s="169">
        <v>0</v>
      </c>
      <c r="Y60" s="169">
        <v>0</v>
      </c>
      <c r="Z60" s="169">
        <v>0</v>
      </c>
      <c r="AA60" s="169">
        <v>0</v>
      </c>
      <c r="AB60" s="169">
        <v>0</v>
      </c>
      <c r="AC60" s="170">
        <v>0</v>
      </c>
      <c r="AD60" s="169">
        <v>0</v>
      </c>
      <c r="AE60" s="169">
        <v>0</v>
      </c>
      <c r="AF60" s="169">
        <v>0</v>
      </c>
      <c r="AG60" s="169">
        <v>0</v>
      </c>
      <c r="AH60" s="169">
        <v>0</v>
      </c>
      <c r="AI60" s="169">
        <v>0</v>
      </c>
      <c r="AJ60" s="169">
        <v>0</v>
      </c>
      <c r="AK60" s="169">
        <v>0</v>
      </c>
      <c r="AL60" s="169">
        <v>0</v>
      </c>
      <c r="AM60" s="169">
        <v>0</v>
      </c>
      <c r="AN60" s="169">
        <v>0</v>
      </c>
      <c r="AO60" s="170">
        <v>0</v>
      </c>
      <c r="AP60" s="169">
        <v>0</v>
      </c>
      <c r="AQ60" s="169">
        <v>0</v>
      </c>
      <c r="AR60" s="169">
        <v>0</v>
      </c>
      <c r="AS60" s="169">
        <v>0</v>
      </c>
      <c r="AT60" s="169">
        <v>0</v>
      </c>
      <c r="AU60" s="169">
        <v>0</v>
      </c>
      <c r="AV60" s="169">
        <v>0</v>
      </c>
      <c r="AW60" s="169">
        <v>0</v>
      </c>
      <c r="AX60" s="169">
        <v>0</v>
      </c>
      <c r="AY60" s="169">
        <v>0</v>
      </c>
      <c r="AZ60" s="169">
        <v>0</v>
      </c>
      <c r="BA60" s="170">
        <v>0</v>
      </c>
      <c r="BB60" s="169">
        <v>0</v>
      </c>
      <c r="BC60" s="169">
        <v>0</v>
      </c>
      <c r="BD60" s="169">
        <v>0</v>
      </c>
      <c r="BE60" s="169">
        <v>0</v>
      </c>
      <c r="BF60" s="169">
        <v>0</v>
      </c>
      <c r="BG60" s="169">
        <v>0</v>
      </c>
      <c r="BH60" s="169">
        <v>0</v>
      </c>
      <c r="BI60" s="169">
        <v>0</v>
      </c>
      <c r="BJ60" s="169">
        <v>0</v>
      </c>
      <c r="BK60" s="169">
        <v>0</v>
      </c>
      <c r="BL60" s="169">
        <v>0</v>
      </c>
      <c r="BM60" s="170">
        <v>0</v>
      </c>
    </row>
    <row r="61" spans="2:65" x14ac:dyDescent="0.2">
      <c r="B61" s="483" t="s">
        <v>333</v>
      </c>
      <c r="F61" s="189"/>
      <c r="G61" s="189"/>
      <c r="H61" s="189"/>
      <c r="I61" s="189"/>
      <c r="J61" s="189"/>
      <c r="K61" s="189"/>
      <c r="L61" s="189"/>
      <c r="M61" s="169"/>
      <c r="N61" s="189"/>
      <c r="O61" s="189"/>
      <c r="P61" s="378"/>
      <c r="Q61" s="379"/>
      <c r="R61" s="169"/>
      <c r="S61" s="169"/>
      <c r="T61" s="169"/>
      <c r="U61" s="169"/>
      <c r="V61" s="169">
        <v>3000</v>
      </c>
      <c r="W61" s="169">
        <v>3000</v>
      </c>
      <c r="X61" s="169">
        <v>3000</v>
      </c>
      <c r="Y61" s="169">
        <v>3000</v>
      </c>
      <c r="Z61" s="169">
        <v>3000</v>
      </c>
      <c r="AA61" s="169">
        <v>3000</v>
      </c>
      <c r="AB61" s="169">
        <v>3000</v>
      </c>
      <c r="AC61" s="170">
        <v>3000</v>
      </c>
      <c r="AD61" s="169">
        <v>3000</v>
      </c>
      <c r="AE61" s="169">
        <v>3000</v>
      </c>
      <c r="AF61" s="169">
        <v>3000</v>
      </c>
      <c r="AG61" s="169">
        <v>3000</v>
      </c>
      <c r="AH61" s="169">
        <v>3000</v>
      </c>
      <c r="AI61" s="169">
        <v>3000</v>
      </c>
      <c r="AJ61" s="169">
        <v>3000</v>
      </c>
      <c r="AK61" s="169">
        <v>3000</v>
      </c>
      <c r="AL61" s="169">
        <v>3000</v>
      </c>
      <c r="AM61" s="169">
        <v>3000</v>
      </c>
      <c r="AN61" s="169">
        <v>3000</v>
      </c>
      <c r="AO61" s="170">
        <v>3000</v>
      </c>
      <c r="AP61" s="169">
        <v>3000</v>
      </c>
      <c r="AQ61" s="169">
        <v>3000</v>
      </c>
      <c r="AR61" s="169">
        <v>3000</v>
      </c>
      <c r="AS61" s="169">
        <v>3000</v>
      </c>
      <c r="AT61" s="169">
        <v>3000</v>
      </c>
      <c r="AU61" s="169">
        <v>3000</v>
      </c>
      <c r="AV61" s="169">
        <v>3000</v>
      </c>
      <c r="AW61" s="169">
        <v>3000</v>
      </c>
      <c r="AX61" s="169">
        <v>3000</v>
      </c>
      <c r="AY61" s="169">
        <v>3000</v>
      </c>
      <c r="AZ61" s="169">
        <v>3000</v>
      </c>
      <c r="BA61" s="170">
        <v>3000</v>
      </c>
      <c r="BB61" s="169">
        <v>3000</v>
      </c>
      <c r="BC61" s="169">
        <v>3000</v>
      </c>
      <c r="BD61" s="169">
        <v>3000</v>
      </c>
      <c r="BE61" s="169">
        <v>3000</v>
      </c>
      <c r="BF61" s="169">
        <v>3000</v>
      </c>
      <c r="BG61" s="169">
        <v>3000</v>
      </c>
      <c r="BH61" s="169">
        <v>3000</v>
      </c>
      <c r="BI61" s="169">
        <v>3000</v>
      </c>
      <c r="BJ61" s="169">
        <v>3000</v>
      </c>
      <c r="BK61" s="169">
        <v>3000</v>
      </c>
      <c r="BL61" s="169">
        <v>3000</v>
      </c>
      <c r="BM61" s="170">
        <v>3000</v>
      </c>
    </row>
    <row r="62" spans="2:65" x14ac:dyDescent="0.2">
      <c r="B62" s="157" t="s">
        <v>47</v>
      </c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386">
        <v>392</v>
      </c>
      <c r="Q62" s="387">
        <v>348.84</v>
      </c>
      <c r="R62" s="169">
        <v>250</v>
      </c>
      <c r="S62" s="169">
        <v>250</v>
      </c>
      <c r="T62" s="169">
        <v>250</v>
      </c>
      <c r="U62" s="169">
        <v>250</v>
      </c>
      <c r="V62" s="169">
        <v>250</v>
      </c>
      <c r="W62" s="169">
        <v>250</v>
      </c>
      <c r="X62" s="169">
        <v>250</v>
      </c>
      <c r="Y62" s="169">
        <v>250</v>
      </c>
      <c r="Z62" s="169">
        <v>250</v>
      </c>
      <c r="AA62" s="169">
        <v>250</v>
      </c>
      <c r="AB62" s="169">
        <v>250</v>
      </c>
      <c r="AC62" s="170">
        <v>250</v>
      </c>
      <c r="AD62" s="169">
        <v>250</v>
      </c>
      <c r="AE62" s="169">
        <v>250</v>
      </c>
      <c r="AF62" s="169">
        <v>250</v>
      </c>
      <c r="AG62" s="169">
        <v>250</v>
      </c>
      <c r="AH62" s="169">
        <v>250</v>
      </c>
      <c r="AI62" s="169">
        <v>250</v>
      </c>
      <c r="AJ62" s="169">
        <v>250</v>
      </c>
      <c r="AK62" s="169">
        <v>250</v>
      </c>
      <c r="AL62" s="169">
        <v>250</v>
      </c>
      <c r="AM62" s="169">
        <v>250</v>
      </c>
      <c r="AN62" s="169">
        <v>250</v>
      </c>
      <c r="AO62" s="170">
        <v>250</v>
      </c>
      <c r="AP62" s="169">
        <v>250</v>
      </c>
      <c r="AQ62" s="169">
        <v>250</v>
      </c>
      <c r="AR62" s="169">
        <v>250</v>
      </c>
      <c r="AS62" s="169">
        <v>250</v>
      </c>
      <c r="AT62" s="169">
        <v>250</v>
      </c>
      <c r="AU62" s="169">
        <v>250</v>
      </c>
      <c r="AV62" s="169">
        <v>250</v>
      </c>
      <c r="AW62" s="169">
        <v>250</v>
      </c>
      <c r="AX62" s="169">
        <v>250</v>
      </c>
      <c r="AY62" s="169">
        <v>250</v>
      </c>
      <c r="AZ62" s="169">
        <v>250</v>
      </c>
      <c r="BA62" s="170">
        <v>250</v>
      </c>
      <c r="BB62" s="169">
        <v>250</v>
      </c>
      <c r="BC62" s="169">
        <v>250</v>
      </c>
      <c r="BD62" s="169">
        <v>250</v>
      </c>
      <c r="BE62" s="169">
        <v>250</v>
      </c>
      <c r="BF62" s="169">
        <v>250</v>
      </c>
      <c r="BG62" s="169">
        <v>250</v>
      </c>
      <c r="BH62" s="169">
        <v>250</v>
      </c>
      <c r="BI62" s="169">
        <v>250</v>
      </c>
      <c r="BJ62" s="169">
        <v>250</v>
      </c>
      <c r="BK62" s="169">
        <v>250</v>
      </c>
      <c r="BL62" s="169">
        <v>250</v>
      </c>
      <c r="BM62" s="170">
        <v>250</v>
      </c>
    </row>
    <row r="63" spans="2:65" x14ac:dyDescent="0.2">
      <c r="B63" s="157" t="s">
        <v>98</v>
      </c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386"/>
      <c r="Q63" s="387"/>
      <c r="R63" s="169">
        <v>0</v>
      </c>
      <c r="S63" s="169">
        <v>0</v>
      </c>
      <c r="T63" s="169">
        <v>0</v>
      </c>
      <c r="U63" s="169">
        <v>0</v>
      </c>
      <c r="V63" s="169">
        <v>0</v>
      </c>
      <c r="W63" s="169">
        <v>0</v>
      </c>
      <c r="X63" s="169">
        <v>0</v>
      </c>
      <c r="Y63" s="169">
        <v>0</v>
      </c>
      <c r="Z63" s="169">
        <v>0</v>
      </c>
      <c r="AA63" s="169">
        <v>0</v>
      </c>
      <c r="AB63" s="169">
        <v>0</v>
      </c>
      <c r="AC63" s="170">
        <v>0</v>
      </c>
      <c r="AD63" s="169">
        <v>0</v>
      </c>
      <c r="AE63" s="169">
        <v>0</v>
      </c>
      <c r="AF63" s="169">
        <v>0</v>
      </c>
      <c r="AG63" s="169">
        <v>0</v>
      </c>
      <c r="AH63" s="169">
        <v>0</v>
      </c>
      <c r="AI63" s="169">
        <v>0</v>
      </c>
      <c r="AJ63" s="169">
        <v>0</v>
      </c>
      <c r="AK63" s="169">
        <v>0</v>
      </c>
      <c r="AL63" s="169">
        <v>0</v>
      </c>
      <c r="AM63" s="169">
        <v>0</v>
      </c>
      <c r="AN63" s="169">
        <v>0</v>
      </c>
      <c r="AO63" s="170">
        <v>0</v>
      </c>
      <c r="AP63" s="169">
        <v>0</v>
      </c>
      <c r="AQ63" s="169">
        <v>0</v>
      </c>
      <c r="AR63" s="169">
        <v>0</v>
      </c>
      <c r="AS63" s="169">
        <v>0</v>
      </c>
      <c r="AT63" s="169">
        <v>0</v>
      </c>
      <c r="AU63" s="169">
        <v>0</v>
      </c>
      <c r="AV63" s="169">
        <v>0</v>
      </c>
      <c r="AW63" s="169">
        <v>0</v>
      </c>
      <c r="AX63" s="169">
        <v>0</v>
      </c>
      <c r="AY63" s="169">
        <v>0</v>
      </c>
      <c r="AZ63" s="169">
        <v>0</v>
      </c>
      <c r="BA63" s="170">
        <v>0</v>
      </c>
      <c r="BB63" s="169">
        <v>0</v>
      </c>
      <c r="BC63" s="169">
        <v>0</v>
      </c>
      <c r="BD63" s="169">
        <v>0</v>
      </c>
      <c r="BE63" s="169">
        <v>0</v>
      </c>
      <c r="BF63" s="169">
        <v>0</v>
      </c>
      <c r="BG63" s="169">
        <v>0</v>
      </c>
      <c r="BH63" s="169">
        <v>0</v>
      </c>
      <c r="BI63" s="169">
        <v>0</v>
      </c>
      <c r="BJ63" s="169">
        <v>0</v>
      </c>
      <c r="BK63" s="169">
        <v>0</v>
      </c>
      <c r="BL63" s="169">
        <v>0</v>
      </c>
      <c r="BM63" s="170">
        <v>0</v>
      </c>
    </row>
    <row r="64" spans="2:65" x14ac:dyDescent="0.2">
      <c r="B64" s="157" t="s">
        <v>97</v>
      </c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386"/>
      <c r="Q64" s="387"/>
      <c r="R64" s="169">
        <v>0</v>
      </c>
      <c r="S64" s="169">
        <v>0</v>
      </c>
      <c r="T64" s="169">
        <v>0</v>
      </c>
      <c r="U64" s="169">
        <v>0</v>
      </c>
      <c r="V64" s="169">
        <v>0</v>
      </c>
      <c r="W64" s="169">
        <v>0</v>
      </c>
      <c r="X64" s="169">
        <v>0</v>
      </c>
      <c r="Y64" s="169">
        <v>0</v>
      </c>
      <c r="Z64" s="169">
        <v>0</v>
      </c>
      <c r="AA64" s="169">
        <v>0</v>
      </c>
      <c r="AB64" s="169">
        <v>0</v>
      </c>
      <c r="AC64" s="170">
        <v>0</v>
      </c>
      <c r="AD64" s="169">
        <v>0</v>
      </c>
      <c r="AE64" s="169">
        <v>0</v>
      </c>
      <c r="AF64" s="169">
        <v>0</v>
      </c>
      <c r="AG64" s="169">
        <v>0</v>
      </c>
      <c r="AH64" s="169">
        <v>0</v>
      </c>
      <c r="AI64" s="169">
        <v>0</v>
      </c>
      <c r="AJ64" s="169">
        <v>0</v>
      </c>
      <c r="AK64" s="169">
        <v>0</v>
      </c>
      <c r="AL64" s="169">
        <v>0</v>
      </c>
      <c r="AM64" s="169">
        <v>0</v>
      </c>
      <c r="AN64" s="169">
        <v>0</v>
      </c>
      <c r="AO64" s="170">
        <v>0</v>
      </c>
      <c r="AP64" s="169">
        <v>0</v>
      </c>
      <c r="AQ64" s="169">
        <v>0</v>
      </c>
      <c r="AR64" s="169">
        <v>0</v>
      </c>
      <c r="AS64" s="169">
        <v>0</v>
      </c>
      <c r="AT64" s="169">
        <v>0</v>
      </c>
      <c r="AU64" s="169">
        <v>0</v>
      </c>
      <c r="AV64" s="169">
        <v>0</v>
      </c>
      <c r="AW64" s="169">
        <v>0</v>
      </c>
      <c r="AX64" s="169">
        <v>0</v>
      </c>
      <c r="AY64" s="169">
        <v>0</v>
      </c>
      <c r="AZ64" s="169">
        <v>0</v>
      </c>
      <c r="BA64" s="170">
        <v>0</v>
      </c>
      <c r="BB64" s="169">
        <v>0</v>
      </c>
      <c r="BC64" s="169">
        <v>0</v>
      </c>
      <c r="BD64" s="169">
        <v>0</v>
      </c>
      <c r="BE64" s="169">
        <v>0</v>
      </c>
      <c r="BF64" s="169">
        <v>0</v>
      </c>
      <c r="BG64" s="169">
        <v>0</v>
      </c>
      <c r="BH64" s="169">
        <v>0</v>
      </c>
      <c r="BI64" s="169">
        <v>0</v>
      </c>
      <c r="BJ64" s="169">
        <v>0</v>
      </c>
      <c r="BK64" s="169">
        <v>0</v>
      </c>
      <c r="BL64" s="169">
        <v>0</v>
      </c>
      <c r="BM64" s="170">
        <v>0</v>
      </c>
    </row>
    <row r="65" spans="2:65" x14ac:dyDescent="0.2">
      <c r="B65" s="157" t="s">
        <v>48</v>
      </c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386">
        <f>6267.99-735.68</f>
        <v>5532.3099999999995</v>
      </c>
      <c r="Q65" s="387">
        <v>4440.32</v>
      </c>
      <c r="R65" s="169">
        <v>1000</v>
      </c>
      <c r="S65" s="169">
        <v>1000</v>
      </c>
      <c r="T65" s="169">
        <v>1000</v>
      </c>
      <c r="U65" s="169">
        <v>1000</v>
      </c>
      <c r="V65" s="169">
        <v>1000</v>
      </c>
      <c r="W65" s="169">
        <v>1000</v>
      </c>
      <c r="X65" s="169">
        <v>1000</v>
      </c>
      <c r="Y65" s="169">
        <v>1000</v>
      </c>
      <c r="Z65" s="169">
        <v>1000</v>
      </c>
      <c r="AA65" s="169">
        <v>1000</v>
      </c>
      <c r="AB65" s="169">
        <v>1000</v>
      </c>
      <c r="AC65" s="170">
        <v>1000</v>
      </c>
      <c r="AD65" s="169">
        <v>1000</v>
      </c>
      <c r="AE65" s="169">
        <v>1000</v>
      </c>
      <c r="AF65" s="169">
        <v>1000</v>
      </c>
      <c r="AG65" s="169">
        <v>1000</v>
      </c>
      <c r="AH65" s="169">
        <v>1000</v>
      </c>
      <c r="AI65" s="169">
        <v>1000</v>
      </c>
      <c r="AJ65" s="169">
        <v>1000</v>
      </c>
      <c r="AK65" s="169">
        <v>1000</v>
      </c>
      <c r="AL65" s="169">
        <v>1000</v>
      </c>
      <c r="AM65" s="169">
        <v>1000</v>
      </c>
      <c r="AN65" s="169">
        <v>1000</v>
      </c>
      <c r="AO65" s="170">
        <v>1000</v>
      </c>
      <c r="AP65" s="169">
        <v>1000</v>
      </c>
      <c r="AQ65" s="169">
        <v>1000</v>
      </c>
      <c r="AR65" s="169">
        <v>1000</v>
      </c>
      <c r="AS65" s="169">
        <v>1000</v>
      </c>
      <c r="AT65" s="169">
        <v>1000</v>
      </c>
      <c r="AU65" s="169">
        <v>1000</v>
      </c>
      <c r="AV65" s="169">
        <v>1000</v>
      </c>
      <c r="AW65" s="169">
        <v>1000</v>
      </c>
      <c r="AX65" s="169">
        <v>1000</v>
      </c>
      <c r="AY65" s="169">
        <v>1000</v>
      </c>
      <c r="AZ65" s="169">
        <v>1000</v>
      </c>
      <c r="BA65" s="170">
        <v>1000</v>
      </c>
      <c r="BB65" s="169">
        <v>1000</v>
      </c>
      <c r="BC65" s="169">
        <v>1000</v>
      </c>
      <c r="BD65" s="169">
        <v>1000</v>
      </c>
      <c r="BE65" s="169">
        <v>1000</v>
      </c>
      <c r="BF65" s="169">
        <v>1000</v>
      </c>
      <c r="BG65" s="169">
        <v>1000</v>
      </c>
      <c r="BH65" s="169">
        <v>1000</v>
      </c>
      <c r="BI65" s="169">
        <v>1000</v>
      </c>
      <c r="BJ65" s="169">
        <v>1000</v>
      </c>
      <c r="BK65" s="169">
        <v>1000</v>
      </c>
      <c r="BL65" s="169">
        <v>1000</v>
      </c>
      <c r="BM65" s="170">
        <v>1000</v>
      </c>
    </row>
    <row r="66" spans="2:65" x14ac:dyDescent="0.2">
      <c r="B66" s="157" t="s">
        <v>100</v>
      </c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386"/>
      <c r="Q66" s="387"/>
      <c r="R66" s="169">
        <v>0</v>
      </c>
      <c r="S66" s="169">
        <v>0</v>
      </c>
      <c r="T66" s="169">
        <v>0</v>
      </c>
      <c r="U66" s="169">
        <v>0</v>
      </c>
      <c r="V66" s="169">
        <v>0</v>
      </c>
      <c r="W66" s="169">
        <v>0</v>
      </c>
      <c r="X66" s="169">
        <v>0</v>
      </c>
      <c r="Y66" s="169">
        <v>0</v>
      </c>
      <c r="Z66" s="169">
        <v>0</v>
      </c>
      <c r="AA66" s="169">
        <v>0</v>
      </c>
      <c r="AB66" s="169">
        <v>0</v>
      </c>
      <c r="AC66" s="170">
        <v>0</v>
      </c>
      <c r="AD66" s="169">
        <v>0</v>
      </c>
      <c r="AE66" s="169">
        <v>0</v>
      </c>
      <c r="AF66" s="169">
        <v>0</v>
      </c>
      <c r="AG66" s="169">
        <v>0</v>
      </c>
      <c r="AH66" s="169">
        <v>0</v>
      </c>
      <c r="AI66" s="169">
        <v>0</v>
      </c>
      <c r="AJ66" s="169">
        <v>0</v>
      </c>
      <c r="AK66" s="169">
        <v>0</v>
      </c>
      <c r="AL66" s="169">
        <v>0</v>
      </c>
      <c r="AM66" s="169">
        <v>0</v>
      </c>
      <c r="AN66" s="169">
        <v>0</v>
      </c>
      <c r="AO66" s="170">
        <v>0</v>
      </c>
      <c r="AP66" s="169">
        <v>0</v>
      </c>
      <c r="AQ66" s="169">
        <v>0</v>
      </c>
      <c r="AR66" s="169">
        <v>0</v>
      </c>
      <c r="AS66" s="169">
        <v>0</v>
      </c>
      <c r="AT66" s="169">
        <v>0</v>
      </c>
      <c r="AU66" s="169">
        <v>0</v>
      </c>
      <c r="AV66" s="169">
        <v>0</v>
      </c>
      <c r="AW66" s="169">
        <v>0</v>
      </c>
      <c r="AX66" s="169">
        <v>0</v>
      </c>
      <c r="AY66" s="169">
        <v>0</v>
      </c>
      <c r="AZ66" s="169">
        <v>0</v>
      </c>
      <c r="BA66" s="170">
        <v>0</v>
      </c>
      <c r="BB66" s="169">
        <v>0</v>
      </c>
      <c r="BC66" s="169">
        <v>0</v>
      </c>
      <c r="BD66" s="169">
        <v>0</v>
      </c>
      <c r="BE66" s="169">
        <v>0</v>
      </c>
      <c r="BF66" s="169">
        <v>0</v>
      </c>
      <c r="BG66" s="169">
        <v>0</v>
      </c>
      <c r="BH66" s="169">
        <v>0</v>
      </c>
      <c r="BI66" s="169">
        <v>0</v>
      </c>
      <c r="BJ66" s="169">
        <v>0</v>
      </c>
      <c r="BK66" s="169">
        <v>0</v>
      </c>
      <c r="BL66" s="169">
        <v>0</v>
      </c>
      <c r="BM66" s="170">
        <v>0</v>
      </c>
    </row>
    <row r="67" spans="2:65" x14ac:dyDescent="0.2">
      <c r="B67" s="157" t="s">
        <v>49</v>
      </c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386">
        <v>404.61</v>
      </c>
      <c r="Q67" s="387">
        <v>501.31</v>
      </c>
      <c r="R67" s="169">
        <v>500</v>
      </c>
      <c r="S67" s="169">
        <v>500</v>
      </c>
      <c r="T67" s="169">
        <v>500</v>
      </c>
      <c r="U67" s="169">
        <v>500</v>
      </c>
      <c r="V67" s="169">
        <v>500</v>
      </c>
      <c r="W67" s="169">
        <v>500</v>
      </c>
      <c r="X67" s="169">
        <v>500</v>
      </c>
      <c r="Y67" s="169">
        <v>500</v>
      </c>
      <c r="Z67" s="169">
        <v>500</v>
      </c>
      <c r="AA67" s="169">
        <v>500</v>
      </c>
      <c r="AB67" s="169">
        <v>500</v>
      </c>
      <c r="AC67" s="170">
        <v>500</v>
      </c>
      <c r="AD67" s="169">
        <v>500</v>
      </c>
      <c r="AE67" s="169">
        <v>500</v>
      </c>
      <c r="AF67" s="169">
        <v>500</v>
      </c>
      <c r="AG67" s="169">
        <v>500</v>
      </c>
      <c r="AH67" s="169">
        <v>500</v>
      </c>
      <c r="AI67" s="169">
        <v>500</v>
      </c>
      <c r="AJ67" s="169">
        <v>500</v>
      </c>
      <c r="AK67" s="169">
        <v>500</v>
      </c>
      <c r="AL67" s="169">
        <v>500</v>
      </c>
      <c r="AM67" s="169">
        <v>500</v>
      </c>
      <c r="AN67" s="169">
        <v>500</v>
      </c>
      <c r="AO67" s="170">
        <v>500</v>
      </c>
      <c r="AP67" s="169">
        <v>500</v>
      </c>
      <c r="AQ67" s="169">
        <v>500</v>
      </c>
      <c r="AR67" s="169">
        <v>500</v>
      </c>
      <c r="AS67" s="169">
        <v>500</v>
      </c>
      <c r="AT67" s="169">
        <v>500</v>
      </c>
      <c r="AU67" s="169">
        <v>500</v>
      </c>
      <c r="AV67" s="169">
        <v>500</v>
      </c>
      <c r="AW67" s="169">
        <v>500</v>
      </c>
      <c r="AX67" s="169">
        <v>500</v>
      </c>
      <c r="AY67" s="169">
        <v>500</v>
      </c>
      <c r="AZ67" s="169">
        <v>500</v>
      </c>
      <c r="BA67" s="170">
        <v>500</v>
      </c>
      <c r="BB67" s="169">
        <v>500</v>
      </c>
      <c r="BC67" s="169">
        <v>500</v>
      </c>
      <c r="BD67" s="169">
        <v>500</v>
      </c>
      <c r="BE67" s="169">
        <v>500</v>
      </c>
      <c r="BF67" s="169">
        <v>500</v>
      </c>
      <c r="BG67" s="169">
        <v>500</v>
      </c>
      <c r="BH67" s="169">
        <v>500</v>
      </c>
      <c r="BI67" s="169">
        <v>500</v>
      </c>
      <c r="BJ67" s="169">
        <v>500</v>
      </c>
      <c r="BK67" s="169">
        <v>500</v>
      </c>
      <c r="BL67" s="169">
        <v>500</v>
      </c>
      <c r="BM67" s="170">
        <v>500</v>
      </c>
    </row>
    <row r="68" spans="2:65" x14ac:dyDescent="0.2">
      <c r="B68" s="157" t="s">
        <v>208</v>
      </c>
      <c r="C68" s="485">
        <v>6.0000000000000001E-3</v>
      </c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386">
        <v>2111.6</v>
      </c>
      <c r="Q68" s="387">
        <v>2359.71</v>
      </c>
      <c r="R68" s="169">
        <f t="shared" ref="R68:BA68" si="61">+$C$68*R17</f>
        <v>2407.70568</v>
      </c>
      <c r="S68" s="169">
        <f t="shared" si="61"/>
        <v>2374.9307710932117</v>
      </c>
      <c r="T68" s="169">
        <f t="shared" si="61"/>
        <v>2358.5800400099502</v>
      </c>
      <c r="U68" s="169">
        <f t="shared" si="61"/>
        <v>2616.8655600000002</v>
      </c>
      <c r="V68" s="169">
        <f t="shared" si="61"/>
        <v>2578.5009599999998</v>
      </c>
      <c r="W68" s="169">
        <f t="shared" si="61"/>
        <v>2446.78926</v>
      </c>
      <c r="X68" s="169">
        <f t="shared" si="61"/>
        <v>2773.5912000000003</v>
      </c>
      <c r="Y68" s="169">
        <f t="shared" si="61"/>
        <v>2312.25288</v>
      </c>
      <c r="Z68" s="169">
        <f t="shared" si="61"/>
        <v>2327.7734399999999</v>
      </c>
      <c r="AA68" s="169">
        <f t="shared" si="61"/>
        <v>3021.85068</v>
      </c>
      <c r="AB68" s="169">
        <f t="shared" si="61"/>
        <v>2701.1637000000001</v>
      </c>
      <c r="AC68" s="170">
        <f t="shared" si="61"/>
        <v>2760.9043799999999</v>
      </c>
      <c r="AD68" s="169">
        <f t="shared" si="61"/>
        <v>2561.50902</v>
      </c>
      <c r="AE68" s="169">
        <f t="shared" si="61"/>
        <v>2604.8630707879879</v>
      </c>
      <c r="AF68" s="169">
        <f t="shared" si="61"/>
        <v>2690.3407890018416</v>
      </c>
      <c r="AG68" s="169">
        <f t="shared" si="61"/>
        <v>3024.2544159400882</v>
      </c>
      <c r="AH68" s="169">
        <f t="shared" si="61"/>
        <v>3413.9485646472449</v>
      </c>
      <c r="AI68" s="169">
        <f t="shared" si="61"/>
        <v>3849.2111422257017</v>
      </c>
      <c r="AJ68" s="169">
        <f t="shared" si="61"/>
        <v>4314.7607320117222</v>
      </c>
      <c r="AK68" s="169">
        <f t="shared" si="61"/>
        <v>4823.2849028497903</v>
      </c>
      <c r="AL68" s="169">
        <f t="shared" si="61"/>
        <v>5518.2898224159735</v>
      </c>
      <c r="AM68" s="169">
        <f t="shared" si="61"/>
        <v>6255.1165912535071</v>
      </c>
      <c r="AN68" s="169">
        <f t="shared" si="61"/>
        <v>7046.2586642312845</v>
      </c>
      <c r="AO68" s="170">
        <f t="shared" si="61"/>
        <v>7769.2115343546939</v>
      </c>
      <c r="AP68" s="169">
        <f t="shared" si="61"/>
        <v>8625.5219351263586</v>
      </c>
      <c r="AQ68" s="169">
        <f t="shared" si="61"/>
        <v>9520.1924919921403</v>
      </c>
      <c r="AR68" s="169">
        <f t="shared" si="61"/>
        <v>10482.496495810065</v>
      </c>
      <c r="AS68" s="169">
        <f t="shared" si="61"/>
        <v>10952.731409331331</v>
      </c>
      <c r="AT68" s="169">
        <f t="shared" si="61"/>
        <v>11857.012333346882</v>
      </c>
      <c r="AU68" s="169">
        <f t="shared" si="61"/>
        <v>12790.219516689454</v>
      </c>
      <c r="AV68" s="169">
        <f t="shared" si="61"/>
        <v>13767.927337215133</v>
      </c>
      <c r="AW68" s="169">
        <f t="shared" si="61"/>
        <v>14773.437701680659</v>
      </c>
      <c r="AX68" s="169">
        <f t="shared" si="61"/>
        <v>15806.344802859443</v>
      </c>
      <c r="AY68" s="169">
        <f t="shared" si="61"/>
        <v>16866.249993690344</v>
      </c>
      <c r="AZ68" s="169">
        <f t="shared" si="61"/>
        <v>17952.761651405002</v>
      </c>
      <c r="BA68" s="170">
        <f t="shared" si="61"/>
        <v>19065.495044303214</v>
      </c>
      <c r="BB68" s="169">
        <f t="shared" ref="BB68:BM68" si="62">+$C$68*BB17</f>
        <v>19259.780458425124</v>
      </c>
      <c r="BC68" s="169">
        <f t="shared" si="62"/>
        <v>22174.943672667709</v>
      </c>
      <c r="BD68" s="169">
        <f t="shared" si="62"/>
        <v>23473.903178999564</v>
      </c>
      <c r="BE68" s="169">
        <f t="shared" si="62"/>
        <v>24800.789600291489</v>
      </c>
      <c r="BF68" s="169">
        <f t="shared" si="62"/>
        <v>26155.092242771872</v>
      </c>
      <c r="BG68" s="169">
        <f t="shared" si="62"/>
        <v>27536.314762608286</v>
      </c>
      <c r="BH68" s="169">
        <f t="shared" si="62"/>
        <v>28959.974619505108</v>
      </c>
      <c r="BI68" s="169">
        <f t="shared" si="62"/>
        <v>30409.322555224651</v>
      </c>
      <c r="BJ68" s="169">
        <f t="shared" si="62"/>
        <v>31883.906995791436</v>
      </c>
      <c r="BK68" s="169">
        <f t="shared" si="62"/>
        <v>33383.288590453863</v>
      </c>
      <c r="BL68" s="169">
        <f t="shared" si="62"/>
        <v>34907.039759288251</v>
      </c>
      <c r="BM68" s="170">
        <f t="shared" si="62"/>
        <v>36454.7442611105</v>
      </c>
    </row>
    <row r="69" spans="2:65" x14ac:dyDescent="0.2">
      <c r="B69" s="483" t="s">
        <v>99</v>
      </c>
      <c r="C69" s="484" t="s">
        <v>209</v>
      </c>
      <c r="F69" s="169"/>
      <c r="G69" s="169"/>
      <c r="H69" s="169"/>
      <c r="I69" s="169"/>
      <c r="J69" s="169"/>
      <c r="K69" s="192"/>
      <c r="L69" s="169"/>
      <c r="M69" s="169"/>
      <c r="N69" s="169"/>
      <c r="O69" s="169"/>
      <c r="P69" s="386">
        <f>20487.03+498.78</f>
        <v>20985.809999999998</v>
      </c>
      <c r="Q69" s="387">
        <f>22826.45+184.5</f>
        <v>23010.95</v>
      </c>
      <c r="R69" s="386">
        <f>17113.55+184.5</f>
        <v>17298.05</v>
      </c>
      <c r="S69" s="169">
        <f>0.055*S17</f>
        <v>21770.198735021109</v>
      </c>
      <c r="T69" s="169">
        <f>0.055*T17</f>
        <v>21620.317033424541</v>
      </c>
      <c r="U69" s="169">
        <f>0.055*U17</f>
        <v>23987.934300000001</v>
      </c>
      <c r="V69" s="169">
        <f>0.055*V17</f>
        <v>23636.2588</v>
      </c>
      <c r="W69" s="169">
        <f>0.055*W17</f>
        <v>22428.901550000002</v>
      </c>
      <c r="X69" s="169">
        <f t="shared" ref="X69:AC69" si="63">0.05*X17</f>
        <v>23113.260000000002</v>
      </c>
      <c r="Y69" s="169">
        <f t="shared" si="63"/>
        <v>19268.774000000001</v>
      </c>
      <c r="Z69" s="169">
        <f t="shared" si="63"/>
        <v>19398.112000000001</v>
      </c>
      <c r="AA69" s="169">
        <f t="shared" si="63"/>
        <v>25182.089000000004</v>
      </c>
      <c r="AB69" s="169">
        <f t="shared" si="63"/>
        <v>22509.697500000002</v>
      </c>
      <c r="AC69" s="170">
        <f t="shared" si="63"/>
        <v>23007.536500000002</v>
      </c>
      <c r="AD69" s="169">
        <f t="shared" ref="AD69:AI69" si="64">0.045*AC17</f>
        <v>20706.78285</v>
      </c>
      <c r="AE69" s="169">
        <f t="shared" si="64"/>
        <v>19211.317649999997</v>
      </c>
      <c r="AF69" s="169">
        <f t="shared" si="64"/>
        <v>19536.473030909907</v>
      </c>
      <c r="AG69" s="169">
        <f t="shared" si="64"/>
        <v>20177.555917513808</v>
      </c>
      <c r="AH69" s="169">
        <f t="shared" si="64"/>
        <v>22681.908119550662</v>
      </c>
      <c r="AI69" s="169">
        <f t="shared" si="64"/>
        <v>25604.614234854336</v>
      </c>
      <c r="AJ69" s="169">
        <f t="shared" ref="AJ69:AO69" si="65">0.045*AJ17</f>
        <v>32360.705490087916</v>
      </c>
      <c r="AK69" s="169">
        <f t="shared" si="65"/>
        <v>36174.636771373429</v>
      </c>
      <c r="AL69" s="169">
        <f t="shared" si="65"/>
        <v>41387.173668119802</v>
      </c>
      <c r="AM69" s="169">
        <f t="shared" si="65"/>
        <v>46913.374434401296</v>
      </c>
      <c r="AN69" s="169">
        <f t="shared" si="65"/>
        <v>52846.939981734628</v>
      </c>
      <c r="AO69" s="170">
        <f t="shared" si="65"/>
        <v>58269.086507660199</v>
      </c>
      <c r="AP69" s="169">
        <f t="shared" ref="AP69:BA69" si="66">0.04*AP17</f>
        <v>57503.47956750905</v>
      </c>
      <c r="AQ69" s="169">
        <f t="shared" si="66"/>
        <v>63467.949946614266</v>
      </c>
      <c r="AR69" s="169">
        <f t="shared" si="66"/>
        <v>69883.309972067102</v>
      </c>
      <c r="AS69" s="169">
        <f t="shared" si="66"/>
        <v>73018.209395542202</v>
      </c>
      <c r="AT69" s="169">
        <f t="shared" si="66"/>
        <v>79046.748888979215</v>
      </c>
      <c r="AU69" s="169">
        <f t="shared" si="66"/>
        <v>85268.130111263017</v>
      </c>
      <c r="AV69" s="169">
        <f t="shared" si="66"/>
        <v>91786.182248100886</v>
      </c>
      <c r="AW69" s="169">
        <f t="shared" si="66"/>
        <v>98489.584677871055</v>
      </c>
      <c r="AX69" s="169">
        <f t="shared" si="66"/>
        <v>105375.63201906296</v>
      </c>
      <c r="AY69" s="169">
        <f t="shared" si="66"/>
        <v>112441.66662460228</v>
      </c>
      <c r="AZ69" s="169">
        <f t="shared" si="66"/>
        <v>119685.07767603334</v>
      </c>
      <c r="BA69" s="170">
        <f t="shared" si="66"/>
        <v>127103.30029535477</v>
      </c>
      <c r="BB69" s="169">
        <f t="shared" ref="BB69:BM69" si="67">0.04*BB17</f>
        <v>128398.53638950083</v>
      </c>
      <c r="BC69" s="169">
        <f t="shared" si="67"/>
        <v>147832.95781778471</v>
      </c>
      <c r="BD69" s="169">
        <f t="shared" si="67"/>
        <v>156492.6878599971</v>
      </c>
      <c r="BE69" s="169">
        <f t="shared" si="67"/>
        <v>165338.5973352766</v>
      </c>
      <c r="BF69" s="169">
        <f t="shared" si="67"/>
        <v>174367.28161847914</v>
      </c>
      <c r="BG69" s="169">
        <f t="shared" si="67"/>
        <v>183575.43175072191</v>
      </c>
      <c r="BH69" s="169">
        <f t="shared" si="67"/>
        <v>193066.49746336738</v>
      </c>
      <c r="BI69" s="169">
        <f t="shared" si="67"/>
        <v>202728.81703483101</v>
      </c>
      <c r="BJ69" s="169">
        <f t="shared" si="67"/>
        <v>212559.37997194289</v>
      </c>
      <c r="BK69" s="169">
        <f t="shared" si="67"/>
        <v>222555.25726969243</v>
      </c>
      <c r="BL69" s="169">
        <f t="shared" si="67"/>
        <v>232713.59839525499</v>
      </c>
      <c r="BM69" s="170">
        <f t="shared" si="67"/>
        <v>243031.6284074033</v>
      </c>
    </row>
    <row r="70" spans="2:65" x14ac:dyDescent="0.2">
      <c r="B70" s="157" t="s">
        <v>116</v>
      </c>
      <c r="C70" s="191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70"/>
      <c r="R70" s="286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70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70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170"/>
      <c r="BB70" s="169"/>
      <c r="BC70" s="169"/>
      <c r="BD70" s="169"/>
      <c r="BE70" s="169"/>
      <c r="BF70" s="169"/>
      <c r="BG70" s="169"/>
      <c r="BH70" s="169"/>
      <c r="BI70" s="169"/>
      <c r="BJ70" s="169"/>
      <c r="BK70" s="169"/>
      <c r="BL70" s="169"/>
      <c r="BM70" s="170"/>
    </row>
    <row r="71" spans="2:65" x14ac:dyDescent="0.2">
      <c r="B71" s="157" t="s">
        <v>51</v>
      </c>
      <c r="C71" s="191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70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70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70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170"/>
      <c r="BB71" s="169"/>
      <c r="BC71" s="169"/>
      <c r="BD71" s="169"/>
      <c r="BE71" s="169"/>
      <c r="BF71" s="169"/>
      <c r="BG71" s="169"/>
      <c r="BH71" s="169"/>
      <c r="BI71" s="169"/>
      <c r="BJ71" s="169"/>
      <c r="BK71" s="169"/>
      <c r="BL71" s="169"/>
      <c r="BM71" s="170"/>
    </row>
    <row r="72" spans="2:65" x14ac:dyDescent="0.2">
      <c r="B72" s="157"/>
      <c r="C72" s="191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70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70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70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170"/>
      <c r="BB72" s="169"/>
      <c r="BC72" s="169"/>
      <c r="BD72" s="169"/>
      <c r="BE72" s="169"/>
      <c r="BF72" s="169"/>
      <c r="BG72" s="169"/>
      <c r="BH72" s="169"/>
      <c r="BI72" s="169"/>
      <c r="BJ72" s="169"/>
      <c r="BK72" s="169"/>
      <c r="BL72" s="169"/>
      <c r="BM72" s="170"/>
    </row>
    <row r="73" spans="2:65" x14ac:dyDescent="0.2">
      <c r="B73" s="157"/>
      <c r="F73" s="169"/>
      <c r="G73" s="169"/>
      <c r="H73" s="169"/>
      <c r="I73" s="189"/>
      <c r="J73" s="189"/>
      <c r="K73" s="189"/>
      <c r="L73" s="189"/>
      <c r="M73" s="189"/>
      <c r="N73" s="189"/>
      <c r="O73" s="189"/>
      <c r="P73" s="189"/>
      <c r="Q73" s="188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8"/>
      <c r="AD73" s="169"/>
      <c r="AE73" s="169"/>
      <c r="AF73" s="169"/>
      <c r="AG73" s="189"/>
      <c r="AH73" s="189"/>
      <c r="AI73" s="189"/>
      <c r="AJ73" s="189"/>
      <c r="AK73" s="189"/>
      <c r="AL73" s="189"/>
      <c r="AM73" s="189"/>
      <c r="AN73" s="189"/>
      <c r="AO73" s="188"/>
      <c r="AP73" s="189"/>
      <c r="AQ73" s="189"/>
      <c r="AR73" s="189"/>
      <c r="AS73" s="189"/>
      <c r="AT73" s="189"/>
      <c r="AU73" s="189"/>
      <c r="AV73" s="189"/>
      <c r="AW73" s="189"/>
      <c r="AX73" s="189"/>
      <c r="AY73" s="189"/>
      <c r="AZ73" s="189"/>
      <c r="BA73" s="188"/>
      <c r="BB73" s="189"/>
      <c r="BC73" s="189"/>
      <c r="BD73" s="189"/>
      <c r="BE73" s="189"/>
      <c r="BF73" s="189"/>
      <c r="BG73" s="189"/>
      <c r="BH73" s="189"/>
      <c r="BI73" s="189"/>
      <c r="BJ73" s="189"/>
      <c r="BK73" s="189"/>
      <c r="BL73" s="189"/>
      <c r="BM73" s="188"/>
    </row>
    <row r="74" spans="2:65" x14ac:dyDescent="0.2">
      <c r="B74" s="483" t="s">
        <v>210</v>
      </c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>
        <f>'Marketing and Sales'!P10</f>
        <v>67254.145163824724</v>
      </c>
      <c r="Q74" s="170">
        <f>'Marketing and Sales'!Q10</f>
        <v>69258.154139082792</v>
      </c>
      <c r="R74" s="169">
        <f>'Marketing and Sales'!R10</f>
        <v>70328.320000000007</v>
      </c>
      <c r="S74" s="169">
        <f>'Marketing and Sales'!S10</f>
        <v>69268.814156885332</v>
      </c>
      <c r="T74" s="169">
        <f>'Marketing and Sales'!T10</f>
        <v>68791.917833623535</v>
      </c>
      <c r="U74" s="169">
        <f>'Marketing and Sales'!U10</f>
        <v>68340.521191082691</v>
      </c>
      <c r="V74" s="169">
        <f>'Marketing and Sales'!V10</f>
        <v>68246.948213793745</v>
      </c>
      <c r="W74" s="169">
        <f>'Marketing and Sales'!W10</f>
        <v>68161.064363235273</v>
      </c>
      <c r="X74" s="169">
        <f>'Marketing and Sales'!X10</f>
        <v>68270.550752188807</v>
      </c>
      <c r="Y74" s="169">
        <f>'Marketing and Sales'!Y10</f>
        <v>68556.005557250232</v>
      </c>
      <c r="Z74" s="169">
        <f>'Marketing and Sales'!Z10</f>
        <v>68839.350546227288</v>
      </c>
      <c r="AA74" s="169">
        <f>'Marketing and Sales'!AA10</f>
        <v>69117.509616607174</v>
      </c>
      <c r="AB74" s="169">
        <f>'Marketing and Sales'!AB10</f>
        <v>69586.356309975585</v>
      </c>
      <c r="AC74" s="170">
        <f>'Marketing and Sales'!AC10</f>
        <v>70049.786692432957</v>
      </c>
      <c r="AD74" s="169">
        <f>'Marketing and Sales'!AD10</f>
        <v>70527.864182821795</v>
      </c>
      <c r="AE74" s="169">
        <f>'Marketing and Sales'!AE10</f>
        <v>71347.257296232972</v>
      </c>
      <c r="AF74" s="169">
        <f>'Marketing and Sales'!AF10</f>
        <v>72915.6884636787</v>
      </c>
      <c r="AG74" s="169">
        <f>'Marketing and Sales'!AG10</f>
        <v>81651.115072061715</v>
      </c>
      <c r="AH74" s="169">
        <f>'Marketing and Sales'!AH10</f>
        <v>91935.220254842556</v>
      </c>
      <c r="AI74" s="169">
        <f>'Marketing and Sales'!AI10</f>
        <v>103470.94182147612</v>
      </c>
      <c r="AJ74" s="169">
        <f>'Marketing and Sales'!AJ10</f>
        <v>115813.35431904208</v>
      </c>
      <c r="AK74" s="169">
        <f>'Marketing and Sales'!AK10</f>
        <v>129123.28646675344</v>
      </c>
      <c r="AL74" s="169">
        <f>'Marketing and Sales'!AL10</f>
        <v>147587.10162441348</v>
      </c>
      <c r="AM74" s="169">
        <f>'Marketing and Sales'!AM10</f>
        <v>166990.54094750516</v>
      </c>
      <c r="AN74" s="169">
        <f>'Marketing and Sales'!AN10</f>
        <v>187702.94825798424</v>
      </c>
      <c r="AO74" s="170">
        <f>'Marketing and Sales'!AO10</f>
        <v>206156.1352328909</v>
      </c>
      <c r="AP74" s="169">
        <f>'Marketing and Sales'!AP10</f>
        <v>226920.81654988535</v>
      </c>
      <c r="AQ74" s="169">
        <f>'Marketing and Sales'!AQ10</f>
        <v>248517.16397699525</v>
      </c>
      <c r="AR74" s="169">
        <f>'Marketing and Sales'!AR10</f>
        <v>271344.19735393097</v>
      </c>
      <c r="AS74" s="169">
        <f>'Marketing and Sales'!AS10</f>
        <v>294970.43333882897</v>
      </c>
      <c r="AT74" s="169">
        <f>'Marketing and Sales'!AT10</f>
        <v>319383.71291115449</v>
      </c>
      <c r="AU74" s="169">
        <f>'Marketing and Sales'!AU10</f>
        <v>344572.09808631288</v>
      </c>
      <c r="AV74" s="169">
        <f>'Marketing and Sales'!AV10</f>
        <v>370990.53431975975</v>
      </c>
      <c r="AW74" s="169">
        <f>'Marketing and Sales'!AW10</f>
        <v>398152.67966150894</v>
      </c>
      <c r="AX74" s="169">
        <f>'Marketing and Sales'!AX10</f>
        <v>426047.37690938043</v>
      </c>
      <c r="AY74" s="169">
        <f>'Marketing and Sales'!AY10</f>
        <v>454663.67084165663</v>
      </c>
      <c r="AZ74" s="169">
        <f>'Marketing and Sales'!AZ10</f>
        <v>483990.80432340765</v>
      </c>
      <c r="BA74" s="170">
        <f>'Marketing and Sales'!BA10</f>
        <v>514018.2144893487</v>
      </c>
      <c r="BB74" s="169">
        <f>'Marketing and Sales'!BB10</f>
        <v>619610.73338133004</v>
      </c>
      <c r="BC74" s="169">
        <f>'Marketing and Sales'!BC10</f>
        <v>718812.75968560041</v>
      </c>
      <c r="BD74" s="169">
        <f>'Marketing and Sales'!BD10</f>
        <v>771236.22537850693</v>
      </c>
      <c r="BE74" s="169">
        <f>'Marketing and Sales'!BE10</f>
        <v>824813.227953027</v>
      </c>
      <c r="BF74" s="169">
        <f>'Marketing and Sales'!BF10</f>
        <v>879508.33293837786</v>
      </c>
      <c r="BG74" s="169">
        <f>'Marketing and Sales'!BG10</f>
        <v>935287.63531145302</v>
      </c>
      <c r="BH74" s="169">
        <f>'Marketing and Sales'!BH10</f>
        <v>992585.35131601442</v>
      </c>
      <c r="BI74" s="169">
        <f>'Marketing and Sales'!BI10</f>
        <v>1050895.5807879283</v>
      </c>
      <c r="BJ74" s="169">
        <f>'Marketing and Sales'!BJ10</f>
        <v>1110188.7160359207</v>
      </c>
      <c r="BK74" s="169">
        <f>'Marketing and Sales'!BK10</f>
        <v>1170436.3991701961</v>
      </c>
      <c r="BL74" s="169">
        <f>'Marketing and Sales'!BL10</f>
        <v>1231611.4614948086</v>
      </c>
      <c r="BM74" s="170">
        <f>'Marketing and Sales'!BM10</f>
        <v>1293687.8659977065</v>
      </c>
    </row>
    <row r="75" spans="2:65" x14ac:dyDescent="0.2">
      <c r="B75" s="21"/>
    </row>
    <row r="76" spans="2:65" x14ac:dyDescent="0.2">
      <c r="B76" s="148" t="s">
        <v>6</v>
      </c>
      <c r="C76" s="7"/>
      <c r="D76" s="149"/>
      <c r="E76" s="149"/>
      <c r="F76" s="172">
        <f t="shared" ref="F76:O76" si="68">SUM(F52:F74)</f>
        <v>0</v>
      </c>
      <c r="G76" s="172">
        <f t="shared" si="68"/>
        <v>0</v>
      </c>
      <c r="H76" s="172">
        <f t="shared" si="68"/>
        <v>0</v>
      </c>
      <c r="I76" s="172">
        <f t="shared" si="68"/>
        <v>0</v>
      </c>
      <c r="J76" s="172">
        <f t="shared" si="68"/>
        <v>0</v>
      </c>
      <c r="K76" s="172">
        <f t="shared" si="68"/>
        <v>0</v>
      </c>
      <c r="L76" s="172">
        <f t="shared" si="68"/>
        <v>0</v>
      </c>
      <c r="M76" s="172">
        <f t="shared" si="68"/>
        <v>0</v>
      </c>
      <c r="N76" s="172">
        <f t="shared" si="68"/>
        <v>0</v>
      </c>
      <c r="O76" s="172">
        <f t="shared" si="68"/>
        <v>0</v>
      </c>
      <c r="P76" s="172">
        <f t="shared" ref="P76:Q76" si="69">SUM(P52:P74)</f>
        <v>191254.98516382475</v>
      </c>
      <c r="Q76" s="28">
        <f t="shared" si="69"/>
        <v>193463.62413908279</v>
      </c>
      <c r="R76" s="172">
        <f>SUM(R52:R74)</f>
        <v>189398.11568000002</v>
      </c>
      <c r="S76" s="172">
        <f t="shared" ref="S76:AZ76" si="70">SUM(S52:S74)</f>
        <v>194158.52516299963</v>
      </c>
      <c r="T76" s="172">
        <f t="shared" si="70"/>
        <v>188666.91640705802</v>
      </c>
      <c r="U76" s="172">
        <f t="shared" si="70"/>
        <v>179593.3813010827</v>
      </c>
      <c r="V76" s="172">
        <f t="shared" si="70"/>
        <v>160561.51822379374</v>
      </c>
      <c r="W76" s="172">
        <f t="shared" si="70"/>
        <v>159136.5654232353</v>
      </c>
      <c r="X76" s="172">
        <f t="shared" si="70"/>
        <v>160257.21220218879</v>
      </c>
      <c r="Y76" s="172">
        <f t="shared" si="70"/>
        <v>151246.94868725023</v>
      </c>
      <c r="Z76" s="172">
        <f t="shared" si="70"/>
        <v>163885.1522362273</v>
      </c>
      <c r="AA76" s="172">
        <f t="shared" si="70"/>
        <v>178064.49054660718</v>
      </c>
      <c r="AB76" s="172">
        <f t="shared" si="70"/>
        <v>175540.25875997558</v>
      </c>
      <c r="AC76" s="28">
        <f t="shared" si="70"/>
        <v>176561.26882243296</v>
      </c>
      <c r="AD76" s="172">
        <f t="shared" si="70"/>
        <v>191095.27355282183</v>
      </c>
      <c r="AE76" s="172">
        <f t="shared" si="70"/>
        <v>190462.55551702098</v>
      </c>
      <c r="AF76" s="172">
        <f t="shared" si="70"/>
        <v>192441.61978359049</v>
      </c>
      <c r="AG76" s="172">
        <f t="shared" si="70"/>
        <v>207152.04290551564</v>
      </c>
      <c r="AH76" s="172">
        <f t="shared" si="70"/>
        <v>220330.1944390405</v>
      </c>
      <c r="AI76" s="172">
        <f t="shared" si="70"/>
        <v>234802.63469855618</v>
      </c>
      <c r="AJ76" s="172">
        <f t="shared" si="70"/>
        <v>254366.68804114172</v>
      </c>
      <c r="AK76" s="172">
        <f t="shared" si="70"/>
        <v>271999.07564097666</v>
      </c>
      <c r="AL76" s="172">
        <f t="shared" si="70"/>
        <v>296370.4326149493</v>
      </c>
      <c r="AM76" s="172">
        <f t="shared" si="70"/>
        <v>322036.89947315998</v>
      </c>
      <c r="AN76" s="172">
        <f t="shared" si="70"/>
        <v>349474.01440395019</v>
      </c>
      <c r="AO76" s="28">
        <f t="shared" si="70"/>
        <v>374072.30077490583</v>
      </c>
      <c r="AP76" s="172">
        <f t="shared" si="70"/>
        <v>407790.78180252074</v>
      </c>
      <c r="AQ76" s="172">
        <f t="shared" si="70"/>
        <v>436246.27016560163</v>
      </c>
      <c r="AR76" s="172">
        <f t="shared" si="70"/>
        <v>466450.96757180814</v>
      </c>
      <c r="AS76" s="172">
        <f t="shared" si="70"/>
        <v>498682.3378937025</v>
      </c>
      <c r="AT76" s="172">
        <f t="shared" si="70"/>
        <v>525028.43788348057</v>
      </c>
      <c r="AU76" s="172">
        <f t="shared" si="70"/>
        <v>557371.41146426531</v>
      </c>
      <c r="AV76" s="172">
        <f t="shared" si="70"/>
        <v>596072.48265507584</v>
      </c>
      <c r="AW76" s="172">
        <f t="shared" si="70"/>
        <v>634773.04079106066</v>
      </c>
      <c r="AX76" s="172">
        <f t="shared" si="70"/>
        <v>670586.69248130289</v>
      </c>
      <c r="AY76" s="172">
        <f t="shared" si="70"/>
        <v>707328.92620994919</v>
      </c>
      <c r="AZ76" s="172">
        <f t="shared" si="70"/>
        <v>744985.98240084597</v>
      </c>
      <c r="BA76" s="28">
        <f>SUM(BA52:BA74)</f>
        <v>783544.34857900674</v>
      </c>
      <c r="BB76" s="172">
        <f t="shared" ref="BB76:BL76" si="71">SUM(BB52:BB74)</f>
        <v>882010.01397925604</v>
      </c>
      <c r="BC76" s="172">
        <f t="shared" si="71"/>
        <v>1003561.6249260529</v>
      </c>
      <c r="BD76" s="172">
        <f t="shared" si="71"/>
        <v>1065943.7801675037</v>
      </c>
      <c r="BE76" s="172">
        <f t="shared" si="71"/>
        <v>1134693.5786385951</v>
      </c>
      <c r="BF76" s="172">
        <f t="shared" si="71"/>
        <v>1194771.6705496288</v>
      </c>
      <c r="BG76" s="172">
        <f t="shared" si="71"/>
        <v>1261140.3455747832</v>
      </c>
      <c r="BH76" s="172">
        <f t="shared" si="71"/>
        <v>1334139.6621488868</v>
      </c>
      <c r="BI76" s="172">
        <f t="shared" si="71"/>
        <v>1407391.0591279841</v>
      </c>
      <c r="BJ76" s="172">
        <f t="shared" si="71"/>
        <v>1477989.3417536551</v>
      </c>
      <c r="BK76" s="172">
        <f t="shared" si="71"/>
        <v>1549732.2837803424</v>
      </c>
      <c r="BL76" s="172">
        <f t="shared" si="71"/>
        <v>1622589.4383993517</v>
      </c>
      <c r="BM76" s="28">
        <f>SUM(BM52:BM74)</f>
        <v>1696531.5774162202</v>
      </c>
    </row>
    <row r="77" spans="2:65" x14ac:dyDescent="0.2">
      <c r="B77" s="21"/>
    </row>
    <row r="78" spans="2:65" x14ac:dyDescent="0.2">
      <c r="B78" s="158" t="s">
        <v>13</v>
      </c>
      <c r="C78" s="33"/>
      <c r="D78" s="159"/>
      <c r="E78" s="159"/>
      <c r="F78" s="175"/>
      <c r="G78" s="175"/>
      <c r="H78" s="175"/>
      <c r="I78" s="175"/>
      <c r="J78" s="175"/>
      <c r="K78" s="175"/>
      <c r="L78" s="175" t="e">
        <f>L28-L76</f>
        <v>#REF!</v>
      </c>
      <c r="M78" s="175">
        <f>M28-M76</f>
        <v>0</v>
      </c>
      <c r="N78" s="175">
        <f>N28-N76</f>
        <v>0</v>
      </c>
      <c r="O78" s="175"/>
      <c r="P78" s="175">
        <f t="shared" ref="P78:Q78" si="72">P28-P76</f>
        <v>-67949.350963824763</v>
      </c>
      <c r="Q78" s="44">
        <f t="shared" si="72"/>
        <v>-77813.414139082801</v>
      </c>
      <c r="R78" s="175">
        <f t="shared" ref="R78:BA78" si="73">R28-R76</f>
        <v>-77038.517280000029</v>
      </c>
      <c r="S78" s="175">
        <f t="shared" si="73"/>
        <v>-83328.422511983052</v>
      </c>
      <c r="T78" s="175">
        <f t="shared" si="73"/>
        <v>-78599.84787326034</v>
      </c>
      <c r="U78" s="175">
        <f t="shared" si="73"/>
        <v>-57472.988501082684</v>
      </c>
      <c r="V78" s="175">
        <f t="shared" si="73"/>
        <v>-40231.473423793737</v>
      </c>
      <c r="W78" s="175">
        <f t="shared" si="73"/>
        <v>-44953.066623235281</v>
      </c>
      <c r="X78" s="175">
        <f t="shared" si="73"/>
        <v>-25487.714159320429</v>
      </c>
      <c r="Y78" s="175">
        <f t="shared" si="73"/>
        <v>-37925.58562471607</v>
      </c>
      <c r="Z78" s="175">
        <f t="shared" si="73"/>
        <v>-49759.530909584326</v>
      </c>
      <c r="AA78" s="175">
        <f t="shared" si="73"/>
        <v>-31470.062772070232</v>
      </c>
      <c r="AB78" s="175">
        <f t="shared" si="73"/>
        <v>-43808.671687301976</v>
      </c>
      <c r="AC78" s="44">
        <f t="shared" si="73"/>
        <v>-41940.643523143168</v>
      </c>
      <c r="AD78" s="175">
        <f t="shared" si="73"/>
        <v>-47717.535134421603</v>
      </c>
      <c r="AE78" s="175">
        <f t="shared" si="73"/>
        <v>-44589.369634948962</v>
      </c>
      <c r="AF78" s="175">
        <f t="shared" si="73"/>
        <v>-41714.117340932833</v>
      </c>
      <c r="AG78" s="175">
        <f t="shared" si="73"/>
        <v>-37598.578655543155</v>
      </c>
      <c r="AH78" s="175">
        <f t="shared" si="73"/>
        <v>-28734.330913136917</v>
      </c>
      <c r="AI78" s="175">
        <f t="shared" si="73"/>
        <v>-18569.893298181851</v>
      </c>
      <c r="AJ78" s="175">
        <f t="shared" si="73"/>
        <v>-11762.573699971457</v>
      </c>
      <c r="AK78" s="175">
        <f t="shared" si="73"/>
        <v>-579.58495338377543</v>
      </c>
      <c r="AL78" s="175">
        <f t="shared" si="73"/>
        <v>14464.023688501213</v>
      </c>
      <c r="AM78" s="175">
        <f t="shared" si="73"/>
        <v>30590.667868410877</v>
      </c>
      <c r="AN78" s="175">
        <f t="shared" si="73"/>
        <v>48024.407371492416</v>
      </c>
      <c r="AO78" s="44">
        <f t="shared" si="73"/>
        <v>64493.618484402075</v>
      </c>
      <c r="AP78" s="175">
        <f t="shared" si="73"/>
        <v>93644.962471113715</v>
      </c>
      <c r="AQ78" s="175">
        <f t="shared" si="73"/>
        <v>117353.1323865907</v>
      </c>
      <c r="AR78" s="175">
        <f t="shared" si="73"/>
        <v>143215.70494967361</v>
      </c>
      <c r="AS78" s="175">
        <f t="shared" si="73"/>
        <v>139674.88883671799</v>
      </c>
      <c r="AT78" s="175">
        <f t="shared" si="73"/>
        <v>166349.21727142518</v>
      </c>
      <c r="AU78" s="175">
        <f t="shared" si="73"/>
        <v>188735.88429913309</v>
      </c>
      <c r="AV78" s="175">
        <f t="shared" si="73"/>
        <v>207373.78611360246</v>
      </c>
      <c r="AW78" s="175">
        <f t="shared" si="73"/>
        <v>227655.24015364447</v>
      </c>
      <c r="AX78" s="175">
        <f t="shared" si="73"/>
        <v>252442.59471790201</v>
      </c>
      <c r="AY78" s="175">
        <f t="shared" si="73"/>
        <v>277896.74104217032</v>
      </c>
      <c r="AZ78" s="175">
        <f t="shared" si="73"/>
        <v>304008.23517102795</v>
      </c>
      <c r="BA78" s="44">
        <f t="shared" si="73"/>
        <v>330767.79488976183</v>
      </c>
      <c r="BB78" s="175">
        <f t="shared" ref="BB78:BM78" si="74">BB28-BB76</f>
        <v>246363.84643498913</v>
      </c>
      <c r="BC78" s="175">
        <f t="shared" si="74"/>
        <v>290873.45519194833</v>
      </c>
      <c r="BD78" s="175">
        <f t="shared" si="74"/>
        <v>304425.27744373493</v>
      </c>
      <c r="BE78" s="175">
        <f t="shared" si="74"/>
        <v>313249.53785233526</v>
      </c>
      <c r="BF78" s="175">
        <f t="shared" si="74"/>
        <v>332355.86321682786</v>
      </c>
      <c r="BG78" s="175">
        <f t="shared" si="74"/>
        <v>346753.06370364828</v>
      </c>
      <c r="BH78" s="175">
        <f t="shared" si="74"/>
        <v>356998.3059646762</v>
      </c>
      <c r="BI78" s="175">
        <f t="shared" si="74"/>
        <v>368501.27862439002</v>
      </c>
      <c r="BJ78" s="175">
        <f t="shared" si="74"/>
        <v>384140.84817672474</v>
      </c>
      <c r="BK78" s="175">
        <f t="shared" si="74"/>
        <v>400093.61492403247</v>
      </c>
      <c r="BL78" s="175">
        <f t="shared" si="74"/>
        <v>416365.0764172487</v>
      </c>
      <c r="BM78" s="44">
        <f t="shared" si="74"/>
        <v>432960.16378384456</v>
      </c>
    </row>
    <row r="79" spans="2:65" s="2" customFormat="1" x14ac:dyDescent="0.2">
      <c r="B79" s="160" t="s">
        <v>14</v>
      </c>
      <c r="C79" s="34"/>
      <c r="D79" s="161"/>
      <c r="E79" s="161"/>
      <c r="F79" s="190"/>
      <c r="G79" s="190"/>
      <c r="H79" s="190"/>
      <c r="I79" s="190"/>
      <c r="J79" s="190"/>
      <c r="K79" s="190"/>
      <c r="L79" s="190"/>
      <c r="M79" s="190"/>
      <c r="N79" s="190">
        <f>M79+N78</f>
        <v>0</v>
      </c>
      <c r="O79" s="190"/>
      <c r="P79" s="178">
        <f t="shared" ref="P79" si="75">O79+P78</f>
        <v>-67949.350963824763</v>
      </c>
      <c r="Q79" s="544">
        <f t="shared" ref="Q79" si="76">P79+Q78</f>
        <v>-145762.76510290755</v>
      </c>
      <c r="R79" s="178">
        <f t="shared" ref="R79:BA79" si="77">Q79+R78</f>
        <v>-222801.28238290758</v>
      </c>
      <c r="S79" s="178">
        <f t="shared" si="77"/>
        <v>-306129.70489489066</v>
      </c>
      <c r="T79" s="178">
        <f t="shared" si="77"/>
        <v>-384729.55276815098</v>
      </c>
      <c r="U79" s="176">
        <f t="shared" si="77"/>
        <v>-442202.54126923368</v>
      </c>
      <c r="V79" s="176">
        <f t="shared" si="77"/>
        <v>-482434.01469302742</v>
      </c>
      <c r="W79" s="176">
        <f t="shared" si="77"/>
        <v>-527387.08131626272</v>
      </c>
      <c r="X79" s="176">
        <f t="shared" si="77"/>
        <v>-552874.79547558317</v>
      </c>
      <c r="Y79" s="176">
        <f t="shared" si="77"/>
        <v>-590800.3811002993</v>
      </c>
      <c r="Z79" s="176">
        <f t="shared" si="77"/>
        <v>-640559.91200988367</v>
      </c>
      <c r="AA79" s="176">
        <f t="shared" si="77"/>
        <v>-672029.97478195396</v>
      </c>
      <c r="AB79" s="176">
        <f t="shared" si="77"/>
        <v>-715838.64646925591</v>
      </c>
      <c r="AC79" s="37">
        <f t="shared" si="77"/>
        <v>-757779.28999239905</v>
      </c>
      <c r="AD79" s="176">
        <f t="shared" si="77"/>
        <v>-805496.82512682071</v>
      </c>
      <c r="AE79" s="176">
        <f t="shared" si="77"/>
        <v>-850086.19476176961</v>
      </c>
      <c r="AF79" s="176">
        <f t="shared" si="77"/>
        <v>-891800.31210270245</v>
      </c>
      <c r="AG79" s="176">
        <f t="shared" si="77"/>
        <v>-929398.8907582456</v>
      </c>
      <c r="AH79" s="176">
        <f t="shared" si="77"/>
        <v>-958133.22167138255</v>
      </c>
      <c r="AI79" s="176">
        <f t="shared" si="77"/>
        <v>-976703.11496956437</v>
      </c>
      <c r="AJ79" s="176">
        <f t="shared" si="77"/>
        <v>-988465.6886695358</v>
      </c>
      <c r="AK79" s="176">
        <f t="shared" si="77"/>
        <v>-989045.27362291957</v>
      </c>
      <c r="AL79" s="176">
        <f t="shared" si="77"/>
        <v>-974581.24993441836</v>
      </c>
      <c r="AM79" s="176">
        <f t="shared" si="77"/>
        <v>-943990.58206600742</v>
      </c>
      <c r="AN79" s="176">
        <f t="shared" si="77"/>
        <v>-895966.17469451507</v>
      </c>
      <c r="AO79" s="37">
        <f t="shared" si="77"/>
        <v>-831472.55621011299</v>
      </c>
      <c r="AP79" s="178">
        <f t="shared" si="77"/>
        <v>-737827.59373899922</v>
      </c>
      <c r="AQ79" s="178">
        <f t="shared" si="77"/>
        <v>-620474.46135240851</v>
      </c>
      <c r="AR79" s="178">
        <f t="shared" si="77"/>
        <v>-477258.7564027349</v>
      </c>
      <c r="AS79" s="176">
        <f t="shared" si="77"/>
        <v>-337583.86756601691</v>
      </c>
      <c r="AT79" s="176">
        <f t="shared" si="77"/>
        <v>-171234.65029459173</v>
      </c>
      <c r="AU79" s="176">
        <f t="shared" si="77"/>
        <v>17501.234004541358</v>
      </c>
      <c r="AV79" s="176">
        <f t="shared" si="77"/>
        <v>224875.02011814382</v>
      </c>
      <c r="AW79" s="176">
        <f t="shared" si="77"/>
        <v>452530.26027178828</v>
      </c>
      <c r="AX79" s="176">
        <f t="shared" si="77"/>
        <v>704972.85498969024</v>
      </c>
      <c r="AY79" s="176">
        <f t="shared" si="77"/>
        <v>982869.59603186056</v>
      </c>
      <c r="AZ79" s="176">
        <f t="shared" si="77"/>
        <v>1286877.8312028884</v>
      </c>
      <c r="BA79" s="37">
        <f t="shared" si="77"/>
        <v>1617645.6260926502</v>
      </c>
      <c r="BB79" s="178">
        <f t="shared" ref="BB79" si="78">BA79+BB78</f>
        <v>1864009.4725276395</v>
      </c>
      <c r="BC79" s="178">
        <f t="shared" ref="BC79" si="79">BB79+BC78</f>
        <v>2154882.9277195879</v>
      </c>
      <c r="BD79" s="178">
        <f t="shared" ref="BD79" si="80">BC79+BD78</f>
        <v>2459308.2051633229</v>
      </c>
      <c r="BE79" s="176">
        <f t="shared" ref="BE79" si="81">BD79+BE78</f>
        <v>2772557.7430156581</v>
      </c>
      <c r="BF79" s="176">
        <f t="shared" ref="BF79" si="82">BE79+BF78</f>
        <v>3104913.6062324857</v>
      </c>
      <c r="BG79" s="176">
        <f t="shared" ref="BG79" si="83">BF79+BG78</f>
        <v>3451666.669936134</v>
      </c>
      <c r="BH79" s="176">
        <f t="shared" ref="BH79" si="84">BG79+BH78</f>
        <v>3808664.9759008102</v>
      </c>
      <c r="BI79" s="176">
        <f t="shared" ref="BI79" si="85">BH79+BI78</f>
        <v>4177166.2545252005</v>
      </c>
      <c r="BJ79" s="176">
        <f t="shared" ref="BJ79" si="86">BI79+BJ78</f>
        <v>4561307.1027019247</v>
      </c>
      <c r="BK79" s="176">
        <f t="shared" ref="BK79" si="87">BJ79+BK78</f>
        <v>4961400.717625957</v>
      </c>
      <c r="BL79" s="176">
        <f t="shared" ref="BL79" si="88">BK79+BL78</f>
        <v>5377765.7940432057</v>
      </c>
      <c r="BM79" s="37">
        <f t="shared" ref="BM79" si="89">BL79+BM78</f>
        <v>5810725.9578270502</v>
      </c>
    </row>
    <row r="80" spans="2:65" x14ac:dyDescent="0.2">
      <c r="B80" s="157"/>
    </row>
    <row r="81" spans="2:65" x14ac:dyDescent="0.2">
      <c r="B81" s="157"/>
    </row>
    <row r="84" spans="2:65" x14ac:dyDescent="0.2">
      <c r="B84" s="264" t="s">
        <v>50</v>
      </c>
      <c r="C84" s="265"/>
      <c r="D84" s="266"/>
      <c r="E84" s="266"/>
      <c r="F84" s="725"/>
      <c r="G84" s="726"/>
      <c r="H84" s="726"/>
      <c r="I84" s="726"/>
      <c r="J84" s="726"/>
      <c r="K84" s="726"/>
      <c r="L84" s="726"/>
      <c r="M84" s="726"/>
      <c r="N84" s="726"/>
      <c r="O84" s="726"/>
      <c r="P84" s="726"/>
      <c r="Q84" s="727"/>
      <c r="R84" s="725">
        <v>2023</v>
      </c>
      <c r="S84" s="726"/>
      <c r="T84" s="726"/>
      <c r="U84" s="726"/>
      <c r="V84" s="726"/>
      <c r="W84" s="726"/>
      <c r="X84" s="726"/>
      <c r="Y84" s="726"/>
      <c r="Z84" s="726"/>
      <c r="AA84" s="726"/>
      <c r="AB84" s="726"/>
      <c r="AC84" s="727"/>
      <c r="AD84" s="725">
        <v>2024</v>
      </c>
      <c r="AE84" s="726"/>
      <c r="AF84" s="726"/>
      <c r="AG84" s="726"/>
      <c r="AH84" s="726"/>
      <c r="AI84" s="726"/>
      <c r="AJ84" s="726"/>
      <c r="AK84" s="726"/>
      <c r="AL84" s="726"/>
      <c r="AM84" s="726"/>
      <c r="AN84" s="726"/>
      <c r="AO84" s="727"/>
      <c r="AP84" s="707">
        <v>2025</v>
      </c>
      <c r="AQ84" s="708"/>
      <c r="AR84" s="708"/>
      <c r="AS84" s="708"/>
      <c r="AT84" s="708"/>
      <c r="AU84" s="708"/>
      <c r="AV84" s="708"/>
      <c r="AW84" s="708"/>
      <c r="AX84" s="708"/>
      <c r="AY84" s="708"/>
      <c r="AZ84" s="708"/>
      <c r="BA84" s="709"/>
      <c r="BB84" s="707">
        <v>2025</v>
      </c>
      <c r="BC84" s="708"/>
      <c r="BD84" s="708"/>
      <c r="BE84" s="708"/>
      <c r="BF84" s="708"/>
      <c r="BG84" s="708"/>
      <c r="BH84" s="708"/>
      <c r="BI84" s="708"/>
      <c r="BJ84" s="708"/>
      <c r="BK84" s="708"/>
      <c r="BL84" s="708"/>
      <c r="BM84" s="709"/>
    </row>
    <row r="85" spans="2:65" x14ac:dyDescent="0.2">
      <c r="B85" s="267"/>
      <c r="C85" s="268"/>
      <c r="D85" s="269"/>
      <c r="E85" s="269"/>
      <c r="F85" s="533"/>
      <c r="G85" s="270"/>
      <c r="H85" s="270"/>
      <c r="I85" s="271"/>
      <c r="J85" s="271"/>
      <c r="K85" s="271"/>
      <c r="L85" s="270"/>
      <c r="M85" s="271"/>
      <c r="N85" s="271"/>
      <c r="O85" s="271"/>
      <c r="P85" s="271"/>
      <c r="Q85" s="272"/>
      <c r="R85" s="489">
        <v>44927</v>
      </c>
      <c r="S85" s="287">
        <v>44958</v>
      </c>
      <c r="T85" s="287">
        <v>44986</v>
      </c>
      <c r="U85" s="287">
        <v>45017</v>
      </c>
      <c r="V85" s="287">
        <v>45047</v>
      </c>
      <c r="W85" s="287">
        <v>45078</v>
      </c>
      <c r="X85" s="287">
        <v>45108</v>
      </c>
      <c r="Y85" s="287">
        <v>45139</v>
      </c>
      <c r="Z85" s="287">
        <v>45170</v>
      </c>
      <c r="AA85" s="287">
        <v>45200</v>
      </c>
      <c r="AB85" s="287">
        <v>45231</v>
      </c>
      <c r="AC85" s="287">
        <v>45261</v>
      </c>
      <c r="AD85" s="489">
        <v>45292</v>
      </c>
      <c r="AE85" s="287">
        <v>45323</v>
      </c>
      <c r="AF85" s="287">
        <v>45352</v>
      </c>
      <c r="AG85" s="287">
        <v>45383</v>
      </c>
      <c r="AH85" s="287">
        <v>45413</v>
      </c>
      <c r="AI85" s="287">
        <v>45444</v>
      </c>
      <c r="AJ85" s="287">
        <v>45474</v>
      </c>
      <c r="AK85" s="287">
        <v>45505</v>
      </c>
      <c r="AL85" s="287">
        <v>45536</v>
      </c>
      <c r="AM85" s="287">
        <v>45566</v>
      </c>
      <c r="AN85" s="287">
        <v>45597</v>
      </c>
      <c r="AO85" s="287">
        <v>45627</v>
      </c>
      <c r="AP85" s="489">
        <v>45658</v>
      </c>
      <c r="AQ85" s="287">
        <v>45689</v>
      </c>
      <c r="AR85" s="287">
        <v>45717</v>
      </c>
      <c r="AS85" s="287">
        <v>45748</v>
      </c>
      <c r="AT85" s="287">
        <v>45778</v>
      </c>
      <c r="AU85" s="287">
        <v>45809</v>
      </c>
      <c r="AV85" s="287">
        <v>45839</v>
      </c>
      <c r="AW85" s="287">
        <v>45870</v>
      </c>
      <c r="AX85" s="287">
        <v>45901</v>
      </c>
      <c r="AY85" s="287">
        <v>45931</v>
      </c>
      <c r="AZ85" s="287">
        <v>45962</v>
      </c>
      <c r="BA85" s="287">
        <v>45992</v>
      </c>
      <c r="BB85" s="489">
        <v>45658</v>
      </c>
      <c r="BC85" s="287">
        <v>45689</v>
      </c>
      <c r="BD85" s="287">
        <v>45717</v>
      </c>
      <c r="BE85" s="287">
        <v>45748</v>
      </c>
      <c r="BF85" s="287">
        <v>45778</v>
      </c>
      <c r="BG85" s="287">
        <v>45809</v>
      </c>
      <c r="BH85" s="287">
        <v>45839</v>
      </c>
      <c r="BI85" s="287">
        <v>45870</v>
      </c>
      <c r="BJ85" s="287">
        <v>45901</v>
      </c>
      <c r="BK85" s="287">
        <v>45931</v>
      </c>
      <c r="BL85" s="287">
        <v>45962</v>
      </c>
      <c r="BM85" s="287">
        <v>45992</v>
      </c>
    </row>
    <row r="87" spans="2:65" x14ac:dyDescent="0.2">
      <c r="B87" t="s">
        <v>300</v>
      </c>
      <c r="P87" s="367">
        <v>0</v>
      </c>
      <c r="Q87" s="74">
        <f t="shared" ref="Q87:R87" si="90">P96</f>
        <v>-695.20580000003974</v>
      </c>
      <c r="R87" s="63">
        <f t="shared" si="90"/>
        <v>-9250.4658000000491</v>
      </c>
      <c r="S87" s="63">
        <f>R96</f>
        <v>-15960.663080000071</v>
      </c>
      <c r="T87" s="63">
        <f t="shared" ref="T87:BA87" si="91">S96</f>
        <v>9979.7285649022087</v>
      </c>
      <c r="U87" s="63">
        <f t="shared" si="91"/>
        <v>171.79852526540344</v>
      </c>
      <c r="V87" s="63">
        <f t="shared" si="91"/>
        <v>11039.331215265411</v>
      </c>
      <c r="W87" s="63">
        <f t="shared" si="91"/>
        <v>39054.806005265418</v>
      </c>
      <c r="X87" s="63">
        <f t="shared" si="91"/>
        <v>62262.80374526541</v>
      </c>
      <c r="Y87" s="63">
        <f t="shared" si="91"/>
        <v>55045.640338133788</v>
      </c>
      <c r="Z87" s="63">
        <f t="shared" si="91"/>
        <v>35676.060270667949</v>
      </c>
      <c r="AA87" s="63">
        <f t="shared" si="91"/>
        <v>4755.8799073109112</v>
      </c>
      <c r="AB87" s="63">
        <f t="shared" si="91"/>
        <v>-7596.6732481521467</v>
      </c>
      <c r="AC87" s="74">
        <f t="shared" si="91"/>
        <v>-31818.988625478538</v>
      </c>
      <c r="AD87" s="63">
        <f t="shared" si="91"/>
        <v>-53709.845456188748</v>
      </c>
      <c r="AE87" s="63">
        <f t="shared" si="91"/>
        <v>-30899.516407788557</v>
      </c>
      <c r="AF87" s="63">
        <f t="shared" si="91"/>
        <v>-4141.6287465045461</v>
      </c>
      <c r="AG87" s="63">
        <f t="shared" si="91"/>
        <v>27059.942376241321</v>
      </c>
      <c r="AH87" s="63">
        <f t="shared" si="91"/>
        <v>71112.478792759881</v>
      </c>
      <c r="AI87" s="63">
        <f t="shared" si="91"/>
        <v>134313.36813446553</v>
      </c>
      <c r="AJ87" s="63">
        <f t="shared" si="91"/>
        <v>219214.41665775981</v>
      </c>
      <c r="AK87" s="63">
        <f t="shared" si="91"/>
        <v>323265.19727683044</v>
      </c>
      <c r="AL87" s="63">
        <f t="shared" si="91"/>
        <v>451808.89879020012</v>
      </c>
      <c r="AM87" s="63">
        <f t="shared" si="91"/>
        <v>451808.89879020012</v>
      </c>
      <c r="AN87" s="63">
        <f t="shared" si="91"/>
        <v>451808.89879020012</v>
      </c>
      <c r="AO87" s="74">
        <f t="shared" si="91"/>
        <v>451808.89879020012</v>
      </c>
      <c r="AP87" s="63">
        <f t="shared" si="91"/>
        <v>451808.89879020012</v>
      </c>
      <c r="AQ87" s="63">
        <f t="shared" si="91"/>
        <v>451808.89879020007</v>
      </c>
      <c r="AR87" s="63">
        <f t="shared" si="91"/>
        <v>451808.89879020012</v>
      </c>
      <c r="AS87" s="63">
        <f t="shared" si="91"/>
        <v>451808.89879020012</v>
      </c>
      <c r="AT87" s="63">
        <f t="shared" si="91"/>
        <v>451808.89879020018</v>
      </c>
      <c r="AU87" s="63">
        <f t="shared" si="91"/>
        <v>451808.89879020012</v>
      </c>
      <c r="AV87" s="63">
        <f t="shared" si="91"/>
        <v>451808.89879020012</v>
      </c>
      <c r="AW87" s="63">
        <f t="shared" si="91"/>
        <v>451808.89879020012</v>
      </c>
      <c r="AX87" s="63">
        <f t="shared" si="91"/>
        <v>451808.89879020012</v>
      </c>
      <c r="AY87" s="63">
        <f t="shared" si="91"/>
        <v>451808.89879020012</v>
      </c>
      <c r="AZ87" s="63">
        <f t="shared" si="91"/>
        <v>451808.89879020012</v>
      </c>
      <c r="BA87" s="74">
        <f t="shared" si="91"/>
        <v>644817.13396122807</v>
      </c>
      <c r="BB87" s="63">
        <f t="shared" ref="BB87" si="92">BA96</f>
        <v>975584.92885098991</v>
      </c>
      <c r="BC87" s="63">
        <f t="shared" ref="BC87" si="93">BB96</f>
        <v>1221948.775285979</v>
      </c>
      <c r="BD87" s="63">
        <f t="shared" ref="BD87" si="94">BC96</f>
        <v>1512822.2304779273</v>
      </c>
      <c r="BE87" s="63">
        <f t="shared" ref="BE87" si="95">BD96</f>
        <v>1817247.5079216622</v>
      </c>
      <c r="BF87" s="63">
        <f t="shared" ref="BF87" si="96">BE96</f>
        <v>2130497.0457739974</v>
      </c>
      <c r="BG87" s="63">
        <f t="shared" ref="BG87" si="97">BF96</f>
        <v>2462852.9089908255</v>
      </c>
      <c r="BH87" s="63">
        <f t="shared" ref="BH87" si="98">BG96</f>
        <v>2809605.9726944738</v>
      </c>
      <c r="BI87" s="63">
        <f t="shared" ref="BI87" si="99">BH96</f>
        <v>3166604.27865915</v>
      </c>
      <c r="BJ87" s="63">
        <f t="shared" ref="BJ87" si="100">BI96</f>
        <v>3535105.5572835403</v>
      </c>
      <c r="BK87" s="63">
        <f t="shared" ref="BK87" si="101">BJ96</f>
        <v>3919246.405460265</v>
      </c>
      <c r="BL87" s="63">
        <f t="shared" ref="BL87" si="102">BK96</f>
        <v>4319340.0203842977</v>
      </c>
      <c r="BM87" s="74">
        <f t="shared" ref="BM87" si="103">BL96</f>
        <v>4735705.0968015464</v>
      </c>
    </row>
    <row r="88" spans="2:65" x14ac:dyDescent="0.2">
      <c r="P88" s="367"/>
      <c r="Q88" s="545"/>
      <c r="R88" s="367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74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74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74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74"/>
    </row>
    <row r="89" spans="2:65" x14ac:dyDescent="0.2">
      <c r="B89" t="s">
        <v>301</v>
      </c>
      <c r="P89" s="367">
        <f t="shared" ref="P89:Q89" si="104">P78</f>
        <v>-67949.350963824763</v>
      </c>
      <c r="Q89" s="545">
        <f t="shared" si="104"/>
        <v>-77813.414139082801</v>
      </c>
      <c r="R89" s="367">
        <f>R78</f>
        <v>-77038.517280000029</v>
      </c>
      <c r="S89" s="367">
        <f>S78</f>
        <v>-83328.422511983052</v>
      </c>
      <c r="T89" s="367">
        <f t="shared" ref="T89:BA89" si="105">T78</f>
        <v>-78599.84787326034</v>
      </c>
      <c r="U89" s="367">
        <f t="shared" si="105"/>
        <v>-57472.988501082684</v>
      </c>
      <c r="V89" s="367">
        <f t="shared" si="105"/>
        <v>-40231.473423793737</v>
      </c>
      <c r="W89" s="367">
        <f t="shared" si="105"/>
        <v>-44953.066623235281</v>
      </c>
      <c r="X89" s="367">
        <f t="shared" si="105"/>
        <v>-25487.714159320429</v>
      </c>
      <c r="Y89" s="367">
        <f t="shared" si="105"/>
        <v>-37925.58562471607</v>
      </c>
      <c r="Z89" s="367">
        <f t="shared" si="105"/>
        <v>-49759.530909584326</v>
      </c>
      <c r="AA89" s="367">
        <f t="shared" si="105"/>
        <v>-31470.062772070232</v>
      </c>
      <c r="AB89" s="367">
        <f t="shared" si="105"/>
        <v>-43808.671687301976</v>
      </c>
      <c r="AC89" s="545">
        <f t="shared" si="105"/>
        <v>-41940.643523143168</v>
      </c>
      <c r="AD89" s="367">
        <f t="shared" si="105"/>
        <v>-47717.535134421603</v>
      </c>
      <c r="AE89" s="367">
        <f t="shared" si="105"/>
        <v>-44589.369634948962</v>
      </c>
      <c r="AF89" s="367">
        <f t="shared" si="105"/>
        <v>-41714.117340932833</v>
      </c>
      <c r="AG89" s="367">
        <f t="shared" si="105"/>
        <v>-37598.578655543155</v>
      </c>
      <c r="AH89" s="367">
        <f t="shared" si="105"/>
        <v>-28734.330913136917</v>
      </c>
      <c r="AI89" s="367">
        <f t="shared" si="105"/>
        <v>-18569.893298181851</v>
      </c>
      <c r="AJ89" s="367">
        <f t="shared" si="105"/>
        <v>-11762.573699971457</v>
      </c>
      <c r="AK89" s="367">
        <f t="shared" si="105"/>
        <v>-579.58495338377543</v>
      </c>
      <c r="AL89" s="367">
        <f t="shared" si="105"/>
        <v>14464.023688501213</v>
      </c>
      <c r="AM89" s="367">
        <f t="shared" si="105"/>
        <v>30590.667868410877</v>
      </c>
      <c r="AN89" s="367">
        <f t="shared" si="105"/>
        <v>48024.407371492416</v>
      </c>
      <c r="AO89" s="545">
        <f t="shared" si="105"/>
        <v>64493.618484402075</v>
      </c>
      <c r="AP89" s="367">
        <f t="shared" si="105"/>
        <v>93644.962471113715</v>
      </c>
      <c r="AQ89" s="367">
        <f t="shared" si="105"/>
        <v>117353.1323865907</v>
      </c>
      <c r="AR89" s="367">
        <f t="shared" si="105"/>
        <v>143215.70494967361</v>
      </c>
      <c r="AS89" s="367">
        <f t="shared" si="105"/>
        <v>139674.88883671799</v>
      </c>
      <c r="AT89" s="367">
        <f t="shared" si="105"/>
        <v>166349.21727142518</v>
      </c>
      <c r="AU89" s="367">
        <f t="shared" si="105"/>
        <v>188735.88429913309</v>
      </c>
      <c r="AV89" s="367">
        <f t="shared" si="105"/>
        <v>207373.78611360246</v>
      </c>
      <c r="AW89" s="367">
        <f t="shared" si="105"/>
        <v>227655.24015364447</v>
      </c>
      <c r="AX89" s="367">
        <f t="shared" si="105"/>
        <v>252442.59471790201</v>
      </c>
      <c r="AY89" s="367">
        <f t="shared" si="105"/>
        <v>277896.74104217032</v>
      </c>
      <c r="AZ89" s="367">
        <f t="shared" si="105"/>
        <v>304008.23517102795</v>
      </c>
      <c r="BA89" s="545">
        <f t="shared" si="105"/>
        <v>330767.79488976183</v>
      </c>
      <c r="BB89" s="367">
        <f t="shared" ref="BB89:BM89" si="106">BB78</f>
        <v>246363.84643498913</v>
      </c>
      <c r="BC89" s="367">
        <f t="shared" si="106"/>
        <v>290873.45519194833</v>
      </c>
      <c r="BD89" s="367">
        <f t="shared" si="106"/>
        <v>304425.27744373493</v>
      </c>
      <c r="BE89" s="367">
        <f t="shared" si="106"/>
        <v>313249.53785233526</v>
      </c>
      <c r="BF89" s="367">
        <f t="shared" si="106"/>
        <v>332355.86321682786</v>
      </c>
      <c r="BG89" s="367">
        <f t="shared" si="106"/>
        <v>346753.06370364828</v>
      </c>
      <c r="BH89" s="367">
        <f t="shared" si="106"/>
        <v>356998.3059646762</v>
      </c>
      <c r="BI89" s="367">
        <f t="shared" si="106"/>
        <v>368501.27862439002</v>
      </c>
      <c r="BJ89" s="367">
        <f t="shared" si="106"/>
        <v>384140.84817672474</v>
      </c>
      <c r="BK89" s="367">
        <f t="shared" si="106"/>
        <v>400093.61492403247</v>
      </c>
      <c r="BL89" s="367">
        <f t="shared" si="106"/>
        <v>416365.0764172487</v>
      </c>
      <c r="BM89" s="545">
        <f t="shared" si="106"/>
        <v>432960.16378384456</v>
      </c>
    </row>
    <row r="90" spans="2:65" x14ac:dyDescent="0.2">
      <c r="B90" s="162" t="s">
        <v>302</v>
      </c>
      <c r="P90" s="367">
        <f>-'P&amp;L Medzy '!P85</f>
        <v>67254.145163824724</v>
      </c>
      <c r="Q90" s="545">
        <f>-'P&amp;L Medzy '!Q85</f>
        <v>69258.154139082792</v>
      </c>
      <c r="R90" s="367">
        <f>-'P&amp;L Medzy '!R85</f>
        <v>70328.320000000007</v>
      </c>
      <c r="S90" s="367">
        <f>-'P&amp;L Medzy '!S85</f>
        <v>69268.814156885332</v>
      </c>
      <c r="T90" s="367">
        <f>-'P&amp;L Medzy '!T85</f>
        <v>68791.917833623535</v>
      </c>
      <c r="U90" s="367">
        <f>-'P&amp;L Medzy '!U85</f>
        <v>68340.521191082691</v>
      </c>
      <c r="V90" s="367">
        <f>-'P&amp;L Medzy '!V85</f>
        <v>68246.948213793745</v>
      </c>
      <c r="W90" s="367">
        <f>-'P&amp;L Medzy '!W85</f>
        <v>68161.064363235273</v>
      </c>
      <c r="X90" s="367">
        <f>-'P&amp;L Medzy '!X85</f>
        <v>68270.550752188807</v>
      </c>
      <c r="Y90" s="367">
        <f>-'P&amp;L Medzy '!Y85</f>
        <v>68556.005557250232</v>
      </c>
      <c r="Z90" s="367">
        <f>-'P&amp;L Medzy '!Z85</f>
        <v>68839.350546227288</v>
      </c>
      <c r="AA90" s="367">
        <f>-'P&amp;L Medzy '!AA85</f>
        <v>69117.509616607174</v>
      </c>
      <c r="AB90" s="367">
        <f>-'P&amp;L Medzy '!AB85</f>
        <v>69586.356309975585</v>
      </c>
      <c r="AC90" s="545">
        <f>-'P&amp;L Medzy '!AC85</f>
        <v>70049.786692432957</v>
      </c>
      <c r="AD90" s="367">
        <f>-'P&amp;L Medzy '!AD85</f>
        <v>70527.864182821795</v>
      </c>
      <c r="AE90" s="367">
        <f>-'P&amp;L Medzy '!AE85</f>
        <v>71347.257296232972</v>
      </c>
      <c r="AF90" s="367">
        <f>-'P&amp;L Medzy '!AF85</f>
        <v>72915.6884636787</v>
      </c>
      <c r="AG90" s="367">
        <f>-'P&amp;L Medzy '!AG85</f>
        <v>81651.115072061715</v>
      </c>
      <c r="AH90" s="367">
        <f>-'P&amp;L Medzy '!AH85</f>
        <v>91935.220254842556</v>
      </c>
      <c r="AI90" s="367">
        <f>-'P&amp;L Medzy '!AI85</f>
        <v>103470.94182147612</v>
      </c>
      <c r="AJ90" s="367">
        <f>-'P&amp;L Medzy '!AJ85</f>
        <v>115813.35431904208</v>
      </c>
      <c r="AK90" s="367">
        <f>-'P&amp;L Medzy '!AK85</f>
        <v>129123.28646675344</v>
      </c>
      <c r="AL90" s="367">
        <f>-'P&amp;L Medzy '!AL85</f>
        <v>0</v>
      </c>
      <c r="AM90" s="367">
        <f>-'P&amp;L Medzy '!AM85</f>
        <v>0</v>
      </c>
      <c r="AN90" s="367">
        <f>-'P&amp;L Medzy '!AN85</f>
        <v>0</v>
      </c>
      <c r="AO90" s="545">
        <f>-'P&amp;L Medzy '!AO85</f>
        <v>0</v>
      </c>
      <c r="AP90" s="367">
        <f>-'P&amp;L Medzy '!AP85</f>
        <v>0</v>
      </c>
      <c r="AQ90" s="367">
        <f>-'P&amp;L Medzy '!AQ85</f>
        <v>0</v>
      </c>
      <c r="AR90" s="367">
        <f>-'P&amp;L Medzy '!AR85</f>
        <v>0</v>
      </c>
      <c r="AS90" s="367">
        <f>-'P&amp;L Medzy '!AS85</f>
        <v>0</v>
      </c>
      <c r="AT90" s="367">
        <f>-'P&amp;L Medzy '!AT85</f>
        <v>0</v>
      </c>
      <c r="AU90" s="367">
        <f>-'P&amp;L Medzy '!AU85</f>
        <v>0</v>
      </c>
      <c r="AV90" s="367">
        <f>-'P&amp;L Medzy '!AV85</f>
        <v>0</v>
      </c>
      <c r="AW90" s="367">
        <f>-'P&amp;L Medzy '!AW85</f>
        <v>0</v>
      </c>
      <c r="AX90" s="367">
        <f>-'P&amp;L Medzy '!AX85</f>
        <v>0</v>
      </c>
      <c r="AY90" s="367">
        <f>-'P&amp;L Medzy '!AY85</f>
        <v>0</v>
      </c>
      <c r="AZ90" s="367">
        <f>-'P&amp;L Medzy '!AZ85</f>
        <v>0</v>
      </c>
      <c r="BA90" s="545">
        <f>-'P&amp;L Medzy '!BA85</f>
        <v>0</v>
      </c>
      <c r="BB90" s="367">
        <f>-'P&amp;L Medzy '!BB85</f>
        <v>0</v>
      </c>
      <c r="BC90" s="367">
        <f>-'P&amp;L Medzy '!BC85</f>
        <v>0</v>
      </c>
      <c r="BD90" s="367">
        <f>-'P&amp;L Medzy '!BD85</f>
        <v>0</v>
      </c>
      <c r="BE90" s="367">
        <f>-'P&amp;L Medzy '!BE85</f>
        <v>0</v>
      </c>
      <c r="BF90" s="367">
        <f>-'P&amp;L Medzy '!BF85</f>
        <v>0</v>
      </c>
      <c r="BG90" s="367">
        <f>-'P&amp;L Medzy '!BG85</f>
        <v>0</v>
      </c>
      <c r="BH90" s="367">
        <f>-'P&amp;L Medzy '!BH85</f>
        <v>0</v>
      </c>
      <c r="BI90" s="367">
        <f>-'P&amp;L Medzy '!BI85</f>
        <v>0</v>
      </c>
      <c r="BJ90" s="367">
        <f>-'P&amp;L Medzy '!BJ85</f>
        <v>0</v>
      </c>
      <c r="BK90" s="367">
        <f>-'P&amp;L Medzy '!BK85</f>
        <v>0</v>
      </c>
      <c r="BL90" s="367">
        <f>-'P&amp;L Medzy '!BL85</f>
        <v>0</v>
      </c>
      <c r="BM90" s="545">
        <f>-'P&amp;L Medzy '!BM85</f>
        <v>0</v>
      </c>
    </row>
    <row r="91" spans="2:65" x14ac:dyDescent="0.2">
      <c r="B91" s="162" t="s">
        <v>307</v>
      </c>
      <c r="P91" s="367"/>
      <c r="Q91" s="545"/>
      <c r="R91" s="367"/>
      <c r="S91" s="367"/>
      <c r="T91" s="367"/>
      <c r="U91" s="367"/>
      <c r="V91" s="367"/>
      <c r="W91" s="367"/>
      <c r="X91" s="367">
        <v>-50000</v>
      </c>
      <c r="Y91" s="367">
        <v>-50000</v>
      </c>
      <c r="Z91" s="367">
        <v>-50000</v>
      </c>
      <c r="AA91" s="367">
        <v>-50000</v>
      </c>
      <c r="AB91" s="367">
        <v>-50000</v>
      </c>
      <c r="AC91" s="545">
        <v>-50000</v>
      </c>
      <c r="AD91" s="367"/>
      <c r="AE91" s="367"/>
      <c r="AF91" s="367"/>
      <c r="AG91" s="367"/>
      <c r="AH91" s="367"/>
      <c r="AI91" s="367"/>
      <c r="AJ91" s="367"/>
      <c r="AK91" s="367"/>
      <c r="AL91" s="367"/>
      <c r="AM91" s="367"/>
      <c r="AN91" s="367"/>
      <c r="AO91" s="545"/>
      <c r="AP91" s="367"/>
      <c r="AQ91" s="367"/>
      <c r="AR91" s="367"/>
      <c r="AS91" s="367"/>
      <c r="AT91" s="367"/>
      <c r="AU91" s="367"/>
      <c r="AV91" s="367"/>
      <c r="AW91" s="367"/>
      <c r="AX91" s="367"/>
      <c r="AY91" s="367"/>
      <c r="AZ91" s="367"/>
      <c r="BA91" s="545"/>
      <c r="BB91" s="367"/>
      <c r="BC91" s="367"/>
      <c r="BD91" s="367"/>
      <c r="BE91" s="367"/>
      <c r="BF91" s="367"/>
      <c r="BG91" s="367"/>
      <c r="BH91" s="367"/>
      <c r="BI91" s="367"/>
      <c r="BJ91" s="367"/>
      <c r="BK91" s="367"/>
      <c r="BL91" s="367"/>
      <c r="BM91" s="545"/>
    </row>
    <row r="92" spans="2:65" x14ac:dyDescent="0.2">
      <c r="B92" s="162" t="s">
        <v>303</v>
      </c>
      <c r="P92" s="367">
        <f>-'P&amp;L Medzy '!P87</f>
        <v>0</v>
      </c>
      <c r="Q92" s="545">
        <f>-'P&amp;L Medzy '!Q87</f>
        <v>0</v>
      </c>
      <c r="R92" s="367">
        <f>-'P&amp;L Medzy '!R87</f>
        <v>0</v>
      </c>
      <c r="S92" s="367">
        <f>-'P&amp;L Medzy '!S87</f>
        <v>0</v>
      </c>
      <c r="T92" s="367">
        <f>-'P&amp;L Medzy '!T87</f>
        <v>0</v>
      </c>
      <c r="U92" s="367">
        <f>-'P&amp;L Medzy '!U87</f>
        <v>0</v>
      </c>
      <c r="V92" s="367">
        <f>-'P&amp;L Medzy '!V87</f>
        <v>0</v>
      </c>
      <c r="W92" s="367">
        <f>-'P&amp;L Medzy '!W87</f>
        <v>0</v>
      </c>
      <c r="X92" s="367">
        <f>-'P&amp;L Medzy '!X87</f>
        <v>0</v>
      </c>
      <c r="Y92" s="367">
        <f>-'P&amp;L Medzy '!Y87</f>
        <v>0</v>
      </c>
      <c r="Z92" s="367">
        <f>-'P&amp;L Medzy '!Z87</f>
        <v>0</v>
      </c>
      <c r="AA92" s="367">
        <f>-'P&amp;L Medzy '!AA87</f>
        <v>0</v>
      </c>
      <c r="AB92" s="367">
        <f>-'P&amp;L Medzy '!AB87</f>
        <v>0</v>
      </c>
      <c r="AC92" s="545">
        <f>-'P&amp;L Medzy '!AC87</f>
        <v>0</v>
      </c>
      <c r="AD92" s="367">
        <f>-'P&amp;L Medzy '!AD87</f>
        <v>0</v>
      </c>
      <c r="AE92" s="367">
        <f>-'P&amp;L Medzy '!AE87</f>
        <v>0</v>
      </c>
      <c r="AF92" s="367">
        <f>-'P&amp;L Medzy '!AF87</f>
        <v>0</v>
      </c>
      <c r="AG92" s="367">
        <f>-'P&amp;L Medzy '!AG87</f>
        <v>0</v>
      </c>
      <c r="AH92" s="367">
        <f>-'P&amp;L Medzy '!AH87</f>
        <v>0</v>
      </c>
      <c r="AI92" s="367">
        <f>-'P&amp;L Medzy '!AI87</f>
        <v>0</v>
      </c>
      <c r="AJ92" s="367">
        <f>-'P&amp;L Medzy '!AJ87</f>
        <v>0</v>
      </c>
      <c r="AK92" s="367">
        <f>-'P&amp;L Medzy '!AK87</f>
        <v>0</v>
      </c>
      <c r="AL92" s="367">
        <f>-'P&amp;L Medzy '!AL87</f>
        <v>-14464.023688501213</v>
      </c>
      <c r="AM92" s="367">
        <f>-'P&amp;L Medzy '!AM87</f>
        <v>-30590.667868410877</v>
      </c>
      <c r="AN92" s="367">
        <f>-'P&amp;L Medzy '!AN87</f>
        <v>-48024.407371492416</v>
      </c>
      <c r="AO92" s="545">
        <f>-'P&amp;L Medzy '!AO87</f>
        <v>-64493.618484402075</v>
      </c>
      <c r="AP92" s="367">
        <f>-'P&amp;L Medzy '!AP87</f>
        <v>-93644.962471113715</v>
      </c>
      <c r="AQ92" s="367">
        <f>-'P&amp;L Medzy '!AQ87</f>
        <v>-117353.1323865907</v>
      </c>
      <c r="AR92" s="367">
        <f>-'P&amp;L Medzy '!AR87</f>
        <v>-143215.70494967361</v>
      </c>
      <c r="AS92" s="367">
        <f>-'P&amp;L Medzy '!AS87</f>
        <v>-139674.88883671799</v>
      </c>
      <c r="AT92" s="367">
        <f>-'P&amp;L Medzy '!AT87</f>
        <v>-166349.21727142518</v>
      </c>
      <c r="AU92" s="367">
        <f>-'P&amp;L Medzy '!AU87</f>
        <v>-188735.88429913309</v>
      </c>
      <c r="AV92" s="367">
        <f>-'P&amp;L Medzy '!AV87</f>
        <v>-207373.78611360246</v>
      </c>
      <c r="AW92" s="367">
        <f>-'P&amp;L Medzy '!AW87</f>
        <v>-227655.24015364447</v>
      </c>
      <c r="AX92" s="367">
        <f>-'P&amp;L Medzy '!AX87</f>
        <v>-252442.59471790201</v>
      </c>
      <c r="AY92" s="367">
        <f>-'P&amp;L Medzy '!AY87</f>
        <v>-277896.74104217032</v>
      </c>
      <c r="AZ92" s="367">
        <f>-'P&amp;L Medzy '!AZ87</f>
        <v>-111000</v>
      </c>
      <c r="BA92" s="545">
        <f>-'P&amp;L Medzy '!BA87</f>
        <v>0</v>
      </c>
      <c r="BB92" s="367">
        <f>-'P&amp;L Medzy '!BB87</f>
        <v>0</v>
      </c>
      <c r="BC92" s="367">
        <f>-'P&amp;L Medzy '!BC87</f>
        <v>0</v>
      </c>
      <c r="BD92" s="367">
        <f>-'P&amp;L Medzy '!BD87</f>
        <v>0</v>
      </c>
      <c r="BE92" s="367">
        <f>-'P&amp;L Medzy '!BE87</f>
        <v>0</v>
      </c>
      <c r="BF92" s="367">
        <f>-'P&amp;L Medzy '!BF87</f>
        <v>0</v>
      </c>
      <c r="BG92" s="367">
        <f>-'P&amp;L Medzy '!BG87</f>
        <v>0</v>
      </c>
      <c r="BH92" s="367">
        <f>-'P&amp;L Medzy '!BH87</f>
        <v>0</v>
      </c>
      <c r="BI92" s="367">
        <f>-'P&amp;L Medzy '!BI87</f>
        <v>0</v>
      </c>
      <c r="BJ92" s="367">
        <f>-'P&amp;L Medzy '!BJ87</f>
        <v>0</v>
      </c>
      <c r="BK92" s="367">
        <f>-'P&amp;L Medzy '!BK87</f>
        <v>0</v>
      </c>
      <c r="BL92" s="367">
        <f>-'P&amp;L Medzy '!BL87</f>
        <v>0</v>
      </c>
      <c r="BM92" s="545">
        <f>-'P&amp;L Medzy '!BM87</f>
        <v>0</v>
      </c>
    </row>
    <row r="93" spans="2:65" x14ac:dyDescent="0.2">
      <c r="P93" s="63"/>
      <c r="Q93" s="74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74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74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74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74"/>
    </row>
    <row r="94" spans="2:65" x14ac:dyDescent="0.2">
      <c r="B94" t="s">
        <v>305</v>
      </c>
      <c r="P94" s="63"/>
      <c r="Q94" s="74"/>
      <c r="R94" s="63"/>
      <c r="S94" s="63">
        <v>40000</v>
      </c>
      <c r="T94" s="63"/>
      <c r="U94" s="63"/>
      <c r="V94" s="63"/>
      <c r="W94" s="63"/>
      <c r="X94" s="63"/>
      <c r="Y94" s="63"/>
      <c r="Z94" s="63"/>
      <c r="AA94" s="63"/>
      <c r="AB94" s="63"/>
      <c r="AC94" s="74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74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74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74"/>
    </row>
    <row r="95" spans="2:65" x14ac:dyDescent="0.2">
      <c r="P95" s="63"/>
      <c r="Q95" s="74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74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74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74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74"/>
    </row>
    <row r="96" spans="2:65" ht="17" thickBot="1" x14ac:dyDescent="0.25">
      <c r="B96" t="s">
        <v>304</v>
      </c>
      <c r="P96" s="368">
        <f t="shared" ref="P96:Q96" si="107">SUM(P87:P95)</f>
        <v>-695.20580000003974</v>
      </c>
      <c r="Q96" s="546">
        <f t="shared" si="107"/>
        <v>-9250.4658000000491</v>
      </c>
      <c r="R96" s="368">
        <f>SUM(R87:R95)</f>
        <v>-15960.663080000071</v>
      </c>
      <c r="S96" s="368">
        <f>SUM(S87:S95)</f>
        <v>9979.7285649022087</v>
      </c>
      <c r="T96" s="368">
        <f t="shared" ref="T96:BA96" si="108">SUM(T87:T95)</f>
        <v>171.79852526540344</v>
      </c>
      <c r="U96" s="368">
        <f t="shared" si="108"/>
        <v>11039.331215265411</v>
      </c>
      <c r="V96" s="368">
        <f t="shared" si="108"/>
        <v>39054.806005265418</v>
      </c>
      <c r="W96" s="368">
        <f t="shared" si="108"/>
        <v>62262.80374526541</v>
      </c>
      <c r="X96" s="368">
        <f t="shared" si="108"/>
        <v>55045.640338133788</v>
      </c>
      <c r="Y96" s="368">
        <f t="shared" si="108"/>
        <v>35676.060270667949</v>
      </c>
      <c r="Z96" s="368">
        <f t="shared" si="108"/>
        <v>4755.8799073109112</v>
      </c>
      <c r="AA96" s="368">
        <f t="shared" si="108"/>
        <v>-7596.6732481521467</v>
      </c>
      <c r="AB96" s="368">
        <f t="shared" si="108"/>
        <v>-31818.988625478538</v>
      </c>
      <c r="AC96" s="546">
        <f t="shared" si="108"/>
        <v>-53709.845456188748</v>
      </c>
      <c r="AD96" s="368">
        <f t="shared" si="108"/>
        <v>-30899.516407788557</v>
      </c>
      <c r="AE96" s="368">
        <f t="shared" si="108"/>
        <v>-4141.6287465045461</v>
      </c>
      <c r="AF96" s="368">
        <f t="shared" si="108"/>
        <v>27059.942376241321</v>
      </c>
      <c r="AG96" s="368">
        <f t="shared" si="108"/>
        <v>71112.478792759881</v>
      </c>
      <c r="AH96" s="368">
        <f t="shared" si="108"/>
        <v>134313.36813446553</v>
      </c>
      <c r="AI96" s="368">
        <f t="shared" si="108"/>
        <v>219214.41665775981</v>
      </c>
      <c r="AJ96" s="368">
        <f t="shared" si="108"/>
        <v>323265.19727683044</v>
      </c>
      <c r="AK96" s="368">
        <f t="shared" si="108"/>
        <v>451808.89879020012</v>
      </c>
      <c r="AL96" s="368">
        <f t="shared" si="108"/>
        <v>451808.89879020012</v>
      </c>
      <c r="AM96" s="368">
        <f t="shared" si="108"/>
        <v>451808.89879020012</v>
      </c>
      <c r="AN96" s="368">
        <f t="shared" si="108"/>
        <v>451808.89879020012</v>
      </c>
      <c r="AO96" s="546">
        <f t="shared" si="108"/>
        <v>451808.89879020012</v>
      </c>
      <c r="AP96" s="368">
        <f t="shared" si="108"/>
        <v>451808.89879020007</v>
      </c>
      <c r="AQ96" s="368">
        <f t="shared" si="108"/>
        <v>451808.89879020012</v>
      </c>
      <c r="AR96" s="368">
        <f t="shared" si="108"/>
        <v>451808.89879020012</v>
      </c>
      <c r="AS96" s="368">
        <f t="shared" si="108"/>
        <v>451808.89879020018</v>
      </c>
      <c r="AT96" s="368">
        <f t="shared" si="108"/>
        <v>451808.89879020012</v>
      </c>
      <c r="AU96" s="368">
        <f t="shared" si="108"/>
        <v>451808.89879020012</v>
      </c>
      <c r="AV96" s="368">
        <f t="shared" si="108"/>
        <v>451808.89879020012</v>
      </c>
      <c r="AW96" s="368">
        <f t="shared" si="108"/>
        <v>451808.89879020012</v>
      </c>
      <c r="AX96" s="368">
        <f t="shared" si="108"/>
        <v>451808.89879020012</v>
      </c>
      <c r="AY96" s="368">
        <f t="shared" si="108"/>
        <v>451808.89879020012</v>
      </c>
      <c r="AZ96" s="368">
        <f t="shared" si="108"/>
        <v>644817.13396122807</v>
      </c>
      <c r="BA96" s="546">
        <f t="shared" si="108"/>
        <v>975584.92885098991</v>
      </c>
      <c r="BB96" s="368">
        <f t="shared" ref="BB96:BM96" si="109">SUM(BB87:BB95)</f>
        <v>1221948.775285979</v>
      </c>
      <c r="BC96" s="368">
        <f t="shared" si="109"/>
        <v>1512822.2304779273</v>
      </c>
      <c r="BD96" s="368">
        <f t="shared" si="109"/>
        <v>1817247.5079216622</v>
      </c>
      <c r="BE96" s="368">
        <f t="shared" si="109"/>
        <v>2130497.0457739974</v>
      </c>
      <c r="BF96" s="368">
        <f t="shared" si="109"/>
        <v>2462852.9089908255</v>
      </c>
      <c r="BG96" s="368">
        <f t="shared" si="109"/>
        <v>2809605.9726944738</v>
      </c>
      <c r="BH96" s="368">
        <f t="shared" si="109"/>
        <v>3166604.27865915</v>
      </c>
      <c r="BI96" s="368">
        <f t="shared" si="109"/>
        <v>3535105.5572835403</v>
      </c>
      <c r="BJ96" s="368">
        <f t="shared" si="109"/>
        <v>3919246.405460265</v>
      </c>
      <c r="BK96" s="368">
        <f t="shared" si="109"/>
        <v>4319340.0203842977</v>
      </c>
      <c r="BL96" s="368">
        <f t="shared" si="109"/>
        <v>4735705.0968015464</v>
      </c>
      <c r="BM96" s="546">
        <f t="shared" si="109"/>
        <v>5168665.260585391</v>
      </c>
    </row>
    <row r="97" spans="2:65" x14ac:dyDescent="0.2"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74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74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74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74"/>
    </row>
    <row r="98" spans="2:65" x14ac:dyDescent="0.2"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74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74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74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74"/>
    </row>
    <row r="99" spans="2:65" x14ac:dyDescent="0.2">
      <c r="B99" s="453" t="e">
        <f>'P&amp;L Medzy '!#REF!</f>
        <v>#REF!</v>
      </c>
      <c r="C99" s="451"/>
      <c r="D99" s="543"/>
      <c r="E99" s="543"/>
      <c r="F99" s="451"/>
      <c r="G99" s="451"/>
      <c r="H99" s="451"/>
      <c r="I99" s="451"/>
      <c r="J99" s="451"/>
      <c r="K99" s="451"/>
      <c r="L99" s="451"/>
      <c r="M99" s="451"/>
      <c r="N99" s="451"/>
      <c r="O99" s="451"/>
      <c r="P99" s="451"/>
      <c r="Q99" s="543"/>
      <c r="R99" s="452"/>
      <c r="S99" s="452"/>
      <c r="T99" s="452"/>
      <c r="U99" s="452"/>
      <c r="V99" s="452"/>
      <c r="W99" s="452"/>
      <c r="X99" s="452"/>
      <c r="Y99" s="452"/>
      <c r="Z99" s="452"/>
      <c r="AA99" s="452"/>
      <c r="AB99" s="452"/>
      <c r="AC99" s="549"/>
      <c r="AD99" s="452"/>
      <c r="AE99" s="452"/>
      <c r="AF99" s="452"/>
      <c r="AG99" s="452"/>
      <c r="AH99" s="452"/>
      <c r="AI99" s="452"/>
      <c r="AJ99" s="452"/>
      <c r="AK99" s="452"/>
      <c r="AL99" s="452"/>
      <c r="AM99" s="452"/>
      <c r="AN99" s="452"/>
      <c r="AO99" s="549"/>
      <c r="AP99" s="452"/>
      <c r="AQ99" s="452"/>
      <c r="AR99" s="452"/>
      <c r="AS99" s="452"/>
      <c r="AT99" s="452"/>
      <c r="AU99" s="452"/>
      <c r="AV99" s="452"/>
      <c r="AW99" s="452"/>
      <c r="AX99" s="452"/>
      <c r="AY99" s="452"/>
      <c r="AZ99" s="452"/>
      <c r="BA99" s="549"/>
      <c r="BB99" s="452"/>
      <c r="BC99" s="452"/>
      <c r="BD99" s="452"/>
      <c r="BE99" s="452"/>
      <c r="BF99" s="452"/>
      <c r="BG99" s="452"/>
      <c r="BH99" s="452"/>
      <c r="BI99" s="452"/>
      <c r="BJ99" s="452"/>
      <c r="BK99" s="452"/>
      <c r="BL99" s="452"/>
      <c r="BM99" s="549"/>
    </row>
    <row r="100" spans="2:65" x14ac:dyDescent="0.2">
      <c r="B100" s="451"/>
      <c r="C100" s="451"/>
      <c r="D100" s="543"/>
      <c r="E100" s="543"/>
      <c r="F100" s="451"/>
      <c r="G100" s="451"/>
      <c r="H100" s="451"/>
      <c r="I100" s="451"/>
      <c r="J100" s="451"/>
      <c r="K100" s="451"/>
      <c r="L100" s="451"/>
      <c r="M100" s="451"/>
      <c r="N100" s="451"/>
      <c r="O100" s="451"/>
      <c r="P100" s="451"/>
      <c r="Q100" s="543"/>
      <c r="R100" s="452"/>
      <c r="S100" s="452"/>
      <c r="T100" s="452"/>
      <c r="U100" s="452"/>
      <c r="V100" s="452"/>
      <c r="W100" s="452"/>
      <c r="X100" s="452"/>
      <c r="Y100" s="452"/>
      <c r="Z100" s="452"/>
      <c r="AA100" s="452"/>
      <c r="AB100" s="452"/>
      <c r="AC100" s="549"/>
      <c r="AD100" s="452"/>
      <c r="AE100" s="452"/>
      <c r="AF100" s="452"/>
      <c r="AG100" s="452"/>
      <c r="AH100" s="452"/>
      <c r="AI100" s="452"/>
      <c r="AJ100" s="452"/>
      <c r="AK100" s="452"/>
      <c r="AL100" s="452"/>
      <c r="AM100" s="452"/>
      <c r="AN100" s="452"/>
      <c r="AO100" s="549"/>
      <c r="AP100" s="452"/>
      <c r="AQ100" s="452"/>
      <c r="AR100" s="452"/>
      <c r="AS100" s="452"/>
      <c r="AT100" s="452"/>
      <c r="AU100" s="452"/>
      <c r="AV100" s="452"/>
      <c r="AW100" s="452"/>
      <c r="AX100" s="452"/>
      <c r="AY100" s="452"/>
      <c r="AZ100" s="452"/>
      <c r="BA100" s="549"/>
      <c r="BB100" s="452"/>
      <c r="BC100" s="452"/>
      <c r="BD100" s="452"/>
      <c r="BE100" s="452"/>
      <c r="BF100" s="452"/>
      <c r="BG100" s="452"/>
      <c r="BH100" s="452"/>
      <c r="BI100" s="452"/>
      <c r="BJ100" s="452"/>
      <c r="BK100" s="452"/>
      <c r="BL100" s="452"/>
      <c r="BM100" s="549"/>
    </row>
    <row r="101" spans="2:65" x14ac:dyDescent="0.2">
      <c r="B101" t="str">
        <f>'P&amp;L Medzy '!B111</f>
        <v>PSB Owed to Medzy Balance</v>
      </c>
      <c r="P101" s="63">
        <f>'P&amp;L Medzy '!P111</f>
        <v>0</v>
      </c>
      <c r="Q101" s="74">
        <f>'P&amp;L Medzy '!Q111</f>
        <v>1752759</v>
      </c>
      <c r="R101" s="63">
        <f>'P&amp;L Medzy '!R111</f>
        <v>1823087.32</v>
      </c>
      <c r="S101" s="63">
        <f>'P&amp;L Medzy '!S111</f>
        <v>1892356.1341568853</v>
      </c>
      <c r="T101" s="63">
        <f>'P&amp;L Medzy '!T111</f>
        <v>1961148.0519905088</v>
      </c>
      <c r="U101" s="63">
        <f>'P&amp;L Medzy '!U111</f>
        <v>2019488.5731815915</v>
      </c>
      <c r="V101" s="63">
        <f>'P&amp;L Medzy '!V111</f>
        <v>2037735.5213953853</v>
      </c>
      <c r="W101" s="63">
        <f>'P&amp;L Medzy '!W111</f>
        <v>2105896.5857586204</v>
      </c>
      <c r="X101" s="63">
        <f>'P&amp;L Medzy '!X111</f>
        <v>2249167.1365108094</v>
      </c>
      <c r="Y101" s="63">
        <f>'P&amp;L Medzy '!Y111</f>
        <v>2317723.1420680596</v>
      </c>
      <c r="Z101" s="63">
        <f>'P&amp;L Medzy '!Z111</f>
        <v>2361562.492614287</v>
      </c>
      <c r="AA101" s="63">
        <f>'P&amp;L Medzy '!AA111</f>
        <v>2405680.0022308943</v>
      </c>
      <c r="AB101" s="63">
        <f>'P&amp;L Medzy '!AB111</f>
        <v>2440266.3585408698</v>
      </c>
      <c r="AC101" s="74">
        <f>'P&amp;L Medzy '!AC111</f>
        <v>2460316.1452333028</v>
      </c>
      <c r="AD101" s="63">
        <f>'P&amp;L Medzy '!AD111</f>
        <v>2530844.0094161248</v>
      </c>
      <c r="AE101" s="63">
        <f>'P&amp;L Medzy '!AE111</f>
        <v>2602191.2667123578</v>
      </c>
      <c r="AF101" s="63">
        <f>'P&amp;L Medzy '!AF111</f>
        <v>2675106.9551760363</v>
      </c>
      <c r="AG101" s="63">
        <f>'P&amp;L Medzy '!AG111</f>
        <v>2756758.0702480981</v>
      </c>
      <c r="AH101" s="63">
        <f>'P&amp;L Medzy '!AH111</f>
        <v>2848693.2905029408</v>
      </c>
      <c r="AI101" s="63">
        <f>'P&amp;L Medzy '!AI111</f>
        <v>2952164.2323244167</v>
      </c>
      <c r="AJ101" s="63">
        <f>'P&amp;L Medzy '!AJ111</f>
        <v>3067977.5866434588</v>
      </c>
      <c r="AK101" s="63">
        <f>'P&amp;L Medzy '!AK111</f>
        <v>3197100.8731102124</v>
      </c>
      <c r="AL101" s="63">
        <f>'P&amp;L Medzy '!AL111</f>
        <v>3182636.8494217112</v>
      </c>
      <c r="AM101" s="63">
        <f>'P&amp;L Medzy '!AM111</f>
        <v>3152046.1815533005</v>
      </c>
      <c r="AN101" s="63">
        <f>'P&amp;L Medzy '!AN111</f>
        <v>3104021.7741818079</v>
      </c>
      <c r="AO101" s="74">
        <f>'P&amp;L Medzy '!AO111</f>
        <v>3039528.1556974058</v>
      </c>
      <c r="AP101" s="63">
        <f>'P&amp;L Medzy '!AP111</f>
        <v>2945883.1932262923</v>
      </c>
      <c r="AQ101" s="63">
        <f>'P&amp;L Medzy '!AQ111</f>
        <v>2828530.0608397014</v>
      </c>
      <c r="AR101" s="63">
        <f>'P&amp;L Medzy '!AR111</f>
        <v>2685314.3558900277</v>
      </c>
      <c r="AS101" s="63">
        <f>'P&amp;L Medzy '!AS111</f>
        <v>2545639.4670533095</v>
      </c>
      <c r="AT101" s="63">
        <f>'P&amp;L Medzy '!AT111</f>
        <v>2379290.2497818843</v>
      </c>
      <c r="AU101" s="63">
        <f>'P&amp;L Medzy '!AU111</f>
        <v>2190554.3654827513</v>
      </c>
      <c r="AV101" s="63">
        <f>'P&amp;L Medzy '!AV111</f>
        <v>1983180.5793691487</v>
      </c>
      <c r="AW101" s="63">
        <f>'P&amp;L Medzy '!AW111</f>
        <v>1755525.3392155042</v>
      </c>
      <c r="AX101" s="63">
        <f>'P&amp;L Medzy '!AX111</f>
        <v>1503082.7444976023</v>
      </c>
      <c r="AY101" s="63">
        <f>'P&amp;L Medzy '!AY111</f>
        <v>1225186.0034554321</v>
      </c>
      <c r="AZ101" s="63"/>
      <c r="BA101" s="74"/>
      <c r="BB101" s="63">
        <f>'P&amp;L Medzy '!BB111</f>
        <v>1114186.0034554321</v>
      </c>
      <c r="BC101" s="63">
        <f>'P&amp;L Medzy '!BC111</f>
        <v>1114186.0034554321</v>
      </c>
      <c r="BD101" s="63">
        <f>'P&amp;L Medzy '!BD111</f>
        <v>1114186.0034554321</v>
      </c>
      <c r="BE101" s="63">
        <f>'P&amp;L Medzy '!BE111</f>
        <v>1114186.0034554321</v>
      </c>
      <c r="BF101" s="63">
        <f>'P&amp;L Medzy '!BF111</f>
        <v>1114186.0034554321</v>
      </c>
      <c r="BG101" s="63">
        <f>'P&amp;L Medzy '!BG111</f>
        <v>1114186.0034554321</v>
      </c>
      <c r="BH101" s="63">
        <f>'P&amp;L Medzy '!BH111</f>
        <v>1114186.0034554321</v>
      </c>
      <c r="BI101" s="63">
        <f>'P&amp;L Medzy '!BI111</f>
        <v>1114186.0034554321</v>
      </c>
      <c r="BJ101" s="63">
        <f>'P&amp;L Medzy '!BJ111</f>
        <v>1114186.0034554321</v>
      </c>
      <c r="BK101" s="63">
        <f>'P&amp;L Medzy '!BK111</f>
        <v>1114186.0034554321</v>
      </c>
      <c r="BL101" s="63">
        <f>'P&amp;L Medzy '!BL111</f>
        <v>1114186.0034554321</v>
      </c>
      <c r="BM101" s="74">
        <f>'P&amp;L Medzy '!BM111</f>
        <v>1114186.0034554321</v>
      </c>
    </row>
    <row r="102" spans="2:65" x14ac:dyDescent="0.2"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74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74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74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74"/>
    </row>
    <row r="103" spans="2:65" x14ac:dyDescent="0.2"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74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74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74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74"/>
    </row>
    <row r="104" spans="2:65" x14ac:dyDescent="0.2"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74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74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74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74"/>
    </row>
    <row r="105" spans="2:65" x14ac:dyDescent="0.2"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74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74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74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74"/>
    </row>
    <row r="107" spans="2:65" x14ac:dyDescent="0.2">
      <c r="B107" s="273" t="s">
        <v>202</v>
      </c>
      <c r="C107" s="274"/>
      <c r="D107" s="275"/>
      <c r="E107" s="275"/>
      <c r="F107" s="718"/>
      <c r="G107" s="719"/>
      <c r="H107" s="719"/>
      <c r="I107" s="719"/>
      <c r="J107" s="719"/>
      <c r="K107" s="719"/>
      <c r="L107" s="719"/>
      <c r="M107" s="719"/>
      <c r="N107" s="719"/>
      <c r="O107" s="719"/>
      <c r="P107" s="719"/>
      <c r="Q107" s="720"/>
      <c r="R107" s="718">
        <v>2023</v>
      </c>
      <c r="S107" s="719"/>
      <c r="T107" s="719"/>
      <c r="U107" s="719"/>
      <c r="V107" s="719"/>
      <c r="W107" s="719"/>
      <c r="X107" s="719"/>
      <c r="Y107" s="719"/>
      <c r="Z107" s="719"/>
      <c r="AA107" s="719"/>
      <c r="AB107" s="719"/>
      <c r="AC107" s="720"/>
      <c r="AD107" s="718">
        <v>2024</v>
      </c>
      <c r="AE107" s="719"/>
      <c r="AF107" s="719"/>
      <c r="AG107" s="719"/>
      <c r="AH107" s="719"/>
      <c r="AI107" s="719"/>
      <c r="AJ107" s="719"/>
      <c r="AK107" s="719"/>
      <c r="AL107" s="719"/>
      <c r="AM107" s="719"/>
      <c r="AN107" s="719"/>
      <c r="AO107" s="720"/>
      <c r="AP107" s="710">
        <v>2025</v>
      </c>
      <c r="AQ107" s="711"/>
      <c r="AR107" s="711"/>
      <c r="AS107" s="711"/>
      <c r="AT107" s="711"/>
      <c r="AU107" s="711"/>
      <c r="AV107" s="711"/>
      <c r="AW107" s="711"/>
      <c r="AX107" s="711"/>
      <c r="AY107" s="711"/>
      <c r="AZ107" s="711"/>
      <c r="BA107" s="712"/>
      <c r="BB107" s="710">
        <v>2025</v>
      </c>
      <c r="BC107" s="711"/>
      <c r="BD107" s="711"/>
      <c r="BE107" s="711"/>
      <c r="BF107" s="711"/>
      <c r="BG107" s="711"/>
      <c r="BH107" s="711"/>
      <c r="BI107" s="711"/>
      <c r="BJ107" s="711"/>
      <c r="BK107" s="711"/>
      <c r="BL107" s="711"/>
      <c r="BM107" s="712"/>
    </row>
    <row r="108" spans="2:65" x14ac:dyDescent="0.2">
      <c r="B108" s="276"/>
      <c r="C108" s="277"/>
      <c r="D108" s="278"/>
      <c r="E108" s="278"/>
      <c r="F108" s="534"/>
      <c r="G108" s="279"/>
      <c r="H108" s="279"/>
      <c r="I108" s="280"/>
      <c r="J108" s="280"/>
      <c r="K108" s="280"/>
      <c r="L108" s="279"/>
      <c r="M108" s="280"/>
      <c r="N108" s="280"/>
      <c r="O108" s="280"/>
      <c r="P108" s="280"/>
      <c r="Q108" s="281"/>
      <c r="R108" s="490">
        <v>44927</v>
      </c>
      <c r="S108" s="288">
        <v>44958</v>
      </c>
      <c r="T108" s="288">
        <v>44986</v>
      </c>
      <c r="U108" s="288">
        <v>45017</v>
      </c>
      <c r="V108" s="288">
        <v>45047</v>
      </c>
      <c r="W108" s="288">
        <v>45078</v>
      </c>
      <c r="X108" s="288">
        <v>45108</v>
      </c>
      <c r="Y108" s="288">
        <v>45139</v>
      </c>
      <c r="Z108" s="288">
        <v>45170</v>
      </c>
      <c r="AA108" s="288">
        <v>45200</v>
      </c>
      <c r="AB108" s="288">
        <v>45231</v>
      </c>
      <c r="AC108" s="288">
        <v>45261</v>
      </c>
      <c r="AD108" s="490">
        <v>45292</v>
      </c>
      <c r="AE108" s="288">
        <v>45323</v>
      </c>
      <c r="AF108" s="288">
        <v>45352</v>
      </c>
      <c r="AG108" s="288">
        <v>45383</v>
      </c>
      <c r="AH108" s="288">
        <v>45413</v>
      </c>
      <c r="AI108" s="288">
        <v>45444</v>
      </c>
      <c r="AJ108" s="288">
        <v>45474</v>
      </c>
      <c r="AK108" s="288">
        <v>45505</v>
      </c>
      <c r="AL108" s="288">
        <v>45536</v>
      </c>
      <c r="AM108" s="288">
        <v>45566</v>
      </c>
      <c r="AN108" s="288">
        <v>45597</v>
      </c>
      <c r="AO108" s="288">
        <v>45627</v>
      </c>
      <c r="AP108" s="490">
        <v>45658</v>
      </c>
      <c r="AQ108" s="288">
        <v>45689</v>
      </c>
      <c r="AR108" s="288">
        <v>45717</v>
      </c>
      <c r="AS108" s="288">
        <v>45748</v>
      </c>
      <c r="AT108" s="288">
        <v>45778</v>
      </c>
      <c r="AU108" s="288">
        <v>45809</v>
      </c>
      <c r="AV108" s="288">
        <v>45839</v>
      </c>
      <c r="AW108" s="288">
        <v>45870</v>
      </c>
      <c r="AX108" s="288">
        <v>45901</v>
      </c>
      <c r="AY108" s="288">
        <v>45931</v>
      </c>
      <c r="AZ108" s="288">
        <v>45962</v>
      </c>
      <c r="BA108" s="288">
        <v>45992</v>
      </c>
      <c r="BB108" s="490">
        <v>45658</v>
      </c>
      <c r="BC108" s="288">
        <v>45689</v>
      </c>
      <c r="BD108" s="288">
        <v>45717</v>
      </c>
      <c r="BE108" s="288">
        <v>45748</v>
      </c>
      <c r="BF108" s="288">
        <v>45778</v>
      </c>
      <c r="BG108" s="288">
        <v>45809</v>
      </c>
      <c r="BH108" s="288">
        <v>45839</v>
      </c>
      <c r="BI108" s="288">
        <v>45870</v>
      </c>
      <c r="BJ108" s="288">
        <v>45901</v>
      </c>
      <c r="BK108" s="288">
        <v>45931</v>
      </c>
      <c r="BL108" s="288">
        <v>45962</v>
      </c>
      <c r="BM108" s="288">
        <v>45992</v>
      </c>
    </row>
  </sheetData>
  <mergeCells count="23">
    <mergeCell ref="BB4:BM4"/>
    <mergeCell ref="BB33:BM33"/>
    <mergeCell ref="BB84:BM84"/>
    <mergeCell ref="BB107:BM107"/>
    <mergeCell ref="F107:Q107"/>
    <mergeCell ref="R107:AC107"/>
    <mergeCell ref="AD107:AO107"/>
    <mergeCell ref="AP107:BA107"/>
    <mergeCell ref="F33:Q33"/>
    <mergeCell ref="F84:Q84"/>
    <mergeCell ref="R84:AC84"/>
    <mergeCell ref="AD84:AO84"/>
    <mergeCell ref="AP84:BA84"/>
    <mergeCell ref="AD4:AO4"/>
    <mergeCell ref="AP33:BA33"/>
    <mergeCell ref="AP4:BA4"/>
    <mergeCell ref="AD33:AO33"/>
    <mergeCell ref="R33:AC33"/>
    <mergeCell ref="P3:Q3"/>
    <mergeCell ref="A4:A30"/>
    <mergeCell ref="F4:Q4"/>
    <mergeCell ref="R4:AC4"/>
    <mergeCell ref="C4:E4"/>
  </mergeCells>
  <pageMargins left="0.75" right="0.75" top="1" bottom="1" header="0.5" footer="0.5"/>
  <pageSetup orientation="portrait" horizontalDpi="4294967292" verticalDpi="4294967292" r:id="rId1"/>
  <ignoredErrors>
    <ignoredError sqref="L78" evalErro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BF6E-2A13-48ED-8004-F91AA85025FE}">
  <sheetPr>
    <tabColor theme="6" tint="-0.249977111117893"/>
  </sheetPr>
  <dimension ref="A2:BN68"/>
  <sheetViews>
    <sheetView zoomScale="90" zoomScaleNormal="90" workbookViewId="0">
      <pane xSplit="5" ySplit="6" topLeftCell="AN7" activePane="bottomRight" state="frozen"/>
      <selection activeCell="A52" sqref="A52"/>
      <selection pane="topRight" activeCell="A52" sqref="A52"/>
      <selection pane="bottomLeft" activeCell="A52" sqref="A52"/>
      <selection pane="bottomRight" activeCell="BC5" sqref="BC5"/>
    </sheetView>
  </sheetViews>
  <sheetFormatPr baseColWidth="10" defaultColWidth="4.6640625" defaultRowHeight="15" x14ac:dyDescent="0.2"/>
  <cols>
    <col min="1" max="1" width="4.6640625" style="238"/>
    <col min="2" max="2" width="20.33203125" style="238" customWidth="1"/>
    <col min="3" max="3" width="10.6640625" style="238" customWidth="1"/>
    <col min="4" max="4" width="12.83203125" style="238" customWidth="1"/>
    <col min="5" max="5" width="14" style="550" customWidth="1"/>
    <col min="6" max="6" width="14" style="238" customWidth="1"/>
    <col min="7" max="7" width="5.5" style="238" hidden="1" customWidth="1"/>
    <col min="8" max="8" width="5.1640625" style="238" hidden="1" customWidth="1"/>
    <col min="9" max="9" width="5.6640625" style="238" hidden="1" customWidth="1"/>
    <col min="10" max="17" width="5.5" style="238" hidden="1" customWidth="1"/>
    <col min="18" max="18" width="14.1640625" style="238" hidden="1" customWidth="1"/>
    <col min="19" max="29" width="14.1640625" style="238" customWidth="1"/>
    <col min="30" max="30" width="14.1640625" style="550" customWidth="1"/>
    <col min="31" max="41" width="14.1640625" style="238" customWidth="1"/>
    <col min="42" max="42" width="14.1640625" style="550" customWidth="1"/>
    <col min="43" max="53" width="14.1640625" style="238" customWidth="1"/>
    <col min="54" max="54" width="14.1640625" style="550" customWidth="1"/>
    <col min="55" max="65" width="14.1640625" style="238" customWidth="1"/>
    <col min="66" max="66" width="14.1640625" style="550" customWidth="1"/>
    <col min="67" max="16384" width="4.6640625" style="238"/>
  </cols>
  <sheetData>
    <row r="2" spans="1:66" ht="19" x14ac:dyDescent="0.25">
      <c r="B2" s="247" t="s">
        <v>35</v>
      </c>
      <c r="C2" s="246">
        <v>0.05</v>
      </c>
    </row>
    <row r="3" spans="1:66" ht="16" thickBot="1" x14ac:dyDescent="0.25"/>
    <row r="4" spans="1:66" customFormat="1" ht="16" x14ac:dyDescent="0.2">
      <c r="B4" s="5" t="s">
        <v>26</v>
      </c>
      <c r="C4" s="5"/>
      <c r="D4" s="55"/>
      <c r="E4" s="150"/>
      <c r="F4" s="4"/>
      <c r="G4" s="715">
        <v>2022</v>
      </c>
      <c r="H4" s="716"/>
      <c r="I4" s="716"/>
      <c r="J4" s="716"/>
      <c r="K4" s="716"/>
      <c r="L4" s="716"/>
      <c r="M4" s="716"/>
      <c r="N4" s="716"/>
      <c r="O4" s="716"/>
      <c r="P4" s="716"/>
      <c r="Q4" s="716"/>
      <c r="R4" s="717"/>
      <c r="S4" s="701">
        <v>2023</v>
      </c>
      <c r="T4" s="702"/>
      <c r="U4" s="702"/>
      <c r="V4" s="702"/>
      <c r="W4" s="702"/>
      <c r="X4" s="702"/>
      <c r="Y4" s="702"/>
      <c r="Z4" s="702"/>
      <c r="AA4" s="702"/>
      <c r="AB4" s="702"/>
      <c r="AC4" s="702"/>
      <c r="AD4" s="703"/>
      <c r="AE4" s="715">
        <v>2024</v>
      </c>
      <c r="AF4" s="716"/>
      <c r="AG4" s="716"/>
      <c r="AH4" s="716"/>
      <c r="AI4" s="716"/>
      <c r="AJ4" s="716"/>
      <c r="AK4" s="716"/>
      <c r="AL4" s="716"/>
      <c r="AM4" s="716"/>
      <c r="AN4" s="716"/>
      <c r="AO4" s="716"/>
      <c r="AP4" s="735"/>
      <c r="AQ4" s="701">
        <v>2025</v>
      </c>
      <c r="AR4" s="702"/>
      <c r="AS4" s="702"/>
      <c r="AT4" s="702"/>
      <c r="AU4" s="702"/>
      <c r="AV4" s="702"/>
      <c r="AW4" s="702"/>
      <c r="AX4" s="702"/>
      <c r="AY4" s="702"/>
      <c r="AZ4" s="702"/>
      <c r="BA4" s="702"/>
      <c r="BB4" s="703"/>
      <c r="BC4" s="701">
        <v>2026</v>
      </c>
      <c r="BD4" s="702"/>
      <c r="BE4" s="702"/>
      <c r="BF4" s="702"/>
      <c r="BG4" s="702"/>
      <c r="BH4" s="702"/>
      <c r="BI4" s="702"/>
      <c r="BJ4" s="702"/>
      <c r="BK4" s="702"/>
      <c r="BL4" s="702"/>
      <c r="BM4" s="702"/>
      <c r="BN4" s="703"/>
    </row>
    <row r="5" spans="1:66" customFormat="1" ht="16" x14ac:dyDescent="0.2">
      <c r="B5" s="4"/>
      <c r="C5" s="4"/>
      <c r="D5" s="10"/>
      <c r="E5" s="87"/>
      <c r="F5" s="6"/>
      <c r="G5" s="251">
        <v>44562</v>
      </c>
      <c r="H5" s="251">
        <v>44593</v>
      </c>
      <c r="I5" s="251">
        <v>44621</v>
      </c>
      <c r="J5" s="251">
        <v>44652</v>
      </c>
      <c r="K5" s="251">
        <v>44682</v>
      </c>
      <c r="L5" s="251">
        <v>44713</v>
      </c>
      <c r="M5" s="251">
        <v>44743</v>
      </c>
      <c r="N5" s="251">
        <v>44774</v>
      </c>
      <c r="O5" s="251">
        <v>44805</v>
      </c>
      <c r="P5" s="251">
        <v>44835</v>
      </c>
      <c r="Q5" s="251">
        <v>44866</v>
      </c>
      <c r="R5" s="251">
        <v>44896</v>
      </c>
      <c r="S5" s="248">
        <v>44927</v>
      </c>
      <c r="T5" s="248">
        <v>44958</v>
      </c>
      <c r="U5" s="248">
        <v>44986</v>
      </c>
      <c r="V5" s="248">
        <v>45017</v>
      </c>
      <c r="W5" s="248">
        <v>45047</v>
      </c>
      <c r="X5" s="248">
        <v>45078</v>
      </c>
      <c r="Y5" s="248">
        <v>45108</v>
      </c>
      <c r="Z5" s="248">
        <v>45139</v>
      </c>
      <c r="AA5" s="248">
        <v>45170</v>
      </c>
      <c r="AB5" s="248">
        <v>45200</v>
      </c>
      <c r="AC5" s="248">
        <v>45231</v>
      </c>
      <c r="AD5" s="522">
        <v>45261</v>
      </c>
      <c r="AE5" s="506">
        <v>45292</v>
      </c>
      <c r="AF5" s="249">
        <v>45323</v>
      </c>
      <c r="AG5" s="249">
        <v>45352</v>
      </c>
      <c r="AH5" s="249">
        <v>45383</v>
      </c>
      <c r="AI5" s="249">
        <v>45413</v>
      </c>
      <c r="AJ5" s="249">
        <v>45444</v>
      </c>
      <c r="AK5" s="249">
        <v>45474</v>
      </c>
      <c r="AL5" s="249">
        <v>45505</v>
      </c>
      <c r="AM5" s="249">
        <v>45536</v>
      </c>
      <c r="AN5" s="249">
        <v>45566</v>
      </c>
      <c r="AO5" s="249">
        <v>45597</v>
      </c>
      <c r="AP5" s="529">
        <v>45627</v>
      </c>
      <c r="AQ5" s="507">
        <v>45658</v>
      </c>
      <c r="AR5" s="250">
        <v>45689</v>
      </c>
      <c r="AS5" s="250">
        <v>45717</v>
      </c>
      <c r="AT5" s="250">
        <v>45748</v>
      </c>
      <c r="AU5" s="250">
        <v>45778</v>
      </c>
      <c r="AV5" s="250">
        <v>45809</v>
      </c>
      <c r="AW5" s="250">
        <v>45839</v>
      </c>
      <c r="AX5" s="250">
        <v>45870</v>
      </c>
      <c r="AY5" s="250">
        <v>45901</v>
      </c>
      <c r="AZ5" s="250">
        <v>45931</v>
      </c>
      <c r="BA5" s="250">
        <v>45962</v>
      </c>
      <c r="BB5" s="530">
        <v>45992</v>
      </c>
      <c r="BC5" s="507">
        <v>45658</v>
      </c>
      <c r="BD5" s="250">
        <v>45689</v>
      </c>
      <c r="BE5" s="250">
        <v>45717</v>
      </c>
      <c r="BF5" s="250">
        <v>45748</v>
      </c>
      <c r="BG5" s="250">
        <v>45778</v>
      </c>
      <c r="BH5" s="250">
        <v>45809</v>
      </c>
      <c r="BI5" s="250">
        <v>45839</v>
      </c>
      <c r="BJ5" s="250">
        <v>45870</v>
      </c>
      <c r="BK5" s="250">
        <v>45901</v>
      </c>
      <c r="BL5" s="250">
        <v>45931</v>
      </c>
      <c r="BM5" s="250">
        <v>45962</v>
      </c>
      <c r="BN5" s="530">
        <v>45992</v>
      </c>
    </row>
    <row r="6" spans="1:66" customFormat="1" ht="16" x14ac:dyDescent="0.2">
      <c r="B6" t="s">
        <v>23</v>
      </c>
      <c r="C6" t="s">
        <v>27</v>
      </c>
      <c r="D6" t="s">
        <v>28</v>
      </c>
      <c r="E6" s="22"/>
      <c r="G6" s="21"/>
      <c r="R6" s="22"/>
      <c r="S6" s="21"/>
      <c r="AD6" s="22"/>
      <c r="AP6" s="22"/>
      <c r="BB6" s="22"/>
      <c r="BN6" s="22"/>
    </row>
    <row r="7" spans="1:66" customFormat="1" ht="16" x14ac:dyDescent="0.2">
      <c r="E7" s="22"/>
      <c r="G7" s="21"/>
      <c r="R7" s="22"/>
      <c r="S7" s="21"/>
      <c r="AD7" s="22"/>
      <c r="AP7" s="22"/>
      <c r="BB7" s="22"/>
      <c r="BN7" s="22"/>
    </row>
    <row r="8" spans="1:66" customFormat="1" ht="24" x14ac:dyDescent="0.3">
      <c r="B8" s="61" t="s">
        <v>171</v>
      </c>
      <c r="C8" s="59"/>
      <c r="E8" s="22"/>
      <c r="G8" s="21"/>
      <c r="R8" s="22"/>
      <c r="S8" s="21"/>
      <c r="AD8" s="22"/>
      <c r="AP8" s="22"/>
      <c r="BB8" s="22"/>
      <c r="BN8" s="22"/>
    </row>
    <row r="9" spans="1:66" customFormat="1" ht="9" customHeight="1" x14ac:dyDescent="0.3">
      <c r="B9" s="59"/>
      <c r="C9" s="59"/>
      <c r="E9" s="22"/>
      <c r="G9" s="21"/>
      <c r="R9" s="22"/>
      <c r="S9" s="21"/>
      <c r="AD9" s="22"/>
      <c r="AP9" s="22"/>
      <c r="BB9" s="22"/>
      <c r="BN9" s="22"/>
    </row>
    <row r="10" spans="1:66" customFormat="1" ht="19" x14ac:dyDescent="0.25">
      <c r="A10">
        <v>1</v>
      </c>
      <c r="B10" s="56" t="s">
        <v>170</v>
      </c>
      <c r="C10" s="242" t="s">
        <v>119</v>
      </c>
      <c r="D10" s="245">
        <v>150000</v>
      </c>
      <c r="E10" s="551" t="s">
        <v>169</v>
      </c>
      <c r="G10" s="7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74"/>
      <c r="S10" s="73">
        <f t="shared" ref="S10:V10" si="0">($D10/12)*(1+$C$2)</f>
        <v>13125</v>
      </c>
      <c r="T10" s="63">
        <f t="shared" si="0"/>
        <v>13125</v>
      </c>
      <c r="U10" s="63">
        <f t="shared" si="0"/>
        <v>13125</v>
      </c>
      <c r="V10" s="63">
        <f t="shared" si="0"/>
        <v>13125</v>
      </c>
      <c r="W10" s="63"/>
      <c r="X10" s="63"/>
      <c r="Y10" s="63"/>
      <c r="Z10" s="63"/>
      <c r="AA10" s="63"/>
      <c r="AB10" s="63"/>
      <c r="AC10" s="63"/>
      <c r="AD10" s="74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74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74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74"/>
    </row>
    <row r="11" spans="1:66" customFormat="1" ht="19" x14ac:dyDescent="0.25">
      <c r="A11">
        <v>2</v>
      </c>
      <c r="B11" s="56" t="s">
        <v>162</v>
      </c>
      <c r="C11" s="242" t="s">
        <v>168</v>
      </c>
      <c r="D11" s="488">
        <v>150000</v>
      </c>
      <c r="E11" s="552"/>
      <c r="G11" s="7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74"/>
      <c r="S11" s="63">
        <f t="shared" ref="S11:T11" si="1">($D11/12)*(1+$C$2)</f>
        <v>13125</v>
      </c>
      <c r="T11" s="63">
        <f t="shared" si="1"/>
        <v>13125</v>
      </c>
      <c r="U11" s="63">
        <f>T11</f>
        <v>13125</v>
      </c>
      <c r="V11" s="63"/>
      <c r="W11" s="63"/>
      <c r="X11" s="63"/>
      <c r="Y11" s="63"/>
      <c r="Z11" s="63"/>
      <c r="AA11" s="63"/>
      <c r="AB11" s="63"/>
      <c r="AC11" s="63"/>
      <c r="AD11" s="74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74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74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74"/>
    </row>
    <row r="12" spans="1:66" customFormat="1" ht="19" x14ac:dyDescent="0.25">
      <c r="A12">
        <v>3</v>
      </c>
      <c r="B12" s="56" t="s">
        <v>167</v>
      </c>
      <c r="C12" s="242" t="s">
        <v>109</v>
      </c>
      <c r="D12" s="241">
        <v>49920</v>
      </c>
      <c r="E12" s="552" t="s">
        <v>143</v>
      </c>
      <c r="G12" s="7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74"/>
      <c r="S12" s="73">
        <f t="shared" ref="S12:T15" si="2">($D12/12)*(1+$C$2)</f>
        <v>4368</v>
      </c>
      <c r="T12" s="63">
        <f t="shared" si="2"/>
        <v>4368</v>
      </c>
      <c r="U12" s="63"/>
      <c r="V12" s="63"/>
      <c r="W12" s="63"/>
      <c r="X12" s="63"/>
      <c r="Y12" s="63"/>
      <c r="Z12" s="63"/>
      <c r="AA12" s="63"/>
      <c r="AB12" s="63"/>
      <c r="AC12" s="63"/>
      <c r="AD12" s="74"/>
      <c r="AE12" s="63">
        <f t="shared" ref="AE12:AP15" si="3">($D12/12)*(1+$C$2+$C$2)</f>
        <v>4576</v>
      </c>
      <c r="AF12" s="63">
        <f t="shared" si="3"/>
        <v>4576</v>
      </c>
      <c r="AG12" s="63">
        <f t="shared" si="3"/>
        <v>4576</v>
      </c>
      <c r="AH12" s="63">
        <f t="shared" si="3"/>
        <v>4576</v>
      </c>
      <c r="AI12" s="63">
        <f t="shared" si="3"/>
        <v>4576</v>
      </c>
      <c r="AJ12" s="63">
        <f t="shared" si="3"/>
        <v>4576</v>
      </c>
      <c r="AK12" s="63">
        <f t="shared" si="3"/>
        <v>4576</v>
      </c>
      <c r="AL12" s="63">
        <f t="shared" si="3"/>
        <v>4576</v>
      </c>
      <c r="AM12" s="63">
        <f t="shared" si="3"/>
        <v>4576</v>
      </c>
      <c r="AN12" s="63">
        <f t="shared" si="3"/>
        <v>4576</v>
      </c>
      <c r="AO12" s="63">
        <f t="shared" si="3"/>
        <v>4576</v>
      </c>
      <c r="AP12" s="74">
        <f t="shared" si="3"/>
        <v>4576</v>
      </c>
      <c r="AQ12" s="63">
        <f t="shared" ref="AQ12:BF17" si="4">($D12/12)*(1+$C$2+$C$2+$C$2)</f>
        <v>4784.0000000000009</v>
      </c>
      <c r="AR12" s="63">
        <f t="shared" si="4"/>
        <v>4784.0000000000009</v>
      </c>
      <c r="AS12" s="63">
        <f t="shared" si="4"/>
        <v>4784.0000000000009</v>
      </c>
      <c r="AT12" s="63">
        <f t="shared" si="4"/>
        <v>4784.0000000000009</v>
      </c>
      <c r="AU12" s="63">
        <f t="shared" si="4"/>
        <v>4784.0000000000009</v>
      </c>
      <c r="AV12" s="63">
        <f t="shared" si="4"/>
        <v>4784.0000000000009</v>
      </c>
      <c r="AW12" s="63">
        <f t="shared" si="4"/>
        <v>4784.0000000000009</v>
      </c>
      <c r="AX12" s="63">
        <f t="shared" si="4"/>
        <v>4784.0000000000009</v>
      </c>
      <c r="AY12" s="63">
        <f t="shared" si="4"/>
        <v>4784.0000000000009</v>
      </c>
      <c r="AZ12" s="63">
        <f t="shared" si="4"/>
        <v>4784.0000000000009</v>
      </c>
      <c r="BA12" s="63">
        <f t="shared" si="4"/>
        <v>4784.0000000000009</v>
      </c>
      <c r="BB12" s="74">
        <f t="shared" si="4"/>
        <v>4784.0000000000009</v>
      </c>
      <c r="BC12" s="63">
        <f t="shared" si="4"/>
        <v>4784.0000000000009</v>
      </c>
      <c r="BD12" s="63">
        <f t="shared" si="4"/>
        <v>4784.0000000000009</v>
      </c>
      <c r="BE12" s="63">
        <f t="shared" si="4"/>
        <v>4784.0000000000009</v>
      </c>
      <c r="BF12" s="63">
        <f t="shared" si="4"/>
        <v>4784.0000000000009</v>
      </c>
      <c r="BG12" s="63">
        <f t="shared" ref="BC12:BN17" si="5">($D12/12)*(1+$C$2+$C$2+$C$2)</f>
        <v>4784.0000000000009</v>
      </c>
      <c r="BH12" s="63">
        <f t="shared" si="5"/>
        <v>4784.0000000000009</v>
      </c>
      <c r="BI12" s="63">
        <f t="shared" si="5"/>
        <v>4784.0000000000009</v>
      </c>
      <c r="BJ12" s="63">
        <f t="shared" si="5"/>
        <v>4784.0000000000009</v>
      </c>
      <c r="BK12" s="63">
        <f t="shared" si="5"/>
        <v>4784.0000000000009</v>
      </c>
      <c r="BL12" s="63">
        <f t="shared" si="5"/>
        <v>4784.0000000000009</v>
      </c>
      <c r="BM12" s="63">
        <f t="shared" si="5"/>
        <v>4784.0000000000009</v>
      </c>
      <c r="BN12" s="74">
        <f t="shared" si="5"/>
        <v>4784.0000000000009</v>
      </c>
    </row>
    <row r="13" spans="1:66" customFormat="1" ht="19" x14ac:dyDescent="0.25">
      <c r="A13">
        <v>4</v>
      </c>
      <c r="B13" s="56" t="s">
        <v>162</v>
      </c>
      <c r="C13" s="242" t="s">
        <v>166</v>
      </c>
      <c r="D13" s="241">
        <v>78000</v>
      </c>
      <c r="E13" s="552" t="s">
        <v>143</v>
      </c>
      <c r="G13" s="7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74"/>
      <c r="S13" s="73">
        <f t="shared" si="2"/>
        <v>6825</v>
      </c>
      <c r="T13" s="63">
        <f t="shared" si="2"/>
        <v>6825</v>
      </c>
      <c r="U13" s="63">
        <f t="shared" ref="U13:AD15" si="6">($D13/12)*(1+$C$2)</f>
        <v>6825</v>
      </c>
      <c r="V13" s="63">
        <f t="shared" si="6"/>
        <v>6825</v>
      </c>
      <c r="W13" s="63"/>
      <c r="X13" s="63"/>
      <c r="Y13" s="63"/>
      <c r="Z13" s="63"/>
      <c r="AA13" s="63"/>
      <c r="AB13" s="63"/>
      <c r="AC13" s="63"/>
      <c r="AD13" s="74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74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74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74"/>
    </row>
    <row r="14" spans="1:66" customFormat="1" ht="19" x14ac:dyDescent="0.25">
      <c r="A14">
        <v>5</v>
      </c>
      <c r="B14" s="56" t="s">
        <v>162</v>
      </c>
      <c r="C14" s="242" t="s">
        <v>165</v>
      </c>
      <c r="D14" s="241">
        <v>7560</v>
      </c>
      <c r="E14" s="552"/>
      <c r="G14" s="7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74"/>
      <c r="S14" s="73">
        <f t="shared" si="2"/>
        <v>661.5</v>
      </c>
      <c r="T14" s="63">
        <f t="shared" si="2"/>
        <v>661.5</v>
      </c>
      <c r="U14" s="63">
        <f t="shared" si="6"/>
        <v>661.5</v>
      </c>
      <c r="V14" s="63">
        <f t="shared" si="6"/>
        <v>661.5</v>
      </c>
      <c r="W14" s="63">
        <f t="shared" si="6"/>
        <v>661.5</v>
      </c>
      <c r="X14" s="63">
        <f t="shared" si="6"/>
        <v>661.5</v>
      </c>
      <c r="Y14" s="63">
        <f t="shared" si="6"/>
        <v>661.5</v>
      </c>
      <c r="Z14" s="63">
        <f t="shared" si="6"/>
        <v>661.5</v>
      </c>
      <c r="AA14" s="63">
        <f t="shared" si="6"/>
        <v>661.5</v>
      </c>
      <c r="AB14" s="63">
        <f t="shared" si="6"/>
        <v>661.5</v>
      </c>
      <c r="AC14" s="63">
        <f t="shared" si="6"/>
        <v>661.5</v>
      </c>
      <c r="AD14" s="74">
        <f t="shared" si="6"/>
        <v>661.5</v>
      </c>
      <c r="AE14" s="63">
        <f t="shared" si="3"/>
        <v>693</v>
      </c>
      <c r="AF14" s="63">
        <f t="shared" si="3"/>
        <v>693</v>
      </c>
      <c r="AG14" s="63">
        <f t="shared" si="3"/>
        <v>693</v>
      </c>
      <c r="AH14" s="63">
        <f t="shared" si="3"/>
        <v>693</v>
      </c>
      <c r="AI14" s="63">
        <f t="shared" si="3"/>
        <v>693</v>
      </c>
      <c r="AJ14" s="63">
        <f t="shared" si="3"/>
        <v>693</v>
      </c>
      <c r="AK14" s="63">
        <f t="shared" si="3"/>
        <v>693</v>
      </c>
      <c r="AL14" s="63">
        <f t="shared" si="3"/>
        <v>693</v>
      </c>
      <c r="AM14" s="63">
        <f t="shared" si="3"/>
        <v>693</v>
      </c>
      <c r="AN14" s="63">
        <f t="shared" si="3"/>
        <v>693</v>
      </c>
      <c r="AO14" s="63">
        <f t="shared" si="3"/>
        <v>693</v>
      </c>
      <c r="AP14" s="74">
        <f t="shared" si="3"/>
        <v>693</v>
      </c>
      <c r="AQ14" s="63">
        <f t="shared" si="4"/>
        <v>724.50000000000011</v>
      </c>
      <c r="AR14" s="63">
        <f t="shared" si="4"/>
        <v>724.50000000000011</v>
      </c>
      <c r="AS14" s="63">
        <f t="shared" si="4"/>
        <v>724.50000000000011</v>
      </c>
      <c r="AT14" s="63">
        <f t="shared" si="4"/>
        <v>724.50000000000011</v>
      </c>
      <c r="AU14" s="63">
        <f t="shared" si="4"/>
        <v>724.50000000000011</v>
      </c>
      <c r="AV14" s="63">
        <f t="shared" si="4"/>
        <v>724.50000000000011</v>
      </c>
      <c r="AW14" s="63">
        <f t="shared" si="4"/>
        <v>724.50000000000011</v>
      </c>
      <c r="AX14" s="63">
        <f t="shared" si="4"/>
        <v>724.50000000000011</v>
      </c>
      <c r="AY14" s="63">
        <f t="shared" si="4"/>
        <v>724.50000000000011</v>
      </c>
      <c r="AZ14" s="63">
        <f t="shared" si="4"/>
        <v>724.50000000000011</v>
      </c>
      <c r="BA14" s="63">
        <f t="shared" si="4"/>
        <v>724.50000000000011</v>
      </c>
      <c r="BB14" s="74">
        <f t="shared" si="4"/>
        <v>724.50000000000011</v>
      </c>
      <c r="BC14" s="63">
        <f t="shared" si="5"/>
        <v>724.50000000000011</v>
      </c>
      <c r="BD14" s="63">
        <f t="shared" si="5"/>
        <v>724.50000000000011</v>
      </c>
      <c r="BE14" s="63">
        <f t="shared" si="5"/>
        <v>724.50000000000011</v>
      </c>
      <c r="BF14" s="63">
        <f t="shared" si="5"/>
        <v>724.50000000000011</v>
      </c>
      <c r="BG14" s="63">
        <f t="shared" si="5"/>
        <v>724.50000000000011</v>
      </c>
      <c r="BH14" s="63">
        <f t="shared" si="5"/>
        <v>724.50000000000011</v>
      </c>
      <c r="BI14" s="63">
        <f t="shared" si="5"/>
        <v>724.50000000000011</v>
      </c>
      <c r="BJ14" s="63">
        <f t="shared" si="5"/>
        <v>724.50000000000011</v>
      </c>
      <c r="BK14" s="63">
        <f t="shared" si="5"/>
        <v>724.50000000000011</v>
      </c>
      <c r="BL14" s="63">
        <f t="shared" si="5"/>
        <v>724.50000000000011</v>
      </c>
      <c r="BM14" s="63">
        <f t="shared" si="5"/>
        <v>724.50000000000011</v>
      </c>
      <c r="BN14" s="74">
        <f t="shared" si="5"/>
        <v>724.50000000000011</v>
      </c>
    </row>
    <row r="15" spans="1:66" customFormat="1" ht="19" x14ac:dyDescent="0.25">
      <c r="A15">
        <v>6</v>
      </c>
      <c r="B15" s="56" t="s">
        <v>164</v>
      </c>
      <c r="C15" s="242" t="s">
        <v>163</v>
      </c>
      <c r="D15" s="241">
        <v>11232</v>
      </c>
      <c r="E15" s="552"/>
      <c r="G15" s="7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74"/>
      <c r="S15" s="73">
        <f t="shared" si="2"/>
        <v>982.80000000000007</v>
      </c>
      <c r="T15" s="63">
        <f t="shared" si="2"/>
        <v>982.80000000000007</v>
      </c>
      <c r="U15" s="63">
        <f t="shared" si="6"/>
        <v>982.80000000000007</v>
      </c>
      <c r="V15" s="63">
        <f t="shared" si="6"/>
        <v>982.80000000000007</v>
      </c>
      <c r="W15" s="63">
        <f t="shared" si="6"/>
        <v>982.80000000000007</v>
      </c>
      <c r="X15" s="63">
        <f t="shared" si="6"/>
        <v>982.80000000000007</v>
      </c>
      <c r="Y15" s="63">
        <f t="shared" si="6"/>
        <v>982.80000000000007</v>
      </c>
      <c r="Z15" s="63">
        <f t="shared" si="6"/>
        <v>982.80000000000007</v>
      </c>
      <c r="AA15" s="63">
        <f t="shared" si="6"/>
        <v>982.80000000000007</v>
      </c>
      <c r="AB15" s="63">
        <f t="shared" si="6"/>
        <v>982.80000000000007</v>
      </c>
      <c r="AC15" s="63">
        <f t="shared" si="6"/>
        <v>982.80000000000007</v>
      </c>
      <c r="AD15" s="74">
        <f t="shared" si="6"/>
        <v>982.80000000000007</v>
      </c>
      <c r="AE15" s="63">
        <f t="shared" si="3"/>
        <v>1029.6000000000001</v>
      </c>
      <c r="AF15" s="63">
        <f t="shared" si="3"/>
        <v>1029.6000000000001</v>
      </c>
      <c r="AG15" s="63">
        <f t="shared" si="3"/>
        <v>1029.6000000000001</v>
      </c>
      <c r="AH15" s="63">
        <f t="shared" si="3"/>
        <v>1029.6000000000001</v>
      </c>
      <c r="AI15" s="63">
        <f t="shared" si="3"/>
        <v>1029.6000000000001</v>
      </c>
      <c r="AJ15" s="63">
        <f t="shared" si="3"/>
        <v>1029.6000000000001</v>
      </c>
      <c r="AK15" s="63">
        <f t="shared" si="3"/>
        <v>1029.6000000000001</v>
      </c>
      <c r="AL15" s="63">
        <f t="shared" si="3"/>
        <v>1029.6000000000001</v>
      </c>
      <c r="AM15" s="63">
        <f t="shared" si="3"/>
        <v>1029.6000000000001</v>
      </c>
      <c r="AN15" s="63">
        <f t="shared" si="3"/>
        <v>1029.6000000000001</v>
      </c>
      <c r="AO15" s="63">
        <f t="shared" si="3"/>
        <v>1029.6000000000001</v>
      </c>
      <c r="AP15" s="74">
        <f t="shared" si="3"/>
        <v>1029.6000000000001</v>
      </c>
      <c r="AQ15" s="63">
        <f t="shared" si="4"/>
        <v>1076.4000000000001</v>
      </c>
      <c r="AR15" s="63">
        <f t="shared" si="4"/>
        <v>1076.4000000000001</v>
      </c>
      <c r="AS15" s="63">
        <f t="shared" si="4"/>
        <v>1076.4000000000001</v>
      </c>
      <c r="AT15" s="63">
        <f t="shared" si="4"/>
        <v>1076.4000000000001</v>
      </c>
      <c r="AU15" s="63">
        <f t="shared" si="4"/>
        <v>1076.4000000000001</v>
      </c>
      <c r="AV15" s="63">
        <f t="shared" si="4"/>
        <v>1076.4000000000001</v>
      </c>
      <c r="AW15" s="63">
        <f t="shared" si="4"/>
        <v>1076.4000000000001</v>
      </c>
      <c r="AX15" s="63">
        <f t="shared" si="4"/>
        <v>1076.4000000000001</v>
      </c>
      <c r="AY15" s="63">
        <f t="shared" si="4"/>
        <v>1076.4000000000001</v>
      </c>
      <c r="AZ15" s="63">
        <f t="shared" si="4"/>
        <v>1076.4000000000001</v>
      </c>
      <c r="BA15" s="63">
        <f t="shared" si="4"/>
        <v>1076.4000000000001</v>
      </c>
      <c r="BB15" s="74">
        <f t="shared" si="4"/>
        <v>1076.4000000000001</v>
      </c>
      <c r="BC15" s="63">
        <f t="shared" si="5"/>
        <v>1076.4000000000001</v>
      </c>
      <c r="BD15" s="63">
        <f t="shared" si="5"/>
        <v>1076.4000000000001</v>
      </c>
      <c r="BE15" s="63">
        <f t="shared" si="5"/>
        <v>1076.4000000000001</v>
      </c>
      <c r="BF15" s="63">
        <f t="shared" si="5"/>
        <v>1076.4000000000001</v>
      </c>
      <c r="BG15" s="63">
        <f t="shared" si="5"/>
        <v>1076.4000000000001</v>
      </c>
      <c r="BH15" s="63">
        <f t="shared" si="5"/>
        <v>1076.4000000000001</v>
      </c>
      <c r="BI15" s="63">
        <f t="shared" si="5"/>
        <v>1076.4000000000001</v>
      </c>
      <c r="BJ15" s="63">
        <f t="shared" si="5"/>
        <v>1076.4000000000001</v>
      </c>
      <c r="BK15" s="63">
        <f t="shared" si="5"/>
        <v>1076.4000000000001</v>
      </c>
      <c r="BL15" s="63">
        <f t="shared" si="5"/>
        <v>1076.4000000000001</v>
      </c>
      <c r="BM15" s="63">
        <f t="shared" si="5"/>
        <v>1076.4000000000001</v>
      </c>
      <c r="BN15" s="74">
        <f t="shared" si="5"/>
        <v>1076.4000000000001</v>
      </c>
    </row>
    <row r="16" spans="1:66" customFormat="1" ht="19" x14ac:dyDescent="0.25">
      <c r="A16">
        <v>7</v>
      </c>
      <c r="B16" s="56" t="s">
        <v>162</v>
      </c>
      <c r="C16" s="56" t="s">
        <v>31</v>
      </c>
      <c r="D16" s="241">
        <v>120000</v>
      </c>
      <c r="E16" s="552"/>
      <c r="G16" s="7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74"/>
      <c r="S16" s="73"/>
      <c r="T16" s="63"/>
      <c r="U16" s="63"/>
      <c r="V16" s="63"/>
      <c r="W16" s="63"/>
      <c r="X16" s="63"/>
      <c r="Y16" s="63"/>
      <c r="Z16" s="63"/>
      <c r="AA16" s="63">
        <f t="shared" ref="AA16:AK16" si="7">($D16/12)*(1+$C$2+$C$2)</f>
        <v>11000</v>
      </c>
      <c r="AB16" s="63">
        <f t="shared" si="7"/>
        <v>11000</v>
      </c>
      <c r="AC16" s="63">
        <f t="shared" si="7"/>
        <v>11000</v>
      </c>
      <c r="AD16" s="63">
        <f t="shared" si="7"/>
        <v>11000</v>
      </c>
      <c r="AE16" s="63">
        <f t="shared" si="7"/>
        <v>11000</v>
      </c>
      <c r="AF16" s="63">
        <f t="shared" si="7"/>
        <v>11000</v>
      </c>
      <c r="AG16" s="63">
        <f t="shared" si="7"/>
        <v>11000</v>
      </c>
      <c r="AH16" s="63">
        <f t="shared" si="7"/>
        <v>11000</v>
      </c>
      <c r="AI16" s="63">
        <f t="shared" si="7"/>
        <v>11000</v>
      </c>
      <c r="AJ16" s="63">
        <f t="shared" si="7"/>
        <v>11000</v>
      </c>
      <c r="AK16" s="63">
        <f t="shared" si="7"/>
        <v>11000</v>
      </c>
      <c r="AL16" s="63">
        <f t="shared" ref="AL16:AP17" si="8">($D16/12)*(1+$C$2+$C$2)</f>
        <v>11000</v>
      </c>
      <c r="AM16" s="63">
        <f t="shared" si="8"/>
        <v>11000</v>
      </c>
      <c r="AN16" s="63">
        <f t="shared" si="8"/>
        <v>11000</v>
      </c>
      <c r="AO16" s="63">
        <f t="shared" si="8"/>
        <v>11000</v>
      </c>
      <c r="AP16" s="74">
        <f t="shared" si="8"/>
        <v>11000</v>
      </c>
      <c r="AQ16" s="63">
        <f t="shared" si="4"/>
        <v>11500.000000000002</v>
      </c>
      <c r="AR16" s="63">
        <f t="shared" si="4"/>
        <v>11500.000000000002</v>
      </c>
      <c r="AS16" s="63">
        <f t="shared" si="4"/>
        <v>11500.000000000002</v>
      </c>
      <c r="AT16" s="63">
        <f t="shared" si="4"/>
        <v>11500.000000000002</v>
      </c>
      <c r="AU16" s="63">
        <f t="shared" si="4"/>
        <v>11500.000000000002</v>
      </c>
      <c r="AV16" s="63">
        <f t="shared" si="4"/>
        <v>11500.000000000002</v>
      </c>
      <c r="AW16" s="63">
        <f t="shared" si="4"/>
        <v>11500.000000000002</v>
      </c>
      <c r="AX16" s="63">
        <f t="shared" si="4"/>
        <v>11500.000000000002</v>
      </c>
      <c r="AY16" s="63">
        <f t="shared" si="4"/>
        <v>11500.000000000002</v>
      </c>
      <c r="AZ16" s="63">
        <f t="shared" si="4"/>
        <v>11500.000000000002</v>
      </c>
      <c r="BA16" s="63">
        <f t="shared" si="4"/>
        <v>11500.000000000002</v>
      </c>
      <c r="BB16" s="74">
        <f t="shared" si="4"/>
        <v>11500.000000000002</v>
      </c>
      <c r="BC16" s="63">
        <f t="shared" si="5"/>
        <v>11500.000000000002</v>
      </c>
      <c r="BD16" s="63">
        <f t="shared" si="5"/>
        <v>11500.000000000002</v>
      </c>
      <c r="BE16" s="63">
        <f t="shared" si="5"/>
        <v>11500.000000000002</v>
      </c>
      <c r="BF16" s="63">
        <f t="shared" si="5"/>
        <v>11500.000000000002</v>
      </c>
      <c r="BG16" s="63">
        <f t="shared" si="5"/>
        <v>11500.000000000002</v>
      </c>
      <c r="BH16" s="63">
        <f t="shared" si="5"/>
        <v>11500.000000000002</v>
      </c>
      <c r="BI16" s="63">
        <f t="shared" si="5"/>
        <v>11500.000000000002</v>
      </c>
      <c r="BJ16" s="63">
        <f t="shared" si="5"/>
        <v>11500.000000000002</v>
      </c>
      <c r="BK16" s="63">
        <f t="shared" si="5"/>
        <v>11500.000000000002</v>
      </c>
      <c r="BL16" s="63">
        <f t="shared" si="5"/>
        <v>11500.000000000002</v>
      </c>
      <c r="BM16" s="63">
        <f t="shared" si="5"/>
        <v>11500.000000000002</v>
      </c>
      <c r="BN16" s="74">
        <f t="shared" si="5"/>
        <v>11500.000000000002</v>
      </c>
    </row>
    <row r="17" spans="1:66" customFormat="1" ht="19" x14ac:dyDescent="0.25">
      <c r="A17">
        <v>8</v>
      </c>
      <c r="B17" s="56" t="s">
        <v>162</v>
      </c>
      <c r="C17" s="56" t="s">
        <v>31</v>
      </c>
      <c r="D17" s="241">
        <v>55000</v>
      </c>
      <c r="E17" s="552"/>
      <c r="G17" s="7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74"/>
      <c r="S17" s="73"/>
      <c r="T17" s="63"/>
      <c r="U17" s="63"/>
      <c r="V17" s="63"/>
      <c r="W17" s="63">
        <f t="shared" ref="W17:AD17" si="9">($D17/12)*(1+$C$2+$C$2)</f>
        <v>5041.666666666667</v>
      </c>
      <c r="X17" s="63">
        <f t="shared" si="9"/>
        <v>5041.666666666667</v>
      </c>
      <c r="Y17" s="63">
        <f t="shared" si="9"/>
        <v>5041.666666666667</v>
      </c>
      <c r="Z17" s="63">
        <f t="shared" si="9"/>
        <v>5041.666666666667</v>
      </c>
      <c r="AA17" s="63">
        <f t="shared" si="9"/>
        <v>5041.666666666667</v>
      </c>
      <c r="AB17" s="63">
        <f t="shared" si="9"/>
        <v>5041.666666666667</v>
      </c>
      <c r="AC17" s="63">
        <f t="shared" si="9"/>
        <v>5041.666666666667</v>
      </c>
      <c r="AD17" s="74">
        <f t="shared" si="9"/>
        <v>5041.666666666667</v>
      </c>
      <c r="AE17" s="63">
        <f t="shared" ref="AE17:AK17" si="10">($D17/12)*(1+$C$2+$C$2)</f>
        <v>5041.666666666667</v>
      </c>
      <c r="AF17" s="63">
        <f t="shared" si="10"/>
        <v>5041.666666666667</v>
      </c>
      <c r="AG17" s="63">
        <f t="shared" si="10"/>
        <v>5041.666666666667</v>
      </c>
      <c r="AH17" s="63">
        <f t="shared" si="10"/>
        <v>5041.666666666667</v>
      </c>
      <c r="AI17" s="63">
        <f t="shared" si="10"/>
        <v>5041.666666666667</v>
      </c>
      <c r="AJ17" s="63">
        <f t="shared" si="10"/>
        <v>5041.666666666667</v>
      </c>
      <c r="AK17" s="63">
        <f t="shared" si="10"/>
        <v>5041.666666666667</v>
      </c>
      <c r="AL17" s="63">
        <f t="shared" si="8"/>
        <v>5041.666666666667</v>
      </c>
      <c r="AM17" s="63">
        <f t="shared" si="8"/>
        <v>5041.666666666667</v>
      </c>
      <c r="AN17" s="63">
        <f t="shared" si="8"/>
        <v>5041.666666666667</v>
      </c>
      <c r="AO17" s="63">
        <f t="shared" si="8"/>
        <v>5041.666666666667</v>
      </c>
      <c r="AP17" s="74">
        <f t="shared" si="8"/>
        <v>5041.666666666667</v>
      </c>
      <c r="AQ17" s="63">
        <f t="shared" si="4"/>
        <v>5270.8333333333339</v>
      </c>
      <c r="AR17" s="63">
        <f t="shared" si="4"/>
        <v>5270.8333333333339</v>
      </c>
      <c r="AS17" s="63">
        <f t="shared" si="4"/>
        <v>5270.8333333333339</v>
      </c>
      <c r="AT17" s="63">
        <f t="shared" si="4"/>
        <v>5270.8333333333339</v>
      </c>
      <c r="AU17" s="63">
        <f t="shared" si="4"/>
        <v>5270.8333333333339</v>
      </c>
      <c r="AV17" s="63">
        <f t="shared" si="4"/>
        <v>5270.8333333333339</v>
      </c>
      <c r="AW17" s="63">
        <f t="shared" si="4"/>
        <v>5270.8333333333339</v>
      </c>
      <c r="AX17" s="63">
        <f t="shared" si="4"/>
        <v>5270.8333333333339</v>
      </c>
      <c r="AY17" s="63">
        <f t="shared" si="4"/>
        <v>5270.8333333333339</v>
      </c>
      <c r="AZ17" s="63">
        <f t="shared" si="4"/>
        <v>5270.8333333333339</v>
      </c>
      <c r="BA17" s="63">
        <f t="shared" si="4"/>
        <v>5270.8333333333339</v>
      </c>
      <c r="BB17" s="74">
        <f t="shared" si="4"/>
        <v>5270.8333333333339</v>
      </c>
      <c r="BC17" s="63">
        <f t="shared" si="5"/>
        <v>5270.8333333333339</v>
      </c>
      <c r="BD17" s="63">
        <f t="shared" si="5"/>
        <v>5270.8333333333339</v>
      </c>
      <c r="BE17" s="63">
        <f t="shared" si="5"/>
        <v>5270.8333333333339</v>
      </c>
      <c r="BF17" s="63">
        <f t="shared" si="5"/>
        <v>5270.8333333333339</v>
      </c>
      <c r="BG17" s="63">
        <f t="shared" si="5"/>
        <v>5270.8333333333339</v>
      </c>
      <c r="BH17" s="63">
        <f t="shared" si="5"/>
        <v>5270.8333333333339</v>
      </c>
      <c r="BI17" s="63">
        <f t="shared" si="5"/>
        <v>5270.8333333333339</v>
      </c>
      <c r="BJ17" s="63">
        <f t="shared" si="5"/>
        <v>5270.8333333333339</v>
      </c>
      <c r="BK17" s="63">
        <f t="shared" si="5"/>
        <v>5270.8333333333339</v>
      </c>
      <c r="BL17" s="63">
        <f t="shared" si="5"/>
        <v>5270.8333333333339</v>
      </c>
      <c r="BM17" s="63">
        <f t="shared" si="5"/>
        <v>5270.8333333333339</v>
      </c>
      <c r="BN17" s="74">
        <f t="shared" si="5"/>
        <v>5270.8333333333339</v>
      </c>
    </row>
    <row r="18" spans="1:66" customFormat="1" ht="19" x14ac:dyDescent="0.25">
      <c r="B18" s="56"/>
      <c r="C18" s="56"/>
      <c r="D18" s="241"/>
      <c r="E18" s="22"/>
      <c r="G18" s="7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74"/>
      <c r="S18" s="7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74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74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74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74"/>
    </row>
    <row r="19" spans="1:66" s="70" customFormat="1" ht="22" thickBot="1" x14ac:dyDescent="0.3">
      <c r="B19" s="68" t="s">
        <v>0</v>
      </c>
      <c r="C19" s="68"/>
      <c r="D19" s="244"/>
      <c r="E19" s="94"/>
      <c r="G19" s="75">
        <f t="shared" ref="G19:R19" si="11">SUM(G10:G16)</f>
        <v>0</v>
      </c>
      <c r="H19" s="71">
        <f t="shared" si="11"/>
        <v>0</v>
      </c>
      <c r="I19" s="71">
        <f t="shared" si="11"/>
        <v>0</v>
      </c>
      <c r="J19" s="71">
        <f t="shared" si="11"/>
        <v>0</v>
      </c>
      <c r="K19" s="71">
        <f t="shared" si="11"/>
        <v>0</v>
      </c>
      <c r="L19" s="71">
        <f t="shared" si="11"/>
        <v>0</v>
      </c>
      <c r="M19" s="71">
        <f t="shared" si="11"/>
        <v>0</v>
      </c>
      <c r="N19" s="71">
        <f t="shared" si="11"/>
        <v>0</v>
      </c>
      <c r="O19" s="71">
        <f t="shared" si="11"/>
        <v>0</v>
      </c>
      <c r="P19" s="71">
        <f t="shared" si="11"/>
        <v>0</v>
      </c>
      <c r="Q19" s="71">
        <f t="shared" si="11"/>
        <v>0</v>
      </c>
      <c r="R19" s="76">
        <f t="shared" si="11"/>
        <v>0</v>
      </c>
      <c r="S19" s="75">
        <f t="shared" ref="S19:BB19" si="12">SUM(S10:S17)</f>
        <v>39087.300000000003</v>
      </c>
      <c r="T19" s="71">
        <f t="shared" si="12"/>
        <v>39087.300000000003</v>
      </c>
      <c r="U19" s="71">
        <f t="shared" si="12"/>
        <v>34719.300000000003</v>
      </c>
      <c r="V19" s="71">
        <f t="shared" si="12"/>
        <v>21594.3</v>
      </c>
      <c r="W19" s="71">
        <f t="shared" si="12"/>
        <v>6685.9666666666672</v>
      </c>
      <c r="X19" s="71">
        <f t="shared" si="12"/>
        <v>6685.9666666666672</v>
      </c>
      <c r="Y19" s="71">
        <f t="shared" si="12"/>
        <v>6685.9666666666672</v>
      </c>
      <c r="Z19" s="71">
        <f t="shared" si="12"/>
        <v>6685.9666666666672</v>
      </c>
      <c r="AA19" s="71">
        <f t="shared" si="12"/>
        <v>17685.966666666667</v>
      </c>
      <c r="AB19" s="71">
        <f t="shared" si="12"/>
        <v>17685.966666666667</v>
      </c>
      <c r="AC19" s="71">
        <f t="shared" si="12"/>
        <v>17685.966666666667</v>
      </c>
      <c r="AD19" s="76">
        <f t="shared" si="12"/>
        <v>17685.966666666667</v>
      </c>
      <c r="AE19" s="71">
        <f t="shared" si="12"/>
        <v>22340.266666666666</v>
      </c>
      <c r="AF19" s="71">
        <f t="shared" si="12"/>
        <v>22340.266666666666</v>
      </c>
      <c r="AG19" s="71">
        <f t="shared" si="12"/>
        <v>22340.266666666666</v>
      </c>
      <c r="AH19" s="71">
        <f t="shared" si="12"/>
        <v>22340.266666666666</v>
      </c>
      <c r="AI19" s="71">
        <f t="shared" si="12"/>
        <v>22340.266666666666</v>
      </c>
      <c r="AJ19" s="71">
        <f t="shared" si="12"/>
        <v>22340.266666666666</v>
      </c>
      <c r="AK19" s="71">
        <f t="shared" si="12"/>
        <v>22340.266666666666</v>
      </c>
      <c r="AL19" s="71">
        <f t="shared" si="12"/>
        <v>22340.266666666666</v>
      </c>
      <c r="AM19" s="71">
        <f t="shared" si="12"/>
        <v>22340.266666666666</v>
      </c>
      <c r="AN19" s="71">
        <f t="shared" si="12"/>
        <v>22340.266666666666</v>
      </c>
      <c r="AO19" s="71">
        <f t="shared" si="12"/>
        <v>22340.266666666666</v>
      </c>
      <c r="AP19" s="76">
        <f t="shared" si="12"/>
        <v>22340.266666666666</v>
      </c>
      <c r="AQ19" s="71">
        <f t="shared" si="12"/>
        <v>23355.733333333337</v>
      </c>
      <c r="AR19" s="71">
        <f t="shared" si="12"/>
        <v>23355.733333333337</v>
      </c>
      <c r="AS19" s="71">
        <f t="shared" si="12"/>
        <v>23355.733333333337</v>
      </c>
      <c r="AT19" s="71">
        <f t="shared" si="12"/>
        <v>23355.733333333337</v>
      </c>
      <c r="AU19" s="71">
        <f t="shared" si="12"/>
        <v>23355.733333333337</v>
      </c>
      <c r="AV19" s="71">
        <f t="shared" si="12"/>
        <v>23355.733333333337</v>
      </c>
      <c r="AW19" s="71">
        <f t="shared" si="12"/>
        <v>23355.733333333337</v>
      </c>
      <c r="AX19" s="71">
        <f t="shared" si="12"/>
        <v>23355.733333333337</v>
      </c>
      <c r="AY19" s="71">
        <f t="shared" si="12"/>
        <v>23355.733333333337</v>
      </c>
      <c r="AZ19" s="71">
        <f t="shared" si="12"/>
        <v>23355.733333333337</v>
      </c>
      <c r="BA19" s="71">
        <f t="shared" si="12"/>
        <v>23355.733333333337</v>
      </c>
      <c r="BB19" s="76">
        <f t="shared" si="12"/>
        <v>23355.733333333337</v>
      </c>
      <c r="BC19" s="71">
        <f t="shared" ref="BC19:BN19" si="13">SUM(BC10:BC17)</f>
        <v>23355.733333333337</v>
      </c>
      <c r="BD19" s="71">
        <f t="shared" si="13"/>
        <v>23355.733333333337</v>
      </c>
      <c r="BE19" s="71">
        <f t="shared" si="13"/>
        <v>23355.733333333337</v>
      </c>
      <c r="BF19" s="71">
        <f t="shared" si="13"/>
        <v>23355.733333333337</v>
      </c>
      <c r="BG19" s="71">
        <f t="shared" si="13"/>
        <v>23355.733333333337</v>
      </c>
      <c r="BH19" s="71">
        <f t="shared" si="13"/>
        <v>23355.733333333337</v>
      </c>
      <c r="BI19" s="71">
        <f t="shared" si="13"/>
        <v>23355.733333333337</v>
      </c>
      <c r="BJ19" s="71">
        <f t="shared" si="13"/>
        <v>23355.733333333337</v>
      </c>
      <c r="BK19" s="71">
        <f t="shared" si="13"/>
        <v>23355.733333333337</v>
      </c>
      <c r="BL19" s="71">
        <f t="shared" si="13"/>
        <v>23355.733333333337</v>
      </c>
      <c r="BM19" s="71">
        <f t="shared" si="13"/>
        <v>23355.733333333337</v>
      </c>
      <c r="BN19" s="76">
        <f t="shared" si="13"/>
        <v>23355.733333333337</v>
      </c>
    </row>
    <row r="20" spans="1:66" ht="16" x14ac:dyDescent="0.2">
      <c r="D20" s="243"/>
      <c r="E20" s="22"/>
      <c r="F20"/>
      <c r="G20" s="7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74"/>
      <c r="S20" s="7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74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74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74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74"/>
    </row>
    <row r="21" spans="1:66" ht="16" x14ac:dyDescent="0.2">
      <c r="D21" s="243"/>
      <c r="E21" s="22"/>
      <c r="F21"/>
      <c r="G21" s="7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74"/>
      <c r="S21" s="7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74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74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74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74"/>
    </row>
    <row r="22" spans="1:66" ht="19" customHeight="1" x14ac:dyDescent="0.3">
      <c r="B22" s="61" t="s">
        <v>135</v>
      </c>
      <c r="D22" s="243"/>
      <c r="E22" s="22"/>
      <c r="F22"/>
      <c r="G22" s="7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74"/>
      <c r="S22" s="7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74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74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74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74"/>
    </row>
    <row r="23" spans="1:66" ht="19" x14ac:dyDescent="0.25">
      <c r="A23" s="238">
        <v>1</v>
      </c>
      <c r="B23" s="56" t="s">
        <v>161</v>
      </c>
      <c r="C23" s="242" t="s">
        <v>160</v>
      </c>
      <c r="D23" s="241">
        <v>62400</v>
      </c>
      <c r="E23" s="22"/>
      <c r="F23"/>
      <c r="G23" s="7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74"/>
      <c r="S23" s="73">
        <f t="shared" ref="S23:AD29" si="14">($D23/12)*(1+$C$2)</f>
        <v>5460</v>
      </c>
      <c r="T23" s="63">
        <f t="shared" si="14"/>
        <v>5460</v>
      </c>
      <c r="U23" s="63">
        <f t="shared" si="14"/>
        <v>5460</v>
      </c>
      <c r="V23" s="63">
        <f t="shared" si="14"/>
        <v>5460</v>
      </c>
      <c r="W23" s="63">
        <f t="shared" si="14"/>
        <v>5460</v>
      </c>
      <c r="X23" s="63">
        <f t="shared" si="14"/>
        <v>5460</v>
      </c>
      <c r="Y23" s="63">
        <f t="shared" si="14"/>
        <v>5460</v>
      </c>
      <c r="Z23" s="63">
        <f t="shared" si="14"/>
        <v>5460</v>
      </c>
      <c r="AA23" s="63">
        <f t="shared" si="14"/>
        <v>5460</v>
      </c>
      <c r="AB23" s="63">
        <f t="shared" si="14"/>
        <v>5460</v>
      </c>
      <c r="AC23" s="63">
        <f t="shared" si="14"/>
        <v>5460</v>
      </c>
      <c r="AD23" s="74">
        <f t="shared" si="14"/>
        <v>5460</v>
      </c>
      <c r="AE23" s="63">
        <f t="shared" ref="AE23:AP31" si="15">($D23/12)*(1+$C$2+$C$2)</f>
        <v>5720.0000000000009</v>
      </c>
      <c r="AF23" s="63">
        <f t="shared" si="15"/>
        <v>5720.0000000000009</v>
      </c>
      <c r="AG23" s="63">
        <f t="shared" si="15"/>
        <v>5720.0000000000009</v>
      </c>
      <c r="AH23" s="63">
        <f t="shared" si="15"/>
        <v>5720.0000000000009</v>
      </c>
      <c r="AI23" s="63">
        <f t="shared" si="15"/>
        <v>5720.0000000000009</v>
      </c>
      <c r="AJ23" s="63">
        <f t="shared" si="15"/>
        <v>5720.0000000000009</v>
      </c>
      <c r="AK23" s="63">
        <f t="shared" si="15"/>
        <v>5720.0000000000009</v>
      </c>
      <c r="AL23" s="63">
        <f t="shared" si="15"/>
        <v>5720.0000000000009</v>
      </c>
      <c r="AM23" s="63">
        <f t="shared" si="15"/>
        <v>5720.0000000000009</v>
      </c>
      <c r="AN23" s="63">
        <f t="shared" si="15"/>
        <v>5720.0000000000009</v>
      </c>
      <c r="AO23" s="63">
        <f t="shared" si="15"/>
        <v>5720.0000000000009</v>
      </c>
      <c r="AP23" s="74">
        <f t="shared" si="15"/>
        <v>5720.0000000000009</v>
      </c>
      <c r="AQ23" s="63">
        <f t="shared" ref="AQ23:BF33" si="16">($D23/12)*(1+$C$2+$C$2+$C$2)</f>
        <v>5980.0000000000009</v>
      </c>
      <c r="AR23" s="63">
        <f t="shared" si="16"/>
        <v>5980.0000000000009</v>
      </c>
      <c r="AS23" s="63">
        <f t="shared" si="16"/>
        <v>5980.0000000000009</v>
      </c>
      <c r="AT23" s="63">
        <f t="shared" si="16"/>
        <v>5980.0000000000009</v>
      </c>
      <c r="AU23" s="63">
        <f t="shared" si="16"/>
        <v>5980.0000000000009</v>
      </c>
      <c r="AV23" s="63">
        <f t="shared" si="16"/>
        <v>5980.0000000000009</v>
      </c>
      <c r="AW23" s="63">
        <f t="shared" si="16"/>
        <v>5980.0000000000009</v>
      </c>
      <c r="AX23" s="63">
        <f t="shared" si="16"/>
        <v>5980.0000000000009</v>
      </c>
      <c r="AY23" s="63">
        <f t="shared" si="16"/>
        <v>5980.0000000000009</v>
      </c>
      <c r="AZ23" s="63">
        <f t="shared" si="16"/>
        <v>5980.0000000000009</v>
      </c>
      <c r="BA23" s="63">
        <f t="shared" si="16"/>
        <v>5980.0000000000009</v>
      </c>
      <c r="BB23" s="74">
        <f t="shared" si="16"/>
        <v>5980.0000000000009</v>
      </c>
      <c r="BC23" s="63">
        <f t="shared" si="16"/>
        <v>5980.0000000000009</v>
      </c>
      <c r="BD23" s="63">
        <f t="shared" si="16"/>
        <v>5980.0000000000009</v>
      </c>
      <c r="BE23" s="63">
        <f t="shared" si="16"/>
        <v>5980.0000000000009</v>
      </c>
      <c r="BF23" s="63">
        <f t="shared" si="16"/>
        <v>5980.0000000000009</v>
      </c>
      <c r="BG23" s="63">
        <f t="shared" ref="BC23:BN34" si="17">($D23/12)*(1+$C$2+$C$2+$C$2)</f>
        <v>5980.0000000000009</v>
      </c>
      <c r="BH23" s="63">
        <f t="shared" si="17"/>
        <v>5980.0000000000009</v>
      </c>
      <c r="BI23" s="63">
        <f t="shared" si="17"/>
        <v>5980.0000000000009</v>
      </c>
      <c r="BJ23" s="63">
        <f t="shared" si="17"/>
        <v>5980.0000000000009</v>
      </c>
      <c r="BK23" s="63">
        <f t="shared" si="17"/>
        <v>5980.0000000000009</v>
      </c>
      <c r="BL23" s="63">
        <f t="shared" si="17"/>
        <v>5980.0000000000009</v>
      </c>
      <c r="BM23" s="63">
        <f t="shared" si="17"/>
        <v>5980.0000000000009</v>
      </c>
      <c r="BN23" s="74">
        <f t="shared" si="17"/>
        <v>5980.0000000000009</v>
      </c>
    </row>
    <row r="24" spans="1:66" ht="19" x14ac:dyDescent="0.25">
      <c r="A24" s="238">
        <v>2</v>
      </c>
      <c r="B24" s="56" t="s">
        <v>159</v>
      </c>
      <c r="C24" s="242" t="s">
        <v>158</v>
      </c>
      <c r="D24" s="241">
        <v>51376</v>
      </c>
      <c r="E24" s="22"/>
      <c r="F24"/>
      <c r="G24" s="7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74"/>
      <c r="S24" s="73">
        <f t="shared" si="14"/>
        <v>4495.3999999999996</v>
      </c>
      <c r="T24" s="63">
        <f t="shared" si="14"/>
        <v>4495.3999999999996</v>
      </c>
      <c r="U24" s="63">
        <f t="shared" si="14"/>
        <v>4495.3999999999996</v>
      </c>
      <c r="V24" s="63">
        <f t="shared" si="14"/>
        <v>4495.3999999999996</v>
      </c>
      <c r="W24" s="63">
        <f t="shared" si="14"/>
        <v>4495.3999999999996</v>
      </c>
      <c r="X24" s="63">
        <f t="shared" si="14"/>
        <v>4495.3999999999996</v>
      </c>
      <c r="Y24" s="63">
        <f t="shared" si="14"/>
        <v>4495.3999999999996</v>
      </c>
      <c r="Z24" s="63"/>
      <c r="AA24" s="63"/>
      <c r="AB24" s="63"/>
      <c r="AC24" s="63"/>
      <c r="AD24" s="74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74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74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74"/>
    </row>
    <row r="25" spans="1:66" ht="19" x14ac:dyDescent="0.25">
      <c r="A25" s="238">
        <v>3</v>
      </c>
      <c r="B25" s="56" t="s">
        <v>135</v>
      </c>
      <c r="C25" s="242" t="s">
        <v>157</v>
      </c>
      <c r="D25" s="241">
        <v>31616</v>
      </c>
      <c r="E25" s="22"/>
      <c r="F25"/>
      <c r="G25" s="7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74"/>
      <c r="S25" s="73">
        <f t="shared" si="14"/>
        <v>2766.4</v>
      </c>
      <c r="T25" s="63">
        <f t="shared" si="14"/>
        <v>2766.4</v>
      </c>
      <c r="U25" s="63">
        <f t="shared" si="14"/>
        <v>2766.4</v>
      </c>
      <c r="V25" s="63">
        <f t="shared" si="14"/>
        <v>2766.4</v>
      </c>
      <c r="W25" s="63">
        <f t="shared" si="14"/>
        <v>2766.4</v>
      </c>
      <c r="X25" s="63">
        <f t="shared" si="14"/>
        <v>2766.4</v>
      </c>
      <c r="Y25" s="63">
        <f t="shared" si="14"/>
        <v>2766.4</v>
      </c>
      <c r="Z25" s="63">
        <f t="shared" si="14"/>
        <v>2766.4</v>
      </c>
      <c r="AA25" s="63">
        <f t="shared" si="14"/>
        <v>2766.4</v>
      </c>
      <c r="AB25" s="63">
        <f t="shared" si="14"/>
        <v>2766.4</v>
      </c>
      <c r="AC25" s="63">
        <f t="shared" si="14"/>
        <v>2766.4</v>
      </c>
      <c r="AD25" s="74">
        <f t="shared" si="14"/>
        <v>2766.4</v>
      </c>
      <c r="AE25" s="63">
        <f t="shared" si="15"/>
        <v>2898.1333333333332</v>
      </c>
      <c r="AF25" s="63">
        <f t="shared" si="15"/>
        <v>2898.1333333333332</v>
      </c>
      <c r="AG25" s="63">
        <f t="shared" si="15"/>
        <v>2898.1333333333332</v>
      </c>
      <c r="AH25" s="63">
        <f t="shared" si="15"/>
        <v>2898.1333333333332</v>
      </c>
      <c r="AI25" s="63">
        <f t="shared" si="15"/>
        <v>2898.1333333333332</v>
      </c>
      <c r="AJ25" s="63">
        <f t="shared" si="15"/>
        <v>2898.1333333333332</v>
      </c>
      <c r="AK25" s="63">
        <f t="shared" si="15"/>
        <v>2898.1333333333332</v>
      </c>
      <c r="AL25" s="63">
        <f t="shared" si="15"/>
        <v>2898.1333333333332</v>
      </c>
      <c r="AM25" s="63">
        <f t="shared" si="15"/>
        <v>2898.1333333333332</v>
      </c>
      <c r="AN25" s="63">
        <f t="shared" si="15"/>
        <v>2898.1333333333332</v>
      </c>
      <c r="AO25" s="63">
        <f t="shared" si="15"/>
        <v>2898.1333333333332</v>
      </c>
      <c r="AP25" s="74">
        <f t="shared" si="15"/>
        <v>2898.1333333333332</v>
      </c>
      <c r="AQ25" s="63">
        <f t="shared" si="16"/>
        <v>3029.8666666666668</v>
      </c>
      <c r="AR25" s="63">
        <f t="shared" si="16"/>
        <v>3029.8666666666668</v>
      </c>
      <c r="AS25" s="63">
        <f t="shared" si="16"/>
        <v>3029.8666666666668</v>
      </c>
      <c r="AT25" s="63">
        <f t="shared" si="16"/>
        <v>3029.8666666666668</v>
      </c>
      <c r="AU25" s="63">
        <f t="shared" si="16"/>
        <v>3029.8666666666668</v>
      </c>
      <c r="AV25" s="63">
        <f t="shared" si="16"/>
        <v>3029.8666666666668</v>
      </c>
      <c r="AW25" s="63">
        <f t="shared" si="16"/>
        <v>3029.8666666666668</v>
      </c>
      <c r="AX25" s="63">
        <f t="shared" si="16"/>
        <v>3029.8666666666668</v>
      </c>
      <c r="AY25" s="63">
        <f t="shared" si="16"/>
        <v>3029.8666666666668</v>
      </c>
      <c r="AZ25" s="63">
        <f t="shared" si="16"/>
        <v>3029.8666666666668</v>
      </c>
      <c r="BA25" s="63">
        <f t="shared" si="16"/>
        <v>3029.8666666666668</v>
      </c>
      <c r="BB25" s="74">
        <f t="shared" si="16"/>
        <v>3029.8666666666668</v>
      </c>
      <c r="BC25" s="63">
        <f t="shared" si="17"/>
        <v>3029.8666666666668</v>
      </c>
      <c r="BD25" s="63">
        <f t="shared" si="17"/>
        <v>3029.8666666666668</v>
      </c>
      <c r="BE25" s="63">
        <f t="shared" si="17"/>
        <v>3029.8666666666668</v>
      </c>
      <c r="BF25" s="63">
        <f t="shared" si="17"/>
        <v>3029.8666666666668</v>
      </c>
      <c r="BG25" s="63">
        <f t="shared" si="17"/>
        <v>3029.8666666666668</v>
      </c>
      <c r="BH25" s="63">
        <f t="shared" si="17"/>
        <v>3029.8666666666668</v>
      </c>
      <c r="BI25" s="63">
        <f t="shared" si="17"/>
        <v>3029.8666666666668</v>
      </c>
      <c r="BJ25" s="63">
        <f t="shared" si="17"/>
        <v>3029.8666666666668</v>
      </c>
      <c r="BK25" s="63">
        <f t="shared" si="17"/>
        <v>3029.8666666666668</v>
      </c>
      <c r="BL25" s="63">
        <f t="shared" si="17"/>
        <v>3029.8666666666668</v>
      </c>
      <c r="BM25" s="63">
        <f t="shared" si="17"/>
        <v>3029.8666666666668</v>
      </c>
      <c r="BN25" s="74">
        <f t="shared" si="17"/>
        <v>3029.8666666666668</v>
      </c>
    </row>
    <row r="26" spans="1:66" ht="19" x14ac:dyDescent="0.25">
      <c r="A26" s="238">
        <v>4</v>
      </c>
      <c r="B26" s="56" t="s">
        <v>135</v>
      </c>
      <c r="C26" s="242" t="s">
        <v>156</v>
      </c>
      <c r="D26" s="241">
        <v>35360</v>
      </c>
      <c r="E26" s="22"/>
      <c r="F26"/>
      <c r="G26" s="7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74"/>
      <c r="S26" s="73">
        <f t="shared" si="14"/>
        <v>3094</v>
      </c>
      <c r="T26" s="63">
        <f t="shared" si="14"/>
        <v>3094</v>
      </c>
      <c r="U26" s="63">
        <f t="shared" si="14"/>
        <v>3094</v>
      </c>
      <c r="V26" s="63">
        <f t="shared" si="14"/>
        <v>3094</v>
      </c>
      <c r="W26" s="63">
        <f t="shared" si="14"/>
        <v>3094</v>
      </c>
      <c r="X26" s="63">
        <f t="shared" si="14"/>
        <v>3094</v>
      </c>
      <c r="Y26" s="63">
        <f t="shared" si="14"/>
        <v>3094</v>
      </c>
      <c r="Z26" s="63">
        <f t="shared" si="14"/>
        <v>3094</v>
      </c>
      <c r="AA26" s="63">
        <f t="shared" si="14"/>
        <v>3094</v>
      </c>
      <c r="AB26" s="63">
        <f t="shared" si="14"/>
        <v>3094</v>
      </c>
      <c r="AC26" s="63">
        <f t="shared" si="14"/>
        <v>3094</v>
      </c>
      <c r="AD26" s="74">
        <f t="shared" si="14"/>
        <v>3094</v>
      </c>
      <c r="AE26" s="63">
        <f t="shared" si="15"/>
        <v>3241.3333333333335</v>
      </c>
      <c r="AF26" s="63">
        <f t="shared" si="15"/>
        <v>3241.3333333333335</v>
      </c>
      <c r="AG26" s="63">
        <f t="shared" si="15"/>
        <v>3241.3333333333335</v>
      </c>
      <c r="AH26" s="63">
        <f t="shared" si="15"/>
        <v>3241.3333333333335</v>
      </c>
      <c r="AI26" s="63">
        <f t="shared" si="15"/>
        <v>3241.3333333333335</v>
      </c>
      <c r="AJ26" s="63">
        <f t="shared" si="15"/>
        <v>3241.3333333333335</v>
      </c>
      <c r="AK26" s="63">
        <f t="shared" si="15"/>
        <v>3241.3333333333335</v>
      </c>
      <c r="AL26" s="63">
        <f t="shared" si="15"/>
        <v>3241.3333333333335</v>
      </c>
      <c r="AM26" s="63">
        <f t="shared" si="15"/>
        <v>3241.3333333333335</v>
      </c>
      <c r="AN26" s="63">
        <f t="shared" si="15"/>
        <v>3241.3333333333335</v>
      </c>
      <c r="AO26" s="63">
        <f t="shared" si="15"/>
        <v>3241.3333333333335</v>
      </c>
      <c r="AP26" s="74">
        <f t="shared" si="15"/>
        <v>3241.3333333333335</v>
      </c>
      <c r="AQ26" s="63">
        <f t="shared" si="16"/>
        <v>3388.666666666667</v>
      </c>
      <c r="AR26" s="63">
        <f t="shared" si="16"/>
        <v>3388.666666666667</v>
      </c>
      <c r="AS26" s="63">
        <f t="shared" si="16"/>
        <v>3388.666666666667</v>
      </c>
      <c r="AT26" s="63">
        <f t="shared" si="16"/>
        <v>3388.666666666667</v>
      </c>
      <c r="AU26" s="63">
        <f t="shared" si="16"/>
        <v>3388.666666666667</v>
      </c>
      <c r="AV26" s="63">
        <f t="shared" si="16"/>
        <v>3388.666666666667</v>
      </c>
      <c r="AW26" s="63">
        <f t="shared" si="16"/>
        <v>3388.666666666667</v>
      </c>
      <c r="AX26" s="63">
        <f t="shared" si="16"/>
        <v>3388.666666666667</v>
      </c>
      <c r="AY26" s="63">
        <f t="shared" si="16"/>
        <v>3388.666666666667</v>
      </c>
      <c r="AZ26" s="63">
        <f t="shared" si="16"/>
        <v>3388.666666666667</v>
      </c>
      <c r="BA26" s="63">
        <f t="shared" si="16"/>
        <v>3388.666666666667</v>
      </c>
      <c r="BB26" s="74">
        <f t="shared" si="16"/>
        <v>3388.666666666667</v>
      </c>
      <c r="BC26" s="63">
        <f t="shared" si="17"/>
        <v>3388.666666666667</v>
      </c>
      <c r="BD26" s="63">
        <f t="shared" si="17"/>
        <v>3388.666666666667</v>
      </c>
      <c r="BE26" s="63">
        <f t="shared" si="17"/>
        <v>3388.666666666667</v>
      </c>
      <c r="BF26" s="63">
        <f t="shared" si="17"/>
        <v>3388.666666666667</v>
      </c>
      <c r="BG26" s="63">
        <f t="shared" si="17"/>
        <v>3388.666666666667</v>
      </c>
      <c r="BH26" s="63">
        <f t="shared" si="17"/>
        <v>3388.666666666667</v>
      </c>
      <c r="BI26" s="63">
        <f t="shared" si="17"/>
        <v>3388.666666666667</v>
      </c>
      <c r="BJ26" s="63">
        <f t="shared" si="17"/>
        <v>3388.666666666667</v>
      </c>
      <c r="BK26" s="63">
        <f t="shared" si="17"/>
        <v>3388.666666666667</v>
      </c>
      <c r="BL26" s="63">
        <f t="shared" si="17"/>
        <v>3388.666666666667</v>
      </c>
      <c r="BM26" s="63">
        <f t="shared" si="17"/>
        <v>3388.666666666667</v>
      </c>
      <c r="BN26" s="74">
        <f t="shared" si="17"/>
        <v>3388.666666666667</v>
      </c>
    </row>
    <row r="27" spans="1:66" ht="19" x14ac:dyDescent="0.25">
      <c r="A27" s="238">
        <v>5</v>
      </c>
      <c r="B27" s="56" t="s">
        <v>135</v>
      </c>
      <c r="C27" s="242" t="s">
        <v>155</v>
      </c>
      <c r="D27" s="241">
        <v>48750</v>
      </c>
      <c r="E27" s="22"/>
      <c r="F27"/>
      <c r="G27" s="7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74"/>
      <c r="S27" s="73">
        <f t="shared" si="14"/>
        <v>4265.625</v>
      </c>
      <c r="T27" s="63">
        <f t="shared" si="14"/>
        <v>4265.625</v>
      </c>
      <c r="U27" s="63">
        <f t="shared" si="14"/>
        <v>4265.625</v>
      </c>
      <c r="V27" s="63">
        <f t="shared" si="14"/>
        <v>4265.625</v>
      </c>
      <c r="W27" s="63">
        <f t="shared" si="14"/>
        <v>4265.625</v>
      </c>
      <c r="X27" s="63">
        <f t="shared" si="14"/>
        <v>4265.625</v>
      </c>
      <c r="Y27" s="63">
        <f t="shared" si="14"/>
        <v>4265.625</v>
      </c>
      <c r="Z27" s="63">
        <f t="shared" si="14"/>
        <v>4265.625</v>
      </c>
      <c r="AA27" s="63">
        <f t="shared" si="14"/>
        <v>4265.625</v>
      </c>
      <c r="AB27" s="63">
        <f t="shared" si="14"/>
        <v>4265.625</v>
      </c>
      <c r="AC27" s="63">
        <f t="shared" si="14"/>
        <v>4265.625</v>
      </c>
      <c r="AD27" s="74">
        <f t="shared" si="14"/>
        <v>4265.625</v>
      </c>
      <c r="AE27" s="63">
        <f t="shared" si="15"/>
        <v>4468.75</v>
      </c>
      <c r="AF27" s="63">
        <f t="shared" si="15"/>
        <v>4468.75</v>
      </c>
      <c r="AG27" s="63">
        <f t="shared" si="15"/>
        <v>4468.75</v>
      </c>
      <c r="AH27" s="63">
        <f t="shared" si="15"/>
        <v>4468.75</v>
      </c>
      <c r="AI27" s="63">
        <f t="shared" si="15"/>
        <v>4468.75</v>
      </c>
      <c r="AJ27" s="63">
        <f t="shared" si="15"/>
        <v>4468.75</v>
      </c>
      <c r="AK27" s="63">
        <f t="shared" si="15"/>
        <v>4468.75</v>
      </c>
      <c r="AL27" s="63">
        <f t="shared" si="15"/>
        <v>4468.75</v>
      </c>
      <c r="AM27" s="63">
        <f t="shared" si="15"/>
        <v>4468.75</v>
      </c>
      <c r="AN27" s="63">
        <f t="shared" si="15"/>
        <v>4468.75</v>
      </c>
      <c r="AO27" s="63">
        <f t="shared" si="15"/>
        <v>4468.75</v>
      </c>
      <c r="AP27" s="74">
        <f t="shared" si="15"/>
        <v>4468.75</v>
      </c>
      <c r="AQ27" s="63">
        <f t="shared" si="16"/>
        <v>4671.8750000000009</v>
      </c>
      <c r="AR27" s="63">
        <f t="shared" si="16"/>
        <v>4671.8750000000009</v>
      </c>
      <c r="AS27" s="63">
        <f t="shared" si="16"/>
        <v>4671.8750000000009</v>
      </c>
      <c r="AT27" s="63">
        <f t="shared" si="16"/>
        <v>4671.8750000000009</v>
      </c>
      <c r="AU27" s="63">
        <f t="shared" si="16"/>
        <v>4671.8750000000009</v>
      </c>
      <c r="AV27" s="63">
        <f t="shared" si="16"/>
        <v>4671.8750000000009</v>
      </c>
      <c r="AW27" s="63">
        <f t="shared" si="16"/>
        <v>4671.8750000000009</v>
      </c>
      <c r="AX27" s="63">
        <f t="shared" si="16"/>
        <v>4671.8750000000009</v>
      </c>
      <c r="AY27" s="63">
        <f t="shared" si="16"/>
        <v>4671.8750000000009</v>
      </c>
      <c r="AZ27" s="63">
        <f t="shared" si="16"/>
        <v>4671.8750000000009</v>
      </c>
      <c r="BA27" s="63">
        <f t="shared" si="16"/>
        <v>4671.8750000000009</v>
      </c>
      <c r="BB27" s="74">
        <f t="shared" si="16"/>
        <v>4671.8750000000009</v>
      </c>
      <c r="BC27" s="63">
        <f t="shared" si="17"/>
        <v>4671.8750000000009</v>
      </c>
      <c r="BD27" s="63">
        <f t="shared" si="17"/>
        <v>4671.8750000000009</v>
      </c>
      <c r="BE27" s="63">
        <f t="shared" si="17"/>
        <v>4671.8750000000009</v>
      </c>
      <c r="BF27" s="63">
        <f t="shared" si="17"/>
        <v>4671.8750000000009</v>
      </c>
      <c r="BG27" s="63">
        <f t="shared" si="17"/>
        <v>4671.8750000000009</v>
      </c>
      <c r="BH27" s="63">
        <f t="shared" si="17"/>
        <v>4671.8750000000009</v>
      </c>
      <c r="BI27" s="63">
        <f t="shared" si="17"/>
        <v>4671.8750000000009</v>
      </c>
      <c r="BJ27" s="63">
        <f t="shared" si="17"/>
        <v>4671.8750000000009</v>
      </c>
      <c r="BK27" s="63">
        <f t="shared" si="17"/>
        <v>4671.8750000000009</v>
      </c>
      <c r="BL27" s="63">
        <f t="shared" si="17"/>
        <v>4671.8750000000009</v>
      </c>
      <c r="BM27" s="63">
        <f t="shared" si="17"/>
        <v>4671.8750000000009</v>
      </c>
      <c r="BN27" s="74">
        <f t="shared" si="17"/>
        <v>4671.8750000000009</v>
      </c>
    </row>
    <row r="28" spans="1:66" ht="19" x14ac:dyDescent="0.25">
      <c r="A28" s="238">
        <v>6</v>
      </c>
      <c r="B28" s="56" t="s">
        <v>135</v>
      </c>
      <c r="C28" s="242" t="s">
        <v>154</v>
      </c>
      <c r="D28" s="482">
        <v>0</v>
      </c>
      <c r="E28" s="22"/>
      <c r="F28"/>
      <c r="G28" s="7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74"/>
      <c r="S28" s="73">
        <f t="shared" si="14"/>
        <v>0</v>
      </c>
      <c r="T28" s="63">
        <f t="shared" si="14"/>
        <v>0</v>
      </c>
      <c r="U28" s="63">
        <f t="shared" si="14"/>
        <v>0</v>
      </c>
      <c r="V28" s="63">
        <f t="shared" si="14"/>
        <v>0</v>
      </c>
      <c r="W28" s="63">
        <f t="shared" si="14"/>
        <v>0</v>
      </c>
      <c r="X28" s="63">
        <f t="shared" si="14"/>
        <v>0</v>
      </c>
      <c r="Y28" s="63">
        <f t="shared" si="14"/>
        <v>0</v>
      </c>
      <c r="Z28" s="63">
        <f t="shared" si="14"/>
        <v>0</v>
      </c>
      <c r="AA28" s="63">
        <f t="shared" si="14"/>
        <v>0</v>
      </c>
      <c r="AB28" s="63">
        <f t="shared" si="14"/>
        <v>0</v>
      </c>
      <c r="AC28" s="63">
        <f t="shared" si="14"/>
        <v>0</v>
      </c>
      <c r="AD28" s="74">
        <f t="shared" si="14"/>
        <v>0</v>
      </c>
      <c r="AE28" s="63">
        <f t="shared" si="15"/>
        <v>0</v>
      </c>
      <c r="AF28" s="63">
        <f t="shared" si="15"/>
        <v>0</v>
      </c>
      <c r="AG28" s="63">
        <f t="shared" si="15"/>
        <v>0</v>
      </c>
      <c r="AH28" s="63">
        <f t="shared" si="15"/>
        <v>0</v>
      </c>
      <c r="AI28" s="63">
        <f t="shared" si="15"/>
        <v>0</v>
      </c>
      <c r="AJ28" s="63">
        <f t="shared" si="15"/>
        <v>0</v>
      </c>
      <c r="AK28" s="63">
        <f t="shared" si="15"/>
        <v>0</v>
      </c>
      <c r="AL28" s="63">
        <f t="shared" si="15"/>
        <v>0</v>
      </c>
      <c r="AM28" s="63">
        <f t="shared" si="15"/>
        <v>0</v>
      </c>
      <c r="AN28" s="63">
        <f t="shared" si="15"/>
        <v>0</v>
      </c>
      <c r="AO28" s="63">
        <f t="shared" si="15"/>
        <v>0</v>
      </c>
      <c r="AP28" s="74">
        <f t="shared" si="15"/>
        <v>0</v>
      </c>
      <c r="AQ28" s="63">
        <f t="shared" si="16"/>
        <v>0</v>
      </c>
      <c r="AR28" s="63">
        <f t="shared" si="16"/>
        <v>0</v>
      </c>
      <c r="AS28" s="63">
        <f t="shared" si="16"/>
        <v>0</v>
      </c>
      <c r="AT28" s="63">
        <f t="shared" si="16"/>
        <v>0</v>
      </c>
      <c r="AU28" s="63">
        <f t="shared" si="16"/>
        <v>0</v>
      </c>
      <c r="AV28" s="63">
        <f t="shared" si="16"/>
        <v>0</v>
      </c>
      <c r="AW28" s="63">
        <f t="shared" si="16"/>
        <v>0</v>
      </c>
      <c r="AX28" s="63">
        <f t="shared" si="16"/>
        <v>0</v>
      </c>
      <c r="AY28" s="63">
        <f t="shared" si="16"/>
        <v>0</v>
      </c>
      <c r="AZ28" s="63">
        <f t="shared" si="16"/>
        <v>0</v>
      </c>
      <c r="BA28" s="63">
        <f t="shared" si="16"/>
        <v>0</v>
      </c>
      <c r="BB28" s="74">
        <f t="shared" si="16"/>
        <v>0</v>
      </c>
      <c r="BC28" s="63">
        <f t="shared" si="17"/>
        <v>0</v>
      </c>
      <c r="BD28" s="63">
        <f t="shared" si="17"/>
        <v>0</v>
      </c>
      <c r="BE28" s="63">
        <f t="shared" si="17"/>
        <v>0</v>
      </c>
      <c r="BF28" s="63">
        <f t="shared" si="17"/>
        <v>0</v>
      </c>
      <c r="BG28" s="63">
        <f t="shared" si="17"/>
        <v>0</v>
      </c>
      <c r="BH28" s="63">
        <f t="shared" si="17"/>
        <v>0</v>
      </c>
      <c r="BI28" s="63">
        <f t="shared" si="17"/>
        <v>0</v>
      </c>
      <c r="BJ28" s="63">
        <f t="shared" si="17"/>
        <v>0</v>
      </c>
      <c r="BK28" s="63">
        <f t="shared" si="17"/>
        <v>0</v>
      </c>
      <c r="BL28" s="63">
        <f t="shared" si="17"/>
        <v>0</v>
      </c>
      <c r="BM28" s="63">
        <f t="shared" si="17"/>
        <v>0</v>
      </c>
      <c r="BN28" s="74">
        <f t="shared" si="17"/>
        <v>0</v>
      </c>
    </row>
    <row r="29" spans="1:66" ht="19" x14ac:dyDescent="0.25">
      <c r="A29" s="238">
        <v>7</v>
      </c>
      <c r="B29" s="56" t="s">
        <v>135</v>
      </c>
      <c r="C29" s="242" t="s">
        <v>153</v>
      </c>
      <c r="D29" s="241">
        <v>31688</v>
      </c>
      <c r="E29" s="22"/>
      <c r="F29"/>
      <c r="G29" s="7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74"/>
      <c r="S29" s="73">
        <f t="shared" si="14"/>
        <v>2772.7</v>
      </c>
      <c r="T29" s="63">
        <f t="shared" si="14"/>
        <v>2772.7</v>
      </c>
      <c r="U29" s="63">
        <f t="shared" si="14"/>
        <v>2772.7</v>
      </c>
      <c r="V29" s="63">
        <f t="shared" si="14"/>
        <v>2772.7</v>
      </c>
      <c r="W29" s="63">
        <f t="shared" si="14"/>
        <v>2772.7</v>
      </c>
      <c r="X29" s="63">
        <f t="shared" si="14"/>
        <v>2772.7</v>
      </c>
      <c r="Y29" s="63">
        <f t="shared" si="14"/>
        <v>2772.7</v>
      </c>
      <c r="Z29" s="63">
        <f t="shared" si="14"/>
        <v>2772.7</v>
      </c>
      <c r="AA29" s="63">
        <f t="shared" si="14"/>
        <v>2772.7</v>
      </c>
      <c r="AB29" s="63">
        <f t="shared" si="14"/>
        <v>2772.7</v>
      </c>
      <c r="AC29" s="63">
        <f t="shared" si="14"/>
        <v>2772.7</v>
      </c>
      <c r="AD29" s="74">
        <f t="shared" si="14"/>
        <v>2772.7</v>
      </c>
      <c r="AE29" s="63">
        <f t="shared" si="15"/>
        <v>2904.7333333333336</v>
      </c>
      <c r="AF29" s="63">
        <f t="shared" si="15"/>
        <v>2904.7333333333336</v>
      </c>
      <c r="AG29" s="63">
        <f t="shared" si="15"/>
        <v>2904.7333333333336</v>
      </c>
      <c r="AH29" s="63">
        <f t="shared" si="15"/>
        <v>2904.7333333333336</v>
      </c>
      <c r="AI29" s="63">
        <f t="shared" si="15"/>
        <v>2904.7333333333336</v>
      </c>
      <c r="AJ29" s="63">
        <f t="shared" si="15"/>
        <v>2904.7333333333336</v>
      </c>
      <c r="AK29" s="63">
        <f t="shared" si="15"/>
        <v>2904.7333333333336</v>
      </c>
      <c r="AL29" s="63">
        <f t="shared" si="15"/>
        <v>2904.7333333333336</v>
      </c>
      <c r="AM29" s="63">
        <f t="shared" si="15"/>
        <v>2904.7333333333336</v>
      </c>
      <c r="AN29" s="63">
        <f t="shared" si="15"/>
        <v>2904.7333333333336</v>
      </c>
      <c r="AO29" s="63">
        <f t="shared" si="15"/>
        <v>2904.7333333333336</v>
      </c>
      <c r="AP29" s="74">
        <f t="shared" si="15"/>
        <v>2904.7333333333336</v>
      </c>
      <c r="AQ29" s="63">
        <f t="shared" si="16"/>
        <v>3036.7666666666669</v>
      </c>
      <c r="AR29" s="63">
        <f t="shared" si="16"/>
        <v>3036.7666666666669</v>
      </c>
      <c r="AS29" s="63">
        <f t="shared" si="16"/>
        <v>3036.7666666666669</v>
      </c>
      <c r="AT29" s="63">
        <f t="shared" si="16"/>
        <v>3036.7666666666669</v>
      </c>
      <c r="AU29" s="63">
        <f t="shared" si="16"/>
        <v>3036.7666666666669</v>
      </c>
      <c r="AV29" s="63">
        <f t="shared" si="16"/>
        <v>3036.7666666666669</v>
      </c>
      <c r="AW29" s="63">
        <f t="shared" si="16"/>
        <v>3036.7666666666669</v>
      </c>
      <c r="AX29" s="63">
        <f t="shared" si="16"/>
        <v>3036.7666666666669</v>
      </c>
      <c r="AY29" s="63">
        <f t="shared" si="16"/>
        <v>3036.7666666666669</v>
      </c>
      <c r="AZ29" s="63">
        <f t="shared" si="16"/>
        <v>3036.7666666666669</v>
      </c>
      <c r="BA29" s="63">
        <f t="shared" si="16"/>
        <v>3036.7666666666669</v>
      </c>
      <c r="BB29" s="74">
        <f t="shared" si="16"/>
        <v>3036.7666666666669</v>
      </c>
      <c r="BC29" s="63">
        <f t="shared" si="17"/>
        <v>3036.7666666666669</v>
      </c>
      <c r="BD29" s="63">
        <f t="shared" si="17"/>
        <v>3036.7666666666669</v>
      </c>
      <c r="BE29" s="63">
        <f t="shared" si="17"/>
        <v>3036.7666666666669</v>
      </c>
      <c r="BF29" s="63">
        <f t="shared" si="17"/>
        <v>3036.7666666666669</v>
      </c>
      <c r="BG29" s="63">
        <f t="shared" si="17"/>
        <v>3036.7666666666669</v>
      </c>
      <c r="BH29" s="63">
        <f t="shared" si="17"/>
        <v>3036.7666666666669</v>
      </c>
      <c r="BI29" s="63">
        <f t="shared" si="17"/>
        <v>3036.7666666666669</v>
      </c>
      <c r="BJ29" s="63">
        <f t="shared" si="17"/>
        <v>3036.7666666666669</v>
      </c>
      <c r="BK29" s="63">
        <f t="shared" si="17"/>
        <v>3036.7666666666669</v>
      </c>
      <c r="BL29" s="63">
        <f t="shared" si="17"/>
        <v>3036.7666666666669</v>
      </c>
      <c r="BM29" s="63">
        <f t="shared" si="17"/>
        <v>3036.7666666666669</v>
      </c>
      <c r="BN29" s="74">
        <f t="shared" si="17"/>
        <v>3036.7666666666669</v>
      </c>
    </row>
    <row r="30" spans="1:66" ht="19" x14ac:dyDescent="0.25">
      <c r="A30" s="238">
        <v>8</v>
      </c>
      <c r="B30" s="56" t="s">
        <v>135</v>
      </c>
      <c r="C30" s="56" t="s">
        <v>31</v>
      </c>
      <c r="D30" s="241">
        <v>45000</v>
      </c>
      <c r="E30" s="22"/>
      <c r="F30"/>
      <c r="G30" s="7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74"/>
      <c r="S30" s="73"/>
      <c r="T30" s="63"/>
      <c r="U30" s="63"/>
      <c r="V30" s="63"/>
      <c r="W30" s="63"/>
      <c r="X30" s="63"/>
      <c r="Y30" s="63"/>
      <c r="Z30" s="63"/>
      <c r="AA30" s="63"/>
      <c r="AB30" s="63">
        <f t="shared" ref="AB30:AD30" si="18">($D30/12)*(1+$C$2)</f>
        <v>3937.5</v>
      </c>
      <c r="AC30" s="63">
        <f t="shared" si="18"/>
        <v>3937.5</v>
      </c>
      <c r="AD30" s="74">
        <f t="shared" si="18"/>
        <v>3937.5</v>
      </c>
      <c r="AE30" s="63">
        <f t="shared" si="15"/>
        <v>4125</v>
      </c>
      <c r="AF30" s="63">
        <f t="shared" si="15"/>
        <v>4125</v>
      </c>
      <c r="AG30" s="63">
        <f t="shared" si="15"/>
        <v>4125</v>
      </c>
      <c r="AH30" s="63">
        <f t="shared" si="15"/>
        <v>4125</v>
      </c>
      <c r="AI30" s="63">
        <f t="shared" si="15"/>
        <v>4125</v>
      </c>
      <c r="AJ30" s="63">
        <f t="shared" si="15"/>
        <v>4125</v>
      </c>
      <c r="AK30" s="63">
        <f t="shared" si="15"/>
        <v>4125</v>
      </c>
      <c r="AL30" s="63">
        <f t="shared" si="15"/>
        <v>4125</v>
      </c>
      <c r="AM30" s="63">
        <f t="shared" si="15"/>
        <v>4125</v>
      </c>
      <c r="AN30" s="63">
        <f t="shared" si="15"/>
        <v>4125</v>
      </c>
      <c r="AO30" s="63">
        <f t="shared" si="15"/>
        <v>4125</v>
      </c>
      <c r="AP30" s="74">
        <f t="shared" si="15"/>
        <v>4125</v>
      </c>
      <c r="AQ30" s="63">
        <f t="shared" si="16"/>
        <v>4312.5000000000009</v>
      </c>
      <c r="AR30" s="63">
        <f t="shared" si="16"/>
        <v>4312.5000000000009</v>
      </c>
      <c r="AS30" s="63">
        <f t="shared" si="16"/>
        <v>4312.5000000000009</v>
      </c>
      <c r="AT30" s="63">
        <f t="shared" si="16"/>
        <v>4312.5000000000009</v>
      </c>
      <c r="AU30" s="63">
        <f t="shared" si="16"/>
        <v>4312.5000000000009</v>
      </c>
      <c r="AV30" s="63">
        <f t="shared" si="16"/>
        <v>4312.5000000000009</v>
      </c>
      <c r="AW30" s="63">
        <f t="shared" si="16"/>
        <v>4312.5000000000009</v>
      </c>
      <c r="AX30" s="63">
        <f t="shared" si="16"/>
        <v>4312.5000000000009</v>
      </c>
      <c r="AY30" s="63">
        <f t="shared" si="16"/>
        <v>4312.5000000000009</v>
      </c>
      <c r="AZ30" s="63">
        <f t="shared" si="16"/>
        <v>4312.5000000000009</v>
      </c>
      <c r="BA30" s="63">
        <f t="shared" si="16"/>
        <v>4312.5000000000009</v>
      </c>
      <c r="BB30" s="74">
        <f t="shared" si="16"/>
        <v>4312.5000000000009</v>
      </c>
      <c r="BC30" s="63">
        <f t="shared" si="17"/>
        <v>4312.5000000000009</v>
      </c>
      <c r="BD30" s="63">
        <f t="shared" si="17"/>
        <v>4312.5000000000009</v>
      </c>
      <c r="BE30" s="63">
        <f t="shared" si="17"/>
        <v>4312.5000000000009</v>
      </c>
      <c r="BF30" s="63">
        <f t="shared" si="17"/>
        <v>4312.5000000000009</v>
      </c>
      <c r="BG30" s="63">
        <f t="shared" si="17"/>
        <v>4312.5000000000009</v>
      </c>
      <c r="BH30" s="63">
        <f t="shared" si="17"/>
        <v>4312.5000000000009</v>
      </c>
      <c r="BI30" s="63">
        <f t="shared" si="17"/>
        <v>4312.5000000000009</v>
      </c>
      <c r="BJ30" s="63">
        <f t="shared" si="17"/>
        <v>4312.5000000000009</v>
      </c>
      <c r="BK30" s="63">
        <f t="shared" si="17"/>
        <v>4312.5000000000009</v>
      </c>
      <c r="BL30" s="63">
        <f t="shared" si="17"/>
        <v>4312.5000000000009</v>
      </c>
      <c r="BM30" s="63">
        <f t="shared" si="17"/>
        <v>4312.5000000000009</v>
      </c>
      <c r="BN30" s="74">
        <f t="shared" si="17"/>
        <v>4312.5000000000009</v>
      </c>
    </row>
    <row r="31" spans="1:66" ht="19" x14ac:dyDescent="0.25">
      <c r="A31" s="238">
        <v>9</v>
      </c>
      <c r="B31" s="56" t="s">
        <v>135</v>
      </c>
      <c r="C31" s="56" t="s">
        <v>31</v>
      </c>
      <c r="D31" s="241">
        <v>45000</v>
      </c>
      <c r="E31" s="22"/>
      <c r="F31"/>
      <c r="G31" s="7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74"/>
      <c r="S31" s="7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74"/>
      <c r="AE31" s="63">
        <f t="shared" si="15"/>
        <v>4125</v>
      </c>
      <c r="AF31" s="63">
        <f t="shared" si="15"/>
        <v>4125</v>
      </c>
      <c r="AG31" s="63">
        <f t="shared" si="15"/>
        <v>4125</v>
      </c>
      <c r="AH31" s="63">
        <f t="shared" si="15"/>
        <v>4125</v>
      </c>
      <c r="AI31" s="63">
        <f t="shared" si="15"/>
        <v>4125</v>
      </c>
      <c r="AJ31" s="63">
        <f t="shared" si="15"/>
        <v>4125</v>
      </c>
      <c r="AK31" s="63">
        <f t="shared" si="15"/>
        <v>4125</v>
      </c>
      <c r="AL31" s="63">
        <f t="shared" si="15"/>
        <v>4125</v>
      </c>
      <c r="AM31" s="63">
        <f t="shared" si="15"/>
        <v>4125</v>
      </c>
      <c r="AN31" s="63">
        <f t="shared" si="15"/>
        <v>4125</v>
      </c>
      <c r="AO31" s="63">
        <f t="shared" si="15"/>
        <v>4125</v>
      </c>
      <c r="AP31" s="74">
        <f t="shared" si="15"/>
        <v>4125</v>
      </c>
      <c r="AQ31" s="63">
        <f t="shared" si="16"/>
        <v>4312.5000000000009</v>
      </c>
      <c r="AR31" s="63">
        <f t="shared" si="16"/>
        <v>4312.5000000000009</v>
      </c>
      <c r="AS31" s="63">
        <f t="shared" si="16"/>
        <v>4312.5000000000009</v>
      </c>
      <c r="AT31" s="63">
        <f t="shared" si="16"/>
        <v>4312.5000000000009</v>
      </c>
      <c r="AU31" s="63">
        <f t="shared" si="16"/>
        <v>4312.5000000000009</v>
      </c>
      <c r="AV31" s="63">
        <f t="shared" si="16"/>
        <v>4312.5000000000009</v>
      </c>
      <c r="AW31" s="63">
        <f t="shared" si="16"/>
        <v>4312.5000000000009</v>
      </c>
      <c r="AX31" s="63">
        <f t="shared" si="16"/>
        <v>4312.5000000000009</v>
      </c>
      <c r="AY31" s="63">
        <f t="shared" si="16"/>
        <v>4312.5000000000009</v>
      </c>
      <c r="AZ31" s="63">
        <f t="shared" si="16"/>
        <v>4312.5000000000009</v>
      </c>
      <c r="BA31" s="63">
        <f t="shared" si="16"/>
        <v>4312.5000000000009</v>
      </c>
      <c r="BB31" s="74">
        <f t="shared" si="16"/>
        <v>4312.5000000000009</v>
      </c>
      <c r="BC31" s="63">
        <f t="shared" si="17"/>
        <v>4312.5000000000009</v>
      </c>
      <c r="BD31" s="63">
        <f t="shared" si="17"/>
        <v>4312.5000000000009</v>
      </c>
      <c r="BE31" s="63">
        <f t="shared" si="17"/>
        <v>4312.5000000000009</v>
      </c>
      <c r="BF31" s="63">
        <f t="shared" si="17"/>
        <v>4312.5000000000009</v>
      </c>
      <c r="BG31" s="63">
        <f t="shared" si="17"/>
        <v>4312.5000000000009</v>
      </c>
      <c r="BH31" s="63">
        <f t="shared" si="17"/>
        <v>4312.5000000000009</v>
      </c>
      <c r="BI31" s="63">
        <f t="shared" si="17"/>
        <v>4312.5000000000009</v>
      </c>
      <c r="BJ31" s="63">
        <f t="shared" si="17"/>
        <v>4312.5000000000009</v>
      </c>
      <c r="BK31" s="63">
        <f t="shared" si="17"/>
        <v>4312.5000000000009</v>
      </c>
      <c r="BL31" s="63">
        <f t="shared" si="17"/>
        <v>4312.5000000000009</v>
      </c>
      <c r="BM31" s="63">
        <f t="shared" si="17"/>
        <v>4312.5000000000009</v>
      </c>
      <c r="BN31" s="74">
        <f t="shared" si="17"/>
        <v>4312.5000000000009</v>
      </c>
    </row>
    <row r="32" spans="1:66" ht="19" x14ac:dyDescent="0.25">
      <c r="A32" s="238">
        <v>10</v>
      </c>
      <c r="B32" s="56" t="s">
        <v>135</v>
      </c>
      <c r="C32" s="56" t="s">
        <v>31</v>
      </c>
      <c r="D32" s="241">
        <v>45000</v>
      </c>
      <c r="E32" s="22"/>
      <c r="F32"/>
      <c r="G32" s="7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74"/>
      <c r="S32" s="7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74"/>
      <c r="AE32" s="63"/>
      <c r="AF32" s="63"/>
      <c r="AG32" s="63"/>
      <c r="AH32" s="63"/>
      <c r="AI32" s="63"/>
      <c r="AJ32" s="63">
        <f t="shared" ref="AJ32:AP32" si="19">($D32/12)*(1+$C$2+$C$2)</f>
        <v>4125</v>
      </c>
      <c r="AK32" s="63">
        <f t="shared" si="19"/>
        <v>4125</v>
      </c>
      <c r="AL32" s="63">
        <f t="shared" si="19"/>
        <v>4125</v>
      </c>
      <c r="AM32" s="63">
        <f t="shared" si="19"/>
        <v>4125</v>
      </c>
      <c r="AN32" s="63">
        <f t="shared" si="19"/>
        <v>4125</v>
      </c>
      <c r="AO32" s="63">
        <f t="shared" si="19"/>
        <v>4125</v>
      </c>
      <c r="AP32" s="74">
        <f t="shared" si="19"/>
        <v>4125</v>
      </c>
      <c r="AQ32" s="63">
        <f t="shared" si="16"/>
        <v>4312.5000000000009</v>
      </c>
      <c r="AR32" s="63">
        <f t="shared" si="16"/>
        <v>4312.5000000000009</v>
      </c>
      <c r="AS32" s="63">
        <f t="shared" si="16"/>
        <v>4312.5000000000009</v>
      </c>
      <c r="AT32" s="63">
        <f t="shared" si="16"/>
        <v>4312.5000000000009</v>
      </c>
      <c r="AU32" s="63">
        <f t="shared" si="16"/>
        <v>4312.5000000000009</v>
      </c>
      <c r="AV32" s="63">
        <f t="shared" si="16"/>
        <v>4312.5000000000009</v>
      </c>
      <c r="AW32" s="63">
        <f t="shared" si="16"/>
        <v>4312.5000000000009</v>
      </c>
      <c r="AX32" s="63">
        <f t="shared" si="16"/>
        <v>4312.5000000000009</v>
      </c>
      <c r="AY32" s="63">
        <f t="shared" si="16"/>
        <v>4312.5000000000009</v>
      </c>
      <c r="AZ32" s="63">
        <f t="shared" si="16"/>
        <v>4312.5000000000009</v>
      </c>
      <c r="BA32" s="63">
        <f t="shared" si="16"/>
        <v>4312.5000000000009</v>
      </c>
      <c r="BB32" s="74">
        <f t="shared" si="16"/>
        <v>4312.5000000000009</v>
      </c>
      <c r="BC32" s="63">
        <f t="shared" si="17"/>
        <v>4312.5000000000009</v>
      </c>
      <c r="BD32" s="63">
        <f t="shared" si="17"/>
        <v>4312.5000000000009</v>
      </c>
      <c r="BE32" s="63">
        <f t="shared" si="17"/>
        <v>4312.5000000000009</v>
      </c>
      <c r="BF32" s="63">
        <f t="shared" si="17"/>
        <v>4312.5000000000009</v>
      </c>
      <c r="BG32" s="63">
        <f t="shared" si="17"/>
        <v>4312.5000000000009</v>
      </c>
      <c r="BH32" s="63">
        <f t="shared" si="17"/>
        <v>4312.5000000000009</v>
      </c>
      <c r="BI32" s="63">
        <f t="shared" si="17"/>
        <v>4312.5000000000009</v>
      </c>
      <c r="BJ32" s="63">
        <f t="shared" si="17"/>
        <v>4312.5000000000009</v>
      </c>
      <c r="BK32" s="63">
        <f t="shared" si="17"/>
        <v>4312.5000000000009</v>
      </c>
      <c r="BL32" s="63">
        <f t="shared" si="17"/>
        <v>4312.5000000000009</v>
      </c>
      <c r="BM32" s="63">
        <f t="shared" si="17"/>
        <v>4312.5000000000009</v>
      </c>
      <c r="BN32" s="74">
        <f t="shared" si="17"/>
        <v>4312.5000000000009</v>
      </c>
    </row>
    <row r="33" spans="1:66" ht="19" x14ac:dyDescent="0.25">
      <c r="A33" s="238">
        <v>11</v>
      </c>
      <c r="B33" s="56" t="s">
        <v>135</v>
      </c>
      <c r="C33" s="56" t="s">
        <v>31</v>
      </c>
      <c r="D33" s="241">
        <v>45000</v>
      </c>
      <c r="E33" s="22"/>
      <c r="F33"/>
      <c r="G33" s="7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74"/>
      <c r="S33" s="7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74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74"/>
      <c r="AQ33" s="63">
        <f t="shared" si="16"/>
        <v>4312.5000000000009</v>
      </c>
      <c r="AR33" s="63">
        <f t="shared" si="16"/>
        <v>4312.5000000000009</v>
      </c>
      <c r="AS33" s="63">
        <f t="shared" si="16"/>
        <v>4312.5000000000009</v>
      </c>
      <c r="AT33" s="63">
        <f t="shared" si="16"/>
        <v>4312.5000000000009</v>
      </c>
      <c r="AU33" s="63">
        <f t="shared" si="16"/>
        <v>4312.5000000000009</v>
      </c>
      <c r="AV33" s="63">
        <f t="shared" si="16"/>
        <v>4312.5000000000009</v>
      </c>
      <c r="AW33" s="63">
        <f t="shared" si="16"/>
        <v>4312.5000000000009</v>
      </c>
      <c r="AX33" s="63">
        <f t="shared" si="16"/>
        <v>4312.5000000000009</v>
      </c>
      <c r="AY33" s="63">
        <f t="shared" si="16"/>
        <v>4312.5000000000009</v>
      </c>
      <c r="AZ33" s="63">
        <f t="shared" si="16"/>
        <v>4312.5000000000009</v>
      </c>
      <c r="BA33" s="63">
        <f t="shared" si="16"/>
        <v>4312.5000000000009</v>
      </c>
      <c r="BB33" s="74">
        <f t="shared" si="16"/>
        <v>4312.5000000000009</v>
      </c>
      <c r="BC33" s="63">
        <f t="shared" si="17"/>
        <v>4312.5000000000009</v>
      </c>
      <c r="BD33" s="63">
        <f t="shared" si="17"/>
        <v>4312.5000000000009</v>
      </c>
      <c r="BE33" s="63">
        <f t="shared" si="17"/>
        <v>4312.5000000000009</v>
      </c>
      <c r="BF33" s="63">
        <f t="shared" si="17"/>
        <v>4312.5000000000009</v>
      </c>
      <c r="BG33" s="63">
        <f t="shared" si="17"/>
        <v>4312.5000000000009</v>
      </c>
      <c r="BH33" s="63">
        <f t="shared" si="17"/>
        <v>4312.5000000000009</v>
      </c>
      <c r="BI33" s="63">
        <f t="shared" si="17"/>
        <v>4312.5000000000009</v>
      </c>
      <c r="BJ33" s="63">
        <f t="shared" si="17"/>
        <v>4312.5000000000009</v>
      </c>
      <c r="BK33" s="63">
        <f t="shared" si="17"/>
        <v>4312.5000000000009</v>
      </c>
      <c r="BL33" s="63">
        <f t="shared" si="17"/>
        <v>4312.5000000000009</v>
      </c>
      <c r="BM33" s="63">
        <f t="shared" si="17"/>
        <v>4312.5000000000009</v>
      </c>
      <c r="BN33" s="74">
        <f t="shared" si="17"/>
        <v>4312.5000000000009</v>
      </c>
    </row>
    <row r="34" spans="1:66" ht="19" x14ac:dyDescent="0.25">
      <c r="A34" s="238">
        <v>12</v>
      </c>
      <c r="B34" s="56" t="s">
        <v>135</v>
      </c>
      <c r="C34" s="56" t="s">
        <v>31</v>
      </c>
      <c r="D34" s="241">
        <v>45000</v>
      </c>
      <c r="E34" s="22"/>
      <c r="F34"/>
      <c r="G34" s="7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74"/>
      <c r="S34" s="7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74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74"/>
      <c r="AQ34" s="63"/>
      <c r="AR34" s="63"/>
      <c r="AS34" s="63"/>
      <c r="AT34" s="63"/>
      <c r="AU34" s="63"/>
      <c r="AV34" s="63"/>
      <c r="AW34" s="63">
        <f t="shared" ref="AW34:BB34" si="20">($D34/12)*(1+$C$2+$C$2+$C$2)</f>
        <v>4312.5000000000009</v>
      </c>
      <c r="AX34" s="63">
        <f t="shared" si="20"/>
        <v>4312.5000000000009</v>
      </c>
      <c r="AY34" s="63">
        <f t="shared" si="20"/>
        <v>4312.5000000000009</v>
      </c>
      <c r="AZ34" s="63">
        <f t="shared" si="20"/>
        <v>4312.5000000000009</v>
      </c>
      <c r="BA34" s="63">
        <f t="shared" si="20"/>
        <v>4312.5000000000009</v>
      </c>
      <c r="BB34" s="74">
        <f t="shared" si="20"/>
        <v>4312.5000000000009</v>
      </c>
      <c r="BC34" s="63"/>
      <c r="BD34" s="63"/>
      <c r="BE34" s="63"/>
      <c r="BF34" s="63"/>
      <c r="BG34" s="63"/>
      <c r="BH34" s="63"/>
      <c r="BI34" s="63">
        <f t="shared" si="17"/>
        <v>4312.5000000000009</v>
      </c>
      <c r="BJ34" s="63">
        <f t="shared" si="17"/>
        <v>4312.5000000000009</v>
      </c>
      <c r="BK34" s="63">
        <f t="shared" si="17"/>
        <v>4312.5000000000009</v>
      </c>
      <c r="BL34" s="63">
        <f t="shared" si="17"/>
        <v>4312.5000000000009</v>
      </c>
      <c r="BM34" s="63">
        <f t="shared" si="17"/>
        <v>4312.5000000000009</v>
      </c>
      <c r="BN34" s="74">
        <f t="shared" si="17"/>
        <v>4312.5000000000009</v>
      </c>
    </row>
    <row r="35" spans="1:66" ht="16" x14ac:dyDescent="0.2">
      <c r="D35" s="243"/>
      <c r="E35" s="22"/>
      <c r="F35"/>
      <c r="G35" s="7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74"/>
      <c r="S35" s="7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74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74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74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74"/>
    </row>
    <row r="36" spans="1:66" s="239" customFormat="1" ht="20" thickBot="1" x14ac:dyDescent="0.3">
      <c r="B36" s="239" t="s">
        <v>0</v>
      </c>
      <c r="D36" s="240"/>
      <c r="E36" s="510"/>
      <c r="F36" s="66"/>
      <c r="G36" s="77">
        <f t="shared" ref="G36:R36" si="21">SUM(G23:G32)</f>
        <v>0</v>
      </c>
      <c r="H36" s="67">
        <f t="shared" si="21"/>
        <v>0</v>
      </c>
      <c r="I36" s="67">
        <f t="shared" si="21"/>
        <v>0</v>
      </c>
      <c r="J36" s="67">
        <f t="shared" si="21"/>
        <v>0</v>
      </c>
      <c r="K36" s="67">
        <f t="shared" si="21"/>
        <v>0</v>
      </c>
      <c r="L36" s="67">
        <f t="shared" si="21"/>
        <v>0</v>
      </c>
      <c r="M36" s="67">
        <f t="shared" si="21"/>
        <v>0</v>
      </c>
      <c r="N36" s="67">
        <f t="shared" si="21"/>
        <v>0</v>
      </c>
      <c r="O36" s="67">
        <f t="shared" si="21"/>
        <v>0</v>
      </c>
      <c r="P36" s="67">
        <f t="shared" si="21"/>
        <v>0</v>
      </c>
      <c r="Q36" s="67">
        <f t="shared" si="21"/>
        <v>0</v>
      </c>
      <c r="R36" s="67">
        <f t="shared" si="21"/>
        <v>0</v>
      </c>
      <c r="S36" s="67">
        <f t="shared" ref="S36:BB36" si="22">SUM(S23:S34)</f>
        <v>22854.125</v>
      </c>
      <c r="T36" s="67">
        <f t="shared" si="22"/>
        <v>22854.125</v>
      </c>
      <c r="U36" s="67">
        <f t="shared" si="22"/>
        <v>22854.125</v>
      </c>
      <c r="V36" s="67">
        <f t="shared" si="22"/>
        <v>22854.125</v>
      </c>
      <c r="W36" s="67">
        <f t="shared" si="22"/>
        <v>22854.125</v>
      </c>
      <c r="X36" s="67">
        <f t="shared" si="22"/>
        <v>22854.125</v>
      </c>
      <c r="Y36" s="67">
        <f t="shared" si="22"/>
        <v>22854.125</v>
      </c>
      <c r="Z36" s="67">
        <f t="shared" si="22"/>
        <v>18358.724999999999</v>
      </c>
      <c r="AA36" s="67">
        <f t="shared" si="22"/>
        <v>18358.724999999999</v>
      </c>
      <c r="AB36" s="67">
        <f t="shared" si="22"/>
        <v>22296.224999999999</v>
      </c>
      <c r="AC36" s="67">
        <f t="shared" si="22"/>
        <v>22296.224999999999</v>
      </c>
      <c r="AD36" s="78">
        <f t="shared" si="22"/>
        <v>22296.224999999999</v>
      </c>
      <c r="AE36" s="67">
        <f t="shared" si="22"/>
        <v>27482.950000000004</v>
      </c>
      <c r="AF36" s="67">
        <f t="shared" si="22"/>
        <v>27482.950000000004</v>
      </c>
      <c r="AG36" s="67">
        <f t="shared" si="22"/>
        <v>27482.950000000004</v>
      </c>
      <c r="AH36" s="67">
        <f t="shared" si="22"/>
        <v>27482.950000000004</v>
      </c>
      <c r="AI36" s="67">
        <f t="shared" si="22"/>
        <v>27482.950000000004</v>
      </c>
      <c r="AJ36" s="67">
        <f t="shared" si="22"/>
        <v>31607.950000000004</v>
      </c>
      <c r="AK36" s="67">
        <f t="shared" si="22"/>
        <v>31607.950000000004</v>
      </c>
      <c r="AL36" s="67">
        <f t="shared" si="22"/>
        <v>31607.950000000004</v>
      </c>
      <c r="AM36" s="67">
        <f t="shared" si="22"/>
        <v>31607.950000000004</v>
      </c>
      <c r="AN36" s="67">
        <f t="shared" si="22"/>
        <v>31607.950000000004</v>
      </c>
      <c r="AO36" s="67">
        <f t="shared" si="22"/>
        <v>31607.950000000004</v>
      </c>
      <c r="AP36" s="78">
        <f t="shared" si="22"/>
        <v>31607.950000000004</v>
      </c>
      <c r="AQ36" s="67">
        <f t="shared" si="22"/>
        <v>37357.175000000003</v>
      </c>
      <c r="AR36" s="67">
        <f t="shared" si="22"/>
        <v>37357.175000000003</v>
      </c>
      <c r="AS36" s="67">
        <f t="shared" si="22"/>
        <v>37357.175000000003</v>
      </c>
      <c r="AT36" s="67">
        <f t="shared" si="22"/>
        <v>37357.175000000003</v>
      </c>
      <c r="AU36" s="67">
        <f t="shared" si="22"/>
        <v>37357.175000000003</v>
      </c>
      <c r="AV36" s="67">
        <f t="shared" si="22"/>
        <v>37357.175000000003</v>
      </c>
      <c r="AW36" s="67">
        <f t="shared" si="22"/>
        <v>41669.675000000003</v>
      </c>
      <c r="AX36" s="67">
        <f t="shared" si="22"/>
        <v>41669.675000000003</v>
      </c>
      <c r="AY36" s="67">
        <f t="shared" si="22"/>
        <v>41669.675000000003</v>
      </c>
      <c r="AZ36" s="67">
        <f t="shared" si="22"/>
        <v>41669.675000000003</v>
      </c>
      <c r="BA36" s="67">
        <f t="shared" si="22"/>
        <v>41669.675000000003</v>
      </c>
      <c r="BB36" s="78">
        <f t="shared" si="22"/>
        <v>41669.675000000003</v>
      </c>
      <c r="BC36" s="67">
        <f t="shared" ref="BC36:BN36" si="23">SUM(BC23:BC34)</f>
        <v>37357.175000000003</v>
      </c>
      <c r="BD36" s="67">
        <f t="shared" si="23"/>
        <v>37357.175000000003</v>
      </c>
      <c r="BE36" s="67">
        <f t="shared" si="23"/>
        <v>37357.175000000003</v>
      </c>
      <c r="BF36" s="67">
        <f t="shared" si="23"/>
        <v>37357.175000000003</v>
      </c>
      <c r="BG36" s="67">
        <f t="shared" si="23"/>
        <v>37357.175000000003</v>
      </c>
      <c r="BH36" s="67">
        <f t="shared" si="23"/>
        <v>37357.175000000003</v>
      </c>
      <c r="BI36" s="67">
        <f t="shared" si="23"/>
        <v>41669.675000000003</v>
      </c>
      <c r="BJ36" s="67">
        <f t="shared" si="23"/>
        <v>41669.675000000003</v>
      </c>
      <c r="BK36" s="67">
        <f t="shared" si="23"/>
        <v>41669.675000000003</v>
      </c>
      <c r="BL36" s="67">
        <f t="shared" si="23"/>
        <v>41669.675000000003</v>
      </c>
      <c r="BM36" s="67">
        <f t="shared" si="23"/>
        <v>41669.675000000003</v>
      </c>
      <c r="BN36" s="78">
        <f t="shared" si="23"/>
        <v>41669.675000000003</v>
      </c>
    </row>
    <row r="37" spans="1:66" ht="16" x14ac:dyDescent="0.2">
      <c r="D37" s="243"/>
      <c r="E37" s="22"/>
      <c r="F37"/>
      <c r="G37" s="7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74"/>
      <c r="S37" s="7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74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74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74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74"/>
    </row>
    <row r="38" spans="1:66" ht="24" x14ac:dyDescent="0.3">
      <c r="B38" s="61" t="s">
        <v>134</v>
      </c>
      <c r="D38" s="243"/>
      <c r="E38" s="22"/>
      <c r="F38"/>
      <c r="G38" s="7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74"/>
      <c r="S38" s="7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74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74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74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74"/>
    </row>
    <row r="39" spans="1:66" ht="19" x14ac:dyDescent="0.25">
      <c r="A39" s="238">
        <v>1</v>
      </c>
      <c r="B39" s="56" t="s">
        <v>152</v>
      </c>
      <c r="C39" s="242" t="s">
        <v>151</v>
      </c>
      <c r="D39" s="241">
        <v>64480</v>
      </c>
      <c r="E39" s="22"/>
      <c r="F39"/>
      <c r="G39" s="7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74"/>
      <c r="S39" s="73">
        <f t="shared" ref="S39:AD47" si="24">($D39/12)*(1+$C$2)</f>
        <v>5642</v>
      </c>
      <c r="T39" s="63">
        <f t="shared" si="24"/>
        <v>5642</v>
      </c>
      <c r="U39" s="63">
        <f t="shared" si="24"/>
        <v>5642</v>
      </c>
      <c r="V39" s="63">
        <f t="shared" si="24"/>
        <v>5642</v>
      </c>
      <c r="W39" s="63">
        <f t="shared" si="24"/>
        <v>5642</v>
      </c>
      <c r="X39" s="63">
        <f t="shared" si="24"/>
        <v>5642</v>
      </c>
      <c r="Y39" s="63">
        <f t="shared" si="24"/>
        <v>5642</v>
      </c>
      <c r="Z39" s="63">
        <f t="shared" si="24"/>
        <v>5642</v>
      </c>
      <c r="AA39" s="63">
        <f t="shared" si="24"/>
        <v>5642</v>
      </c>
      <c r="AB39" s="63">
        <f t="shared" si="24"/>
        <v>5642</v>
      </c>
      <c r="AC39" s="63">
        <f t="shared" si="24"/>
        <v>5642</v>
      </c>
      <c r="AD39" s="74">
        <f t="shared" si="24"/>
        <v>5642</v>
      </c>
      <c r="AE39" s="63">
        <f t="shared" ref="AE39:AP48" si="25">($D39/12)*(1+$C$2+$C$2)</f>
        <v>5910.666666666667</v>
      </c>
      <c r="AF39" s="63">
        <f t="shared" si="25"/>
        <v>5910.666666666667</v>
      </c>
      <c r="AG39" s="63">
        <f t="shared" si="25"/>
        <v>5910.666666666667</v>
      </c>
      <c r="AH39" s="63">
        <f t="shared" si="25"/>
        <v>5910.666666666667</v>
      </c>
      <c r="AI39" s="63">
        <f t="shared" si="25"/>
        <v>5910.666666666667</v>
      </c>
      <c r="AJ39" s="63">
        <f t="shared" si="25"/>
        <v>5910.666666666667</v>
      </c>
      <c r="AK39" s="63">
        <f t="shared" si="25"/>
        <v>5910.666666666667</v>
      </c>
      <c r="AL39" s="63">
        <f t="shared" si="25"/>
        <v>5910.666666666667</v>
      </c>
      <c r="AM39" s="63">
        <f t="shared" si="25"/>
        <v>5910.666666666667</v>
      </c>
      <c r="AN39" s="63">
        <f t="shared" si="25"/>
        <v>5910.666666666667</v>
      </c>
      <c r="AO39" s="63">
        <f t="shared" si="25"/>
        <v>5910.666666666667</v>
      </c>
      <c r="AP39" s="74">
        <f t="shared" si="25"/>
        <v>5910.666666666667</v>
      </c>
      <c r="AQ39" s="63">
        <f t="shared" ref="AQ39:BF50" si="26">($D39/12)*(1+$C$2+$C$2+$C$2)</f>
        <v>6179.3333333333339</v>
      </c>
      <c r="AR39" s="63">
        <f t="shared" si="26"/>
        <v>6179.3333333333339</v>
      </c>
      <c r="AS39" s="63">
        <f t="shared" si="26"/>
        <v>6179.3333333333339</v>
      </c>
      <c r="AT39" s="63">
        <f t="shared" si="26"/>
        <v>6179.3333333333339</v>
      </c>
      <c r="AU39" s="63">
        <f t="shared" si="26"/>
        <v>6179.3333333333339</v>
      </c>
      <c r="AV39" s="63">
        <f t="shared" si="26"/>
        <v>6179.3333333333339</v>
      </c>
      <c r="AW39" s="63">
        <f t="shared" si="26"/>
        <v>6179.3333333333339</v>
      </c>
      <c r="AX39" s="63">
        <f t="shared" si="26"/>
        <v>6179.3333333333339</v>
      </c>
      <c r="AY39" s="63">
        <f t="shared" si="26"/>
        <v>6179.3333333333339</v>
      </c>
      <c r="AZ39" s="63">
        <f t="shared" si="26"/>
        <v>6179.3333333333339</v>
      </c>
      <c r="BA39" s="63">
        <f t="shared" si="26"/>
        <v>6179.3333333333339</v>
      </c>
      <c r="BB39" s="74">
        <f t="shared" si="26"/>
        <v>6179.3333333333339</v>
      </c>
      <c r="BC39" s="63">
        <f t="shared" si="26"/>
        <v>6179.3333333333339</v>
      </c>
      <c r="BD39" s="63">
        <f t="shared" si="26"/>
        <v>6179.3333333333339</v>
      </c>
      <c r="BE39" s="63">
        <f t="shared" si="26"/>
        <v>6179.3333333333339</v>
      </c>
      <c r="BF39" s="63">
        <f t="shared" si="26"/>
        <v>6179.3333333333339</v>
      </c>
      <c r="BG39" s="63">
        <f t="shared" ref="BC39:BN50" si="27">($D39/12)*(1+$C$2+$C$2+$C$2)</f>
        <v>6179.3333333333339</v>
      </c>
      <c r="BH39" s="63">
        <f t="shared" si="27"/>
        <v>6179.3333333333339</v>
      </c>
      <c r="BI39" s="63">
        <f t="shared" si="27"/>
        <v>6179.3333333333339</v>
      </c>
      <c r="BJ39" s="63">
        <f t="shared" si="27"/>
        <v>6179.3333333333339</v>
      </c>
      <c r="BK39" s="63">
        <f t="shared" si="27"/>
        <v>6179.3333333333339</v>
      </c>
      <c r="BL39" s="63">
        <f t="shared" si="27"/>
        <v>6179.3333333333339</v>
      </c>
      <c r="BM39" s="63">
        <f t="shared" si="27"/>
        <v>6179.3333333333339</v>
      </c>
      <c r="BN39" s="74">
        <f t="shared" si="27"/>
        <v>6179.3333333333339</v>
      </c>
    </row>
    <row r="40" spans="1:66" ht="19" x14ac:dyDescent="0.25">
      <c r="A40" s="238">
        <v>2</v>
      </c>
      <c r="B40" s="56" t="s">
        <v>150</v>
      </c>
      <c r="C40" s="242" t="s">
        <v>106</v>
      </c>
      <c r="D40" s="241">
        <v>19656</v>
      </c>
      <c r="E40" s="22" t="s">
        <v>143</v>
      </c>
      <c r="F40"/>
      <c r="G40" s="7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73">
        <f t="shared" si="24"/>
        <v>1719.9</v>
      </c>
      <c r="T40" s="63">
        <f t="shared" si="24"/>
        <v>1719.9</v>
      </c>
      <c r="U40" s="63">
        <f t="shared" si="24"/>
        <v>1719.9</v>
      </c>
      <c r="V40" s="63">
        <f t="shared" si="24"/>
        <v>1719.9</v>
      </c>
      <c r="W40" s="63">
        <f t="shared" si="24"/>
        <v>1719.9</v>
      </c>
      <c r="X40" s="63">
        <f t="shared" si="24"/>
        <v>1719.9</v>
      </c>
      <c r="Y40" s="63">
        <f t="shared" si="24"/>
        <v>1719.9</v>
      </c>
      <c r="Z40" s="63">
        <f t="shared" si="24"/>
        <v>1719.9</v>
      </c>
      <c r="AA40" s="63">
        <f t="shared" si="24"/>
        <v>1719.9</v>
      </c>
      <c r="AB40" s="63">
        <f t="shared" si="24"/>
        <v>1719.9</v>
      </c>
      <c r="AC40" s="63">
        <f t="shared" si="24"/>
        <v>1719.9</v>
      </c>
      <c r="AD40" s="74">
        <f t="shared" si="24"/>
        <v>1719.9</v>
      </c>
      <c r="AE40" s="63">
        <f t="shared" si="25"/>
        <v>1801.8000000000002</v>
      </c>
      <c r="AF40" s="63">
        <f t="shared" si="25"/>
        <v>1801.8000000000002</v>
      </c>
      <c r="AG40" s="63">
        <f t="shared" si="25"/>
        <v>1801.8000000000002</v>
      </c>
      <c r="AH40" s="63">
        <f t="shared" si="25"/>
        <v>1801.8000000000002</v>
      </c>
      <c r="AI40" s="63">
        <f t="shared" si="25"/>
        <v>1801.8000000000002</v>
      </c>
      <c r="AJ40" s="63">
        <f t="shared" si="25"/>
        <v>1801.8000000000002</v>
      </c>
      <c r="AK40" s="63">
        <f t="shared" si="25"/>
        <v>1801.8000000000002</v>
      </c>
      <c r="AL40" s="63">
        <f t="shared" si="25"/>
        <v>1801.8000000000002</v>
      </c>
      <c r="AM40" s="63">
        <f t="shared" si="25"/>
        <v>1801.8000000000002</v>
      </c>
      <c r="AN40" s="63">
        <f t="shared" si="25"/>
        <v>1801.8000000000002</v>
      </c>
      <c r="AO40" s="63">
        <f t="shared" si="25"/>
        <v>1801.8000000000002</v>
      </c>
      <c r="AP40" s="74">
        <f t="shared" si="25"/>
        <v>1801.8000000000002</v>
      </c>
      <c r="AQ40" s="63">
        <f t="shared" si="26"/>
        <v>1883.7000000000003</v>
      </c>
      <c r="AR40" s="63">
        <f t="shared" si="26"/>
        <v>1883.7000000000003</v>
      </c>
      <c r="AS40" s="63">
        <f t="shared" si="26"/>
        <v>1883.7000000000003</v>
      </c>
      <c r="AT40" s="63">
        <f t="shared" si="26"/>
        <v>1883.7000000000003</v>
      </c>
      <c r="AU40" s="63">
        <f t="shared" si="26"/>
        <v>1883.7000000000003</v>
      </c>
      <c r="AV40" s="63">
        <f t="shared" si="26"/>
        <v>1883.7000000000003</v>
      </c>
      <c r="AW40" s="63">
        <f t="shared" si="26"/>
        <v>1883.7000000000003</v>
      </c>
      <c r="AX40" s="63">
        <f t="shared" si="26"/>
        <v>1883.7000000000003</v>
      </c>
      <c r="AY40" s="63">
        <f t="shared" si="26"/>
        <v>1883.7000000000003</v>
      </c>
      <c r="AZ40" s="63">
        <f t="shared" si="26"/>
        <v>1883.7000000000003</v>
      </c>
      <c r="BA40" s="63">
        <f t="shared" si="26"/>
        <v>1883.7000000000003</v>
      </c>
      <c r="BB40" s="74">
        <f t="shared" si="26"/>
        <v>1883.7000000000003</v>
      </c>
      <c r="BC40" s="63">
        <f t="shared" si="27"/>
        <v>1883.7000000000003</v>
      </c>
      <c r="BD40" s="63">
        <f t="shared" si="27"/>
        <v>1883.7000000000003</v>
      </c>
      <c r="BE40" s="63">
        <f t="shared" si="27"/>
        <v>1883.7000000000003</v>
      </c>
      <c r="BF40" s="63">
        <f t="shared" si="27"/>
        <v>1883.7000000000003</v>
      </c>
      <c r="BG40" s="63">
        <f t="shared" si="27"/>
        <v>1883.7000000000003</v>
      </c>
      <c r="BH40" s="63">
        <f t="shared" si="27"/>
        <v>1883.7000000000003</v>
      </c>
      <c r="BI40" s="63">
        <f t="shared" si="27"/>
        <v>1883.7000000000003</v>
      </c>
      <c r="BJ40" s="63">
        <f t="shared" si="27"/>
        <v>1883.7000000000003</v>
      </c>
      <c r="BK40" s="63">
        <f t="shared" si="27"/>
        <v>1883.7000000000003</v>
      </c>
      <c r="BL40" s="63">
        <f t="shared" si="27"/>
        <v>1883.7000000000003</v>
      </c>
      <c r="BM40" s="63">
        <f t="shared" si="27"/>
        <v>1883.7000000000003</v>
      </c>
      <c r="BN40" s="74">
        <f t="shared" si="27"/>
        <v>1883.7000000000003</v>
      </c>
    </row>
    <row r="41" spans="1:66" ht="19" x14ac:dyDescent="0.25">
      <c r="A41" s="238">
        <v>3</v>
      </c>
      <c r="B41" s="56" t="s">
        <v>141</v>
      </c>
      <c r="C41" s="242" t="s">
        <v>149</v>
      </c>
      <c r="D41" s="241">
        <v>24616</v>
      </c>
      <c r="E41" s="22"/>
      <c r="F41"/>
      <c r="G41" s="7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74"/>
      <c r="S41" s="73">
        <f t="shared" si="24"/>
        <v>2153.9</v>
      </c>
      <c r="T41" s="63">
        <f t="shared" si="24"/>
        <v>2153.9</v>
      </c>
      <c r="U41" s="63">
        <f t="shared" si="24"/>
        <v>2153.9</v>
      </c>
      <c r="V41" s="63">
        <f t="shared" si="24"/>
        <v>2153.9</v>
      </c>
      <c r="W41" s="63">
        <f t="shared" si="24"/>
        <v>2153.9</v>
      </c>
      <c r="X41" s="63">
        <f t="shared" si="24"/>
        <v>2153.9</v>
      </c>
      <c r="Y41" s="63">
        <f t="shared" si="24"/>
        <v>2153.9</v>
      </c>
      <c r="Z41" s="63">
        <f t="shared" si="24"/>
        <v>2153.9</v>
      </c>
      <c r="AA41" s="63">
        <f t="shared" si="24"/>
        <v>2153.9</v>
      </c>
      <c r="AB41" s="63">
        <f t="shared" si="24"/>
        <v>2153.9</v>
      </c>
      <c r="AC41" s="63">
        <f t="shared" si="24"/>
        <v>2153.9</v>
      </c>
      <c r="AD41" s="74">
        <f t="shared" si="24"/>
        <v>2153.9</v>
      </c>
      <c r="AE41" s="63">
        <f t="shared" si="25"/>
        <v>2256.4666666666672</v>
      </c>
      <c r="AF41" s="63">
        <f t="shared" si="25"/>
        <v>2256.4666666666672</v>
      </c>
      <c r="AG41" s="63">
        <f t="shared" si="25"/>
        <v>2256.4666666666672</v>
      </c>
      <c r="AH41" s="63">
        <f t="shared" si="25"/>
        <v>2256.4666666666672</v>
      </c>
      <c r="AI41" s="63">
        <f t="shared" si="25"/>
        <v>2256.4666666666672</v>
      </c>
      <c r="AJ41" s="63">
        <f t="shared" si="25"/>
        <v>2256.4666666666672</v>
      </c>
      <c r="AK41" s="63">
        <f t="shared" si="25"/>
        <v>2256.4666666666672</v>
      </c>
      <c r="AL41" s="63">
        <f t="shared" si="25"/>
        <v>2256.4666666666672</v>
      </c>
      <c r="AM41" s="63">
        <f t="shared" si="25"/>
        <v>2256.4666666666672</v>
      </c>
      <c r="AN41" s="63">
        <f t="shared" si="25"/>
        <v>2256.4666666666672</v>
      </c>
      <c r="AO41" s="63">
        <f t="shared" si="25"/>
        <v>2256.4666666666672</v>
      </c>
      <c r="AP41" s="74">
        <f t="shared" si="25"/>
        <v>2256.4666666666672</v>
      </c>
      <c r="AQ41" s="63">
        <f t="shared" si="26"/>
        <v>2359.0333333333338</v>
      </c>
      <c r="AR41" s="63">
        <f t="shared" si="26"/>
        <v>2359.0333333333338</v>
      </c>
      <c r="AS41" s="63">
        <f t="shared" si="26"/>
        <v>2359.0333333333338</v>
      </c>
      <c r="AT41" s="63">
        <f t="shared" si="26"/>
        <v>2359.0333333333338</v>
      </c>
      <c r="AU41" s="63">
        <f t="shared" si="26"/>
        <v>2359.0333333333338</v>
      </c>
      <c r="AV41" s="63">
        <f t="shared" si="26"/>
        <v>2359.0333333333338</v>
      </c>
      <c r="AW41" s="63">
        <f t="shared" si="26"/>
        <v>2359.0333333333338</v>
      </c>
      <c r="AX41" s="63">
        <f t="shared" si="26"/>
        <v>2359.0333333333338</v>
      </c>
      <c r="AY41" s="63">
        <f t="shared" si="26"/>
        <v>2359.0333333333338</v>
      </c>
      <c r="AZ41" s="63">
        <f t="shared" si="26"/>
        <v>2359.0333333333338</v>
      </c>
      <c r="BA41" s="63">
        <f t="shared" si="26"/>
        <v>2359.0333333333338</v>
      </c>
      <c r="BB41" s="74">
        <f t="shared" si="26"/>
        <v>2359.0333333333338</v>
      </c>
      <c r="BC41" s="63">
        <f t="shared" si="27"/>
        <v>2359.0333333333338</v>
      </c>
      <c r="BD41" s="63">
        <f t="shared" si="27"/>
        <v>2359.0333333333338</v>
      </c>
      <c r="BE41" s="63">
        <f t="shared" si="27"/>
        <v>2359.0333333333338</v>
      </c>
      <c r="BF41" s="63">
        <f t="shared" si="27"/>
        <v>2359.0333333333338</v>
      </c>
      <c r="BG41" s="63">
        <f t="shared" si="27"/>
        <v>2359.0333333333338</v>
      </c>
      <c r="BH41" s="63">
        <f t="shared" si="27"/>
        <v>2359.0333333333338</v>
      </c>
      <c r="BI41" s="63">
        <f t="shared" si="27"/>
        <v>2359.0333333333338</v>
      </c>
      <c r="BJ41" s="63">
        <f t="shared" si="27"/>
        <v>2359.0333333333338</v>
      </c>
      <c r="BK41" s="63">
        <f t="shared" si="27"/>
        <v>2359.0333333333338</v>
      </c>
      <c r="BL41" s="63">
        <f t="shared" si="27"/>
        <v>2359.0333333333338</v>
      </c>
      <c r="BM41" s="63">
        <f t="shared" si="27"/>
        <v>2359.0333333333338</v>
      </c>
      <c r="BN41" s="74">
        <f t="shared" si="27"/>
        <v>2359.0333333333338</v>
      </c>
    </row>
    <row r="42" spans="1:66" ht="19" x14ac:dyDescent="0.25">
      <c r="A42" s="238">
        <v>4</v>
      </c>
      <c r="B42" s="56" t="s">
        <v>141</v>
      </c>
      <c r="C42" s="242" t="s">
        <v>148</v>
      </c>
      <c r="D42" s="241">
        <v>35100</v>
      </c>
      <c r="E42" s="22"/>
      <c r="F42"/>
      <c r="G42" s="7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74"/>
      <c r="S42" s="73">
        <f t="shared" si="24"/>
        <v>3071.25</v>
      </c>
      <c r="T42" s="63">
        <f t="shared" si="24"/>
        <v>3071.25</v>
      </c>
      <c r="U42" s="63">
        <f t="shared" si="24"/>
        <v>3071.25</v>
      </c>
      <c r="V42" s="63">
        <f t="shared" si="24"/>
        <v>3071.25</v>
      </c>
      <c r="W42" s="63">
        <f t="shared" si="24"/>
        <v>3071.25</v>
      </c>
      <c r="X42" s="63">
        <f t="shared" si="24"/>
        <v>3071.25</v>
      </c>
      <c r="Y42" s="63">
        <f t="shared" si="24"/>
        <v>3071.25</v>
      </c>
      <c r="Z42" s="63">
        <f t="shared" si="24"/>
        <v>3071.25</v>
      </c>
      <c r="AA42" s="63">
        <f t="shared" si="24"/>
        <v>3071.25</v>
      </c>
      <c r="AB42" s="63">
        <f t="shared" si="24"/>
        <v>3071.25</v>
      </c>
      <c r="AC42" s="63">
        <f t="shared" si="24"/>
        <v>3071.25</v>
      </c>
      <c r="AD42" s="74">
        <f t="shared" si="24"/>
        <v>3071.25</v>
      </c>
      <c r="AE42" s="63">
        <f t="shared" si="25"/>
        <v>3217.5000000000005</v>
      </c>
      <c r="AF42" s="63">
        <f t="shared" si="25"/>
        <v>3217.5000000000005</v>
      </c>
      <c r="AG42" s="63">
        <f t="shared" si="25"/>
        <v>3217.5000000000005</v>
      </c>
      <c r="AH42" s="63">
        <f t="shared" si="25"/>
        <v>3217.5000000000005</v>
      </c>
      <c r="AI42" s="63">
        <f t="shared" si="25"/>
        <v>3217.5000000000005</v>
      </c>
      <c r="AJ42" s="63">
        <f t="shared" si="25"/>
        <v>3217.5000000000005</v>
      </c>
      <c r="AK42" s="63">
        <f t="shared" si="25"/>
        <v>3217.5000000000005</v>
      </c>
      <c r="AL42" s="63">
        <f t="shared" si="25"/>
        <v>3217.5000000000005</v>
      </c>
      <c r="AM42" s="63">
        <f t="shared" si="25"/>
        <v>3217.5000000000005</v>
      </c>
      <c r="AN42" s="63">
        <f t="shared" si="25"/>
        <v>3217.5000000000005</v>
      </c>
      <c r="AO42" s="63">
        <f t="shared" si="25"/>
        <v>3217.5000000000005</v>
      </c>
      <c r="AP42" s="74">
        <f t="shared" si="25"/>
        <v>3217.5000000000005</v>
      </c>
      <c r="AQ42" s="63">
        <f t="shared" si="26"/>
        <v>3363.7500000000005</v>
      </c>
      <c r="AR42" s="63">
        <f t="shared" si="26"/>
        <v>3363.7500000000005</v>
      </c>
      <c r="AS42" s="63">
        <f t="shared" si="26"/>
        <v>3363.7500000000005</v>
      </c>
      <c r="AT42" s="63">
        <f t="shared" si="26"/>
        <v>3363.7500000000005</v>
      </c>
      <c r="AU42" s="63">
        <f t="shared" si="26"/>
        <v>3363.7500000000005</v>
      </c>
      <c r="AV42" s="63">
        <f t="shared" si="26"/>
        <v>3363.7500000000005</v>
      </c>
      <c r="AW42" s="63">
        <f t="shared" si="26"/>
        <v>3363.7500000000005</v>
      </c>
      <c r="AX42" s="63">
        <f t="shared" si="26"/>
        <v>3363.7500000000005</v>
      </c>
      <c r="AY42" s="63">
        <f t="shared" si="26"/>
        <v>3363.7500000000005</v>
      </c>
      <c r="AZ42" s="63">
        <f t="shared" si="26"/>
        <v>3363.7500000000005</v>
      </c>
      <c r="BA42" s="63">
        <f t="shared" si="26"/>
        <v>3363.7500000000005</v>
      </c>
      <c r="BB42" s="74">
        <f t="shared" si="26"/>
        <v>3363.7500000000005</v>
      </c>
      <c r="BC42" s="63">
        <f t="shared" si="27"/>
        <v>3363.7500000000005</v>
      </c>
      <c r="BD42" s="63">
        <f t="shared" si="27"/>
        <v>3363.7500000000005</v>
      </c>
      <c r="BE42" s="63">
        <f t="shared" si="27"/>
        <v>3363.7500000000005</v>
      </c>
      <c r="BF42" s="63">
        <f t="shared" si="27"/>
        <v>3363.7500000000005</v>
      </c>
      <c r="BG42" s="63">
        <f t="shared" si="27"/>
        <v>3363.7500000000005</v>
      </c>
      <c r="BH42" s="63">
        <f t="shared" si="27"/>
        <v>3363.7500000000005</v>
      </c>
      <c r="BI42" s="63">
        <f t="shared" si="27"/>
        <v>3363.7500000000005</v>
      </c>
      <c r="BJ42" s="63">
        <f t="shared" si="27"/>
        <v>3363.7500000000005</v>
      </c>
      <c r="BK42" s="63">
        <f t="shared" si="27"/>
        <v>3363.7500000000005</v>
      </c>
      <c r="BL42" s="63">
        <f t="shared" si="27"/>
        <v>3363.7500000000005</v>
      </c>
      <c r="BM42" s="63">
        <f t="shared" si="27"/>
        <v>3363.7500000000005</v>
      </c>
      <c r="BN42" s="74">
        <f t="shared" si="27"/>
        <v>3363.7500000000005</v>
      </c>
    </row>
    <row r="43" spans="1:66" ht="19" x14ac:dyDescent="0.25">
      <c r="A43" s="238">
        <v>5</v>
      </c>
      <c r="B43" s="56" t="s">
        <v>141</v>
      </c>
      <c r="C43" s="242" t="s">
        <v>147</v>
      </c>
      <c r="D43" s="241">
        <v>19992</v>
      </c>
      <c r="E43" s="22" t="s">
        <v>143</v>
      </c>
      <c r="F43"/>
      <c r="G43" s="7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74"/>
      <c r="S43" s="73">
        <f t="shared" si="24"/>
        <v>1749.3000000000002</v>
      </c>
      <c r="T43" s="63">
        <f t="shared" si="24"/>
        <v>1749.3000000000002</v>
      </c>
      <c r="U43" s="63">
        <f t="shared" si="24"/>
        <v>1749.3000000000002</v>
      </c>
      <c r="V43" s="63">
        <f t="shared" si="24"/>
        <v>1749.3000000000002</v>
      </c>
      <c r="W43" s="63">
        <f t="shared" si="24"/>
        <v>1749.3000000000002</v>
      </c>
      <c r="X43" s="63">
        <f t="shared" si="24"/>
        <v>1749.3000000000002</v>
      </c>
      <c r="Y43" s="63">
        <f t="shared" si="24"/>
        <v>1749.3000000000002</v>
      </c>
      <c r="Z43" s="63">
        <f t="shared" si="24"/>
        <v>1749.3000000000002</v>
      </c>
      <c r="AA43" s="63">
        <f t="shared" si="24"/>
        <v>1749.3000000000002</v>
      </c>
      <c r="AB43" s="63">
        <f t="shared" si="24"/>
        <v>1749.3000000000002</v>
      </c>
      <c r="AC43" s="63">
        <f t="shared" si="24"/>
        <v>1749.3000000000002</v>
      </c>
      <c r="AD43" s="74">
        <f t="shared" si="24"/>
        <v>1749.3000000000002</v>
      </c>
      <c r="AE43" s="63">
        <f t="shared" si="25"/>
        <v>1832.6000000000001</v>
      </c>
      <c r="AF43" s="63">
        <f t="shared" si="25"/>
        <v>1832.6000000000001</v>
      </c>
      <c r="AG43" s="63">
        <f t="shared" si="25"/>
        <v>1832.6000000000001</v>
      </c>
      <c r="AH43" s="63">
        <f t="shared" si="25"/>
        <v>1832.6000000000001</v>
      </c>
      <c r="AI43" s="63">
        <f t="shared" si="25"/>
        <v>1832.6000000000001</v>
      </c>
      <c r="AJ43" s="63">
        <f t="shared" si="25"/>
        <v>1832.6000000000001</v>
      </c>
      <c r="AK43" s="63">
        <f t="shared" si="25"/>
        <v>1832.6000000000001</v>
      </c>
      <c r="AL43" s="63">
        <f t="shared" si="25"/>
        <v>1832.6000000000001</v>
      </c>
      <c r="AM43" s="63">
        <f t="shared" si="25"/>
        <v>1832.6000000000001</v>
      </c>
      <c r="AN43" s="63">
        <f t="shared" si="25"/>
        <v>1832.6000000000001</v>
      </c>
      <c r="AO43" s="63">
        <f t="shared" si="25"/>
        <v>1832.6000000000001</v>
      </c>
      <c r="AP43" s="74">
        <f t="shared" si="25"/>
        <v>1832.6000000000001</v>
      </c>
      <c r="AQ43" s="63">
        <f t="shared" si="26"/>
        <v>1915.9000000000003</v>
      </c>
      <c r="AR43" s="63">
        <f t="shared" si="26"/>
        <v>1915.9000000000003</v>
      </c>
      <c r="AS43" s="63">
        <f t="shared" si="26"/>
        <v>1915.9000000000003</v>
      </c>
      <c r="AT43" s="63">
        <f t="shared" si="26"/>
        <v>1915.9000000000003</v>
      </c>
      <c r="AU43" s="63">
        <f t="shared" si="26"/>
        <v>1915.9000000000003</v>
      </c>
      <c r="AV43" s="63">
        <f t="shared" si="26"/>
        <v>1915.9000000000003</v>
      </c>
      <c r="AW43" s="63">
        <f t="shared" si="26"/>
        <v>1915.9000000000003</v>
      </c>
      <c r="AX43" s="63">
        <f t="shared" si="26"/>
        <v>1915.9000000000003</v>
      </c>
      <c r="AY43" s="63">
        <f t="shared" si="26"/>
        <v>1915.9000000000003</v>
      </c>
      <c r="AZ43" s="63">
        <f t="shared" si="26"/>
        <v>1915.9000000000003</v>
      </c>
      <c r="BA43" s="63">
        <f t="shared" si="26"/>
        <v>1915.9000000000003</v>
      </c>
      <c r="BB43" s="74">
        <f t="shared" si="26"/>
        <v>1915.9000000000003</v>
      </c>
      <c r="BC43" s="63">
        <f t="shared" si="27"/>
        <v>1915.9000000000003</v>
      </c>
      <c r="BD43" s="63">
        <f t="shared" si="27"/>
        <v>1915.9000000000003</v>
      </c>
      <c r="BE43" s="63">
        <f t="shared" si="27"/>
        <v>1915.9000000000003</v>
      </c>
      <c r="BF43" s="63">
        <f t="shared" si="27"/>
        <v>1915.9000000000003</v>
      </c>
      <c r="BG43" s="63">
        <f t="shared" si="27"/>
        <v>1915.9000000000003</v>
      </c>
      <c r="BH43" s="63">
        <f t="shared" si="27"/>
        <v>1915.9000000000003</v>
      </c>
      <c r="BI43" s="63">
        <f t="shared" si="27"/>
        <v>1915.9000000000003</v>
      </c>
      <c r="BJ43" s="63">
        <f t="shared" si="27"/>
        <v>1915.9000000000003</v>
      </c>
      <c r="BK43" s="63">
        <f t="shared" si="27"/>
        <v>1915.9000000000003</v>
      </c>
      <c r="BL43" s="63">
        <f t="shared" si="27"/>
        <v>1915.9000000000003</v>
      </c>
      <c r="BM43" s="63">
        <f t="shared" si="27"/>
        <v>1915.9000000000003</v>
      </c>
      <c r="BN43" s="74">
        <f t="shared" si="27"/>
        <v>1915.9000000000003</v>
      </c>
    </row>
    <row r="44" spans="1:66" ht="19" x14ac:dyDescent="0.25">
      <c r="A44" s="238">
        <v>6</v>
      </c>
      <c r="B44" s="56" t="s">
        <v>141</v>
      </c>
      <c r="C44" s="242" t="s">
        <v>146</v>
      </c>
      <c r="D44" s="241">
        <v>39000</v>
      </c>
      <c r="E44" s="22"/>
      <c r="F44"/>
      <c r="G44" s="7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74"/>
      <c r="S44" s="73">
        <f t="shared" si="24"/>
        <v>3412.5</v>
      </c>
      <c r="T44" s="63">
        <f t="shared" si="24"/>
        <v>3412.5</v>
      </c>
      <c r="U44" s="63">
        <f t="shared" si="24"/>
        <v>3412.5</v>
      </c>
      <c r="V44" s="63">
        <f t="shared" si="24"/>
        <v>3412.5</v>
      </c>
      <c r="W44" s="63">
        <f t="shared" si="24"/>
        <v>3412.5</v>
      </c>
      <c r="X44" s="63">
        <f t="shared" si="24"/>
        <v>3412.5</v>
      </c>
      <c r="Y44" s="63">
        <f t="shared" si="24"/>
        <v>3412.5</v>
      </c>
      <c r="Z44" s="63">
        <f t="shared" si="24"/>
        <v>3412.5</v>
      </c>
      <c r="AA44" s="63">
        <f t="shared" si="24"/>
        <v>3412.5</v>
      </c>
      <c r="AB44" s="63">
        <f t="shared" si="24"/>
        <v>3412.5</v>
      </c>
      <c r="AC44" s="63">
        <f t="shared" si="24"/>
        <v>3412.5</v>
      </c>
      <c r="AD44" s="74">
        <f t="shared" si="24"/>
        <v>3412.5</v>
      </c>
      <c r="AE44" s="63">
        <f t="shared" si="25"/>
        <v>3575.0000000000005</v>
      </c>
      <c r="AF44" s="63">
        <f t="shared" si="25"/>
        <v>3575.0000000000005</v>
      </c>
      <c r="AG44" s="63">
        <f t="shared" si="25"/>
        <v>3575.0000000000005</v>
      </c>
      <c r="AH44" s="63">
        <f t="shared" si="25"/>
        <v>3575.0000000000005</v>
      </c>
      <c r="AI44" s="63">
        <f t="shared" si="25"/>
        <v>3575.0000000000005</v>
      </c>
      <c r="AJ44" s="63">
        <f t="shared" si="25"/>
        <v>3575.0000000000005</v>
      </c>
      <c r="AK44" s="63">
        <f t="shared" si="25"/>
        <v>3575.0000000000005</v>
      </c>
      <c r="AL44" s="63">
        <f t="shared" si="25"/>
        <v>3575.0000000000005</v>
      </c>
      <c r="AM44" s="63">
        <f t="shared" si="25"/>
        <v>3575.0000000000005</v>
      </c>
      <c r="AN44" s="63">
        <f t="shared" si="25"/>
        <v>3575.0000000000005</v>
      </c>
      <c r="AO44" s="63">
        <f t="shared" si="25"/>
        <v>3575.0000000000005</v>
      </c>
      <c r="AP44" s="74">
        <f t="shared" si="25"/>
        <v>3575.0000000000005</v>
      </c>
      <c r="AQ44" s="63">
        <f t="shared" si="26"/>
        <v>3737.5000000000005</v>
      </c>
      <c r="AR44" s="63">
        <f t="shared" si="26"/>
        <v>3737.5000000000005</v>
      </c>
      <c r="AS44" s="63">
        <f t="shared" si="26"/>
        <v>3737.5000000000005</v>
      </c>
      <c r="AT44" s="63">
        <f t="shared" si="26"/>
        <v>3737.5000000000005</v>
      </c>
      <c r="AU44" s="63">
        <f t="shared" si="26"/>
        <v>3737.5000000000005</v>
      </c>
      <c r="AV44" s="63">
        <f t="shared" si="26"/>
        <v>3737.5000000000005</v>
      </c>
      <c r="AW44" s="63">
        <f t="shared" si="26"/>
        <v>3737.5000000000005</v>
      </c>
      <c r="AX44" s="63">
        <f t="shared" si="26"/>
        <v>3737.5000000000005</v>
      </c>
      <c r="AY44" s="63">
        <f t="shared" si="26"/>
        <v>3737.5000000000005</v>
      </c>
      <c r="AZ44" s="63">
        <f t="shared" si="26"/>
        <v>3737.5000000000005</v>
      </c>
      <c r="BA44" s="63">
        <f t="shared" si="26"/>
        <v>3737.5000000000005</v>
      </c>
      <c r="BB44" s="74">
        <f t="shared" si="26"/>
        <v>3737.5000000000005</v>
      </c>
      <c r="BC44" s="63">
        <f t="shared" si="27"/>
        <v>3737.5000000000005</v>
      </c>
      <c r="BD44" s="63">
        <f t="shared" si="27"/>
        <v>3737.5000000000005</v>
      </c>
      <c r="BE44" s="63">
        <f t="shared" si="27"/>
        <v>3737.5000000000005</v>
      </c>
      <c r="BF44" s="63">
        <f t="shared" si="27"/>
        <v>3737.5000000000005</v>
      </c>
      <c r="BG44" s="63">
        <f t="shared" si="27"/>
        <v>3737.5000000000005</v>
      </c>
      <c r="BH44" s="63">
        <f t="shared" si="27"/>
        <v>3737.5000000000005</v>
      </c>
      <c r="BI44" s="63">
        <f t="shared" si="27"/>
        <v>3737.5000000000005</v>
      </c>
      <c r="BJ44" s="63">
        <f t="shared" si="27"/>
        <v>3737.5000000000005</v>
      </c>
      <c r="BK44" s="63">
        <f t="shared" si="27"/>
        <v>3737.5000000000005</v>
      </c>
      <c r="BL44" s="63">
        <f t="shared" si="27"/>
        <v>3737.5000000000005</v>
      </c>
      <c r="BM44" s="63">
        <f t="shared" si="27"/>
        <v>3737.5000000000005</v>
      </c>
      <c r="BN44" s="74">
        <f t="shared" si="27"/>
        <v>3737.5000000000005</v>
      </c>
    </row>
    <row r="45" spans="1:66" ht="19" x14ac:dyDescent="0.25">
      <c r="A45" s="238">
        <v>7</v>
      </c>
      <c r="B45" s="56" t="s">
        <v>141</v>
      </c>
      <c r="C45" s="242" t="s">
        <v>145</v>
      </c>
      <c r="D45" s="241">
        <v>31200</v>
      </c>
      <c r="E45" s="22"/>
      <c r="F45"/>
      <c r="G45" s="7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74"/>
      <c r="S45" s="73">
        <f t="shared" si="24"/>
        <v>2730</v>
      </c>
      <c r="T45" s="63">
        <f t="shared" si="24"/>
        <v>2730</v>
      </c>
      <c r="U45" s="63">
        <f t="shared" si="24"/>
        <v>2730</v>
      </c>
      <c r="V45" s="63">
        <f t="shared" si="24"/>
        <v>2730</v>
      </c>
      <c r="W45" s="63">
        <f t="shared" si="24"/>
        <v>2730</v>
      </c>
      <c r="X45" s="63">
        <f t="shared" si="24"/>
        <v>2730</v>
      </c>
      <c r="Y45" s="63">
        <f t="shared" si="24"/>
        <v>2730</v>
      </c>
      <c r="Z45" s="63">
        <f t="shared" si="24"/>
        <v>2730</v>
      </c>
      <c r="AA45" s="63">
        <f t="shared" si="24"/>
        <v>2730</v>
      </c>
      <c r="AB45" s="63">
        <f t="shared" si="24"/>
        <v>2730</v>
      </c>
      <c r="AC45" s="63">
        <f t="shared" si="24"/>
        <v>2730</v>
      </c>
      <c r="AD45" s="74">
        <f t="shared" si="24"/>
        <v>2730</v>
      </c>
      <c r="AE45" s="63">
        <f t="shared" si="25"/>
        <v>2860.0000000000005</v>
      </c>
      <c r="AF45" s="63">
        <f t="shared" si="25"/>
        <v>2860.0000000000005</v>
      </c>
      <c r="AG45" s="63">
        <f t="shared" si="25"/>
        <v>2860.0000000000005</v>
      </c>
      <c r="AH45" s="63">
        <f t="shared" si="25"/>
        <v>2860.0000000000005</v>
      </c>
      <c r="AI45" s="63">
        <f t="shared" si="25"/>
        <v>2860.0000000000005</v>
      </c>
      <c r="AJ45" s="63">
        <f t="shared" si="25"/>
        <v>2860.0000000000005</v>
      </c>
      <c r="AK45" s="63">
        <f t="shared" si="25"/>
        <v>2860.0000000000005</v>
      </c>
      <c r="AL45" s="63">
        <f t="shared" si="25"/>
        <v>2860.0000000000005</v>
      </c>
      <c r="AM45" s="63">
        <f t="shared" si="25"/>
        <v>2860.0000000000005</v>
      </c>
      <c r="AN45" s="63">
        <f t="shared" si="25"/>
        <v>2860.0000000000005</v>
      </c>
      <c r="AO45" s="63">
        <f t="shared" si="25"/>
        <v>2860.0000000000005</v>
      </c>
      <c r="AP45" s="74">
        <f t="shared" si="25"/>
        <v>2860.0000000000005</v>
      </c>
      <c r="AQ45" s="63">
        <f t="shared" si="26"/>
        <v>2990.0000000000005</v>
      </c>
      <c r="AR45" s="63">
        <f t="shared" si="26"/>
        <v>2990.0000000000005</v>
      </c>
      <c r="AS45" s="63">
        <f t="shared" si="26"/>
        <v>2990.0000000000005</v>
      </c>
      <c r="AT45" s="63">
        <f t="shared" si="26"/>
        <v>2990.0000000000005</v>
      </c>
      <c r="AU45" s="63">
        <f t="shared" si="26"/>
        <v>2990.0000000000005</v>
      </c>
      <c r="AV45" s="63">
        <f t="shared" si="26"/>
        <v>2990.0000000000005</v>
      </c>
      <c r="AW45" s="63">
        <f t="shared" si="26"/>
        <v>2990.0000000000005</v>
      </c>
      <c r="AX45" s="63">
        <f t="shared" si="26"/>
        <v>2990.0000000000005</v>
      </c>
      <c r="AY45" s="63">
        <f t="shared" si="26"/>
        <v>2990.0000000000005</v>
      </c>
      <c r="AZ45" s="63">
        <f t="shared" si="26"/>
        <v>2990.0000000000005</v>
      </c>
      <c r="BA45" s="63">
        <f t="shared" si="26"/>
        <v>2990.0000000000005</v>
      </c>
      <c r="BB45" s="74">
        <f t="shared" si="26"/>
        <v>2990.0000000000005</v>
      </c>
      <c r="BC45" s="63">
        <f t="shared" si="27"/>
        <v>2990.0000000000005</v>
      </c>
      <c r="BD45" s="63">
        <f t="shared" si="27"/>
        <v>2990.0000000000005</v>
      </c>
      <c r="BE45" s="63">
        <f t="shared" si="27"/>
        <v>2990.0000000000005</v>
      </c>
      <c r="BF45" s="63">
        <f t="shared" si="27"/>
        <v>2990.0000000000005</v>
      </c>
      <c r="BG45" s="63">
        <f t="shared" si="27"/>
        <v>2990.0000000000005</v>
      </c>
      <c r="BH45" s="63">
        <f t="shared" si="27"/>
        <v>2990.0000000000005</v>
      </c>
      <c r="BI45" s="63">
        <f t="shared" si="27"/>
        <v>2990.0000000000005</v>
      </c>
      <c r="BJ45" s="63">
        <f t="shared" si="27"/>
        <v>2990.0000000000005</v>
      </c>
      <c r="BK45" s="63">
        <f t="shared" si="27"/>
        <v>2990.0000000000005</v>
      </c>
      <c r="BL45" s="63">
        <f t="shared" si="27"/>
        <v>2990.0000000000005</v>
      </c>
      <c r="BM45" s="63">
        <f t="shared" si="27"/>
        <v>2990.0000000000005</v>
      </c>
      <c r="BN45" s="74">
        <f t="shared" si="27"/>
        <v>2990.0000000000005</v>
      </c>
    </row>
    <row r="46" spans="1:66" ht="19" x14ac:dyDescent="0.25">
      <c r="A46" s="238">
        <v>8</v>
      </c>
      <c r="B46" s="56" t="s">
        <v>141</v>
      </c>
      <c r="C46" s="242" t="s">
        <v>144</v>
      </c>
      <c r="D46" s="241">
        <v>17290</v>
      </c>
      <c r="E46" s="22" t="s">
        <v>143</v>
      </c>
      <c r="F46"/>
      <c r="G46" s="7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74"/>
      <c r="S46" s="73">
        <f t="shared" si="24"/>
        <v>1512.875</v>
      </c>
      <c r="T46" s="63">
        <f t="shared" si="24"/>
        <v>1512.875</v>
      </c>
      <c r="U46" s="63">
        <f t="shared" si="24"/>
        <v>1512.875</v>
      </c>
      <c r="V46" s="63"/>
      <c r="W46" s="63"/>
      <c r="X46" s="63"/>
      <c r="Y46" s="63"/>
      <c r="Z46" s="63"/>
      <c r="AA46" s="63"/>
      <c r="AB46" s="63"/>
      <c r="AC46" s="63"/>
      <c r="AD46" s="74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74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74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74"/>
    </row>
    <row r="47" spans="1:66" ht="19" x14ac:dyDescent="0.25">
      <c r="A47" s="238">
        <v>9</v>
      </c>
      <c r="B47" s="56" t="s">
        <v>140</v>
      </c>
      <c r="C47" s="242" t="s">
        <v>142</v>
      </c>
      <c r="D47" s="241">
        <v>29640</v>
      </c>
      <c r="E47" s="22"/>
      <c r="F47"/>
      <c r="G47" s="7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74"/>
      <c r="S47" s="73">
        <f t="shared" si="24"/>
        <v>2593.5</v>
      </c>
      <c r="T47" s="63">
        <f t="shared" si="24"/>
        <v>2593.5</v>
      </c>
      <c r="U47" s="63">
        <f t="shared" si="24"/>
        <v>2593.5</v>
      </c>
      <c r="V47" s="63">
        <f t="shared" si="24"/>
        <v>2593.5</v>
      </c>
      <c r="W47" s="63">
        <f t="shared" si="24"/>
        <v>2593.5</v>
      </c>
      <c r="X47" s="63">
        <f t="shared" si="24"/>
        <v>2593.5</v>
      </c>
      <c r="Y47" s="63">
        <f t="shared" si="24"/>
        <v>2593.5</v>
      </c>
      <c r="Z47" s="63">
        <f t="shared" si="24"/>
        <v>2593.5</v>
      </c>
      <c r="AA47" s="63">
        <f t="shared" si="24"/>
        <v>2593.5</v>
      </c>
      <c r="AB47" s="63">
        <f t="shared" si="24"/>
        <v>2593.5</v>
      </c>
      <c r="AC47" s="63">
        <f t="shared" si="24"/>
        <v>2593.5</v>
      </c>
      <c r="AD47" s="74">
        <f t="shared" si="24"/>
        <v>2593.5</v>
      </c>
      <c r="AE47" s="63">
        <f t="shared" si="25"/>
        <v>2717</v>
      </c>
      <c r="AF47" s="63">
        <f t="shared" si="25"/>
        <v>2717</v>
      </c>
      <c r="AG47" s="63">
        <f t="shared" si="25"/>
        <v>2717</v>
      </c>
      <c r="AH47" s="63">
        <f t="shared" si="25"/>
        <v>2717</v>
      </c>
      <c r="AI47" s="63">
        <f t="shared" si="25"/>
        <v>2717</v>
      </c>
      <c r="AJ47" s="63">
        <f t="shared" si="25"/>
        <v>2717</v>
      </c>
      <c r="AK47" s="63">
        <f t="shared" si="25"/>
        <v>2717</v>
      </c>
      <c r="AL47" s="63">
        <f t="shared" si="25"/>
        <v>2717</v>
      </c>
      <c r="AM47" s="63">
        <f t="shared" si="25"/>
        <v>2717</v>
      </c>
      <c r="AN47" s="63">
        <f t="shared" si="25"/>
        <v>2717</v>
      </c>
      <c r="AO47" s="63">
        <f t="shared" si="25"/>
        <v>2717</v>
      </c>
      <c r="AP47" s="74">
        <f t="shared" si="25"/>
        <v>2717</v>
      </c>
      <c r="AQ47" s="63">
        <f t="shared" si="26"/>
        <v>2840.5000000000005</v>
      </c>
      <c r="AR47" s="63">
        <f t="shared" si="26"/>
        <v>2840.5000000000005</v>
      </c>
      <c r="AS47" s="63">
        <f t="shared" si="26"/>
        <v>2840.5000000000005</v>
      </c>
      <c r="AT47" s="63">
        <f t="shared" si="26"/>
        <v>2840.5000000000005</v>
      </c>
      <c r="AU47" s="63">
        <f t="shared" si="26"/>
        <v>2840.5000000000005</v>
      </c>
      <c r="AV47" s="63">
        <f t="shared" si="26"/>
        <v>2840.5000000000005</v>
      </c>
      <c r="AW47" s="63">
        <f t="shared" si="26"/>
        <v>2840.5000000000005</v>
      </c>
      <c r="AX47" s="63">
        <f t="shared" si="26"/>
        <v>2840.5000000000005</v>
      </c>
      <c r="AY47" s="63">
        <f t="shared" si="26"/>
        <v>2840.5000000000005</v>
      </c>
      <c r="AZ47" s="63">
        <f t="shared" si="26"/>
        <v>2840.5000000000005</v>
      </c>
      <c r="BA47" s="63">
        <f t="shared" si="26"/>
        <v>2840.5000000000005</v>
      </c>
      <c r="BB47" s="74">
        <f t="shared" si="26"/>
        <v>2840.5000000000005</v>
      </c>
      <c r="BC47" s="63">
        <f t="shared" si="27"/>
        <v>2840.5000000000005</v>
      </c>
      <c r="BD47" s="63">
        <f t="shared" si="27"/>
        <v>2840.5000000000005</v>
      </c>
      <c r="BE47" s="63">
        <f t="shared" si="27"/>
        <v>2840.5000000000005</v>
      </c>
      <c r="BF47" s="63">
        <f t="shared" si="27"/>
        <v>2840.5000000000005</v>
      </c>
      <c r="BG47" s="63">
        <f t="shared" si="27"/>
        <v>2840.5000000000005</v>
      </c>
      <c r="BH47" s="63">
        <f t="shared" si="27"/>
        <v>2840.5000000000005</v>
      </c>
      <c r="BI47" s="63">
        <f t="shared" si="27"/>
        <v>2840.5000000000005</v>
      </c>
      <c r="BJ47" s="63">
        <f t="shared" si="27"/>
        <v>2840.5000000000005</v>
      </c>
      <c r="BK47" s="63">
        <f t="shared" si="27"/>
        <v>2840.5000000000005</v>
      </c>
      <c r="BL47" s="63">
        <f t="shared" si="27"/>
        <v>2840.5000000000005</v>
      </c>
      <c r="BM47" s="63">
        <f t="shared" si="27"/>
        <v>2840.5000000000005</v>
      </c>
      <c r="BN47" s="74">
        <f t="shared" si="27"/>
        <v>2840.5000000000005</v>
      </c>
    </row>
    <row r="48" spans="1:66" ht="19" x14ac:dyDescent="0.25">
      <c r="A48" s="238">
        <v>10</v>
      </c>
      <c r="B48" s="56" t="s">
        <v>141</v>
      </c>
      <c r="C48" s="56" t="s">
        <v>31</v>
      </c>
      <c r="D48" s="241">
        <v>36000</v>
      </c>
      <c r="E48" s="22"/>
      <c r="F48"/>
      <c r="G48" s="7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74"/>
      <c r="S48" s="7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74"/>
      <c r="AE48" s="63">
        <f t="shared" si="25"/>
        <v>3300.0000000000005</v>
      </c>
      <c r="AF48" s="63">
        <f t="shared" si="25"/>
        <v>3300.0000000000005</v>
      </c>
      <c r="AG48" s="63">
        <f t="shared" si="25"/>
        <v>3300.0000000000005</v>
      </c>
      <c r="AH48" s="63">
        <f t="shared" si="25"/>
        <v>3300.0000000000005</v>
      </c>
      <c r="AI48" s="63">
        <f t="shared" si="25"/>
        <v>3300.0000000000005</v>
      </c>
      <c r="AJ48" s="63">
        <f t="shared" si="25"/>
        <v>3300.0000000000005</v>
      </c>
      <c r="AK48" s="63">
        <f t="shared" si="25"/>
        <v>3300.0000000000005</v>
      </c>
      <c r="AL48" s="63">
        <f t="shared" si="25"/>
        <v>3300.0000000000005</v>
      </c>
      <c r="AM48" s="63">
        <f t="shared" si="25"/>
        <v>3300.0000000000005</v>
      </c>
      <c r="AN48" s="63">
        <f t="shared" si="25"/>
        <v>3300.0000000000005</v>
      </c>
      <c r="AO48" s="63">
        <f t="shared" si="25"/>
        <v>3300.0000000000005</v>
      </c>
      <c r="AP48" s="74">
        <f t="shared" si="25"/>
        <v>3300.0000000000005</v>
      </c>
      <c r="AQ48" s="63">
        <f t="shared" si="26"/>
        <v>3450.0000000000005</v>
      </c>
      <c r="AR48" s="63">
        <f t="shared" si="26"/>
        <v>3450.0000000000005</v>
      </c>
      <c r="AS48" s="63">
        <f t="shared" si="26"/>
        <v>3450.0000000000005</v>
      </c>
      <c r="AT48" s="63">
        <f t="shared" si="26"/>
        <v>3450.0000000000005</v>
      </c>
      <c r="AU48" s="63">
        <f t="shared" si="26"/>
        <v>3450.0000000000005</v>
      </c>
      <c r="AV48" s="63">
        <f t="shared" si="26"/>
        <v>3450.0000000000005</v>
      </c>
      <c r="AW48" s="63">
        <f t="shared" si="26"/>
        <v>3450.0000000000005</v>
      </c>
      <c r="AX48" s="63">
        <f t="shared" si="26"/>
        <v>3450.0000000000005</v>
      </c>
      <c r="AY48" s="63">
        <f t="shared" si="26"/>
        <v>3450.0000000000005</v>
      </c>
      <c r="AZ48" s="63">
        <f t="shared" si="26"/>
        <v>3450.0000000000005</v>
      </c>
      <c r="BA48" s="63">
        <f t="shared" si="26"/>
        <v>3450.0000000000005</v>
      </c>
      <c r="BB48" s="74">
        <f t="shared" si="26"/>
        <v>3450.0000000000005</v>
      </c>
      <c r="BC48" s="63">
        <f t="shared" si="27"/>
        <v>3450.0000000000005</v>
      </c>
      <c r="BD48" s="63">
        <f t="shared" si="27"/>
        <v>3450.0000000000005</v>
      </c>
      <c r="BE48" s="63">
        <f t="shared" si="27"/>
        <v>3450.0000000000005</v>
      </c>
      <c r="BF48" s="63">
        <f t="shared" si="27"/>
        <v>3450.0000000000005</v>
      </c>
      <c r="BG48" s="63">
        <f t="shared" si="27"/>
        <v>3450.0000000000005</v>
      </c>
      <c r="BH48" s="63">
        <f t="shared" si="27"/>
        <v>3450.0000000000005</v>
      </c>
      <c r="BI48" s="63">
        <f t="shared" si="27"/>
        <v>3450.0000000000005</v>
      </c>
      <c r="BJ48" s="63">
        <f t="shared" si="27"/>
        <v>3450.0000000000005</v>
      </c>
      <c r="BK48" s="63">
        <f t="shared" si="27"/>
        <v>3450.0000000000005</v>
      </c>
      <c r="BL48" s="63">
        <f t="shared" si="27"/>
        <v>3450.0000000000005</v>
      </c>
      <c r="BM48" s="63">
        <f t="shared" si="27"/>
        <v>3450.0000000000005</v>
      </c>
      <c r="BN48" s="74">
        <f t="shared" si="27"/>
        <v>3450.0000000000005</v>
      </c>
    </row>
    <row r="49" spans="1:66" ht="19" x14ac:dyDescent="0.25">
      <c r="A49" s="238">
        <v>11</v>
      </c>
      <c r="B49" s="56" t="s">
        <v>141</v>
      </c>
      <c r="C49" s="56" t="s">
        <v>31</v>
      </c>
      <c r="D49" s="241">
        <v>36000</v>
      </c>
      <c r="E49" s="22"/>
      <c r="F49"/>
      <c r="G49" s="7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74"/>
      <c r="S49" s="7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74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74"/>
      <c r="AQ49" s="63">
        <f t="shared" si="26"/>
        <v>3450.0000000000005</v>
      </c>
      <c r="AR49" s="63">
        <f t="shared" si="26"/>
        <v>3450.0000000000005</v>
      </c>
      <c r="AS49" s="63">
        <f t="shared" si="26"/>
        <v>3450.0000000000005</v>
      </c>
      <c r="AT49" s="63">
        <f t="shared" si="26"/>
        <v>3450.0000000000005</v>
      </c>
      <c r="AU49" s="63">
        <f t="shared" si="26"/>
        <v>3450.0000000000005</v>
      </c>
      <c r="AV49" s="63">
        <f t="shared" si="26"/>
        <v>3450.0000000000005</v>
      </c>
      <c r="AW49" s="63">
        <f t="shared" si="26"/>
        <v>3450.0000000000005</v>
      </c>
      <c r="AX49" s="63">
        <f t="shared" si="26"/>
        <v>3450.0000000000005</v>
      </c>
      <c r="AY49" s="63">
        <f t="shared" si="26"/>
        <v>3450.0000000000005</v>
      </c>
      <c r="AZ49" s="63">
        <f t="shared" si="26"/>
        <v>3450.0000000000005</v>
      </c>
      <c r="BA49" s="63">
        <f t="shared" si="26"/>
        <v>3450.0000000000005</v>
      </c>
      <c r="BB49" s="74">
        <f t="shared" si="26"/>
        <v>3450.0000000000005</v>
      </c>
      <c r="BC49" s="63">
        <f t="shared" si="27"/>
        <v>3450.0000000000005</v>
      </c>
      <c r="BD49" s="63">
        <f t="shared" si="27"/>
        <v>3450.0000000000005</v>
      </c>
      <c r="BE49" s="63">
        <f t="shared" si="27"/>
        <v>3450.0000000000005</v>
      </c>
      <c r="BF49" s="63">
        <f t="shared" si="27"/>
        <v>3450.0000000000005</v>
      </c>
      <c r="BG49" s="63">
        <f t="shared" si="27"/>
        <v>3450.0000000000005</v>
      </c>
      <c r="BH49" s="63">
        <f t="shared" si="27"/>
        <v>3450.0000000000005</v>
      </c>
      <c r="BI49" s="63">
        <f t="shared" si="27"/>
        <v>3450.0000000000005</v>
      </c>
      <c r="BJ49" s="63">
        <f t="shared" si="27"/>
        <v>3450.0000000000005</v>
      </c>
      <c r="BK49" s="63">
        <f t="shared" si="27"/>
        <v>3450.0000000000005</v>
      </c>
      <c r="BL49" s="63">
        <f t="shared" si="27"/>
        <v>3450.0000000000005</v>
      </c>
      <c r="BM49" s="63">
        <f t="shared" si="27"/>
        <v>3450.0000000000005</v>
      </c>
      <c r="BN49" s="74">
        <f t="shared" si="27"/>
        <v>3450.0000000000005</v>
      </c>
    </row>
    <row r="50" spans="1:66" ht="19" x14ac:dyDescent="0.25">
      <c r="A50" s="238">
        <v>12</v>
      </c>
      <c r="B50" s="56" t="s">
        <v>140</v>
      </c>
      <c r="C50" s="56" t="s">
        <v>31</v>
      </c>
      <c r="D50" s="488">
        <v>30000</v>
      </c>
      <c r="E50" s="22"/>
      <c r="F50"/>
      <c r="G50" s="7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74"/>
      <c r="S50" s="73"/>
      <c r="T50" s="63"/>
      <c r="U50" s="63"/>
      <c r="V50" s="63"/>
      <c r="W50" s="63"/>
      <c r="X50" s="63"/>
      <c r="Y50" s="63"/>
      <c r="Z50" s="63"/>
      <c r="AA50" s="63"/>
      <c r="AB50" s="63">
        <f t="shared" ref="AB50:AD50" si="28">($D50/12)*(1+$C$2+$C$2)</f>
        <v>2750</v>
      </c>
      <c r="AC50" s="63">
        <f t="shared" si="28"/>
        <v>2750</v>
      </c>
      <c r="AD50" s="74">
        <f t="shared" si="28"/>
        <v>2750</v>
      </c>
      <c r="AE50" s="63">
        <f t="shared" ref="AE50:AP50" si="29">($D50/12)*(1+$C$2+$C$2)</f>
        <v>2750</v>
      </c>
      <c r="AF50" s="63">
        <f t="shared" si="29"/>
        <v>2750</v>
      </c>
      <c r="AG50" s="63">
        <f t="shared" si="29"/>
        <v>2750</v>
      </c>
      <c r="AH50" s="63">
        <f t="shared" si="29"/>
        <v>2750</v>
      </c>
      <c r="AI50" s="63">
        <f t="shared" si="29"/>
        <v>2750</v>
      </c>
      <c r="AJ50" s="63">
        <f t="shared" si="29"/>
        <v>2750</v>
      </c>
      <c r="AK50" s="63">
        <f t="shared" si="29"/>
        <v>2750</v>
      </c>
      <c r="AL50" s="63">
        <f t="shared" si="29"/>
        <v>2750</v>
      </c>
      <c r="AM50" s="63">
        <f t="shared" si="29"/>
        <v>2750</v>
      </c>
      <c r="AN50" s="63">
        <f t="shared" si="29"/>
        <v>2750</v>
      </c>
      <c r="AO50" s="63">
        <f t="shared" si="29"/>
        <v>2750</v>
      </c>
      <c r="AP50" s="74">
        <f t="shared" si="29"/>
        <v>2750</v>
      </c>
      <c r="AQ50" s="63">
        <f t="shared" si="26"/>
        <v>2875.0000000000005</v>
      </c>
      <c r="AR50" s="63">
        <f t="shared" si="26"/>
        <v>2875.0000000000005</v>
      </c>
      <c r="AS50" s="63">
        <f t="shared" si="26"/>
        <v>2875.0000000000005</v>
      </c>
      <c r="AT50" s="63">
        <f t="shared" si="26"/>
        <v>2875.0000000000005</v>
      </c>
      <c r="AU50" s="63">
        <f t="shared" si="26"/>
        <v>2875.0000000000005</v>
      </c>
      <c r="AV50" s="63">
        <f t="shared" si="26"/>
        <v>2875.0000000000005</v>
      </c>
      <c r="AW50" s="63">
        <f t="shared" si="26"/>
        <v>2875.0000000000005</v>
      </c>
      <c r="AX50" s="63">
        <f t="shared" si="26"/>
        <v>2875.0000000000005</v>
      </c>
      <c r="AY50" s="63">
        <f t="shared" si="26"/>
        <v>2875.0000000000005</v>
      </c>
      <c r="AZ50" s="63">
        <f t="shared" si="26"/>
        <v>2875.0000000000005</v>
      </c>
      <c r="BA50" s="63">
        <f t="shared" si="26"/>
        <v>2875.0000000000005</v>
      </c>
      <c r="BB50" s="74">
        <f t="shared" si="26"/>
        <v>2875.0000000000005</v>
      </c>
      <c r="BC50" s="63">
        <f t="shared" si="27"/>
        <v>2875.0000000000005</v>
      </c>
      <c r="BD50" s="63">
        <f t="shared" si="27"/>
        <v>2875.0000000000005</v>
      </c>
      <c r="BE50" s="63">
        <f t="shared" si="27"/>
        <v>2875.0000000000005</v>
      </c>
      <c r="BF50" s="63">
        <f t="shared" si="27"/>
        <v>2875.0000000000005</v>
      </c>
      <c r="BG50" s="63">
        <f t="shared" si="27"/>
        <v>2875.0000000000005</v>
      </c>
      <c r="BH50" s="63">
        <f t="shared" si="27"/>
        <v>2875.0000000000005</v>
      </c>
      <c r="BI50" s="63">
        <f t="shared" si="27"/>
        <v>2875.0000000000005</v>
      </c>
      <c r="BJ50" s="63">
        <f t="shared" si="27"/>
        <v>2875.0000000000005</v>
      </c>
      <c r="BK50" s="63">
        <f t="shared" si="27"/>
        <v>2875.0000000000005</v>
      </c>
      <c r="BL50" s="63">
        <f t="shared" si="27"/>
        <v>2875.0000000000005</v>
      </c>
      <c r="BM50" s="63">
        <f t="shared" si="27"/>
        <v>2875.0000000000005</v>
      </c>
      <c r="BN50" s="74">
        <f t="shared" si="27"/>
        <v>2875.0000000000005</v>
      </c>
    </row>
    <row r="51" spans="1:66" ht="19" x14ac:dyDescent="0.25">
      <c r="A51" s="238">
        <v>13</v>
      </c>
      <c r="B51" s="56" t="s">
        <v>140</v>
      </c>
      <c r="C51" s="56" t="s">
        <v>31</v>
      </c>
      <c r="D51" s="241">
        <v>36000</v>
      </c>
      <c r="E51" s="22"/>
      <c r="F51"/>
      <c r="G51" s="7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74"/>
      <c r="S51" s="7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74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74"/>
      <c r="AQ51" s="63"/>
      <c r="AR51" s="63"/>
      <c r="AS51" s="63"/>
      <c r="AT51" s="63"/>
      <c r="AU51" s="63"/>
      <c r="AV51" s="63"/>
      <c r="AW51" s="63"/>
      <c r="AX51" s="63">
        <f>($D51/12)*(1+$C$2+$C$2+$C$2)</f>
        <v>3450.0000000000005</v>
      </c>
      <c r="AY51" s="63">
        <f>($D51/12)*(1+$C$2+$C$2+$C$2)</f>
        <v>3450.0000000000005</v>
      </c>
      <c r="AZ51" s="63">
        <f>($D51/12)*(1+$C$2+$C$2+$C$2)</f>
        <v>3450.0000000000005</v>
      </c>
      <c r="BA51" s="63">
        <f>($D51/12)*(1+$C$2+$C$2+$C$2)</f>
        <v>3450.0000000000005</v>
      </c>
      <c r="BB51" s="74">
        <f>($D51/12)*(1+$C$2+$C$2+$C$2)</f>
        <v>3450.0000000000005</v>
      </c>
      <c r="BC51" s="63"/>
      <c r="BD51" s="63"/>
      <c r="BE51" s="63"/>
      <c r="BF51" s="63"/>
      <c r="BG51" s="63"/>
      <c r="BH51" s="63"/>
      <c r="BI51" s="63"/>
      <c r="BJ51" s="63">
        <f>($D51/12)*(1+$C$2+$C$2+$C$2)</f>
        <v>3450.0000000000005</v>
      </c>
      <c r="BK51" s="63">
        <f>($D51/12)*(1+$C$2+$C$2+$C$2)</f>
        <v>3450.0000000000005</v>
      </c>
      <c r="BL51" s="63">
        <f>($D51/12)*(1+$C$2+$C$2+$C$2)</f>
        <v>3450.0000000000005</v>
      </c>
      <c r="BM51" s="63">
        <f>($D51/12)*(1+$C$2+$C$2+$C$2)</f>
        <v>3450.0000000000005</v>
      </c>
      <c r="BN51" s="74">
        <f>($D51/12)*(1+$C$2+$C$2+$C$2)</f>
        <v>3450.0000000000005</v>
      </c>
    </row>
    <row r="52" spans="1:66" ht="16" x14ac:dyDescent="0.2">
      <c r="E52" s="22"/>
      <c r="F52"/>
      <c r="G52" s="7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74"/>
      <c r="S52" s="7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74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74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74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74"/>
    </row>
    <row r="53" spans="1:66" s="239" customFormat="1" ht="20" thickBot="1" x14ac:dyDescent="0.3">
      <c r="B53" s="239" t="s">
        <v>0</v>
      </c>
      <c r="D53" s="240"/>
      <c r="E53" s="510"/>
      <c r="F53" s="66"/>
      <c r="G53" s="77">
        <f t="shared" ref="G53:R53" si="30">SUM(G39:G46)</f>
        <v>0</v>
      </c>
      <c r="H53" s="67">
        <f t="shared" si="30"/>
        <v>0</v>
      </c>
      <c r="I53" s="67">
        <f t="shared" si="30"/>
        <v>0</v>
      </c>
      <c r="J53" s="67">
        <f t="shared" si="30"/>
        <v>0</v>
      </c>
      <c r="K53" s="67">
        <f t="shared" si="30"/>
        <v>0</v>
      </c>
      <c r="L53" s="67">
        <f t="shared" si="30"/>
        <v>0</v>
      </c>
      <c r="M53" s="67">
        <f t="shared" si="30"/>
        <v>0</v>
      </c>
      <c r="N53" s="67">
        <f t="shared" si="30"/>
        <v>0</v>
      </c>
      <c r="O53" s="67">
        <f t="shared" si="30"/>
        <v>0</v>
      </c>
      <c r="P53" s="67">
        <f t="shared" si="30"/>
        <v>0</v>
      </c>
      <c r="Q53" s="67">
        <f t="shared" si="30"/>
        <v>0</v>
      </c>
      <c r="R53" s="78">
        <f t="shared" si="30"/>
        <v>0</v>
      </c>
      <c r="S53" s="77">
        <f t="shared" ref="S53:BB53" si="31">SUM(S39:S51)</f>
        <v>24585.224999999999</v>
      </c>
      <c r="T53" s="67">
        <f t="shared" si="31"/>
        <v>24585.224999999999</v>
      </c>
      <c r="U53" s="67">
        <f t="shared" si="31"/>
        <v>24585.224999999999</v>
      </c>
      <c r="V53" s="67">
        <f t="shared" si="31"/>
        <v>23072.35</v>
      </c>
      <c r="W53" s="67">
        <f t="shared" si="31"/>
        <v>23072.35</v>
      </c>
      <c r="X53" s="67">
        <f t="shared" si="31"/>
        <v>23072.35</v>
      </c>
      <c r="Y53" s="67">
        <f t="shared" si="31"/>
        <v>23072.35</v>
      </c>
      <c r="Z53" s="67">
        <f t="shared" si="31"/>
        <v>23072.35</v>
      </c>
      <c r="AA53" s="67">
        <f t="shared" si="31"/>
        <v>23072.35</v>
      </c>
      <c r="AB53" s="67">
        <f t="shared" si="31"/>
        <v>25822.35</v>
      </c>
      <c r="AC53" s="67">
        <f t="shared" si="31"/>
        <v>25822.35</v>
      </c>
      <c r="AD53" s="78">
        <f t="shared" si="31"/>
        <v>25822.35</v>
      </c>
      <c r="AE53" s="67">
        <f t="shared" si="31"/>
        <v>30221.033333333336</v>
      </c>
      <c r="AF53" s="67">
        <f t="shared" si="31"/>
        <v>30221.033333333336</v>
      </c>
      <c r="AG53" s="67">
        <f t="shared" si="31"/>
        <v>30221.033333333336</v>
      </c>
      <c r="AH53" s="67">
        <f t="shared" si="31"/>
        <v>30221.033333333336</v>
      </c>
      <c r="AI53" s="67">
        <f t="shared" si="31"/>
        <v>30221.033333333336</v>
      </c>
      <c r="AJ53" s="67">
        <f t="shared" si="31"/>
        <v>30221.033333333336</v>
      </c>
      <c r="AK53" s="67">
        <f t="shared" si="31"/>
        <v>30221.033333333336</v>
      </c>
      <c r="AL53" s="67">
        <f t="shared" si="31"/>
        <v>30221.033333333336</v>
      </c>
      <c r="AM53" s="67">
        <f t="shared" si="31"/>
        <v>30221.033333333336</v>
      </c>
      <c r="AN53" s="67">
        <f t="shared" si="31"/>
        <v>30221.033333333336</v>
      </c>
      <c r="AO53" s="67">
        <f t="shared" si="31"/>
        <v>30221.033333333336</v>
      </c>
      <c r="AP53" s="78">
        <f t="shared" si="31"/>
        <v>30221.033333333336</v>
      </c>
      <c r="AQ53" s="67">
        <f t="shared" si="31"/>
        <v>35044.716666666674</v>
      </c>
      <c r="AR53" s="67">
        <f t="shared" si="31"/>
        <v>35044.716666666674</v>
      </c>
      <c r="AS53" s="67">
        <f t="shared" si="31"/>
        <v>35044.716666666674</v>
      </c>
      <c r="AT53" s="67">
        <f t="shared" si="31"/>
        <v>35044.716666666674</v>
      </c>
      <c r="AU53" s="67">
        <f t="shared" si="31"/>
        <v>35044.716666666674</v>
      </c>
      <c r="AV53" s="67">
        <f t="shared" si="31"/>
        <v>35044.716666666674</v>
      </c>
      <c r="AW53" s="67">
        <f t="shared" si="31"/>
        <v>35044.716666666674</v>
      </c>
      <c r="AX53" s="67">
        <f t="shared" si="31"/>
        <v>38494.716666666674</v>
      </c>
      <c r="AY53" s="67">
        <f t="shared" si="31"/>
        <v>38494.716666666674</v>
      </c>
      <c r="AZ53" s="67">
        <f t="shared" si="31"/>
        <v>38494.716666666674</v>
      </c>
      <c r="BA53" s="67">
        <f t="shared" si="31"/>
        <v>38494.716666666674</v>
      </c>
      <c r="BB53" s="78">
        <f t="shared" si="31"/>
        <v>38494.716666666674</v>
      </c>
      <c r="BC53" s="67">
        <f t="shared" ref="BC53:BN53" si="32">SUM(BC39:BC51)</f>
        <v>35044.716666666674</v>
      </c>
      <c r="BD53" s="67">
        <f t="shared" si="32"/>
        <v>35044.716666666674</v>
      </c>
      <c r="BE53" s="67">
        <f t="shared" si="32"/>
        <v>35044.716666666674</v>
      </c>
      <c r="BF53" s="67">
        <f t="shared" si="32"/>
        <v>35044.716666666674</v>
      </c>
      <c r="BG53" s="67">
        <f t="shared" si="32"/>
        <v>35044.716666666674</v>
      </c>
      <c r="BH53" s="67">
        <f t="shared" si="32"/>
        <v>35044.716666666674</v>
      </c>
      <c r="BI53" s="67">
        <f t="shared" si="32"/>
        <v>35044.716666666674</v>
      </c>
      <c r="BJ53" s="67">
        <f t="shared" si="32"/>
        <v>38494.716666666674</v>
      </c>
      <c r="BK53" s="67">
        <f t="shared" si="32"/>
        <v>38494.716666666674</v>
      </c>
      <c r="BL53" s="67">
        <f t="shared" si="32"/>
        <v>38494.716666666674</v>
      </c>
      <c r="BM53" s="67">
        <f t="shared" si="32"/>
        <v>38494.716666666674</v>
      </c>
      <c r="BN53" s="78">
        <f t="shared" si="32"/>
        <v>38494.716666666674</v>
      </c>
    </row>
    <row r="56" spans="1:66" x14ac:dyDescent="0.2">
      <c r="B56" s="238" t="s">
        <v>41</v>
      </c>
    </row>
    <row r="57" spans="1:66" ht="19" x14ac:dyDescent="0.25">
      <c r="B57" s="56"/>
      <c r="C57" s="56"/>
      <c r="D57" s="56"/>
      <c r="E57" s="517"/>
      <c r="F57" s="57"/>
      <c r="G57" s="57"/>
      <c r="H57" s="57"/>
      <c r="I57" s="58"/>
    </row>
    <row r="58" spans="1:66" ht="19" x14ac:dyDescent="0.25">
      <c r="B58" s="56"/>
      <c r="C58" s="56"/>
      <c r="D58" s="56"/>
      <c r="E58" s="517"/>
      <c r="F58" s="57"/>
      <c r="G58" s="57"/>
      <c r="H58" s="57"/>
      <c r="I58" s="57"/>
    </row>
    <row r="59" spans="1:66" s="300" customFormat="1" x14ac:dyDescent="0.2">
      <c r="E59" s="553"/>
      <c r="AD59" s="553"/>
      <c r="AP59" s="553"/>
      <c r="BB59" s="553"/>
      <c r="BN59" s="553"/>
    </row>
    <row r="62" spans="1:66" ht="20" x14ac:dyDescent="0.25">
      <c r="B62" s="260" t="s">
        <v>24</v>
      </c>
    </row>
    <row r="64" spans="1:66" x14ac:dyDescent="0.2">
      <c r="B64" s="301" t="s">
        <v>233</v>
      </c>
      <c r="D64" s="302">
        <v>1000</v>
      </c>
      <c r="S64" s="303">
        <f>$D$64</f>
        <v>1000</v>
      </c>
      <c r="T64" s="303">
        <f t="shared" ref="T64:BN64" si="33">$D$64</f>
        <v>1000</v>
      </c>
      <c r="U64" s="303">
        <f t="shared" si="33"/>
        <v>1000</v>
      </c>
      <c r="V64" s="303">
        <f t="shared" si="33"/>
        <v>1000</v>
      </c>
      <c r="W64" s="303">
        <f t="shared" si="33"/>
        <v>1000</v>
      </c>
      <c r="X64" s="303">
        <f t="shared" si="33"/>
        <v>1000</v>
      </c>
      <c r="Y64" s="303">
        <f t="shared" si="33"/>
        <v>1000</v>
      </c>
      <c r="Z64" s="303">
        <f t="shared" si="33"/>
        <v>1000</v>
      </c>
      <c r="AA64" s="303">
        <f t="shared" si="33"/>
        <v>1000</v>
      </c>
      <c r="AB64" s="303">
        <f t="shared" si="33"/>
        <v>1000</v>
      </c>
      <c r="AC64" s="303">
        <f t="shared" si="33"/>
        <v>1000</v>
      </c>
      <c r="AD64" s="554">
        <f t="shared" si="33"/>
        <v>1000</v>
      </c>
      <c r="AE64" s="303">
        <f t="shared" si="33"/>
        <v>1000</v>
      </c>
      <c r="AF64" s="303">
        <f t="shared" si="33"/>
        <v>1000</v>
      </c>
      <c r="AG64" s="303">
        <f t="shared" si="33"/>
        <v>1000</v>
      </c>
      <c r="AH64" s="303">
        <f t="shared" si="33"/>
        <v>1000</v>
      </c>
      <c r="AI64" s="303">
        <f t="shared" si="33"/>
        <v>1000</v>
      </c>
      <c r="AJ64" s="303">
        <f t="shared" si="33"/>
        <v>1000</v>
      </c>
      <c r="AK64" s="303">
        <f t="shared" si="33"/>
        <v>1000</v>
      </c>
      <c r="AL64" s="303">
        <f t="shared" si="33"/>
        <v>1000</v>
      </c>
      <c r="AM64" s="303">
        <f t="shared" si="33"/>
        <v>1000</v>
      </c>
      <c r="AN64" s="303">
        <f t="shared" si="33"/>
        <v>1000</v>
      </c>
      <c r="AO64" s="303">
        <f t="shared" si="33"/>
        <v>1000</v>
      </c>
      <c r="AP64" s="554">
        <f t="shared" si="33"/>
        <v>1000</v>
      </c>
      <c r="AQ64" s="303">
        <f t="shared" si="33"/>
        <v>1000</v>
      </c>
      <c r="AR64" s="303">
        <f t="shared" si="33"/>
        <v>1000</v>
      </c>
      <c r="AS64" s="303">
        <f t="shared" si="33"/>
        <v>1000</v>
      </c>
      <c r="AT64" s="303">
        <f t="shared" si="33"/>
        <v>1000</v>
      </c>
      <c r="AU64" s="303">
        <f t="shared" si="33"/>
        <v>1000</v>
      </c>
      <c r="AV64" s="303">
        <f t="shared" si="33"/>
        <v>1000</v>
      </c>
      <c r="AW64" s="303">
        <f t="shared" si="33"/>
        <v>1000</v>
      </c>
      <c r="AX64" s="303">
        <f t="shared" si="33"/>
        <v>1000</v>
      </c>
      <c r="AY64" s="303">
        <f t="shared" si="33"/>
        <v>1000</v>
      </c>
      <c r="AZ64" s="303">
        <f t="shared" si="33"/>
        <v>1000</v>
      </c>
      <c r="BA64" s="303">
        <f t="shared" si="33"/>
        <v>1000</v>
      </c>
      <c r="BB64" s="554">
        <f t="shared" si="33"/>
        <v>1000</v>
      </c>
      <c r="BC64" s="303">
        <f t="shared" si="33"/>
        <v>1000</v>
      </c>
      <c r="BD64" s="303">
        <f t="shared" si="33"/>
        <v>1000</v>
      </c>
      <c r="BE64" s="303">
        <f t="shared" si="33"/>
        <v>1000</v>
      </c>
      <c r="BF64" s="303">
        <f t="shared" si="33"/>
        <v>1000</v>
      </c>
      <c r="BG64" s="303">
        <f t="shared" si="33"/>
        <v>1000</v>
      </c>
      <c r="BH64" s="303">
        <f t="shared" si="33"/>
        <v>1000</v>
      </c>
      <c r="BI64" s="303">
        <f t="shared" si="33"/>
        <v>1000</v>
      </c>
      <c r="BJ64" s="303">
        <f t="shared" si="33"/>
        <v>1000</v>
      </c>
      <c r="BK64" s="303">
        <f t="shared" si="33"/>
        <v>1000</v>
      </c>
      <c r="BL64" s="303">
        <f t="shared" si="33"/>
        <v>1000</v>
      </c>
      <c r="BM64" s="303">
        <f t="shared" si="33"/>
        <v>1000</v>
      </c>
      <c r="BN64" s="554">
        <f t="shared" si="33"/>
        <v>1000</v>
      </c>
    </row>
    <row r="67" spans="2:66" ht="16" thickBot="1" x14ac:dyDescent="0.25">
      <c r="B67" s="301" t="s">
        <v>234</v>
      </c>
      <c r="S67" s="304">
        <f>SUM(S64:S66)</f>
        <v>1000</v>
      </c>
      <c r="T67" s="304">
        <f t="shared" ref="T67:BB67" si="34">SUM(T64:T66)</f>
        <v>1000</v>
      </c>
      <c r="U67" s="304">
        <f t="shared" si="34"/>
        <v>1000</v>
      </c>
      <c r="V67" s="304">
        <f t="shared" si="34"/>
        <v>1000</v>
      </c>
      <c r="W67" s="304">
        <f t="shared" si="34"/>
        <v>1000</v>
      </c>
      <c r="X67" s="304">
        <f t="shared" si="34"/>
        <v>1000</v>
      </c>
      <c r="Y67" s="304">
        <f t="shared" si="34"/>
        <v>1000</v>
      </c>
      <c r="Z67" s="304">
        <f t="shared" si="34"/>
        <v>1000</v>
      </c>
      <c r="AA67" s="304">
        <f t="shared" si="34"/>
        <v>1000</v>
      </c>
      <c r="AB67" s="304">
        <f t="shared" si="34"/>
        <v>1000</v>
      </c>
      <c r="AC67" s="304">
        <f t="shared" si="34"/>
        <v>1000</v>
      </c>
      <c r="AD67" s="555">
        <f t="shared" si="34"/>
        <v>1000</v>
      </c>
      <c r="AE67" s="304">
        <f t="shared" si="34"/>
        <v>1000</v>
      </c>
      <c r="AF67" s="304">
        <f t="shared" si="34"/>
        <v>1000</v>
      </c>
      <c r="AG67" s="304">
        <f t="shared" si="34"/>
        <v>1000</v>
      </c>
      <c r="AH67" s="304">
        <f t="shared" si="34"/>
        <v>1000</v>
      </c>
      <c r="AI67" s="304">
        <f t="shared" si="34"/>
        <v>1000</v>
      </c>
      <c r="AJ67" s="304">
        <f t="shared" si="34"/>
        <v>1000</v>
      </c>
      <c r="AK67" s="304">
        <f t="shared" si="34"/>
        <v>1000</v>
      </c>
      <c r="AL67" s="304">
        <f t="shared" si="34"/>
        <v>1000</v>
      </c>
      <c r="AM67" s="304">
        <f t="shared" si="34"/>
        <v>1000</v>
      </c>
      <c r="AN67" s="304">
        <f t="shared" si="34"/>
        <v>1000</v>
      </c>
      <c r="AO67" s="304">
        <f t="shared" si="34"/>
        <v>1000</v>
      </c>
      <c r="AP67" s="555">
        <f t="shared" si="34"/>
        <v>1000</v>
      </c>
      <c r="AQ67" s="304">
        <f t="shared" si="34"/>
        <v>1000</v>
      </c>
      <c r="AR67" s="304">
        <f t="shared" si="34"/>
        <v>1000</v>
      </c>
      <c r="AS67" s="304">
        <f t="shared" si="34"/>
        <v>1000</v>
      </c>
      <c r="AT67" s="304">
        <f t="shared" si="34"/>
        <v>1000</v>
      </c>
      <c r="AU67" s="304">
        <f t="shared" si="34"/>
        <v>1000</v>
      </c>
      <c r="AV67" s="304">
        <f t="shared" si="34"/>
        <v>1000</v>
      </c>
      <c r="AW67" s="304">
        <f t="shared" si="34"/>
        <v>1000</v>
      </c>
      <c r="AX67" s="304">
        <f t="shared" si="34"/>
        <v>1000</v>
      </c>
      <c r="AY67" s="304">
        <f t="shared" si="34"/>
        <v>1000</v>
      </c>
      <c r="AZ67" s="304">
        <f t="shared" si="34"/>
        <v>1000</v>
      </c>
      <c r="BA67" s="304">
        <f t="shared" si="34"/>
        <v>1000</v>
      </c>
      <c r="BB67" s="555">
        <f t="shared" si="34"/>
        <v>1000</v>
      </c>
      <c r="BC67" s="304">
        <f t="shared" ref="BC67:BN67" si="35">SUM(BC64:BC66)</f>
        <v>1000</v>
      </c>
      <c r="BD67" s="304">
        <f t="shared" si="35"/>
        <v>1000</v>
      </c>
      <c r="BE67" s="304">
        <f t="shared" si="35"/>
        <v>1000</v>
      </c>
      <c r="BF67" s="304">
        <f t="shared" si="35"/>
        <v>1000</v>
      </c>
      <c r="BG67" s="304">
        <f t="shared" si="35"/>
        <v>1000</v>
      </c>
      <c r="BH67" s="304">
        <f t="shared" si="35"/>
        <v>1000</v>
      </c>
      <c r="BI67" s="304">
        <f t="shared" si="35"/>
        <v>1000</v>
      </c>
      <c r="BJ67" s="304">
        <f t="shared" si="35"/>
        <v>1000</v>
      </c>
      <c r="BK67" s="304">
        <f t="shared" si="35"/>
        <v>1000</v>
      </c>
      <c r="BL67" s="304">
        <f t="shared" si="35"/>
        <v>1000</v>
      </c>
      <c r="BM67" s="304">
        <f t="shared" si="35"/>
        <v>1000</v>
      </c>
      <c r="BN67" s="555">
        <f t="shared" si="35"/>
        <v>1000</v>
      </c>
    </row>
    <row r="68" spans="2:66" ht="16" thickTop="1" x14ac:dyDescent="0.2"/>
  </sheetData>
  <mergeCells count="5">
    <mergeCell ref="G4:R4"/>
    <mergeCell ref="S4:AD4"/>
    <mergeCell ref="AE4:AP4"/>
    <mergeCell ref="AQ4:BB4"/>
    <mergeCell ref="BC4:BN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A154-E252-4FDA-920C-8F06149B1198}">
  <dimension ref="B21:S73"/>
  <sheetViews>
    <sheetView topLeftCell="A28" workbookViewId="0">
      <selection activeCell="Q87" sqref="Q87"/>
    </sheetView>
  </sheetViews>
  <sheetFormatPr baseColWidth="10" defaultColWidth="8.83203125" defaultRowHeight="16" x14ac:dyDescent="0.2"/>
  <sheetData>
    <row r="21" spans="19:19" x14ac:dyDescent="0.2">
      <c r="S21">
        <v>36534.29</v>
      </c>
    </row>
    <row r="22" spans="19:19" x14ac:dyDescent="0.2">
      <c r="S22">
        <v>40837.19</v>
      </c>
    </row>
    <row r="23" spans="19:19" x14ac:dyDescent="0.2">
      <c r="S23">
        <f>+S22-S21</f>
        <v>4302.9000000000015</v>
      </c>
    </row>
    <row r="24" spans="19:19" x14ac:dyDescent="0.2">
      <c r="S24" s="254">
        <f>+S23/S21</f>
        <v>0.11777702536439058</v>
      </c>
    </row>
    <row r="49" spans="2:17" x14ac:dyDescent="0.2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2:17" x14ac:dyDescent="0.2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70" spans="19:19" x14ac:dyDescent="0.2">
      <c r="S70">
        <v>36100.339999999997</v>
      </c>
    </row>
    <row r="71" spans="19:19" x14ac:dyDescent="0.2">
      <c r="S71">
        <v>39989.949999999997</v>
      </c>
    </row>
    <row r="72" spans="19:19" x14ac:dyDescent="0.2">
      <c r="S72">
        <f>+S71-S70</f>
        <v>3889.6100000000006</v>
      </c>
    </row>
    <row r="73" spans="19:19" x14ac:dyDescent="0.2">
      <c r="S73" s="254">
        <f>+S72/S70</f>
        <v>0.10774441459554124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Medzy P&amp;L Summary</vt:lpstr>
      <vt:lpstr>P&amp;L Medzy </vt:lpstr>
      <vt:lpstr>Salaries &amp; Contractuals</vt:lpstr>
      <vt:lpstr>Loans &amp; Grants</vt:lpstr>
      <vt:lpstr>RSDE-CDAE Estimation</vt:lpstr>
      <vt:lpstr>Marketing and Sales</vt:lpstr>
      <vt:lpstr>PSB-Summary</vt:lpstr>
      <vt:lpstr>PSB-P&amp;L </vt:lpstr>
      <vt:lpstr>PSB-Salaries &amp; Contractuals</vt:lpstr>
      <vt:lpstr>FRINGE</vt:lpstr>
      <vt:lpstr>'Medzy P&amp;L Summary'!Print_Area</vt:lpstr>
      <vt:lpstr>'P&amp;L Medzy '!Print_Area</vt:lpstr>
      <vt:lpstr>'PSB-Summary'!Print_Area</vt:lpstr>
      <vt:lpstr>'Medzy P&amp;L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dominique-sebastien forest</dc:creator>
  <cp:lastModifiedBy>DS Forest</cp:lastModifiedBy>
  <cp:lastPrinted>2023-04-24T18:50:32Z</cp:lastPrinted>
  <dcterms:created xsi:type="dcterms:W3CDTF">2015-09-28T18:07:02Z</dcterms:created>
  <dcterms:modified xsi:type="dcterms:W3CDTF">2024-03-19T18:43:32Z</dcterms:modified>
</cp:coreProperties>
</file>