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u3\Dropbox\Doctoral\Projects\Research Projects\manuscripts\2_BU_paper\3_Analysis\5_Processing_Results\"/>
    </mc:Choice>
  </mc:AlternateContent>
  <xr:revisionPtr revIDLastSave="0" documentId="13_ncr:1_{47D90CA6-5827-4ABC-A63E-983368B68DA7}" xr6:coauthVersionLast="46" xr6:coauthVersionMax="46" xr10:uidLastSave="{00000000-0000-0000-0000-000000000000}"/>
  <bookViews>
    <workbookView xWindow="-110" yWindow="-110" windowWidth="19420" windowHeight="11020" xr2:uid="{00000000-000D-0000-FFFF-FFFF00000000}"/>
  </bookViews>
  <sheets>
    <sheet name="Pie Charts" sheetId="17" r:id="rId1"/>
    <sheet name="EF_Equip_apriori" sheetId="12" r:id="rId2"/>
    <sheet name="EF_Equip_posthoc" sheetId="2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17" l="1"/>
  <c r="D51" i="17" l="1"/>
  <c r="C67" i="17"/>
  <c r="C59" i="17"/>
  <c r="G59" i="17"/>
  <c r="B67" i="17"/>
  <c r="D67" i="17" s="1"/>
  <c r="B55" i="17"/>
  <c r="G50" i="17"/>
  <c r="H59" i="17"/>
  <c r="D60" i="17"/>
  <c r="E60" i="17"/>
  <c r="D61" i="17"/>
  <c r="E61" i="17"/>
  <c r="D62" i="17"/>
  <c r="E62" i="17"/>
  <c r="D63" i="17"/>
  <c r="E63" i="17"/>
  <c r="D64" i="17"/>
  <c r="E64" i="17"/>
  <c r="D65" i="17"/>
  <c r="E65" i="17"/>
  <c r="E59" i="17"/>
  <c r="D59" i="17"/>
  <c r="D53" i="17" l="1"/>
  <c r="D52" i="17"/>
  <c r="G52" i="17"/>
  <c r="G51" i="17"/>
  <c r="D26" i="17"/>
  <c r="C26" i="17"/>
  <c r="E6" i="17"/>
  <c r="B39" i="17" l="1"/>
  <c r="B35" i="17"/>
  <c r="V8" i="20" l="1"/>
  <c r="V9" i="20"/>
  <c r="V10" i="20"/>
  <c r="V11" i="20"/>
  <c r="V12" i="20"/>
  <c r="V13" i="20"/>
  <c r="V14" i="20"/>
  <c r="V15" i="20"/>
  <c r="V16" i="20"/>
  <c r="V17" i="20"/>
  <c r="V18" i="20"/>
  <c r="V19" i="20"/>
  <c r="V20" i="20"/>
  <c r="V21" i="20"/>
  <c r="V22" i="20"/>
  <c r="V23" i="20"/>
  <c r="V7" i="20"/>
  <c r="K14" i="20"/>
  <c r="K8" i="20"/>
  <c r="K9" i="20"/>
  <c r="K10" i="20"/>
  <c r="K11" i="20"/>
  <c r="K12" i="20"/>
  <c r="K13" i="20"/>
  <c r="K15" i="20"/>
  <c r="K16" i="20"/>
  <c r="K17" i="20"/>
  <c r="K18" i="20"/>
  <c r="K19" i="20"/>
  <c r="K20" i="20"/>
  <c r="K21" i="20"/>
  <c r="K22" i="20"/>
  <c r="K23" i="20"/>
  <c r="K24" i="20"/>
  <c r="K7" i="20"/>
  <c r="G45" i="20"/>
  <c r="F23" i="20"/>
  <c r="J45" i="20"/>
  <c r="C23" i="20" s="1"/>
  <c r="U23" i="20"/>
  <c r="S23" i="20"/>
  <c r="H10" i="20"/>
  <c r="S16" i="20"/>
  <c r="S17" i="20"/>
  <c r="T16" i="20"/>
  <c r="T17" i="20"/>
  <c r="U16" i="20"/>
  <c r="U17" i="20"/>
  <c r="R16" i="20"/>
  <c r="R17" i="20"/>
  <c r="U22" i="20"/>
  <c r="U21" i="20"/>
  <c r="J22" i="20"/>
  <c r="J21" i="20"/>
  <c r="J20" i="20"/>
  <c r="R45" i="20" l="1"/>
  <c r="G23" i="20" s="1"/>
  <c r="W44" i="20" l="1"/>
  <c r="X44" i="20"/>
  <c r="X43" i="20"/>
  <c r="J44" i="20"/>
  <c r="C22" i="20"/>
  <c r="Q22" i="20"/>
  <c r="M44" i="20" l="1"/>
  <c r="L44" i="20"/>
  <c r="I44" i="20"/>
  <c r="H44" i="20"/>
  <c r="I43" i="20"/>
  <c r="H43" i="20"/>
  <c r="Q43" i="20"/>
  <c r="P43" i="20"/>
  <c r="O43" i="20"/>
  <c r="Q21" i="20"/>
  <c r="R43" i="20"/>
  <c r="N44" i="20"/>
  <c r="V44" i="20" s="1"/>
  <c r="G21" i="20"/>
  <c r="F22" i="20"/>
  <c r="E22" i="20"/>
  <c r="D22" i="20"/>
  <c r="O22" i="20"/>
  <c r="S44" i="20" l="1"/>
  <c r="O44" i="20"/>
  <c r="Q44" i="20" s="1"/>
  <c r="P44" i="20"/>
  <c r="N22" i="20"/>
  <c r="R44" i="20"/>
  <c r="G22" i="20" s="1"/>
  <c r="H35" i="20"/>
  <c r="J35" i="20"/>
  <c r="T20" i="20" l="1"/>
  <c r="T19" i="20"/>
  <c r="I19" i="20"/>
  <c r="I20" i="20"/>
  <c r="H14" i="20" l="1"/>
  <c r="H23" i="20" s="1"/>
  <c r="F19" i="20" l="1"/>
  <c r="Q13" i="20" l="1"/>
  <c r="I65" i="17" l="1"/>
  <c r="I64" i="17"/>
  <c r="I63" i="17"/>
  <c r="I62" i="17"/>
  <c r="I61" i="17"/>
  <c r="I60" i="17"/>
  <c r="I59" i="17"/>
  <c r="H65" i="17"/>
  <c r="H64" i="17"/>
  <c r="H63" i="17"/>
  <c r="H62" i="17"/>
  <c r="H61" i="17"/>
  <c r="H60" i="17"/>
  <c r="D68" i="17" l="1"/>
  <c r="D69" i="17"/>
  <c r="E22" i="17"/>
  <c r="Y44" i="20" s="1"/>
  <c r="E21" i="17"/>
  <c r="Q16" i="20"/>
  <c r="F16" i="20"/>
  <c r="Q20" i="20"/>
  <c r="Q19" i="20"/>
  <c r="F20" i="20"/>
  <c r="J28" i="17" l="1"/>
  <c r="N42" i="20"/>
  <c r="V42" i="20" s="1"/>
  <c r="N41" i="20"/>
  <c r="V41" i="20" s="1"/>
  <c r="J42" i="20"/>
  <c r="R42" i="20" s="1"/>
  <c r="J41" i="20"/>
  <c r="R41" i="20" s="1"/>
  <c r="O7" i="20" l="1"/>
  <c r="N19" i="20"/>
  <c r="P22" i="20" l="1"/>
  <c r="T44" i="20" s="1"/>
  <c r="U44" i="20" s="1"/>
  <c r="R22" i="20" s="1"/>
  <c r="D16" i="20"/>
  <c r="E16" i="20"/>
  <c r="P7" i="20" l="1"/>
  <c r="E7" i="20"/>
  <c r="D7" i="20"/>
  <c r="I16" i="20" l="1"/>
  <c r="H31" i="20"/>
  <c r="C61" i="17" l="1"/>
  <c r="Q7" i="20" l="1"/>
  <c r="M40" i="20"/>
  <c r="L40" i="20"/>
  <c r="N40" i="20" s="1"/>
  <c r="M39" i="20"/>
  <c r="M43" i="20"/>
  <c r="M29" i="20"/>
  <c r="I29" i="20"/>
  <c r="H29" i="20"/>
  <c r="O29" i="20" s="1"/>
  <c r="L29" i="20"/>
  <c r="N29" i="20" l="1"/>
  <c r="J29" i="20"/>
  <c r="J7" i="20" l="1"/>
  <c r="R20" i="20"/>
  <c r="R19" i="20"/>
  <c r="F21" i="20"/>
  <c r="E21" i="20"/>
  <c r="G20" i="20"/>
  <c r="J19" i="20"/>
  <c r="L43" i="20"/>
  <c r="N43" i="20" s="1"/>
  <c r="W42" i="20"/>
  <c r="I40" i="20"/>
  <c r="H40" i="20"/>
  <c r="L39" i="20"/>
  <c r="N39" i="20" s="1"/>
  <c r="I39" i="20"/>
  <c r="H39" i="20"/>
  <c r="M38" i="20"/>
  <c r="T38" i="20" s="1"/>
  <c r="L38" i="20"/>
  <c r="S38" i="20" s="1"/>
  <c r="I38" i="20"/>
  <c r="P38" i="20" s="1"/>
  <c r="H38" i="20"/>
  <c r="O38" i="20" s="1"/>
  <c r="M37" i="20"/>
  <c r="L37" i="20"/>
  <c r="I37" i="20"/>
  <c r="H37" i="20"/>
  <c r="M36" i="20"/>
  <c r="L36" i="20"/>
  <c r="I36" i="20"/>
  <c r="H36" i="20"/>
  <c r="C36" i="20"/>
  <c r="B36" i="20"/>
  <c r="M35" i="20"/>
  <c r="L35" i="20"/>
  <c r="I35" i="20"/>
  <c r="M34" i="20"/>
  <c r="L34" i="20"/>
  <c r="I34" i="20"/>
  <c r="H34" i="20"/>
  <c r="M33" i="20"/>
  <c r="L33" i="20"/>
  <c r="I33" i="20"/>
  <c r="H33" i="20"/>
  <c r="M32" i="20"/>
  <c r="L32" i="20"/>
  <c r="I32" i="20"/>
  <c r="H32" i="20"/>
  <c r="M31" i="20"/>
  <c r="L31" i="20"/>
  <c r="I31" i="20"/>
  <c r="M30" i="20"/>
  <c r="L30" i="20"/>
  <c r="N30" i="20" s="1"/>
  <c r="I30" i="20"/>
  <c r="H30" i="20"/>
  <c r="N23" i="20"/>
  <c r="J23" i="20"/>
  <c r="P21" i="20"/>
  <c r="T43" i="20" s="1"/>
  <c r="O21" i="20"/>
  <c r="S43" i="20" s="1"/>
  <c r="D21" i="20"/>
  <c r="U20" i="20"/>
  <c r="S20" i="20"/>
  <c r="N20" i="20"/>
  <c r="H20" i="20"/>
  <c r="C20" i="20"/>
  <c r="U19" i="20"/>
  <c r="S19" i="20"/>
  <c r="H19" i="20"/>
  <c r="C19" i="20"/>
  <c r="J18" i="20"/>
  <c r="I18" i="20"/>
  <c r="H18" i="20"/>
  <c r="F18" i="20"/>
  <c r="E18" i="20"/>
  <c r="D18" i="20"/>
  <c r="Q17" i="20"/>
  <c r="O17" i="20"/>
  <c r="J17" i="20"/>
  <c r="I17" i="20"/>
  <c r="H17" i="20"/>
  <c r="F17" i="20"/>
  <c r="D17" i="20"/>
  <c r="J16" i="20"/>
  <c r="H16" i="20"/>
  <c r="J15" i="20"/>
  <c r="I15" i="20"/>
  <c r="H15" i="20"/>
  <c r="F15" i="20"/>
  <c r="E15" i="20"/>
  <c r="D15" i="20"/>
  <c r="J14" i="20"/>
  <c r="I14" i="20"/>
  <c r="F14" i="20"/>
  <c r="E14" i="20"/>
  <c r="D14" i="20"/>
  <c r="P13" i="20"/>
  <c r="O13" i="20"/>
  <c r="F13" i="20"/>
  <c r="E13" i="20"/>
  <c r="D13" i="20"/>
  <c r="Q12" i="20"/>
  <c r="P12" i="20"/>
  <c r="O12" i="20"/>
  <c r="F12" i="20"/>
  <c r="E12" i="20"/>
  <c r="D12" i="20"/>
  <c r="J11" i="20"/>
  <c r="I11" i="20"/>
  <c r="H11" i="20"/>
  <c r="F11" i="20"/>
  <c r="E11" i="20"/>
  <c r="D11" i="20"/>
  <c r="U10" i="20"/>
  <c r="T10" i="20"/>
  <c r="S10" i="20"/>
  <c r="Q10" i="20"/>
  <c r="P10" i="20"/>
  <c r="O10" i="20"/>
  <c r="J10" i="20"/>
  <c r="I10" i="20"/>
  <c r="F10" i="20"/>
  <c r="E10" i="20"/>
  <c r="D10" i="20"/>
  <c r="U9" i="20"/>
  <c r="T9" i="20"/>
  <c r="S9" i="20"/>
  <c r="Q9" i="20"/>
  <c r="P9" i="20"/>
  <c r="O9" i="20"/>
  <c r="J9" i="20"/>
  <c r="I9" i="20"/>
  <c r="H9" i="20"/>
  <c r="F9" i="20"/>
  <c r="E9" i="20"/>
  <c r="D9" i="20"/>
  <c r="U8" i="20"/>
  <c r="T8" i="20"/>
  <c r="S8" i="20"/>
  <c r="Q8" i="20"/>
  <c r="P8" i="20"/>
  <c r="O8" i="20"/>
  <c r="U7" i="20"/>
  <c r="T7" i="20"/>
  <c r="S7" i="20"/>
  <c r="I7" i="20"/>
  <c r="H7" i="20"/>
  <c r="F7" i="20"/>
  <c r="J36" i="20" l="1"/>
  <c r="C14" i="20" s="1"/>
  <c r="V43" i="20"/>
  <c r="N35" i="20"/>
  <c r="V35" i="20" s="1"/>
  <c r="U38" i="20"/>
  <c r="O37" i="20"/>
  <c r="Q38" i="20"/>
  <c r="N31" i="20"/>
  <c r="N32" i="20"/>
  <c r="N33" i="20"/>
  <c r="N34" i="20"/>
  <c r="R29" i="20"/>
  <c r="G7" i="20" s="1"/>
  <c r="G19" i="20"/>
  <c r="X41" i="20"/>
  <c r="N36" i="20"/>
  <c r="N37" i="20"/>
  <c r="N38" i="20"/>
  <c r="V38" i="20" s="1"/>
  <c r="X42" i="20"/>
  <c r="S31" i="20"/>
  <c r="P35" i="20"/>
  <c r="J38" i="20"/>
  <c r="J39" i="20"/>
  <c r="C17" i="20" s="1"/>
  <c r="S29" i="20"/>
  <c r="O31" i="20"/>
  <c r="S34" i="20"/>
  <c r="I23" i="20"/>
  <c r="J43" i="20"/>
  <c r="J33" i="20"/>
  <c r="C11" i="20" s="1"/>
  <c r="C13" i="20"/>
  <c r="P34" i="20"/>
  <c r="S39" i="20"/>
  <c r="J30" i="20"/>
  <c r="T39" i="20"/>
  <c r="P29" i="20"/>
  <c r="S32" i="20"/>
  <c r="P33" i="20"/>
  <c r="T31" i="20"/>
  <c r="P39" i="20"/>
  <c r="O39" i="20"/>
  <c r="P40" i="20"/>
  <c r="T29" i="20"/>
  <c r="T34" i="20"/>
  <c r="T30" i="20"/>
  <c r="O33" i="20"/>
  <c r="T35" i="20"/>
  <c r="P36" i="20"/>
  <c r="J37" i="20"/>
  <c r="R37" i="20" s="1"/>
  <c r="X37" i="20" s="1"/>
  <c r="S30" i="20"/>
  <c r="P31" i="20"/>
  <c r="J32" i="20"/>
  <c r="O32" i="20"/>
  <c r="O35" i="20"/>
  <c r="P32" i="20"/>
  <c r="J34" i="20"/>
  <c r="O34" i="20"/>
  <c r="O36" i="20"/>
  <c r="P37" i="20"/>
  <c r="S35" i="20"/>
  <c r="J31" i="20"/>
  <c r="R31" i="20" s="1"/>
  <c r="G9" i="20" s="1"/>
  <c r="T32" i="20"/>
  <c r="J40" i="20"/>
  <c r="O40" i="20"/>
  <c r="W41" i="20"/>
  <c r="W38" i="20" l="1"/>
  <c r="X45" i="20"/>
  <c r="C16" i="20"/>
  <c r="R38" i="20"/>
  <c r="U31" i="20"/>
  <c r="Q29" i="20"/>
  <c r="Q35" i="20"/>
  <c r="G15" i="20"/>
  <c r="U32" i="20"/>
  <c r="R39" i="20"/>
  <c r="G17" i="20" s="1"/>
  <c r="Q31" i="20"/>
  <c r="U29" i="20"/>
  <c r="U34" i="20"/>
  <c r="R33" i="20"/>
  <c r="X33" i="20" s="1"/>
  <c r="U35" i="20"/>
  <c r="Q32" i="20"/>
  <c r="Q34" i="20"/>
  <c r="C21" i="20"/>
  <c r="Q40" i="20"/>
  <c r="Q37" i="20"/>
  <c r="W37" i="20" s="1"/>
  <c r="C15" i="20"/>
  <c r="U43" i="20"/>
  <c r="R21" i="20" s="1"/>
  <c r="U30" i="20"/>
  <c r="W30" i="20" s="1"/>
  <c r="Q33" i="20"/>
  <c r="Q39" i="20"/>
  <c r="C8" i="20"/>
  <c r="R35" i="20"/>
  <c r="U39" i="20"/>
  <c r="Q36" i="20"/>
  <c r="W36" i="20" s="1"/>
  <c r="C18" i="20"/>
  <c r="R40" i="20"/>
  <c r="X40" i="20" s="1"/>
  <c r="R36" i="20"/>
  <c r="X36" i="20" s="1"/>
  <c r="C10" i="20"/>
  <c r="R32" i="20"/>
  <c r="G10" i="20" s="1"/>
  <c r="W45" i="20"/>
  <c r="C9" i="20"/>
  <c r="C7" i="20"/>
  <c r="C12" i="20"/>
  <c r="R34" i="20"/>
  <c r="G12" i="20" s="1"/>
  <c r="G13" i="20" l="1"/>
  <c r="X35" i="20"/>
  <c r="G16" i="20"/>
  <c r="X38" i="20"/>
  <c r="W34" i="20"/>
  <c r="G14" i="20"/>
  <c r="G18" i="20"/>
  <c r="G11" i="20"/>
  <c r="W29" i="20"/>
  <c r="W43" i="20"/>
  <c r="W31" i="20"/>
  <c r="W40" i="20"/>
  <c r="W35" i="20"/>
  <c r="W32" i="20"/>
  <c r="W33" i="20"/>
  <c r="W39" i="20"/>
  <c r="J30" i="17"/>
  <c r="J32" i="17"/>
  <c r="J27" i="17"/>
  <c r="J29" i="17"/>
  <c r="J33" i="17"/>
  <c r="J31" i="17"/>
  <c r="W47" i="20" l="1"/>
  <c r="C60" i="17" l="1"/>
  <c r="B41" i="17"/>
  <c r="B29" i="17" l="1"/>
  <c r="B43" i="17"/>
  <c r="C34" i="17"/>
  <c r="B44" i="17"/>
  <c r="B31" i="17"/>
  <c r="C31" i="17" l="1"/>
  <c r="B33" i="17"/>
  <c r="B32" i="17"/>
  <c r="E7" i="17"/>
  <c r="E8" i="17"/>
  <c r="E9" i="17"/>
  <c r="E10" i="17"/>
  <c r="E11" i="17"/>
  <c r="E12" i="17"/>
  <c r="E13" i="17"/>
  <c r="E14" i="17"/>
  <c r="E15" i="17"/>
  <c r="Y38" i="20" s="1"/>
  <c r="Z38" i="20" s="1"/>
  <c r="E16" i="17"/>
  <c r="Y39" i="20" s="1"/>
  <c r="E17" i="17"/>
  <c r="Y40" i="20" s="1"/>
  <c r="Z40" i="20" s="1"/>
  <c r="E18" i="17"/>
  <c r="Y41" i="20" s="1"/>
  <c r="Z41" i="20" s="1"/>
  <c r="E19" i="17"/>
  <c r="Y42" i="20" s="1"/>
  <c r="Z42" i="20" s="1"/>
  <c r="E20" i="17"/>
  <c r="Y45" i="20" s="1"/>
  <c r="Z45" i="20" s="1"/>
  <c r="B26" i="17" l="1"/>
  <c r="Y30" i="20"/>
  <c r="G65" i="17"/>
  <c r="Y37" i="20"/>
  <c r="Z37" i="20" s="1"/>
  <c r="G61" i="17"/>
  <c r="Y33" i="20"/>
  <c r="Z33" i="20" s="1"/>
  <c r="G62" i="17"/>
  <c r="Y36" i="20"/>
  <c r="Z36" i="20" s="1"/>
  <c r="G63" i="17"/>
  <c r="Y32" i="20"/>
  <c r="G60" i="17"/>
  <c r="Y31" i="20"/>
  <c r="G64" i="17"/>
  <c r="Y43" i="20"/>
  <c r="Y35" i="20"/>
  <c r="Y34" i="20"/>
  <c r="Y29" i="20"/>
  <c r="D34" i="17" l="1"/>
  <c r="D27" i="17"/>
  <c r="Y47" i="20"/>
  <c r="C43" i="17" l="1"/>
  <c r="C29" i="17"/>
  <c r="C27" i="17"/>
  <c r="D43" i="17"/>
  <c r="D29" i="17"/>
  <c r="C65" i="17"/>
  <c r="C64" i="17"/>
  <c r="C63" i="17"/>
  <c r="C62" i="17"/>
  <c r="Q28" i="17" l="1"/>
  <c r="Q29" i="17"/>
  <c r="Q27" i="17"/>
  <c r="N18" i="20" l="1"/>
  <c r="N7" i="20"/>
  <c r="V29" i="20"/>
  <c r="N8" i="20"/>
  <c r="N10" i="20"/>
  <c r="N13" i="20"/>
  <c r="AD29" i="20" s="1"/>
  <c r="N15" i="20"/>
  <c r="N9" i="20"/>
  <c r="AD48" i="20"/>
  <c r="AE48" i="20" s="1"/>
  <c r="V31" i="20"/>
  <c r="R9" i="20" s="1"/>
  <c r="V32" i="20"/>
  <c r="R10" i="20" s="1"/>
  <c r="V34" i="20"/>
  <c r="N17" i="20"/>
  <c r="N16" i="20"/>
  <c r="V30" i="20"/>
  <c r="N12" i="20"/>
  <c r="N14" i="20"/>
  <c r="V39" i="20"/>
  <c r="N11" i="20"/>
  <c r="X39" i="20" l="1"/>
  <c r="Z39" i="20" s="1"/>
  <c r="X32" i="20"/>
  <c r="Z32" i="20" s="1"/>
  <c r="Z35" i="20"/>
  <c r="R13" i="20"/>
  <c r="X30" i="20"/>
  <c r="Z30" i="20" s="1"/>
  <c r="R8" i="20"/>
  <c r="X34" i="20"/>
  <c r="Z34" i="20" s="1"/>
  <c r="R12" i="20"/>
  <c r="X31" i="20"/>
  <c r="Z31" i="20" s="1"/>
  <c r="X29" i="20"/>
  <c r="R7" i="20"/>
  <c r="Z29" i="20" l="1"/>
  <c r="AC47" i="20"/>
  <c r="AD47" i="20" s="1"/>
  <c r="Z43" i="20"/>
  <c r="N21" i="20"/>
  <c r="X47" i="20" l="1"/>
</calcChain>
</file>

<file path=xl/sharedStrings.xml><?xml version="1.0" encoding="utf-8"?>
<sst xmlns="http://schemas.openxmlformats.org/spreadsheetml/2006/main" count="426" uniqueCount="165">
  <si>
    <t>PC</t>
  </si>
  <si>
    <t>TK</t>
  </si>
  <si>
    <t>Chemical Injection Pump</t>
  </si>
  <si>
    <t>CIP</t>
  </si>
  <si>
    <t>Header</t>
  </si>
  <si>
    <t>HD</t>
  </si>
  <si>
    <t>Heater</t>
  </si>
  <si>
    <t>HE</t>
  </si>
  <si>
    <t>Separator</t>
  </si>
  <si>
    <t>Meter</t>
  </si>
  <si>
    <t>Dehydrator</t>
  </si>
  <si>
    <t>Well</t>
  </si>
  <si>
    <t>Vents</t>
  </si>
  <si>
    <t>TV</t>
  </si>
  <si>
    <t>&gt; 10,000 ppmv</t>
  </si>
  <si>
    <t xml:space="preserve"> - </t>
  </si>
  <si>
    <t>500-10,000 ppmv</t>
  </si>
  <si>
    <t>Mean</t>
  </si>
  <si>
    <t>Tanks - Leaks</t>
  </si>
  <si>
    <t>Tanks - Vents</t>
  </si>
  <si>
    <t>Compressor - Recip</t>
  </si>
  <si>
    <t>Pneumatic Controller</t>
  </si>
  <si>
    <t>Well heads</t>
  </si>
  <si>
    <t>Natural gas systems</t>
  </si>
  <si>
    <t>Petroleum systems</t>
  </si>
  <si>
    <t>Wells</t>
  </si>
  <si>
    <t>Total</t>
  </si>
  <si>
    <t>Inf</t>
  </si>
  <si>
    <t>NaN</t>
  </si>
  <si>
    <t>Gas</t>
  </si>
  <si>
    <t>Petroleum</t>
  </si>
  <si>
    <t>Marginal</t>
  </si>
  <si>
    <t>non-marginal</t>
  </si>
  <si>
    <t>NG systems (kt)</t>
  </si>
  <si>
    <t>EF</t>
  </si>
  <si>
    <t>Pet systems (kt)</t>
  </si>
  <si>
    <t>Wellhead</t>
  </si>
  <si>
    <t>W</t>
  </si>
  <si>
    <t>S</t>
  </si>
  <si>
    <t>D</t>
  </si>
  <si>
    <t>Meter/ Piping</t>
  </si>
  <si>
    <t>M</t>
  </si>
  <si>
    <t>Recip. Compressor</t>
  </si>
  <si>
    <t>C</t>
  </si>
  <si>
    <t>Chem. Inj. Pumps</t>
  </si>
  <si>
    <t>Pneu. Controllers</t>
  </si>
  <si>
    <t>Tanks (leaks)</t>
  </si>
  <si>
    <t>Liquids unloading</t>
  </si>
  <si>
    <t>LU</t>
  </si>
  <si>
    <t>Completions</t>
  </si>
  <si>
    <t>CMP</t>
  </si>
  <si>
    <t>Workovers</t>
  </si>
  <si>
    <t>WK</t>
  </si>
  <si>
    <t>Comp slip</t>
  </si>
  <si>
    <t>MS</t>
  </si>
  <si>
    <t>Tank venting</t>
  </si>
  <si>
    <t>EF unit</t>
  </si>
  <si>
    <t>kg/well</t>
  </si>
  <si>
    <t>kg/separator</t>
  </si>
  <si>
    <t>kg/dehydrator</t>
  </si>
  <si>
    <t>kg/meter</t>
  </si>
  <si>
    <t>kg/compressor</t>
  </si>
  <si>
    <t>kg/heater</t>
  </si>
  <si>
    <t>kg/pump</t>
  </si>
  <si>
    <t>kg/controller</t>
  </si>
  <si>
    <t>kg/event</t>
  </si>
  <si>
    <t>kg/MMHPhr</t>
  </si>
  <si>
    <t>completion</t>
  </si>
  <si>
    <t>workover</t>
  </si>
  <si>
    <t>Tank flashing</t>
  </si>
  <si>
    <t>Combustion</t>
  </si>
  <si>
    <t>Liquids unloadings</t>
  </si>
  <si>
    <t>scaling factor</t>
  </si>
  <si>
    <t>total</t>
  </si>
  <si>
    <t>marginal</t>
  </si>
  <si>
    <t>gas</t>
  </si>
  <si>
    <t>oil</t>
  </si>
  <si>
    <t>marg</t>
  </si>
  <si>
    <t>nonmarg</t>
  </si>
  <si>
    <t>AF</t>
  </si>
  <si>
    <t xml:space="preserve">  - </t>
  </si>
  <si>
    <t>This study</t>
  </si>
  <si>
    <t>Tanks</t>
  </si>
  <si>
    <t>Leaks</t>
  </si>
  <si>
    <t>EPA</t>
  </si>
  <si>
    <t>Flashing</t>
  </si>
  <si>
    <t>Recip Compressor</t>
  </si>
  <si>
    <t>Tanks-leaks</t>
  </si>
  <si>
    <t>Tanks-vents</t>
  </si>
  <si>
    <t>Recip Comp</t>
  </si>
  <si>
    <t>Dehy</t>
  </si>
  <si>
    <t>Comp</t>
  </si>
  <si>
    <t>Work</t>
  </si>
  <si>
    <t>Comb</t>
  </si>
  <si>
    <t>Oil</t>
  </si>
  <si>
    <t>Total emissions [Gg]</t>
  </si>
  <si>
    <t>Greenhouse Gas Inventory (GHGI)</t>
  </si>
  <si>
    <t>Activity factor
[# equipment]</t>
  </si>
  <si>
    <t>Emissions factor - Marginal
[kg/day]</t>
  </si>
  <si>
    <t>Emissions factor- Non-marginal
[kg/day]</t>
  </si>
  <si>
    <t>Emissions factor 
[kg/day]</t>
  </si>
  <si>
    <t>PASTE VALUES</t>
  </si>
  <si>
    <t>LINKED TO HIGHLIGHTED SECTION</t>
  </si>
  <si>
    <t>This study total</t>
  </si>
  <si>
    <t>EPA total</t>
  </si>
  <si>
    <t>scf/yr</t>
  </si>
  <si>
    <t>DI Onshore Production</t>
  </si>
  <si>
    <t>Bscf/yr</t>
  </si>
  <si>
    <t>kg/yr</t>
  </si>
  <si>
    <t>Tg/yr</t>
  </si>
  <si>
    <t>This study loss rate</t>
  </si>
  <si>
    <t>emissions rate</t>
  </si>
  <si>
    <t>Alvarez</t>
  </si>
  <si>
    <t>Omara</t>
  </si>
  <si>
    <t>EPA lo</t>
  </si>
  <si>
    <t>EPA hi</t>
  </si>
  <si>
    <t>a)</t>
  </si>
  <si>
    <t>b)</t>
  </si>
  <si>
    <t>c)</t>
  </si>
  <si>
    <t>d)</t>
  </si>
  <si>
    <t>e)</t>
  </si>
  <si>
    <t>f)</t>
  </si>
  <si>
    <t>g)</t>
  </si>
  <si>
    <t>h)</t>
  </si>
  <si>
    <t>i)</t>
  </si>
  <si>
    <t>j)</t>
  </si>
  <si>
    <t>Ave</t>
  </si>
  <si>
    <t>COMPLETIONS AND WORKOVERS</t>
  </si>
  <si>
    <t>Emissions</t>
  </si>
  <si>
    <t>COPY AND PASTED FROM GHG_EQ_LEVEL SPREADSHEET</t>
  </si>
  <si>
    <t>COPY AND PASTE FROM EQUIPPLOTS_V21 MATLAB CODE</t>
  </si>
  <si>
    <t>CALCULATIONS</t>
  </si>
  <si>
    <t>Gas system activity</t>
  </si>
  <si>
    <t>Oil system activity</t>
  </si>
  <si>
    <t>Gas system emissions</t>
  </si>
  <si>
    <t>Oil system emissions</t>
  </si>
  <si>
    <t>OPGEE Outputs</t>
  </si>
  <si>
    <t>Total emissions</t>
  </si>
  <si>
    <t>Use marg + nonmarg EFS</t>
  </si>
  <si>
    <t>Use Ave Efs</t>
  </si>
  <si>
    <t>Emissions factor - Average
[kg/day]</t>
  </si>
  <si>
    <t>multiplier</t>
  </si>
  <si>
    <t>Flare methane</t>
  </si>
  <si>
    <t>COPY AND PASTE FROM GHGRP MASTER WORKSHEET</t>
  </si>
  <si>
    <t>Activity</t>
  </si>
  <si>
    <t>Emissions factor (kg/event)</t>
  </si>
  <si>
    <t>Onshore flaring</t>
  </si>
  <si>
    <t>FL</t>
  </si>
  <si>
    <t>diff</t>
  </si>
  <si>
    <t xml:space="preserve">From GHGI_EQ_Level Spreadsheet </t>
  </si>
  <si>
    <t>Methane slip</t>
  </si>
  <si>
    <t>Tanks - Unintentional vents</t>
  </si>
  <si>
    <t>Tank - Intentional vents</t>
  </si>
  <si>
    <t>Tanks - intentional venting</t>
  </si>
  <si>
    <t>Flaring</t>
  </si>
  <si>
    <t>Emissions [tonnes/year]</t>
  </si>
  <si>
    <t>Upper bound</t>
  </si>
  <si>
    <t>Lower bound</t>
  </si>
  <si>
    <t>Total emissions [Tg/year]</t>
  </si>
  <si>
    <t>CALCULATIONS FOR PIE CHART</t>
  </si>
  <si>
    <t>Final emissions results (averaged across 100 Monte Carlo realizations) [Tg/year]. Paste from DATA_PROC_MASTER</t>
  </si>
  <si>
    <t>Multiplier = total equipment with non-zero emissions divided by total equipment</t>
  </si>
  <si>
    <t>alvarez loss rate</t>
  </si>
  <si>
    <t>Unintentional vents</t>
  </si>
  <si>
    <t>Intentional 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</si>
</sst>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00"/>
    <numFmt numFmtId="166" formatCode="_(* #,##0_);_(* \(#,##0\);_(* &quot;-&quot;??_);_(@_)"/>
    <numFmt numFmtId="167" formatCode="0.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color theme="0"/>
      <name val="Helvetica"/>
      <family val="2"/>
    </font>
    <font>
      <sz val="10"/>
      <color theme="5"/>
      <name val="Helvetica"/>
      <family val="2"/>
    </font>
    <font>
      <sz val="10"/>
      <color theme="1"/>
      <name val="Helvetica"/>
      <family val="2"/>
    </font>
    <font>
      <sz val="10"/>
      <color rgb="FFFFFFFF"/>
      <name val="Helvetica"/>
      <family val="2"/>
    </font>
    <font>
      <b/>
      <i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color theme="1"/>
      <name val="Calibri"/>
      <family val="2"/>
      <scheme val="minor"/>
    </font>
    <font>
      <sz val="12"/>
      <color theme="0"/>
      <name val="Helvetica"/>
      <family val="2"/>
    </font>
    <font>
      <b/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8C151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9" fontId="2" fillId="0" borderId="0" applyFont="0" applyFill="0" applyBorder="0" applyAlignment="0" applyProtection="0"/>
    <xf numFmtId="0" fontId="3" fillId="3" borderId="6">
      <alignment wrapText="1"/>
    </xf>
    <xf numFmtId="164" fontId="4" fillId="4" borderId="7"/>
    <xf numFmtId="0" fontId="6" fillId="7" borderId="6">
      <alignment wrapText="1"/>
    </xf>
    <xf numFmtId="0" fontId="5" fillId="9" borderId="0"/>
    <xf numFmtId="9" fontId="10" fillId="0" borderId="0" applyFont="0" applyFill="0" applyBorder="0" applyAlignment="0" applyProtection="0"/>
    <xf numFmtId="0" fontId="10" fillId="0" borderId="0"/>
    <xf numFmtId="0" fontId="11" fillId="3" borderId="1"/>
    <xf numFmtId="43" fontId="2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14" applyNumberFormat="0" applyFill="0" applyAlignment="0" applyProtection="0"/>
    <xf numFmtId="0" fontId="16" fillId="0" borderId="15" applyNumberFormat="0" applyFill="0" applyAlignment="0" applyProtection="0"/>
    <xf numFmtId="0" fontId="17" fillId="0" borderId="16" applyNumberFormat="0" applyFill="0" applyAlignment="0" applyProtection="0"/>
    <xf numFmtId="0" fontId="17" fillId="0" borderId="0" applyNumberFormat="0" applyFill="0" applyBorder="0" applyAlignment="0" applyProtection="0"/>
    <xf numFmtId="0" fontId="18" fillId="14" borderId="0" applyNumberFormat="0" applyBorder="0" applyAlignment="0" applyProtection="0"/>
    <xf numFmtId="0" fontId="19" fillId="15" borderId="0" applyNumberFormat="0" applyBorder="0" applyAlignment="0" applyProtection="0"/>
    <xf numFmtId="0" fontId="20" fillId="17" borderId="17" applyNumberFormat="0" applyAlignment="0" applyProtection="0"/>
    <xf numFmtId="0" fontId="21" fillId="18" borderId="18" applyNumberFormat="0" applyAlignment="0" applyProtection="0"/>
    <xf numFmtId="0" fontId="22" fillId="18" borderId="17" applyNumberFormat="0" applyAlignment="0" applyProtection="0"/>
    <xf numFmtId="0" fontId="23" fillId="0" borderId="19" applyNumberFormat="0" applyFill="0" applyAlignment="0" applyProtection="0"/>
    <xf numFmtId="0" fontId="24" fillId="19" borderId="20" applyNumberFormat="0" applyAlignment="0" applyProtection="0"/>
    <xf numFmtId="0" fontId="25" fillId="0" borderId="0" applyNumberFormat="0" applyFill="0" applyBorder="0" applyAlignment="0" applyProtection="0"/>
    <xf numFmtId="0" fontId="2" fillId="20" borderId="21" applyNumberFormat="0" applyFont="0" applyAlignment="0" applyProtection="0"/>
    <xf numFmtId="0" fontId="26" fillId="0" borderId="0" applyNumberFormat="0" applyFill="0" applyBorder="0" applyAlignment="0" applyProtection="0"/>
    <xf numFmtId="0" fontId="12" fillId="0" borderId="22" applyNumberFormat="0" applyFill="0" applyAlignment="0" applyProtection="0"/>
    <xf numFmtId="0" fontId="2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7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7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7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8" fillId="16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7" fillId="40" borderId="0" applyNumberFormat="0" applyBorder="0" applyAlignment="0" applyProtection="0"/>
    <xf numFmtId="0" fontId="27" fillId="44" borderId="0" applyNumberFormat="0" applyBorder="0" applyAlignment="0" applyProtection="0"/>
  </cellStyleXfs>
  <cellXfs count="139">
    <xf numFmtId="0" fontId="0" fillId="0" borderId="0" xfId="0"/>
    <xf numFmtId="0" fontId="0" fillId="6" borderId="0" xfId="0" applyFill="1"/>
    <xf numFmtId="164" fontId="9" fillId="8" borderId="0" xfId="3" applyFont="1" applyFill="1" applyBorder="1" applyAlignment="1">
      <alignment horizontal="center"/>
    </xf>
    <xf numFmtId="0" fontId="8" fillId="2" borderId="0" xfId="0" applyFont="1" applyFill="1" applyBorder="1"/>
    <xf numFmtId="164" fontId="9" fillId="8" borderId="1" xfId="3" applyFont="1" applyFill="1" applyBorder="1" applyAlignment="1">
      <alignment horizontal="center"/>
    </xf>
    <xf numFmtId="164" fontId="9" fillId="8" borderId="2" xfId="3" applyFont="1" applyFill="1" applyBorder="1" applyAlignment="1">
      <alignment horizontal="center"/>
    </xf>
    <xf numFmtId="164" fontId="9" fillId="8" borderId="11" xfId="3" applyFont="1" applyFill="1" applyBorder="1" applyAlignment="1">
      <alignment horizontal="center"/>
    </xf>
    <xf numFmtId="164" fontId="9" fillId="8" borderId="12" xfId="3" applyFont="1" applyFill="1" applyBorder="1" applyAlignment="1">
      <alignment horizontal="center"/>
    </xf>
    <xf numFmtId="164" fontId="9" fillId="8" borderId="13" xfId="3" applyFont="1" applyFill="1" applyBorder="1" applyAlignment="1">
      <alignment horizontal="center"/>
    </xf>
    <xf numFmtId="0" fontId="9" fillId="8" borderId="2" xfId="2" applyFont="1" applyFill="1" applyBorder="1" applyProtection="1">
      <alignment wrapText="1"/>
      <protection locked="0"/>
    </xf>
    <xf numFmtId="0" fontId="9" fillId="8" borderId="0" xfId="2" applyFont="1" applyFill="1" applyBorder="1" applyProtection="1">
      <alignment wrapText="1"/>
      <protection locked="0"/>
    </xf>
    <xf numFmtId="0" fontId="9" fillId="8" borderId="1" xfId="2" applyFont="1" applyFill="1" applyBorder="1" applyProtection="1">
      <alignment wrapText="1"/>
      <protection locked="0"/>
    </xf>
    <xf numFmtId="164" fontId="9" fillId="8" borderId="8" xfId="3" applyFont="1" applyFill="1" applyBorder="1" applyAlignment="1">
      <alignment horizontal="center"/>
    </xf>
    <xf numFmtId="164" fontId="9" fillId="8" borderId="3" xfId="3" applyFont="1" applyFill="1" applyBorder="1" applyAlignment="1">
      <alignment horizontal="center"/>
    </xf>
    <xf numFmtId="164" fontId="9" fillId="8" borderId="4" xfId="3" applyFont="1" applyFill="1" applyBorder="1" applyAlignment="1">
      <alignment horizontal="center"/>
    </xf>
    <xf numFmtId="0" fontId="9" fillId="8" borderId="10" xfId="4" applyFont="1" applyFill="1" applyBorder="1" applyAlignment="1" applyProtection="1">
      <alignment horizontal="center" vertical="center" wrapText="1"/>
      <protection locked="0"/>
    </xf>
    <xf numFmtId="0" fontId="9" fillId="8" borderId="5" xfId="4" applyFont="1" applyFill="1" applyBorder="1" applyAlignment="1" applyProtection="1">
      <alignment horizontal="center" vertical="center" wrapText="1"/>
      <protection locked="0"/>
    </xf>
    <xf numFmtId="0" fontId="9" fillId="8" borderId="9" xfId="4" applyFont="1" applyFill="1" applyBorder="1" applyAlignment="1" applyProtection="1">
      <alignment horizontal="center" vertical="center" wrapText="1"/>
      <protection locked="0"/>
    </xf>
    <xf numFmtId="0" fontId="0" fillId="10" borderId="0" xfId="0" applyFill="1"/>
    <xf numFmtId="0" fontId="0" fillId="2" borderId="0" xfId="0" applyFill="1"/>
    <xf numFmtId="0" fontId="8" fillId="8" borderId="1" xfId="4" applyFont="1" applyFill="1" applyBorder="1" applyAlignment="1" applyProtection="1">
      <alignment horizontal="center" vertical="center" wrapText="1"/>
      <protection locked="0"/>
    </xf>
    <xf numFmtId="0" fontId="8" fillId="8" borderId="2" xfId="2" applyFont="1" applyFill="1" applyBorder="1" applyAlignment="1" applyProtection="1">
      <alignment vertical="center" wrapText="1"/>
      <protection locked="0"/>
    </xf>
    <xf numFmtId="166" fontId="8" fillId="8" borderId="12" xfId="9" applyNumberFormat="1" applyFont="1" applyFill="1" applyBorder="1" applyAlignment="1" applyProtection="1">
      <alignment vertical="center" wrapText="1"/>
      <protection locked="0"/>
    </xf>
    <xf numFmtId="164" fontId="8" fillId="8" borderId="0" xfId="3" applyFont="1" applyFill="1" applyBorder="1" applyAlignment="1">
      <alignment horizontal="center" vertical="center"/>
    </xf>
    <xf numFmtId="0" fontId="8" fillId="8" borderId="0" xfId="2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>
      <alignment vertical="center"/>
    </xf>
    <xf numFmtId="0" fontId="8" fillId="8" borderId="1" xfId="2" applyFont="1" applyFill="1" applyBorder="1" applyAlignment="1" applyProtection="1">
      <alignment vertical="center" wrapText="1"/>
      <protection locked="0"/>
    </xf>
    <xf numFmtId="166" fontId="8" fillId="8" borderId="13" xfId="9" applyNumberFormat="1" applyFont="1" applyFill="1" applyBorder="1" applyAlignment="1" applyProtection="1">
      <alignment vertical="center" wrapText="1"/>
      <protection locked="0"/>
    </xf>
    <xf numFmtId="164" fontId="8" fillId="8" borderId="1" xfId="3" applyFont="1" applyFill="1" applyBorder="1" applyAlignment="1">
      <alignment horizontal="center" vertical="center"/>
    </xf>
    <xf numFmtId="166" fontId="8" fillId="8" borderId="12" xfId="9" applyNumberFormat="1" applyFont="1" applyFill="1" applyBorder="1" applyAlignment="1">
      <alignment horizontal="center" vertical="center"/>
    </xf>
    <xf numFmtId="166" fontId="8" fillId="8" borderId="13" xfId="9" applyNumberFormat="1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13" fillId="2" borderId="2" xfId="0" applyFont="1" applyFill="1" applyBorder="1" applyAlignment="1">
      <alignment horizontal="right"/>
    </xf>
    <xf numFmtId="0" fontId="13" fillId="2" borderId="2" xfId="0" applyFont="1" applyFill="1" applyBorder="1"/>
    <xf numFmtId="9" fontId="13" fillId="2" borderId="2" xfId="1" applyFont="1" applyFill="1" applyBorder="1"/>
    <xf numFmtId="0" fontId="13" fillId="2" borderId="0" xfId="0" applyFont="1" applyFill="1" applyBorder="1" applyAlignment="1">
      <alignment horizontal="right"/>
    </xf>
    <xf numFmtId="0" fontId="13" fillId="2" borderId="0" xfId="0" applyFont="1" applyFill="1" applyBorder="1"/>
    <xf numFmtId="9" fontId="13" fillId="2" borderId="0" xfId="1" applyFont="1" applyFill="1" applyBorder="1"/>
    <xf numFmtId="0" fontId="13" fillId="2" borderId="1" xfId="0" applyFont="1" applyFill="1" applyBorder="1" applyAlignment="1">
      <alignment horizontal="right"/>
    </xf>
    <xf numFmtId="0" fontId="13" fillId="2" borderId="1" xfId="0" applyFont="1" applyFill="1" applyBorder="1"/>
    <xf numFmtId="9" fontId="13" fillId="2" borderId="1" xfId="1" applyFont="1" applyFill="1" applyBorder="1"/>
    <xf numFmtId="166" fontId="8" fillId="8" borderId="0" xfId="9" applyNumberFormat="1" applyFont="1" applyFill="1" applyBorder="1" applyAlignment="1" applyProtection="1">
      <alignment vertical="center" wrapText="1"/>
      <protection locked="0"/>
    </xf>
    <xf numFmtId="166" fontId="8" fillId="8" borderId="0" xfId="9" applyNumberFormat="1" applyFont="1" applyFill="1" applyBorder="1" applyAlignment="1">
      <alignment horizontal="center" vertical="center"/>
    </xf>
    <xf numFmtId="9" fontId="0" fillId="2" borderId="0" xfId="0" applyNumberFormat="1" applyFill="1"/>
    <xf numFmtId="1" fontId="0" fillId="2" borderId="0" xfId="0" applyNumberFormat="1" applyFill="1" applyAlignment="1">
      <alignment horizontal="center"/>
    </xf>
    <xf numFmtId="1" fontId="0" fillId="2" borderId="0" xfId="0" applyNumberFormat="1" applyFill="1"/>
    <xf numFmtId="0" fontId="8" fillId="2" borderId="0" xfId="4" applyFont="1" applyFill="1" applyBorder="1" applyAlignment="1" applyProtection="1">
      <alignment horizontal="center" vertical="center" wrapText="1"/>
      <protection locked="0"/>
    </xf>
    <xf numFmtId="9" fontId="8" fillId="2" borderId="0" xfId="1" applyFont="1" applyFill="1" applyBorder="1" applyAlignment="1">
      <alignment horizontal="center" vertical="center"/>
    </xf>
    <xf numFmtId="1" fontId="8" fillId="2" borderId="0" xfId="1" applyNumberFormat="1" applyFont="1" applyFill="1" applyBorder="1" applyAlignment="1">
      <alignment horizontal="center" vertical="center"/>
    </xf>
    <xf numFmtId="0" fontId="9" fillId="5" borderId="0" xfId="2" applyFont="1" applyFill="1" applyBorder="1" applyProtection="1">
      <alignment wrapText="1"/>
      <protection locked="0"/>
    </xf>
    <xf numFmtId="0" fontId="8" fillId="6" borderId="0" xfId="0" applyFont="1" applyFill="1" applyBorder="1"/>
    <xf numFmtId="0" fontId="9" fillId="5" borderId="2" xfId="2" applyFont="1" applyFill="1" applyBorder="1" applyAlignment="1" applyProtection="1">
      <protection locked="0"/>
    </xf>
    <xf numFmtId="0" fontId="9" fillId="5" borderId="0" xfId="2" applyFont="1" applyFill="1" applyBorder="1" applyAlignment="1" applyProtection="1">
      <protection locked="0"/>
    </xf>
    <xf numFmtId="0" fontId="9" fillId="5" borderId="1" xfId="2" applyFont="1" applyFill="1" applyBorder="1" applyAlignment="1" applyProtection="1">
      <protection locked="0"/>
    </xf>
    <xf numFmtId="0" fontId="9" fillId="11" borderId="0" xfId="2" applyFont="1" applyFill="1" applyBorder="1" applyAlignment="1" applyProtection="1">
      <protection locked="0"/>
    </xf>
    <xf numFmtId="0" fontId="9" fillId="11" borderId="0" xfId="2" applyFont="1" applyFill="1" applyBorder="1" applyAlignment="1" applyProtection="1">
      <alignment vertical="center"/>
      <protection locked="0"/>
    </xf>
    <xf numFmtId="164" fontId="8" fillId="6" borderId="0" xfId="3" applyFont="1" applyFill="1" applyBorder="1" applyAlignment="1">
      <alignment horizontal="center" vertical="center"/>
    </xf>
    <xf numFmtId="0" fontId="8" fillId="5" borderId="0" xfId="2" applyFont="1" applyFill="1" applyBorder="1" applyAlignment="1" applyProtection="1">
      <alignment vertical="center" wrapText="1"/>
      <protection locked="0"/>
    </xf>
    <xf numFmtId="166" fontId="8" fillId="5" borderId="0" xfId="9" applyNumberFormat="1" applyFont="1" applyFill="1" applyBorder="1" applyAlignment="1" applyProtection="1">
      <alignment vertical="center" wrapText="1"/>
      <protection locked="0"/>
    </xf>
    <xf numFmtId="164" fontId="8" fillId="5" borderId="0" xfId="3" applyFont="1" applyFill="1" applyBorder="1" applyAlignment="1">
      <alignment horizontal="center" vertical="center"/>
    </xf>
    <xf numFmtId="166" fontId="8" fillId="5" borderId="0" xfId="9" applyNumberFormat="1" applyFont="1" applyFill="1" applyBorder="1" applyAlignment="1">
      <alignment horizontal="center" vertical="center"/>
    </xf>
    <xf numFmtId="9" fontId="8" fillId="6" borderId="0" xfId="1" applyFont="1" applyFill="1" applyBorder="1" applyAlignment="1">
      <alignment horizontal="center" vertical="center"/>
    </xf>
    <xf numFmtId="1" fontId="8" fillId="6" borderId="0" xfId="1" applyNumberFormat="1" applyFont="1" applyFill="1" applyBorder="1" applyAlignment="1">
      <alignment horizontal="center" vertical="center"/>
    </xf>
    <xf numFmtId="164" fontId="9" fillId="5" borderId="0" xfId="3" applyFont="1" applyFill="1" applyBorder="1" applyAlignment="1">
      <alignment horizontal="center"/>
    </xf>
    <xf numFmtId="9" fontId="0" fillId="6" borderId="0" xfId="1" applyFont="1" applyFill="1"/>
    <xf numFmtId="43" fontId="0" fillId="6" borderId="0" xfId="0" applyNumberFormat="1" applyFill="1"/>
    <xf numFmtId="0" fontId="9" fillId="5" borderId="3" xfId="2" applyFont="1" applyFill="1" applyBorder="1" applyAlignment="1" applyProtection="1">
      <protection locked="0"/>
    </xf>
    <xf numFmtId="0" fontId="0" fillId="6" borderId="1" xfId="0" applyFill="1" applyBorder="1"/>
    <xf numFmtId="0" fontId="0" fillId="6" borderId="5" xfId="0" applyFill="1" applyBorder="1"/>
    <xf numFmtId="0" fontId="9" fillId="5" borderId="5" xfId="2" applyFont="1" applyFill="1" applyBorder="1" applyProtection="1">
      <alignment wrapText="1"/>
      <protection locked="0"/>
    </xf>
    <xf numFmtId="0" fontId="9" fillId="5" borderId="5" xfId="2" applyFont="1" applyFill="1" applyBorder="1" applyAlignment="1" applyProtection="1">
      <protection locked="0"/>
    </xf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8" fillId="5" borderId="5" xfId="2" applyFont="1" applyFill="1" applyBorder="1" applyAlignment="1" applyProtection="1">
      <alignment vertical="center" wrapText="1"/>
      <protection locked="0"/>
    </xf>
    <xf numFmtId="0" fontId="0" fillId="6" borderId="10" xfId="0" applyFill="1" applyBorder="1"/>
    <xf numFmtId="0" fontId="0" fillId="6" borderId="1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165" fontId="0" fillId="6" borderId="12" xfId="0" applyNumberFormat="1" applyFill="1" applyBorder="1" applyAlignment="1">
      <alignment horizontal="center"/>
    </xf>
    <xf numFmtId="165" fontId="0" fillId="6" borderId="0" xfId="0" applyNumberFormat="1" applyFill="1" applyBorder="1" applyAlignment="1">
      <alignment horizontal="center"/>
    </xf>
    <xf numFmtId="165" fontId="0" fillId="6" borderId="13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5" fontId="0" fillId="6" borderId="0" xfId="0" applyNumberFormat="1" applyFill="1"/>
    <xf numFmtId="164" fontId="8" fillId="8" borderId="2" xfId="3" applyFont="1" applyFill="1" applyBorder="1" applyAlignment="1">
      <alignment horizontal="center" vertical="center"/>
    </xf>
    <xf numFmtId="164" fontId="8" fillId="8" borderId="8" xfId="3" applyFont="1" applyFill="1" applyBorder="1" applyAlignment="1">
      <alignment horizontal="center" vertical="center"/>
    </xf>
    <xf numFmtId="164" fontId="8" fillId="8" borderId="3" xfId="3" applyFont="1" applyFill="1" applyBorder="1" applyAlignment="1">
      <alignment horizontal="center" vertical="center"/>
    </xf>
    <xf numFmtId="164" fontId="8" fillId="8" borderId="4" xfId="3" applyFont="1" applyFill="1" applyBorder="1" applyAlignment="1">
      <alignment horizontal="center" vertical="center"/>
    </xf>
    <xf numFmtId="166" fontId="8" fillId="8" borderId="11" xfId="9" applyNumberFormat="1" applyFont="1" applyFill="1" applyBorder="1" applyAlignment="1" applyProtection="1">
      <alignment vertical="center" wrapText="1"/>
      <protection locked="0"/>
    </xf>
    <xf numFmtId="164" fontId="8" fillId="8" borderId="0" xfId="3" applyNumberFormat="1" applyFont="1" applyFill="1" applyBorder="1" applyAlignment="1">
      <alignment horizontal="center" vertical="center"/>
    </xf>
    <xf numFmtId="164" fontId="8" fillId="8" borderId="2" xfId="3" applyNumberFormat="1" applyFont="1" applyFill="1" applyBorder="1" applyAlignment="1">
      <alignment horizontal="center" vertical="center"/>
    </xf>
    <xf numFmtId="0" fontId="12" fillId="2" borderId="0" xfId="0" applyFont="1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4" xfId="0" applyFill="1" applyBorder="1"/>
    <xf numFmtId="0" fontId="0" fillId="2" borderId="3" xfId="0" applyFill="1" applyBorder="1"/>
    <xf numFmtId="0" fontId="0" fillId="2" borderId="1" xfId="0" applyFill="1" applyBorder="1" applyAlignment="1">
      <alignment wrapText="1"/>
    </xf>
    <xf numFmtId="165" fontId="0" fillId="2" borderId="0" xfId="0" applyNumberFormat="1" applyFill="1"/>
    <xf numFmtId="2" fontId="0" fillId="2" borderId="0" xfId="0" applyNumberFormat="1" applyFill="1" applyAlignment="1">
      <alignment horizontal="center"/>
    </xf>
    <xf numFmtId="165" fontId="12" fillId="2" borderId="0" xfId="0" applyNumberFormat="1" applyFont="1" applyFill="1"/>
    <xf numFmtId="11" fontId="0" fillId="2" borderId="0" xfId="0" applyNumberFormat="1" applyFill="1"/>
    <xf numFmtId="0" fontId="0" fillId="4" borderId="0" xfId="0" applyFill="1"/>
    <xf numFmtId="0" fontId="12" fillId="4" borderId="0" xfId="0" applyFont="1" applyFill="1"/>
    <xf numFmtId="0" fontId="0" fillId="4" borderId="1" xfId="0" applyFill="1" applyBorder="1"/>
    <xf numFmtId="0" fontId="5" fillId="12" borderId="0" xfId="0" applyFont="1" applyFill="1" applyProtection="1">
      <protection locked="0"/>
    </xf>
    <xf numFmtId="0" fontId="0" fillId="4" borderId="12" xfId="0" applyFill="1" applyBorder="1"/>
    <xf numFmtId="0" fontId="0" fillId="4" borderId="0" xfId="0" applyFill="1" applyBorder="1"/>
    <xf numFmtId="0" fontId="0" fillId="4" borderId="0" xfId="0" applyFill="1" applyProtection="1">
      <protection locked="0"/>
    </xf>
    <xf numFmtId="0" fontId="5" fillId="13" borderId="0" xfId="0" applyFont="1" applyFill="1" applyProtection="1">
      <protection locked="0"/>
    </xf>
    <xf numFmtId="0" fontId="12" fillId="4" borderId="1" xfId="0" applyFont="1" applyFill="1" applyBorder="1"/>
    <xf numFmtId="0" fontId="0" fillId="4" borderId="4" xfId="0" applyFill="1" applyBorder="1"/>
    <xf numFmtId="0" fontId="0" fillId="4" borderId="8" xfId="0" applyFill="1" applyBorder="1"/>
    <xf numFmtId="0" fontId="0" fillId="4" borderId="3" xfId="0" applyFill="1" applyBorder="1"/>
    <xf numFmtId="0" fontId="0" fillId="0" borderId="0" xfId="0" applyFill="1"/>
    <xf numFmtId="2" fontId="0" fillId="6" borderId="0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167" fontId="8" fillId="2" borderId="0" xfId="3" applyNumberFormat="1" applyFont="1" applyFill="1" applyBorder="1" applyAlignment="1">
      <alignment horizontal="center" vertical="center"/>
    </xf>
    <xf numFmtId="166" fontId="8" fillId="8" borderId="1" xfId="9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165" fontId="0" fillId="45" borderId="0" xfId="0" applyNumberFormat="1" applyFill="1" applyAlignment="1">
      <alignment horizontal="center" vertical="center"/>
    </xf>
    <xf numFmtId="2" fontId="0" fillId="45" borderId="0" xfId="0" applyNumberFormat="1" applyFill="1" applyAlignment="1">
      <alignment horizontal="center"/>
    </xf>
    <xf numFmtId="165" fontId="0" fillId="4" borderId="0" xfId="0" applyNumberFormat="1" applyFill="1"/>
    <xf numFmtId="0" fontId="0" fillId="4" borderId="1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</cellXfs>
  <cellStyles count="51">
    <cellStyle name="20% - Accent1" xfId="27" builtinId="30" customBuiltin="1"/>
    <cellStyle name="20% - Accent2" xfId="30" builtinId="34" customBuiltin="1"/>
    <cellStyle name="20% - Accent3" xfId="33" builtinId="38" customBuiltin="1"/>
    <cellStyle name="20% - Accent4" xfId="36" builtinId="42" customBuiltin="1"/>
    <cellStyle name="20% - Accent5" xfId="39" builtinId="46" customBuiltin="1"/>
    <cellStyle name="20% - Accent6" xfId="42" builtinId="50" customBuiltin="1"/>
    <cellStyle name="40% - Accent1" xfId="28" builtinId="31" customBuiltin="1"/>
    <cellStyle name="40% - Accent2" xfId="31" builtinId="35" customBuiltin="1"/>
    <cellStyle name="40% - Accent3" xfId="34" builtinId="39" customBuiltin="1"/>
    <cellStyle name="40% - Accent4" xfId="37" builtinId="43" customBuiltin="1"/>
    <cellStyle name="40% - Accent5" xfId="40" builtinId="47" customBuiltin="1"/>
    <cellStyle name="40% - Accent6" xfId="43" builtinId="51" customBuiltin="1"/>
    <cellStyle name="60% - Accent1 2" xfId="45" xr:uid="{293841B9-3534-4A49-B1E4-64413E000671}"/>
    <cellStyle name="60% - Accent2 2" xfId="46" xr:uid="{A73D24D3-CAA3-4E6B-A9C5-812C801E1AC1}"/>
    <cellStyle name="60% - Accent3 2" xfId="47" xr:uid="{E19D92EA-D0E8-42EE-80EF-96FA567A03D9}"/>
    <cellStyle name="60% - Accent4 2" xfId="48" xr:uid="{26F698EE-138F-4451-B8BE-8983EFA5A586}"/>
    <cellStyle name="60% - Accent5 2" xfId="49" xr:uid="{421B4DCC-A459-43D9-A4DB-8D77C92E558D}"/>
    <cellStyle name="60% - Accent6 2" xfId="50" xr:uid="{29975152-F5CB-4A69-ACB4-F4B64DEC7136}"/>
    <cellStyle name="Accent1" xfId="26" builtinId="29" customBuiltin="1"/>
    <cellStyle name="Accent2" xfId="29" builtinId="33" customBuiltin="1"/>
    <cellStyle name="Accent3" xfId="32" builtinId="37" customBuiltin="1"/>
    <cellStyle name="Accent4" xfId="35" builtinId="41" customBuiltin="1"/>
    <cellStyle name="Accent5" xfId="38" builtinId="45" customBuiltin="1"/>
    <cellStyle name="Accent6" xfId="41" builtinId="49" customBuiltin="1"/>
    <cellStyle name="Bad" xfId="16" builtinId="27" customBuiltin="1"/>
    <cellStyle name="Calculation" xfId="19" builtinId="22" customBuiltin="1"/>
    <cellStyle name="Check Cell" xfId="21" builtinId="23" customBuiltin="1"/>
    <cellStyle name="Comma" xfId="9" builtinId="3"/>
    <cellStyle name="Explanatory Text" xfId="24" builtinId="53" customBuiltin="1"/>
    <cellStyle name="GHG First" xfId="8" xr:uid="{00000000-0005-0000-0000-000001000000}"/>
    <cellStyle name="Good" xfId="15" builtinId="26" customBuiltin="1"/>
    <cellStyle name="Heading 1" xfId="11" builtinId="16" customBuiltin="1"/>
    <cellStyle name="Heading 2" xfId="12" builtinId="17" customBuiltin="1"/>
    <cellStyle name="Heading 3" xfId="13" builtinId="18" customBuiltin="1"/>
    <cellStyle name="Heading 4" xfId="14" builtinId="19" customBuiltin="1"/>
    <cellStyle name="Input" xfId="17" builtinId="20" customBuiltin="1"/>
    <cellStyle name="Linked Cell" xfId="20" builtinId="24" customBuiltin="1"/>
    <cellStyle name="Neutral 2" xfId="44" xr:uid="{CBDB9294-9201-49FE-B8B1-5BF287490D64}"/>
    <cellStyle name="Normal" xfId="0" builtinId="0"/>
    <cellStyle name="Normal 2" xfId="7" xr:uid="{00000000-0005-0000-0000-000003000000}"/>
    <cellStyle name="Normal 3" xfId="5" xr:uid="{00000000-0005-0000-0000-000004000000}"/>
    <cellStyle name="Note" xfId="23" builtinId="10" customBuiltin="1"/>
    <cellStyle name="Output" xfId="18" builtinId="21" customBuiltin="1"/>
    <cellStyle name="Percent" xfId="1" builtinId="5"/>
    <cellStyle name="Percent 2" xfId="6" xr:uid="{00000000-0005-0000-0000-000006000000}"/>
    <cellStyle name="Table_Header" xfId="4" xr:uid="{00000000-0005-0000-0000-000007000000}"/>
    <cellStyle name="Table_Header 2" xfId="2" xr:uid="{00000000-0005-0000-0000-000008000000}"/>
    <cellStyle name="Title" xfId="10" builtinId="15" customBuiltin="1"/>
    <cellStyle name="Total" xfId="25" builtinId="25" customBuiltin="1"/>
    <cellStyle name="User_Locked" xfId="3" xr:uid="{00000000-0005-0000-0000-000009000000}"/>
    <cellStyle name="Warning Text" xfId="22" builtinId="11" customBuiltin="1"/>
  </cellStyles>
  <dxfs count="0"/>
  <tableStyles count="0" defaultTableStyle="TableStyleMedium2" defaultPivotStyle="PivotStyleLight16"/>
  <colors>
    <mruColors>
      <color rgb="FFDAD7CB"/>
      <color rgb="FFC74632"/>
      <color rgb="FF998F3E"/>
      <color rgb="FF5D4B3C"/>
      <color rgb="FF009B76"/>
      <color rgb="FF0098DB"/>
      <color rgb="FFEAAB00"/>
      <color rgb="FF53284F"/>
      <color rgb="FF175E54"/>
      <color rgb="FF7F77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D4B3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16-4294-A320-861622B0D146}"/>
              </c:ext>
            </c:extLst>
          </c:dPt>
          <c:dPt>
            <c:idx val="1"/>
            <c:bubble3D val="0"/>
            <c:spPr>
              <a:solidFill>
                <a:srgbClr val="998F3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16-4294-A320-861622B0D146}"/>
              </c:ext>
            </c:extLst>
          </c:dPt>
          <c:dPt>
            <c:idx val="2"/>
            <c:bubble3D val="0"/>
            <c:spPr>
              <a:solidFill>
                <a:srgbClr val="DAD7C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D16-4294-A320-861622B0D14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F2F4513B-A0EB-4803-A9B1-EF8FD5BAB5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D16-4294-A320-861622B0D14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6F93FC8-7335-4CAB-878F-9B5CA046F5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D16-4294-A320-861622B0D146}"/>
                </c:ext>
              </c:extLst>
            </c:dLbl>
            <c:dLbl>
              <c:idx val="2"/>
              <c:layout>
                <c:manualLayout>
                  <c:x val="9.7737556561085973E-2"/>
                  <c:y val="5.414189781420206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0" i="1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39CAC452-862B-412A-888F-34E2B2AAB510}" type="CELLRANGE">
                      <a:rPr lang="en-US"/>
                      <a:pPr>
                        <a:defRPr sz="1400" i="1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1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77132954074521"/>
                      <c:h val="0.24551560980280046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D16-4294-A320-861622B0D1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1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'Pie Charts'!$A$51:$A$53</c:f>
              <c:strCache>
                <c:ptCount val="3"/>
                <c:pt idx="0">
                  <c:v>Leaks</c:v>
                </c:pt>
                <c:pt idx="1">
                  <c:v>Vents</c:v>
                </c:pt>
                <c:pt idx="2">
                  <c:v>Flashing</c:v>
                </c:pt>
              </c:strCache>
            </c:strRef>
          </c:cat>
          <c:val>
            <c:numRef>
              <c:f>'Pie Charts'!$B$51:$B$53</c:f>
              <c:numCache>
                <c:formatCode>General</c:formatCode>
                <c:ptCount val="3"/>
                <c:pt idx="0">
                  <c:v>0.1827227259288845</c:v>
                </c:pt>
                <c:pt idx="1">
                  <c:v>1.2125047223973788</c:v>
                </c:pt>
                <c:pt idx="2">
                  <c:v>0.6255073828861698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'Pie Charts'!$O$27:$O$29</c15:f>
                <c15:dlblRangeCache>
                  <c:ptCount val="3"/>
                  <c:pt idx="0">
                    <c:v>h)</c:v>
                  </c:pt>
                  <c:pt idx="1">
                    <c:v>i)</c:v>
                  </c:pt>
                  <c:pt idx="2">
                    <c:v>j)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CD16-4294-A320-861622B0D14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7F777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C0-4093-BD13-0DC158252703}"/>
              </c:ext>
            </c:extLst>
          </c:dPt>
          <c:dPt>
            <c:idx val="1"/>
            <c:bubble3D val="0"/>
            <c:spPr>
              <a:solidFill>
                <a:srgbClr val="175E5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C0-4093-BD13-0DC158252703}"/>
              </c:ext>
            </c:extLst>
          </c:dPt>
          <c:dPt>
            <c:idx val="2"/>
            <c:bubble3D val="0"/>
            <c:spPr>
              <a:solidFill>
                <a:srgbClr val="E983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C0-4093-BD13-0DC158252703}"/>
              </c:ext>
            </c:extLst>
          </c:dPt>
          <c:dPt>
            <c:idx val="3"/>
            <c:bubble3D val="0"/>
            <c:spPr>
              <a:solidFill>
                <a:srgbClr val="53284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C0-4093-BD13-0DC158252703}"/>
              </c:ext>
            </c:extLst>
          </c:dPt>
          <c:dPt>
            <c:idx val="4"/>
            <c:bubble3D val="0"/>
            <c:spPr>
              <a:solidFill>
                <a:srgbClr val="EAAB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8C0-4093-BD13-0DC158252703}"/>
              </c:ext>
            </c:extLst>
          </c:dPt>
          <c:dPt>
            <c:idx val="5"/>
            <c:bubble3D val="0"/>
            <c:spPr>
              <a:solidFill>
                <a:srgbClr val="0098D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8C0-4093-BD13-0DC158252703}"/>
              </c:ext>
            </c:extLst>
          </c:dPt>
          <c:dPt>
            <c:idx val="6"/>
            <c:bubble3D val="0"/>
            <c:spPr>
              <a:solidFill>
                <a:srgbClr val="009B7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8C0-4093-BD13-0DC15825270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20C93EE-B3CE-40C5-8F14-8627C97A9B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8C0-4093-BD13-0DC158252703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0" i="1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5B0E8433-572D-4035-BB26-D3F18EE1B2F9}" type="CELLRANGE">
                      <a:rPr lang="en-US"/>
                      <a:pPr>
                        <a:defRPr sz="1400" b="0" i="1" u="none" strike="noStrike" kern="1200" baseline="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8C0-4093-BD13-0DC15825270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64088F-3EA9-4D8D-8B93-E63C201895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8C0-4093-BD13-0DC15825270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8B823AB-6331-42E5-B90E-FB75D17E66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8C0-4093-BD13-0DC15825270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FBCBB87-CD0F-45E5-88DA-68280FBFDD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8C0-4093-BD13-0DC15825270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98ACE16-0F04-4DF8-8491-DAB375EDFF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8C0-4093-BD13-0DC15825270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3A53F7F-B034-43D8-B6F8-24695587A4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8C0-4093-BD13-0DC1582527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1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'Pie Charts'!$H$27:$H$33</c:f>
              <c:strCache>
                <c:ptCount val="7"/>
                <c:pt idx="0">
                  <c:v>a)</c:v>
                </c:pt>
                <c:pt idx="1">
                  <c:v>b)</c:v>
                </c:pt>
                <c:pt idx="2">
                  <c:v>c)</c:v>
                </c:pt>
                <c:pt idx="3">
                  <c:v>d)</c:v>
                </c:pt>
                <c:pt idx="4">
                  <c:v>e)</c:v>
                </c:pt>
                <c:pt idx="5">
                  <c:v>f)</c:v>
                </c:pt>
                <c:pt idx="6">
                  <c:v>g)</c:v>
                </c:pt>
              </c:strCache>
            </c:strRef>
          </c:cat>
          <c:val>
            <c:numRef>
              <c:f>'Pie Charts'!$B$59:$B$65</c:f>
              <c:numCache>
                <c:formatCode>General</c:formatCode>
                <c:ptCount val="7"/>
                <c:pt idx="0">
                  <c:v>0.83030049981419496</c:v>
                </c:pt>
                <c:pt idx="1">
                  <c:v>0.55627168799249394</c:v>
                </c:pt>
                <c:pt idx="2">
                  <c:v>1.7573299545453398E-2</c:v>
                </c:pt>
                <c:pt idx="3">
                  <c:v>0.37672774365108003</c:v>
                </c:pt>
                <c:pt idx="4">
                  <c:v>6.9589624672014599E-2</c:v>
                </c:pt>
                <c:pt idx="5">
                  <c:v>8.722973893507921E-2</c:v>
                </c:pt>
                <c:pt idx="6">
                  <c:v>0.16540477423953701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'Pie Charts'!$H$27:$H$33</c15:f>
                <c15:dlblRangeCache>
                  <c:ptCount val="7"/>
                  <c:pt idx="0">
                    <c:v>a)</c:v>
                  </c:pt>
                  <c:pt idx="1">
                    <c:v>b)</c:v>
                  </c:pt>
                  <c:pt idx="2">
                    <c:v>c)</c:v>
                  </c:pt>
                  <c:pt idx="3">
                    <c:v>d)</c:v>
                  </c:pt>
                  <c:pt idx="4">
                    <c:v>e)</c:v>
                  </c:pt>
                  <c:pt idx="5">
                    <c:v>f)</c:v>
                  </c:pt>
                  <c:pt idx="6">
                    <c:v>g)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B8C0-4093-BD13-0DC15825270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465455</xdr:colOff>
      <xdr:row>6</xdr:row>
      <xdr:rowOff>66675</xdr:rowOff>
    </xdr:from>
    <xdr:to>
      <xdr:col>18</xdr:col>
      <xdr:colOff>97155</xdr:colOff>
      <xdr:row>19</xdr:row>
      <xdr:rowOff>55880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10D830-F3B9-474D-B7CC-BD56478A6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143510</xdr:colOff>
      <xdr:row>3</xdr:row>
      <xdr:rowOff>151765</xdr:rowOff>
    </xdr:from>
    <xdr:to>
      <xdr:col>11</xdr:col>
      <xdr:colOff>628650</xdr:colOff>
      <xdr:row>21</xdr:row>
      <xdr:rowOff>1905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093D71-7C10-451C-883B-4BE833657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4:Q96"/>
  <sheetViews>
    <sheetView tabSelected="1" topLeftCell="A34" zoomScale="115" zoomScaleNormal="115" workbookViewId="0">
      <selection activeCell="E39" sqref="E39"/>
    </sheetView>
  </sheetViews>
  <sheetFormatPr defaultColWidth="8.81640625" defaultRowHeight="14.5" x14ac:dyDescent="0.35"/>
  <cols>
    <col min="1" max="1" width="20.54296875" style="19" customWidth="1"/>
    <col min="2" max="2" width="14.81640625" style="19" customWidth="1"/>
    <col min="3" max="5" width="17.54296875" style="19" customWidth="1"/>
    <col min="6" max="6" width="12" style="19" bestFit="1" customWidth="1"/>
    <col min="7" max="7" width="18.1796875" style="19" customWidth="1"/>
    <col min="8" max="8" width="12" style="19" bestFit="1" customWidth="1"/>
    <col min="9" max="9" width="4.81640625" style="19" customWidth="1"/>
    <col min="10" max="10" width="19.453125" style="19" customWidth="1"/>
    <col min="11" max="11" width="5.54296875" style="19" customWidth="1"/>
    <col min="12" max="12" width="11" style="19" bestFit="1" customWidth="1"/>
    <col min="13" max="13" width="12" style="19" bestFit="1" customWidth="1"/>
    <col min="14" max="24" width="8.81640625" style="19"/>
    <col min="25" max="25" width="11" style="19" bestFit="1" customWidth="1"/>
    <col min="26" max="16384" width="8.81640625" style="19"/>
  </cols>
  <sheetData>
    <row r="4" spans="1:6" x14ac:dyDescent="0.35">
      <c r="B4" s="113" t="s">
        <v>160</v>
      </c>
      <c r="C4" s="113"/>
      <c r="D4" s="113"/>
      <c r="E4" s="113"/>
      <c r="F4" s="113"/>
    </row>
    <row r="5" spans="1:6" x14ac:dyDescent="0.35">
      <c r="B5" s="94"/>
      <c r="C5" s="32" t="s">
        <v>29</v>
      </c>
      <c r="D5" s="32" t="s">
        <v>94</v>
      </c>
      <c r="E5" s="32" t="s">
        <v>26</v>
      </c>
    </row>
    <row r="6" spans="1:6" x14ac:dyDescent="0.35">
      <c r="A6" s="92"/>
      <c r="B6" s="95" t="s">
        <v>25</v>
      </c>
      <c r="C6" s="120">
        <v>0.534712897599532</v>
      </c>
      <c r="D6" s="120">
        <v>0.29558760221466301</v>
      </c>
      <c r="E6" s="120">
        <f>C6+D6</f>
        <v>0.83030049981419496</v>
      </c>
    </row>
    <row r="7" spans="1:6" x14ac:dyDescent="0.35">
      <c r="A7" s="92"/>
      <c r="B7" s="95" t="s">
        <v>4</v>
      </c>
      <c r="C7" s="120">
        <v>0</v>
      </c>
      <c r="D7" s="120">
        <v>0.16540477423953701</v>
      </c>
      <c r="E7" s="120">
        <f t="shared" ref="E7:E19" si="0">C7+D7</f>
        <v>0.16540477423953701</v>
      </c>
    </row>
    <row r="8" spans="1:6" x14ac:dyDescent="0.35">
      <c r="A8" s="92"/>
      <c r="B8" s="95" t="s">
        <v>6</v>
      </c>
      <c r="C8" s="120">
        <v>4.3376501551214003E-2</v>
      </c>
      <c r="D8" s="120">
        <v>4.38532373838652E-2</v>
      </c>
      <c r="E8" s="120">
        <f t="shared" si="0"/>
        <v>8.722973893507921E-2</v>
      </c>
    </row>
    <row r="9" spans="1:6" x14ac:dyDescent="0.35">
      <c r="A9" s="92"/>
      <c r="B9" s="95" t="s">
        <v>8</v>
      </c>
      <c r="C9" s="120">
        <v>0.43966692081776798</v>
      </c>
      <c r="D9" s="120">
        <v>0.116604767174726</v>
      </c>
      <c r="E9" s="120">
        <f t="shared" si="0"/>
        <v>0.55627168799249394</v>
      </c>
    </row>
    <row r="10" spans="1:6" x14ac:dyDescent="0.35">
      <c r="A10" s="92"/>
      <c r="B10" s="95" t="s">
        <v>9</v>
      </c>
      <c r="C10" s="120">
        <v>0.37672774365108003</v>
      </c>
      <c r="D10" s="120">
        <v>0</v>
      </c>
      <c r="E10" s="120">
        <f t="shared" si="0"/>
        <v>0.37672774365108003</v>
      </c>
    </row>
    <row r="11" spans="1:6" x14ac:dyDescent="0.35">
      <c r="A11" s="92"/>
      <c r="B11" s="95" t="s">
        <v>87</v>
      </c>
      <c r="C11" s="120">
        <v>5.7994680946124498E-2</v>
      </c>
      <c r="D11" s="120">
        <v>0.12472804498275999</v>
      </c>
      <c r="E11" s="120">
        <f t="shared" si="0"/>
        <v>0.1827227259288845</v>
      </c>
    </row>
    <row r="12" spans="1:6" x14ac:dyDescent="0.35">
      <c r="A12" s="92"/>
      <c r="B12" s="95" t="s">
        <v>88</v>
      </c>
      <c r="C12" s="120">
        <v>0.51184912272424499</v>
      </c>
      <c r="D12" s="120">
        <v>0.70065559967313396</v>
      </c>
      <c r="E12" s="120">
        <f t="shared" si="0"/>
        <v>1.2125047223973788</v>
      </c>
    </row>
    <row r="13" spans="1:6" x14ac:dyDescent="0.35">
      <c r="A13" s="92"/>
      <c r="B13" s="95" t="s">
        <v>89</v>
      </c>
      <c r="C13" s="120">
        <v>6.9589624672014599E-2</v>
      </c>
      <c r="D13" s="120">
        <v>0</v>
      </c>
      <c r="E13" s="120">
        <f t="shared" si="0"/>
        <v>6.9589624672014599E-2</v>
      </c>
    </row>
    <row r="14" spans="1:6" x14ac:dyDescent="0.35">
      <c r="A14" s="92"/>
      <c r="B14" s="95" t="s">
        <v>90</v>
      </c>
      <c r="C14" s="120">
        <v>1.7573299545453398E-2</v>
      </c>
      <c r="D14" s="120">
        <v>0</v>
      </c>
      <c r="E14" s="120">
        <f t="shared" si="0"/>
        <v>1.7573299545453398E-2</v>
      </c>
    </row>
    <row r="15" spans="1:6" x14ac:dyDescent="0.35">
      <c r="A15" s="92"/>
      <c r="B15" s="95" t="s">
        <v>3</v>
      </c>
      <c r="C15" s="120">
        <v>0.17811463070514399</v>
      </c>
      <c r="D15" s="120">
        <v>6.8065814165852001E-2</v>
      </c>
      <c r="E15" s="120">
        <f t="shared" si="0"/>
        <v>0.246180444870996</v>
      </c>
    </row>
    <row r="16" spans="1:6" x14ac:dyDescent="0.35">
      <c r="A16" s="92"/>
      <c r="B16" s="95" t="s">
        <v>0</v>
      </c>
      <c r="C16" s="120">
        <v>0.83321079302786705</v>
      </c>
      <c r="D16" s="120">
        <v>0.47219108322518999</v>
      </c>
      <c r="E16" s="120">
        <f t="shared" si="0"/>
        <v>1.305401876253057</v>
      </c>
    </row>
    <row r="17" spans="1:17" x14ac:dyDescent="0.35">
      <c r="A17" s="92"/>
      <c r="B17" s="95" t="s">
        <v>48</v>
      </c>
      <c r="C17" s="120">
        <v>0.2442420201679</v>
      </c>
      <c r="D17" s="120">
        <v>0</v>
      </c>
      <c r="E17" s="120">
        <f t="shared" si="0"/>
        <v>0.2442420201679</v>
      </c>
    </row>
    <row r="18" spans="1:17" x14ac:dyDescent="0.35">
      <c r="A18" s="92"/>
      <c r="B18" s="95" t="s">
        <v>91</v>
      </c>
      <c r="C18" s="120">
        <v>3.3999999999999898E-2</v>
      </c>
      <c r="D18" s="120">
        <v>6.85000000000002E-2</v>
      </c>
      <c r="E18" s="120">
        <f t="shared" si="0"/>
        <v>0.10250000000000009</v>
      </c>
    </row>
    <row r="19" spans="1:17" x14ac:dyDescent="0.35">
      <c r="A19" s="92"/>
      <c r="B19" s="95" t="s">
        <v>92</v>
      </c>
      <c r="C19" s="120">
        <v>2.3E-3</v>
      </c>
      <c r="D19" s="120">
        <v>0</v>
      </c>
      <c r="E19" s="120">
        <f t="shared" si="0"/>
        <v>2.3E-3</v>
      </c>
    </row>
    <row r="20" spans="1:17" x14ac:dyDescent="0.35">
      <c r="A20" s="92"/>
      <c r="B20" s="95" t="s">
        <v>93</v>
      </c>
      <c r="C20" s="120">
        <v>9.8299999999999998E-2</v>
      </c>
      <c r="D20" s="120">
        <v>0</v>
      </c>
      <c r="E20" s="120">
        <f>C20+D20</f>
        <v>9.8299999999999998E-2</v>
      </c>
    </row>
    <row r="21" spans="1:17" x14ac:dyDescent="0.35">
      <c r="A21" s="93"/>
      <c r="B21" s="95" t="s">
        <v>85</v>
      </c>
      <c r="C21" s="120">
        <v>5.6396580432917899E-3</v>
      </c>
      <c r="D21" s="120">
        <v>0.619867724842878</v>
      </c>
      <c r="E21" s="120">
        <f>C21+D21</f>
        <v>0.6255073828861698</v>
      </c>
    </row>
    <row r="22" spans="1:17" x14ac:dyDescent="0.35">
      <c r="A22" s="93"/>
      <c r="B22" s="95" t="s">
        <v>142</v>
      </c>
      <c r="C22" s="120">
        <v>2.0744550043741102E-2</v>
      </c>
      <c r="D22" s="120">
        <v>0.17341513681196599</v>
      </c>
      <c r="E22" s="120">
        <f>C22+D22</f>
        <v>0.19415968685570709</v>
      </c>
    </row>
    <row r="23" spans="1:17" x14ac:dyDescent="0.35">
      <c r="A23" s="93"/>
    </row>
    <row r="25" spans="1:17" ht="29" x14ac:dyDescent="0.35">
      <c r="B25" s="96" t="s">
        <v>158</v>
      </c>
      <c r="C25" s="32" t="s">
        <v>156</v>
      </c>
      <c r="D25" s="32" t="s">
        <v>157</v>
      </c>
    </row>
    <row r="26" spans="1:17" x14ac:dyDescent="0.35">
      <c r="A26" s="19" t="s">
        <v>103</v>
      </c>
      <c r="B26" s="121">
        <f>SUM(E6:E22)</f>
        <v>6.3169162282099469</v>
      </c>
      <c r="C26" s="121">
        <f>B26+0.4965</f>
        <v>6.8134162282099471</v>
      </c>
      <c r="D26" s="121">
        <f>B26-0.4548</f>
        <v>5.8621162282099473</v>
      </c>
    </row>
    <row r="27" spans="1:17" x14ac:dyDescent="0.35">
      <c r="B27" s="98"/>
      <c r="C27" s="98">
        <f>(C26-B26)/B26</f>
        <v>7.8598477811489931E-2</v>
      </c>
      <c r="D27" s="98">
        <f>(D26-B26)/B26</f>
        <v>-7.1997155505872268E-2</v>
      </c>
      <c r="H27" s="33" t="s">
        <v>116</v>
      </c>
      <c r="I27" s="34" t="s">
        <v>11</v>
      </c>
      <c r="J27" s="35">
        <f t="shared" ref="J27:J33" si="1">B59/$B$67</f>
        <v>0.39479888668600804</v>
      </c>
      <c r="O27" s="33" t="s">
        <v>123</v>
      </c>
      <c r="P27" s="34" t="s">
        <v>83</v>
      </c>
      <c r="Q27" s="35">
        <f>B51/$B$55</f>
        <v>9.0423900804071144E-2</v>
      </c>
    </row>
    <row r="28" spans="1:17" x14ac:dyDescent="0.35">
      <c r="B28" s="98"/>
      <c r="C28" s="98"/>
      <c r="D28" s="98"/>
      <c r="H28" s="36" t="s">
        <v>117</v>
      </c>
      <c r="I28" s="37" t="s">
        <v>8</v>
      </c>
      <c r="J28" s="38">
        <f>B60/$B$67</f>
        <v>0.26450115730814167</v>
      </c>
      <c r="O28" s="36" t="s">
        <v>124</v>
      </c>
      <c r="P28" s="37" t="s">
        <v>163</v>
      </c>
      <c r="Q28" s="38">
        <f>B52/$B$55</f>
        <v>0.60003158438649795</v>
      </c>
    </row>
    <row r="29" spans="1:17" x14ac:dyDescent="0.35">
      <c r="A29" s="19" t="s">
        <v>111</v>
      </c>
      <c r="B29" s="98">
        <f>B26/B41</f>
        <v>1.2602494891095394E-2</v>
      </c>
      <c r="C29" s="98">
        <f>C26/B41</f>
        <v>1.3593031806162569E-2</v>
      </c>
      <c r="D29" s="98">
        <f>D26/B41</f>
        <v>1.1695151106659238E-2</v>
      </c>
      <c r="H29" s="36" t="s">
        <v>118</v>
      </c>
      <c r="I29" s="37" t="s">
        <v>10</v>
      </c>
      <c r="J29" s="38">
        <f t="shared" si="1"/>
        <v>8.3559134283278207E-3</v>
      </c>
      <c r="O29" s="39" t="s">
        <v>125</v>
      </c>
      <c r="P29" s="40" t="s">
        <v>164</v>
      </c>
      <c r="Q29" s="41">
        <f>B53/$B$55</f>
        <v>0.30954451480943085</v>
      </c>
    </row>
    <row r="30" spans="1:17" x14ac:dyDescent="0.35">
      <c r="B30" s="93"/>
      <c r="C30" s="93"/>
      <c r="D30" s="93"/>
      <c r="H30" s="36" t="s">
        <v>119</v>
      </c>
      <c r="I30" s="37" t="s">
        <v>9</v>
      </c>
      <c r="J30" s="38">
        <f t="shared" si="1"/>
        <v>0.17912995814221658</v>
      </c>
    </row>
    <row r="31" spans="1:17" x14ac:dyDescent="0.35">
      <c r="A31" s="19" t="s">
        <v>104</v>
      </c>
      <c r="B31" s="98">
        <f>3570.92/1000</f>
        <v>3.5709200000000001</v>
      </c>
      <c r="C31" s="98">
        <f>B31/B41</f>
        <v>7.1241250367606859E-3</v>
      </c>
      <c r="D31" s="98"/>
      <c r="H31" s="36" t="s">
        <v>120</v>
      </c>
      <c r="I31" s="37" t="s">
        <v>86</v>
      </c>
      <c r="J31" s="38">
        <f t="shared" si="1"/>
        <v>3.3089112136577836E-2</v>
      </c>
    </row>
    <row r="32" spans="1:17" x14ac:dyDescent="0.35">
      <c r="A32" s="19" t="s">
        <v>114</v>
      </c>
      <c r="B32" s="98">
        <f>B31-((11.2+5.5)/25)</f>
        <v>2.9029199999999999</v>
      </c>
      <c r="C32" s="98"/>
      <c r="D32" s="98"/>
      <c r="H32" s="36" t="s">
        <v>121</v>
      </c>
      <c r="I32" s="37" t="s">
        <v>6</v>
      </c>
      <c r="J32" s="38">
        <f t="shared" si="1"/>
        <v>4.1476795238816547E-2</v>
      </c>
    </row>
    <row r="33" spans="1:10" x14ac:dyDescent="0.35">
      <c r="A33" s="19" t="s">
        <v>115</v>
      </c>
      <c r="B33" s="98">
        <f>B31+((12.2+19.6)/25)</f>
        <v>4.8429200000000003</v>
      </c>
      <c r="C33" s="98"/>
      <c r="D33" s="98"/>
      <c r="H33" s="39" t="s">
        <v>122</v>
      </c>
      <c r="I33" s="40" t="s">
        <v>4</v>
      </c>
      <c r="J33" s="41">
        <f t="shared" si="1"/>
        <v>7.8648177059911381E-2</v>
      </c>
    </row>
    <row r="34" spans="1:10" x14ac:dyDescent="0.35">
      <c r="A34" s="19" t="s">
        <v>112</v>
      </c>
      <c r="B34" s="98">
        <v>7.6</v>
      </c>
      <c r="C34" s="98">
        <f>B34/B41</f>
        <v>1.5162297189346502E-2</v>
      </c>
      <c r="D34" s="98">
        <f>(B34-B26)/B34</f>
        <v>0.16882681207763853</v>
      </c>
    </row>
    <row r="35" spans="1:10" x14ac:dyDescent="0.35">
      <c r="A35" s="19" t="s">
        <v>113</v>
      </c>
      <c r="B35" s="98">
        <f>(830*24*365)/1000000</f>
        <v>7.2708000000000004</v>
      </c>
      <c r="C35" s="98"/>
      <c r="D35" s="98"/>
    </row>
    <row r="36" spans="1:10" x14ac:dyDescent="0.35">
      <c r="B36" s="98"/>
      <c r="C36" s="98"/>
      <c r="D36" s="98"/>
    </row>
    <row r="38" spans="1:10" x14ac:dyDescent="0.35">
      <c r="A38" s="19" t="s">
        <v>106</v>
      </c>
      <c r="B38" s="100">
        <v>31706793168850</v>
      </c>
      <c r="C38" s="19" t="s">
        <v>105</v>
      </c>
    </row>
    <row r="39" spans="1:10" x14ac:dyDescent="0.35">
      <c r="B39" s="97">
        <f>B38/1000000000</f>
        <v>31706.793168849999</v>
      </c>
      <c r="C39" s="19" t="s">
        <v>107</v>
      </c>
    </row>
    <row r="40" spans="1:10" x14ac:dyDescent="0.35">
      <c r="B40" s="100">
        <f>B38* ((16 * 1.202 * 0.822) / 1000)</f>
        <v>501243307995.57166</v>
      </c>
      <c r="C40" s="19" t="s">
        <v>108</v>
      </c>
    </row>
    <row r="41" spans="1:10" x14ac:dyDescent="0.35">
      <c r="B41" s="97">
        <f>B40/10^9</f>
        <v>501.24330799557168</v>
      </c>
      <c r="C41" s="19" t="s">
        <v>109</v>
      </c>
    </row>
    <row r="43" spans="1:10" x14ac:dyDescent="0.35">
      <c r="A43" s="91" t="s">
        <v>110</v>
      </c>
      <c r="B43" s="99">
        <f>B26/B41</f>
        <v>1.2602494891095394E-2</v>
      </c>
      <c r="C43" s="99">
        <f>C26/B41</f>
        <v>1.3593031806162569E-2</v>
      </c>
      <c r="D43" s="99">
        <f>D26/B41</f>
        <v>1.1695151106659238E-2</v>
      </c>
    </row>
    <row r="44" spans="1:10" x14ac:dyDescent="0.35">
      <c r="A44" s="19" t="s">
        <v>162</v>
      </c>
      <c r="B44" s="99">
        <f>B34/B41</f>
        <v>1.5162297189346502E-2</v>
      </c>
    </row>
    <row r="46" spans="1:10" s="101" customFormat="1" x14ac:dyDescent="0.35">
      <c r="A46" s="102" t="s">
        <v>159</v>
      </c>
    </row>
    <row r="47" spans="1:10" s="101" customFormat="1" x14ac:dyDescent="0.35"/>
    <row r="48" spans="1:10" s="101" customFormat="1" x14ac:dyDescent="0.35">
      <c r="A48" s="109" t="s">
        <v>82</v>
      </c>
      <c r="B48" s="103"/>
      <c r="C48" s="103"/>
      <c r="D48" s="103"/>
      <c r="E48" s="103"/>
      <c r="F48" s="103"/>
      <c r="G48" s="103"/>
      <c r="H48" s="103"/>
      <c r="I48" s="103"/>
      <c r="J48" s="103"/>
    </row>
    <row r="49" spans="1:10" s="101" customFormat="1" x14ac:dyDescent="0.35">
      <c r="B49" s="102" t="s">
        <v>101</v>
      </c>
      <c r="C49" s="102"/>
      <c r="D49" s="102"/>
      <c r="E49" s="102"/>
    </row>
    <row r="50" spans="1:10" s="101" customFormat="1" x14ac:dyDescent="0.35">
      <c r="B50" s="110"/>
      <c r="C50" s="123" t="s">
        <v>84</v>
      </c>
      <c r="D50" s="124"/>
      <c r="E50" s="124"/>
      <c r="G50" s="122">
        <f>E11</f>
        <v>0.1827227259288845</v>
      </c>
    </row>
    <row r="51" spans="1:10" s="101" customFormat="1" x14ac:dyDescent="0.35">
      <c r="A51" s="101" t="s">
        <v>83</v>
      </c>
      <c r="B51" s="111">
        <v>0.1827227259288845</v>
      </c>
      <c r="D51" s="101">
        <f>B55-C53</f>
        <v>1.9397348312124332</v>
      </c>
      <c r="E51" s="101" t="s">
        <v>148</v>
      </c>
      <c r="G51" s="122">
        <f>E12</f>
        <v>1.2125047223973788</v>
      </c>
    </row>
    <row r="52" spans="1:10" s="101" customFormat="1" x14ac:dyDescent="0.35">
      <c r="A52" s="101" t="s">
        <v>12</v>
      </c>
      <c r="B52" s="112">
        <v>1.2125047223973788</v>
      </c>
      <c r="D52" s="122">
        <f>SUM(D11,D12,D21)-0.057</f>
        <v>1.3882513694987719</v>
      </c>
      <c r="E52" s="101" t="s">
        <v>76</v>
      </c>
      <c r="G52" s="122">
        <f>E21</f>
        <v>0.6255073828861698</v>
      </c>
    </row>
    <row r="53" spans="1:10" s="101" customFormat="1" x14ac:dyDescent="0.35">
      <c r="A53" s="101" t="s">
        <v>85</v>
      </c>
      <c r="B53" s="112">
        <v>0.6255073828861698</v>
      </c>
      <c r="C53" s="101">
        <v>8.1000000000000003E-2</v>
      </c>
      <c r="D53" s="122">
        <f>SUM(C11,C12,C21)-0.024</f>
        <v>0.55148346171366125</v>
      </c>
      <c r="E53" s="101" t="s">
        <v>75</v>
      </c>
    </row>
    <row r="54" spans="1:10" s="101" customFormat="1" x14ac:dyDescent="0.35">
      <c r="B54" s="106"/>
    </row>
    <row r="55" spans="1:10" s="101" customFormat="1" x14ac:dyDescent="0.35">
      <c r="B55" s="106">
        <f>SUM(B51:B53)</f>
        <v>2.0207348312124331</v>
      </c>
    </row>
    <row r="56" spans="1:10" s="101" customFormat="1" x14ac:dyDescent="0.35">
      <c r="A56" s="109" t="s">
        <v>83</v>
      </c>
      <c r="B56" s="103"/>
      <c r="C56" s="103"/>
      <c r="D56" s="103"/>
      <c r="E56" s="103"/>
      <c r="F56" s="103"/>
      <c r="G56" s="103"/>
      <c r="H56" s="103"/>
      <c r="I56" s="103"/>
      <c r="J56" s="103"/>
    </row>
    <row r="57" spans="1:10" s="101" customFormat="1" x14ac:dyDescent="0.35">
      <c r="B57" s="102" t="s">
        <v>101</v>
      </c>
      <c r="C57" s="102"/>
      <c r="D57" s="102"/>
      <c r="E57" s="102"/>
      <c r="F57" s="102"/>
      <c r="G57" s="102" t="s">
        <v>102</v>
      </c>
    </row>
    <row r="58" spans="1:10" s="101" customFormat="1" x14ac:dyDescent="0.35">
      <c r="B58" s="103"/>
      <c r="C58" s="123" t="s">
        <v>84</v>
      </c>
      <c r="D58" s="124"/>
      <c r="E58" s="124"/>
      <c r="H58" s="101" t="s">
        <v>76</v>
      </c>
      <c r="I58" s="101" t="s">
        <v>75</v>
      </c>
    </row>
    <row r="59" spans="1:10" s="101" customFormat="1" x14ac:dyDescent="0.35">
      <c r="A59" s="104" t="s">
        <v>11</v>
      </c>
      <c r="B59" s="101">
        <v>0.83030049981419496</v>
      </c>
      <c r="C59" s="105">
        <f>D59+E59</f>
        <v>0.11435094936243312</v>
      </c>
      <c r="D59" s="106">
        <f>D71/1000</f>
        <v>4.9057208658487589E-2</v>
      </c>
      <c r="E59" s="106">
        <f>E71/1000</f>
        <v>6.529374070394553E-2</v>
      </c>
      <c r="G59" s="122">
        <f>E6</f>
        <v>0.83030049981419496</v>
      </c>
      <c r="H59" s="122">
        <f>D6</f>
        <v>0.29558760221466301</v>
      </c>
      <c r="I59" s="101">
        <f>C6</f>
        <v>0.534712897599532</v>
      </c>
    </row>
    <row r="60" spans="1:10" s="101" customFormat="1" x14ac:dyDescent="0.35">
      <c r="A60" s="104" t="s">
        <v>8</v>
      </c>
      <c r="B60" s="101">
        <v>0.55627168799249394</v>
      </c>
      <c r="C60" s="105">
        <f>D60+E60</f>
        <v>0.13738933480421575</v>
      </c>
      <c r="D60" s="106">
        <f t="shared" ref="D60:E60" si="2">D72/1000</f>
        <v>0.11842901270676605</v>
      </c>
      <c r="E60" s="106">
        <f t="shared" si="2"/>
        <v>1.8960322097449713E-2</v>
      </c>
      <c r="G60" s="101">
        <f>E9</f>
        <v>0.55627168799249394</v>
      </c>
      <c r="H60" s="101">
        <f>D9</f>
        <v>0.116604767174726</v>
      </c>
      <c r="I60" s="101">
        <f>C9</f>
        <v>0.43966692081776798</v>
      </c>
    </row>
    <row r="61" spans="1:10" s="101" customFormat="1" x14ac:dyDescent="0.35">
      <c r="A61" s="104" t="s">
        <v>10</v>
      </c>
      <c r="B61" s="101">
        <v>1.7573299545453398E-2</v>
      </c>
      <c r="C61" s="105">
        <f>D61+E61</f>
        <v>2.8990256835296834E-2</v>
      </c>
      <c r="D61" s="106">
        <f t="shared" ref="D61:E61" si="3">D73/1000</f>
        <v>2.8990256835296834E-2</v>
      </c>
      <c r="E61" s="106">
        <f t="shared" si="3"/>
        <v>0</v>
      </c>
      <c r="G61" s="101">
        <f>E14</f>
        <v>1.7573299545453398E-2</v>
      </c>
      <c r="H61" s="101">
        <f>D14</f>
        <v>0</v>
      </c>
      <c r="I61" s="101">
        <f>C14</f>
        <v>1.7573299545453398E-2</v>
      </c>
    </row>
    <row r="62" spans="1:10" s="101" customFormat="1" x14ac:dyDescent="0.35">
      <c r="A62" s="104" t="s">
        <v>9</v>
      </c>
      <c r="B62" s="101">
        <v>0.37672774365108003</v>
      </c>
      <c r="C62" s="105">
        <f t="shared" ref="C62:C65" si="4">D62+E62</f>
        <v>7.3422469090186529E-2</v>
      </c>
      <c r="D62" s="106">
        <f t="shared" ref="D62:E62" si="5">D74/1000</f>
        <v>7.3422469090186529E-2</v>
      </c>
      <c r="E62" s="106">
        <f t="shared" si="5"/>
        <v>0</v>
      </c>
      <c r="G62" s="101">
        <f>E10</f>
        <v>0.37672774365108003</v>
      </c>
      <c r="H62" s="101">
        <f>D10</f>
        <v>0</v>
      </c>
      <c r="I62" s="101">
        <f>C10</f>
        <v>0.37672774365108003</v>
      </c>
    </row>
    <row r="63" spans="1:10" s="101" customFormat="1" x14ac:dyDescent="0.35">
      <c r="A63" s="107" t="s">
        <v>86</v>
      </c>
      <c r="B63" s="101">
        <v>6.9589624672014599E-2</v>
      </c>
      <c r="C63" s="105">
        <f t="shared" si="4"/>
        <v>7.3235331837816178E-2</v>
      </c>
      <c r="D63" s="106">
        <f t="shared" ref="D63:E63" si="6">D75/1000</f>
        <v>7.3235331837816178E-2</v>
      </c>
      <c r="E63" s="106">
        <f t="shared" si="6"/>
        <v>0</v>
      </c>
      <c r="G63" s="101">
        <f>E13</f>
        <v>6.9589624672014599E-2</v>
      </c>
      <c r="H63" s="101">
        <f>D13</f>
        <v>0</v>
      </c>
      <c r="I63" s="101">
        <f>C13</f>
        <v>6.9589624672014599E-2</v>
      </c>
    </row>
    <row r="64" spans="1:10" s="101" customFormat="1" x14ac:dyDescent="0.35">
      <c r="A64" s="104" t="s">
        <v>6</v>
      </c>
      <c r="B64" s="101">
        <v>8.722973893507921E-2</v>
      </c>
      <c r="C64" s="105">
        <f t="shared" si="4"/>
        <v>5.7835981002685131E-2</v>
      </c>
      <c r="D64" s="106">
        <f t="shared" ref="D64:E64" si="7">D76/1000</f>
        <v>1.3532829221496491E-2</v>
      </c>
      <c r="E64" s="106">
        <f t="shared" si="7"/>
        <v>4.4303151781188641E-2</v>
      </c>
      <c r="G64" s="101">
        <f>E8</f>
        <v>8.722973893507921E-2</v>
      </c>
      <c r="H64" s="101">
        <f>D8</f>
        <v>4.38532373838652E-2</v>
      </c>
      <c r="I64" s="101">
        <f>C8</f>
        <v>4.3376501551214003E-2</v>
      </c>
    </row>
    <row r="65" spans="1:9" s="101" customFormat="1" x14ac:dyDescent="0.35">
      <c r="A65" s="108" t="s">
        <v>4</v>
      </c>
      <c r="B65" s="101">
        <v>0.16540477423953701</v>
      </c>
      <c r="C65" s="105">
        <f t="shared" si="4"/>
        <v>7.9946938283332152E-3</v>
      </c>
      <c r="D65" s="106">
        <f t="shared" ref="D65:E65" si="8">D77/1000</f>
        <v>0</v>
      </c>
      <c r="E65" s="106">
        <f t="shared" si="8"/>
        <v>7.9946938283332152E-3</v>
      </c>
      <c r="G65" s="101">
        <f>E7</f>
        <v>0.16540477423953701</v>
      </c>
      <c r="H65" s="101">
        <f>D7</f>
        <v>0.16540477423953701</v>
      </c>
      <c r="I65" s="101">
        <f>C7</f>
        <v>0</v>
      </c>
    </row>
    <row r="66" spans="1:9" s="101" customFormat="1" x14ac:dyDescent="0.35"/>
    <row r="67" spans="1:9" s="101" customFormat="1" x14ac:dyDescent="0.35">
      <c r="B67" s="101">
        <f>SUM(B59:B65)</f>
        <v>2.1030973688498533</v>
      </c>
      <c r="C67" s="101">
        <f>SUM(C59:C65)</f>
        <v>0.49321901676096669</v>
      </c>
      <c r="D67" s="101">
        <f>B67-C67</f>
        <v>1.6098783520888866</v>
      </c>
      <c r="E67" s="101" t="s">
        <v>148</v>
      </c>
    </row>
    <row r="68" spans="1:9" s="101" customFormat="1" x14ac:dyDescent="0.35">
      <c r="D68" s="101">
        <f>SUM(H59:H65)-0.139</f>
        <v>0.48245038101279125</v>
      </c>
      <c r="E68" s="101" t="s">
        <v>76</v>
      </c>
    </row>
    <row r="69" spans="1:9" s="101" customFormat="1" x14ac:dyDescent="0.35">
      <c r="D69" s="101">
        <f>SUM(I59:I65)-0.386</f>
        <v>1.0956469878370623</v>
      </c>
      <c r="E69" s="101" t="s">
        <v>75</v>
      </c>
    </row>
    <row r="70" spans="1:9" s="101" customFormat="1" x14ac:dyDescent="0.35">
      <c r="C70" s="101" t="s">
        <v>149</v>
      </c>
    </row>
    <row r="71" spans="1:9" s="101" customFormat="1" x14ac:dyDescent="0.35">
      <c r="D71" s="101">
        <v>49.057208658487589</v>
      </c>
      <c r="E71" s="101">
        <v>65.293740703945531</v>
      </c>
    </row>
    <row r="72" spans="1:9" s="101" customFormat="1" x14ac:dyDescent="0.35">
      <c r="D72" s="101">
        <v>118.42901270676604</v>
      </c>
      <c r="E72" s="101">
        <v>18.960322097449712</v>
      </c>
    </row>
    <row r="73" spans="1:9" s="101" customFormat="1" x14ac:dyDescent="0.35">
      <c r="D73" s="101">
        <v>28.990256835296833</v>
      </c>
      <c r="E73" s="101">
        <v>0</v>
      </c>
    </row>
    <row r="74" spans="1:9" s="101" customFormat="1" x14ac:dyDescent="0.35">
      <c r="D74" s="101">
        <v>73.422469090186524</v>
      </c>
      <c r="E74" s="101">
        <v>0</v>
      </c>
    </row>
    <row r="75" spans="1:9" s="101" customFormat="1" x14ac:dyDescent="0.35">
      <c r="D75" s="101">
        <v>73.235331837816176</v>
      </c>
      <c r="E75" s="101">
        <v>0</v>
      </c>
    </row>
    <row r="76" spans="1:9" s="101" customFormat="1" x14ac:dyDescent="0.35">
      <c r="D76" s="101">
        <v>13.532829221496492</v>
      </c>
      <c r="E76" s="101">
        <v>44.303151781188639</v>
      </c>
    </row>
    <row r="77" spans="1:9" s="101" customFormat="1" x14ac:dyDescent="0.35">
      <c r="D77" s="101">
        <v>0</v>
      </c>
      <c r="E77" s="101">
        <v>7.9946938283332143</v>
      </c>
    </row>
    <row r="78" spans="1:9" s="101" customFormat="1" x14ac:dyDescent="0.35"/>
    <row r="79" spans="1:9" s="101" customFormat="1" x14ac:dyDescent="0.35"/>
    <row r="80" spans="1:9" s="101" customFormat="1" x14ac:dyDescent="0.35"/>
    <row r="81" s="101" customFormat="1" x14ac:dyDescent="0.35"/>
    <row r="82" s="101" customFormat="1" x14ac:dyDescent="0.35"/>
    <row r="83" s="101" customFormat="1" x14ac:dyDescent="0.35"/>
    <row r="84" s="101" customFormat="1" x14ac:dyDescent="0.35"/>
    <row r="85" s="101" customFormat="1" x14ac:dyDescent="0.35"/>
    <row r="86" s="101" customFormat="1" x14ac:dyDescent="0.35"/>
    <row r="87" s="101" customFormat="1" x14ac:dyDescent="0.35"/>
    <row r="88" s="101" customFormat="1" x14ac:dyDescent="0.35"/>
    <row r="89" s="101" customFormat="1" x14ac:dyDescent="0.35"/>
    <row r="90" s="101" customFormat="1" x14ac:dyDescent="0.35"/>
    <row r="91" s="101" customFormat="1" x14ac:dyDescent="0.35"/>
    <row r="92" s="101" customFormat="1" x14ac:dyDescent="0.35"/>
    <row r="93" s="101" customFormat="1" x14ac:dyDescent="0.35"/>
    <row r="94" s="101" customFormat="1" x14ac:dyDescent="0.35"/>
    <row r="95" s="101" customFormat="1" x14ac:dyDescent="0.35"/>
    <row r="96" s="101" customFormat="1" x14ac:dyDescent="0.35"/>
  </sheetData>
  <mergeCells count="2">
    <mergeCell ref="C58:E58"/>
    <mergeCell ref="C50:E50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/>
  <dimension ref="B2:P15"/>
  <sheetViews>
    <sheetView workbookViewId="0">
      <selection activeCell="L14" sqref="L14"/>
    </sheetView>
  </sheetViews>
  <sheetFormatPr defaultColWidth="8.81640625" defaultRowHeight="14.5" x14ac:dyDescent="0.35"/>
  <cols>
    <col min="1" max="1" width="8.81640625" style="19"/>
    <col min="2" max="2" width="22.81640625" style="19" customWidth="1"/>
    <col min="3" max="8" width="8.54296875" style="19" customWidth="1"/>
    <col min="9" max="16384" width="8.81640625" style="19"/>
  </cols>
  <sheetData>
    <row r="2" spans="2:16" x14ac:dyDescent="0.35">
      <c r="B2" s="125"/>
      <c r="C2" s="127" t="s">
        <v>23</v>
      </c>
      <c r="D2" s="128"/>
      <c r="E2" s="129"/>
      <c r="F2" s="127" t="s">
        <v>24</v>
      </c>
      <c r="G2" s="128"/>
      <c r="H2" s="128"/>
    </row>
    <row r="3" spans="2:16" ht="52.4" customHeight="1" x14ac:dyDescent="0.35">
      <c r="B3" s="126"/>
      <c r="C3" s="15" t="s">
        <v>17</v>
      </c>
      <c r="D3" s="16" t="s">
        <v>16</v>
      </c>
      <c r="E3" s="17" t="s">
        <v>14</v>
      </c>
      <c r="F3" s="16" t="s">
        <v>17</v>
      </c>
      <c r="G3" s="16" t="s">
        <v>16</v>
      </c>
      <c r="H3" s="16" t="s">
        <v>14</v>
      </c>
    </row>
    <row r="4" spans="2:16" ht="14.5" customHeight="1" x14ac:dyDescent="0.35">
      <c r="B4" s="9" t="s">
        <v>22</v>
      </c>
      <c r="C4" s="6">
        <v>4.6162095761649402</v>
      </c>
      <c r="D4" s="5">
        <v>1.3540315717963101</v>
      </c>
      <c r="E4" s="12">
        <v>3.2621780043686299</v>
      </c>
      <c r="F4" s="6">
        <v>3.3294430638153201</v>
      </c>
      <c r="G4" s="5">
        <v>1.0902742079115999</v>
      </c>
      <c r="H4" s="5">
        <v>2.2391688559037202</v>
      </c>
      <c r="J4"/>
      <c r="K4"/>
      <c r="L4"/>
      <c r="M4"/>
      <c r="N4"/>
      <c r="O4"/>
      <c r="P4"/>
    </row>
    <row r="5" spans="2:16" ht="14.5" customHeight="1" x14ac:dyDescent="0.35">
      <c r="B5" s="10" t="s">
        <v>4</v>
      </c>
      <c r="C5" s="7">
        <v>4.2246784989344102</v>
      </c>
      <c r="D5" s="2">
        <v>1.29479002545219</v>
      </c>
      <c r="E5" s="13">
        <v>2.9298884734822201</v>
      </c>
      <c r="F5" s="7">
        <v>9.6906376399811798</v>
      </c>
      <c r="G5" s="2">
        <v>3.3387629956508902</v>
      </c>
      <c r="H5" s="2">
        <v>6.35187464433029</v>
      </c>
      <c r="J5"/>
      <c r="K5"/>
      <c r="L5"/>
      <c r="M5"/>
      <c r="N5"/>
      <c r="O5"/>
      <c r="P5"/>
    </row>
    <row r="6" spans="2:16" ht="14.5" customHeight="1" x14ac:dyDescent="0.35">
      <c r="B6" s="10" t="s">
        <v>6</v>
      </c>
      <c r="C6" s="7">
        <v>2.9446683419174611</v>
      </c>
      <c r="D6" s="2">
        <v>0.75220214140211095</v>
      </c>
      <c r="E6" s="13">
        <v>2.1924662005153501</v>
      </c>
      <c r="F6" s="7">
        <v>2.7282122928484802</v>
      </c>
      <c r="G6" s="2">
        <v>0.87656815060379001</v>
      </c>
      <c r="H6" s="2">
        <v>1.8516441422446901</v>
      </c>
      <c r="J6"/>
      <c r="K6"/>
      <c r="L6"/>
      <c r="M6"/>
      <c r="N6"/>
      <c r="O6"/>
      <c r="P6"/>
    </row>
    <row r="7" spans="2:16" ht="14.5" customHeight="1" x14ac:dyDescent="0.35">
      <c r="B7" s="10" t="s">
        <v>8</v>
      </c>
      <c r="C7" s="7">
        <v>5.4754776852724198</v>
      </c>
      <c r="D7" s="2">
        <v>1.4769868280648999</v>
      </c>
      <c r="E7" s="13">
        <v>3.99849085720752</v>
      </c>
      <c r="F7" s="7">
        <v>3.9037592562980699</v>
      </c>
      <c r="G7" s="2">
        <v>1.1541967656012699</v>
      </c>
      <c r="H7" s="2">
        <v>2.7495624906968001</v>
      </c>
      <c r="J7"/>
      <c r="K7"/>
      <c r="L7"/>
      <c r="M7"/>
      <c r="N7"/>
      <c r="O7"/>
      <c r="P7"/>
    </row>
    <row r="8" spans="2:16" ht="14.5" customHeight="1" x14ac:dyDescent="0.35">
      <c r="B8" s="10" t="s">
        <v>9</v>
      </c>
      <c r="C8" s="7">
        <v>3.8132663639104951</v>
      </c>
      <c r="D8" s="2">
        <v>0.84371079248180503</v>
      </c>
      <c r="E8" s="13">
        <v>2.9695555714286899</v>
      </c>
      <c r="F8" s="7">
        <v>2.6450440205158072</v>
      </c>
      <c r="G8" s="2">
        <v>0.63233868034713703</v>
      </c>
      <c r="H8" s="2">
        <v>2.0127053401686701</v>
      </c>
      <c r="J8"/>
      <c r="K8"/>
      <c r="L8"/>
      <c r="M8"/>
      <c r="N8"/>
      <c r="O8"/>
      <c r="P8"/>
    </row>
    <row r="9" spans="2:16" ht="14.5" customHeight="1" x14ac:dyDescent="0.35">
      <c r="B9" s="10" t="s">
        <v>18</v>
      </c>
      <c r="C9" s="7">
        <v>1.1503669937707151</v>
      </c>
      <c r="D9" s="2">
        <v>0.33937472628785798</v>
      </c>
      <c r="E9" s="13">
        <v>0.81099226748285702</v>
      </c>
      <c r="F9" s="7">
        <v>1.7616723911698142</v>
      </c>
      <c r="G9" s="2">
        <v>0.52621077946169403</v>
      </c>
      <c r="H9" s="2">
        <v>1.2354616117081201</v>
      </c>
      <c r="J9"/>
      <c r="K9"/>
      <c r="L9"/>
      <c r="M9"/>
      <c r="N9"/>
      <c r="O9"/>
      <c r="P9"/>
    </row>
    <row r="10" spans="2:16" ht="14.5" customHeight="1" x14ac:dyDescent="0.35">
      <c r="B10" s="10" t="s">
        <v>19</v>
      </c>
      <c r="C10" s="7">
        <v>12.10879158024</v>
      </c>
      <c r="D10" s="2">
        <v>1.171778172135</v>
      </c>
      <c r="E10" s="13">
        <v>10.937013408105001</v>
      </c>
      <c r="F10" s="7">
        <v>12.32592049624</v>
      </c>
      <c r="G10" s="2">
        <v>1.1736036301899999</v>
      </c>
      <c r="H10" s="2">
        <v>11.15231686605</v>
      </c>
      <c r="J10"/>
      <c r="K10"/>
      <c r="L10"/>
      <c r="M10"/>
      <c r="N10"/>
      <c r="O10"/>
      <c r="P10"/>
    </row>
    <row r="11" spans="2:16" ht="14.5" customHeight="1" x14ac:dyDescent="0.35">
      <c r="B11" s="10" t="s">
        <v>20</v>
      </c>
      <c r="C11" s="7">
        <v>7.5285510932159507</v>
      </c>
      <c r="D11" s="2">
        <v>2.35503364490051</v>
      </c>
      <c r="E11" s="13">
        <v>5.1735174483154402</v>
      </c>
      <c r="F11" s="7">
        <v>2.6049699222776681</v>
      </c>
      <c r="G11" s="2">
        <v>0.84429273657647796</v>
      </c>
      <c r="H11" s="2">
        <v>1.76067718570119</v>
      </c>
      <c r="J11"/>
      <c r="K11"/>
      <c r="L11"/>
      <c r="M11"/>
      <c r="N11"/>
      <c r="O11"/>
      <c r="P11"/>
    </row>
    <row r="12" spans="2:16" ht="14.5" customHeight="1" x14ac:dyDescent="0.35">
      <c r="B12" s="10" t="s">
        <v>10</v>
      </c>
      <c r="C12" s="7">
        <v>5.0343566238342303</v>
      </c>
      <c r="D12" s="2">
        <v>1.3058582538958201</v>
      </c>
      <c r="E12" s="13">
        <v>3.7284983699384102</v>
      </c>
      <c r="F12" s="7">
        <v>2.1515067256228777</v>
      </c>
      <c r="G12" s="2">
        <v>0.647229656969738</v>
      </c>
      <c r="H12" s="2">
        <v>1.5042770686531399</v>
      </c>
      <c r="J12"/>
      <c r="K12"/>
      <c r="L12"/>
      <c r="M12"/>
      <c r="N12"/>
      <c r="O12"/>
      <c r="P12"/>
    </row>
    <row r="13" spans="2:16" ht="14.5" customHeight="1" x14ac:dyDescent="0.35">
      <c r="B13" s="10" t="s">
        <v>2</v>
      </c>
      <c r="C13" s="7">
        <v>6.9985220504197398</v>
      </c>
      <c r="D13" s="2">
        <v>0</v>
      </c>
      <c r="E13" s="13">
        <v>6.9985220504197398</v>
      </c>
      <c r="F13" s="7">
        <v>7.0181055989256098</v>
      </c>
      <c r="G13" s="2">
        <v>0</v>
      </c>
      <c r="H13" s="2">
        <v>7.0181055989256098</v>
      </c>
      <c r="J13"/>
      <c r="K13"/>
      <c r="L13"/>
      <c r="M13"/>
      <c r="N13"/>
      <c r="O13"/>
      <c r="P13"/>
    </row>
    <row r="14" spans="2:16" ht="14.5" customHeight="1" x14ac:dyDescent="0.35">
      <c r="B14" s="11" t="s">
        <v>21</v>
      </c>
      <c r="C14" s="8">
        <v>3.2363469016849193</v>
      </c>
      <c r="D14" s="4">
        <v>5.05759999999996E-2</v>
      </c>
      <c r="E14" s="14">
        <v>3.1857709016849198</v>
      </c>
      <c r="F14" s="8">
        <v>3.2129075145341197</v>
      </c>
      <c r="G14" s="4">
        <v>5.05759999999996E-2</v>
      </c>
      <c r="H14" s="4">
        <v>3.1623315145341202</v>
      </c>
      <c r="J14"/>
      <c r="K14"/>
      <c r="L14"/>
      <c r="M14"/>
      <c r="N14"/>
      <c r="O14"/>
      <c r="P14"/>
    </row>
    <row r="15" spans="2:16" ht="15.65" customHeight="1" x14ac:dyDescent="0.35">
      <c r="B15" s="3"/>
      <c r="C15" s="3"/>
      <c r="D15" s="3"/>
      <c r="E15" s="3"/>
      <c r="F15" s="3"/>
      <c r="G15" s="3"/>
      <c r="H15" s="3"/>
    </row>
  </sheetData>
  <mergeCells count="3">
    <mergeCell ref="B2:B3"/>
    <mergeCell ref="C2:E2"/>
    <mergeCell ref="F2:H2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E122"/>
  <sheetViews>
    <sheetView zoomScale="70" zoomScaleNormal="70" workbookViewId="0">
      <selection activeCell="I14" sqref="I14"/>
    </sheetView>
  </sheetViews>
  <sheetFormatPr defaultColWidth="9.1796875" defaultRowHeight="14.5" x14ac:dyDescent="0.35"/>
  <cols>
    <col min="1" max="1" width="9.1796875" style="19"/>
    <col min="2" max="2" width="22.81640625" style="19" customWidth="1"/>
    <col min="3" max="10" width="14.1796875" style="19" customWidth="1"/>
    <col min="11" max="11" width="14.54296875" style="19" customWidth="1"/>
    <col min="12" max="12" width="11.453125" style="19" customWidth="1"/>
    <col min="13" max="13" width="22.1796875" style="19" customWidth="1"/>
    <col min="14" max="14" width="19.81640625" style="19" customWidth="1"/>
    <col min="15" max="15" width="16.1796875" style="19" customWidth="1"/>
    <col min="16" max="22" width="14.1796875" style="19" customWidth="1"/>
    <col min="23" max="25" width="23.54296875" style="19" customWidth="1"/>
    <col min="26" max="26" width="12.81640625" style="19" customWidth="1"/>
    <col min="27" max="27" width="13.54296875" style="19" customWidth="1"/>
    <col min="28" max="28" width="12.453125" style="19" customWidth="1"/>
    <col min="29" max="32" width="14.81640625" style="19" customWidth="1"/>
    <col min="33" max="34" width="9.1796875" style="19"/>
    <col min="35" max="35" width="10.81640625" style="19" bestFit="1" customWidth="1"/>
    <col min="36" max="38" width="9.1796875" style="19"/>
    <col min="39" max="39" width="15.1796875" style="19" bestFit="1" customWidth="1"/>
    <col min="40" max="16384" width="9.1796875" style="19"/>
  </cols>
  <sheetData>
    <row r="4" spans="2:29" x14ac:dyDescent="0.35">
      <c r="B4" s="133"/>
      <c r="C4" s="137" t="s">
        <v>23</v>
      </c>
      <c r="D4" s="138"/>
      <c r="E4" s="138"/>
      <c r="F4" s="138"/>
      <c r="G4" s="138"/>
      <c r="H4" s="138"/>
      <c r="I4" s="138"/>
      <c r="J4" s="138"/>
      <c r="M4" s="133"/>
      <c r="N4" s="127" t="s">
        <v>24</v>
      </c>
      <c r="O4" s="128"/>
      <c r="P4" s="128"/>
      <c r="Q4" s="128"/>
      <c r="R4" s="128"/>
      <c r="S4" s="128"/>
      <c r="T4" s="128"/>
      <c r="U4" s="128"/>
    </row>
    <row r="5" spans="2:29" x14ac:dyDescent="0.35">
      <c r="B5" s="135"/>
      <c r="C5" s="132" t="s">
        <v>81</v>
      </c>
      <c r="D5" s="133"/>
      <c r="E5" s="133"/>
      <c r="F5" s="133"/>
      <c r="G5" s="134"/>
      <c r="H5" s="132" t="s">
        <v>96</v>
      </c>
      <c r="I5" s="133"/>
      <c r="J5" s="134"/>
      <c r="M5" s="135"/>
      <c r="N5" s="132" t="s">
        <v>81</v>
      </c>
      <c r="O5" s="133"/>
      <c r="P5" s="133"/>
      <c r="Q5" s="133"/>
      <c r="R5" s="134"/>
      <c r="S5" s="132" t="s">
        <v>96</v>
      </c>
      <c r="T5" s="133"/>
      <c r="U5" s="134"/>
      <c r="W5" s="44"/>
      <c r="X5" s="45"/>
      <c r="Y5" s="44"/>
      <c r="AA5" s="44"/>
      <c r="AB5" s="46"/>
      <c r="AC5" s="44"/>
    </row>
    <row r="6" spans="2:29" ht="57.75" customHeight="1" x14ac:dyDescent="0.35">
      <c r="B6" s="136"/>
      <c r="C6" s="31" t="s">
        <v>97</v>
      </c>
      <c r="D6" s="20" t="s">
        <v>98</v>
      </c>
      <c r="E6" s="20" t="s">
        <v>99</v>
      </c>
      <c r="F6" s="20" t="s">
        <v>140</v>
      </c>
      <c r="G6" s="20" t="s">
        <v>95</v>
      </c>
      <c r="H6" s="31" t="s">
        <v>97</v>
      </c>
      <c r="I6" s="20" t="s">
        <v>100</v>
      </c>
      <c r="J6" s="20" t="s">
        <v>95</v>
      </c>
      <c r="M6" s="136"/>
      <c r="N6" s="31" t="s">
        <v>97</v>
      </c>
      <c r="O6" s="20" t="s">
        <v>98</v>
      </c>
      <c r="P6" s="20" t="s">
        <v>99</v>
      </c>
      <c r="Q6" s="20" t="s">
        <v>140</v>
      </c>
      <c r="R6" s="20" t="s">
        <v>95</v>
      </c>
      <c r="S6" s="31" t="s">
        <v>97</v>
      </c>
      <c r="T6" s="20" t="s">
        <v>100</v>
      </c>
      <c r="U6" s="20" t="s">
        <v>95</v>
      </c>
      <c r="W6" s="47"/>
      <c r="X6" s="47"/>
      <c r="Y6" s="47"/>
      <c r="AA6" s="47"/>
      <c r="AB6" s="47"/>
      <c r="AC6" s="47"/>
    </row>
    <row r="7" spans="2:29" ht="14.5" customHeight="1" x14ac:dyDescent="0.35">
      <c r="B7" s="21" t="s">
        <v>22</v>
      </c>
      <c r="C7" s="22">
        <f t="shared" ref="C7:C21" si="0">J29</f>
        <v>433430</v>
      </c>
      <c r="D7" s="23">
        <f>O53</f>
        <v>1.6333</v>
      </c>
      <c r="E7" s="23">
        <f>P53</f>
        <v>4.5965999999999996</v>
      </c>
      <c r="F7" s="90">
        <f>Q53</f>
        <v>3.5457000000000001</v>
      </c>
      <c r="G7" s="85">
        <f>R29*1000</f>
        <v>560.93665411500001</v>
      </c>
      <c r="H7" s="29">
        <f>F53</f>
        <v>419692</v>
      </c>
      <c r="I7" s="23">
        <f>E53/365</f>
        <v>0.32024272893721273</v>
      </c>
      <c r="J7" s="23">
        <f>D53</f>
        <v>49.057208658487589</v>
      </c>
      <c r="K7" s="116">
        <f>(F7-I7)/I7</f>
        <v>10.071914143896691</v>
      </c>
      <c r="M7" s="21" t="s">
        <v>22</v>
      </c>
      <c r="N7" s="88">
        <f t="shared" ref="N7:N20" si="1">N29</f>
        <v>571759</v>
      </c>
      <c r="O7" s="84">
        <f>S53</f>
        <v>0.60206000000000004</v>
      </c>
      <c r="P7" s="84">
        <f t="shared" ref="O7:Q10" si="2">T53</f>
        <v>3.1349999999999998</v>
      </c>
      <c r="Q7" s="84">
        <f t="shared" si="2"/>
        <v>1.4492</v>
      </c>
      <c r="R7" s="85">
        <f>V29*1000</f>
        <v>302.43649712200005</v>
      </c>
      <c r="S7" s="29">
        <f>J53</f>
        <v>600519</v>
      </c>
      <c r="T7" s="23">
        <f>I53/365</f>
        <v>0.29788726223937534</v>
      </c>
      <c r="U7" s="23">
        <f>H53</f>
        <v>65.293740703945531</v>
      </c>
      <c r="V7" s="116">
        <f>(Q7-T7)/T7</f>
        <v>3.8649277216675895</v>
      </c>
      <c r="W7" s="48"/>
      <c r="X7" s="49"/>
      <c r="Y7" s="48"/>
      <c r="AA7" s="48"/>
      <c r="AB7" s="49"/>
      <c r="AC7" s="48"/>
    </row>
    <row r="8" spans="2:29" ht="14.5" customHeight="1" x14ac:dyDescent="0.35">
      <c r="B8" s="24" t="s">
        <v>4</v>
      </c>
      <c r="C8" s="22">
        <f t="shared" si="0"/>
        <v>0</v>
      </c>
      <c r="D8" s="23" t="s">
        <v>15</v>
      </c>
      <c r="E8" s="23" t="s">
        <v>15</v>
      </c>
      <c r="F8" s="23" t="s">
        <v>15</v>
      </c>
      <c r="G8" s="86" t="s">
        <v>15</v>
      </c>
      <c r="H8" s="29" t="s">
        <v>15</v>
      </c>
      <c r="I8" s="23" t="s">
        <v>80</v>
      </c>
      <c r="J8" s="25"/>
      <c r="K8" s="116" t="e">
        <f t="shared" ref="K8:K24" si="3">(F8-I8)/I8</f>
        <v>#VALUE!</v>
      </c>
      <c r="M8" s="24" t="s">
        <v>4</v>
      </c>
      <c r="N8" s="22">
        <f t="shared" si="1"/>
        <v>127738.53433982829</v>
      </c>
      <c r="O8" s="23">
        <f t="shared" si="2"/>
        <v>1.5012000000000001</v>
      </c>
      <c r="P8" s="23">
        <f t="shared" si="2"/>
        <v>9.0945</v>
      </c>
      <c r="Q8" s="23">
        <f t="shared" si="2"/>
        <v>4.0407999999999999</v>
      </c>
      <c r="R8" s="86">
        <f>V30*1000</f>
        <v>188.400542389538</v>
      </c>
      <c r="S8" s="29">
        <f>J59</f>
        <v>138236.44559471364</v>
      </c>
      <c r="T8" s="23">
        <f>I59/365</f>
        <v>0.15844787290591597</v>
      </c>
      <c r="U8" s="23">
        <f>H59</f>
        <v>7.9946938283332143</v>
      </c>
      <c r="V8" s="116">
        <f t="shared" ref="V8:V23" si="4">(Q8-T8)/T8</f>
        <v>24.502393474220813</v>
      </c>
      <c r="W8" s="48"/>
      <c r="X8" s="48"/>
      <c r="Y8" s="48"/>
      <c r="AA8" s="48"/>
      <c r="AB8" s="49"/>
      <c r="AC8" s="48"/>
    </row>
    <row r="9" spans="2:29" ht="14.5" customHeight="1" x14ac:dyDescent="0.35">
      <c r="B9" s="24" t="s">
        <v>6</v>
      </c>
      <c r="C9" s="22">
        <f t="shared" si="0"/>
        <v>57248.11272439023</v>
      </c>
      <c r="D9" s="23">
        <f t="shared" ref="D9:F15" si="5">O55</f>
        <v>0.83721000000000001</v>
      </c>
      <c r="E9" s="23">
        <f t="shared" si="5"/>
        <v>3.0863999999999998</v>
      </c>
      <c r="F9" s="23">
        <f t="shared" si="5"/>
        <v>2.2888000000000002</v>
      </c>
      <c r="G9" s="86">
        <f t="shared" ref="G9" si="6">R31*1000</f>
        <v>47.825760347308297</v>
      </c>
      <c r="H9" s="29">
        <f>F58</f>
        <v>54976.540274057676</v>
      </c>
      <c r="I9" s="23">
        <f>E58/365</f>
        <v>0.6744011947210814</v>
      </c>
      <c r="J9" s="23">
        <f>D58</f>
        <v>13.532829221496492</v>
      </c>
      <c r="K9" s="116">
        <f t="shared" si="3"/>
        <v>2.3938255417038534</v>
      </c>
      <c r="M9" s="24" t="s">
        <v>6</v>
      </c>
      <c r="N9" s="22">
        <f t="shared" si="1"/>
        <v>106289.02293016575</v>
      </c>
      <c r="O9" s="23">
        <f t="shared" si="2"/>
        <v>0.41676000000000002</v>
      </c>
      <c r="P9" s="23">
        <f t="shared" si="2"/>
        <v>2.6494</v>
      </c>
      <c r="Q9" s="23">
        <f t="shared" si="2"/>
        <v>1.1635</v>
      </c>
      <c r="R9" s="86">
        <f>V31*1000</f>
        <v>45.138556535425465</v>
      </c>
      <c r="S9" s="29">
        <f>J58</f>
        <v>114278.16343612334</v>
      </c>
      <c r="T9" s="23">
        <f>I58/365</f>
        <v>0.36967478629017608</v>
      </c>
      <c r="U9" s="23">
        <f>H58</f>
        <v>44.303151781188639</v>
      </c>
      <c r="V9" s="116">
        <f t="shared" si="4"/>
        <v>2.1473609863311345</v>
      </c>
      <c r="W9" s="48"/>
      <c r="X9" s="49"/>
      <c r="Y9" s="48"/>
      <c r="AA9" s="48"/>
      <c r="AB9" s="49"/>
      <c r="AC9" s="48"/>
    </row>
    <row r="10" spans="2:29" ht="14.5" customHeight="1" x14ac:dyDescent="0.35">
      <c r="B10" s="24" t="s">
        <v>8</v>
      </c>
      <c r="C10" s="22">
        <f t="shared" si="0"/>
        <v>307816.41445361811</v>
      </c>
      <c r="D10" s="23">
        <f t="shared" si="5"/>
        <v>1.8096000000000001</v>
      </c>
      <c r="E10" s="23">
        <f t="shared" si="5"/>
        <v>5.2572999999999999</v>
      </c>
      <c r="F10" s="89">
        <f t="shared" si="5"/>
        <v>4.0347</v>
      </c>
      <c r="G10" s="86">
        <f t="shared" ref="G10:G20" si="7">R32*1000</f>
        <v>453.31061389954471</v>
      </c>
      <c r="H10" s="29">
        <f>F54</f>
        <v>298107.96127220738</v>
      </c>
      <c r="I10" s="23">
        <f>E54/365</f>
        <v>1.088407861121881</v>
      </c>
      <c r="J10" s="23">
        <f>D54</f>
        <v>118.42901270676604</v>
      </c>
      <c r="K10" s="116">
        <f t="shared" si="3"/>
        <v>2.706974328393049</v>
      </c>
      <c r="M10" s="24" t="s">
        <v>8</v>
      </c>
      <c r="N10" s="22">
        <f t="shared" si="1"/>
        <v>210930.31778946737</v>
      </c>
      <c r="O10" s="23">
        <f t="shared" si="2"/>
        <v>0.64119999999999999</v>
      </c>
      <c r="P10" s="23">
        <f t="shared" si="2"/>
        <v>3.2690000000000001</v>
      </c>
      <c r="Q10" s="23">
        <f t="shared" si="2"/>
        <v>1.5201</v>
      </c>
      <c r="R10" s="86">
        <f>V32*1000</f>
        <v>117.0318392661958</v>
      </c>
      <c r="S10" s="29">
        <f>J54</f>
        <v>215829.98458149779</v>
      </c>
      <c r="T10" s="23">
        <f>I54/365</f>
        <v>0.2406805895804687</v>
      </c>
      <c r="U10" s="23">
        <f>H54</f>
        <v>18.960322097449712</v>
      </c>
      <c r="V10" s="116">
        <f t="shared" si="4"/>
        <v>5.3158396057184856</v>
      </c>
      <c r="W10" s="48"/>
      <c r="X10" s="49"/>
      <c r="Y10" s="48"/>
      <c r="AA10" s="48"/>
      <c r="AB10" s="49"/>
      <c r="AC10" s="48"/>
    </row>
    <row r="11" spans="2:29" ht="14.5" customHeight="1" x14ac:dyDescent="0.35">
      <c r="B11" s="24" t="s">
        <v>9</v>
      </c>
      <c r="C11" s="22">
        <f t="shared" si="0"/>
        <v>364057.84265689779</v>
      </c>
      <c r="D11" s="23">
        <f t="shared" si="5"/>
        <v>1.2826</v>
      </c>
      <c r="E11" s="23">
        <f t="shared" si="5"/>
        <v>3.915</v>
      </c>
      <c r="F11" s="23">
        <f t="shared" si="5"/>
        <v>2.9815</v>
      </c>
      <c r="G11" s="86">
        <f t="shared" si="7"/>
        <v>396.18503712676238</v>
      </c>
      <c r="H11" s="29">
        <f>F56</f>
        <v>351866.69257145812</v>
      </c>
      <c r="I11" s="23">
        <f>E56/365</f>
        <v>0.57168653302217065</v>
      </c>
      <c r="J11" s="23">
        <f>D56</f>
        <v>73.422469090186524</v>
      </c>
      <c r="K11" s="116">
        <f t="shared" si="3"/>
        <v>4.2152706558235025</v>
      </c>
      <c r="M11" s="24" t="s">
        <v>9</v>
      </c>
      <c r="N11" s="22">
        <f t="shared" si="1"/>
        <v>0</v>
      </c>
      <c r="O11" s="23" t="s">
        <v>15</v>
      </c>
      <c r="P11" s="23" t="s">
        <v>15</v>
      </c>
      <c r="Q11" s="23" t="s">
        <v>15</v>
      </c>
      <c r="R11" s="86" t="s">
        <v>15</v>
      </c>
      <c r="S11" s="29" t="s">
        <v>15</v>
      </c>
      <c r="T11" s="23" t="s">
        <v>15</v>
      </c>
      <c r="U11" s="23" t="s">
        <v>15</v>
      </c>
      <c r="V11" s="116" t="e">
        <f t="shared" si="4"/>
        <v>#VALUE!</v>
      </c>
      <c r="W11" s="48"/>
      <c r="X11" s="49"/>
      <c r="Y11" s="48"/>
      <c r="AA11" s="48"/>
      <c r="AB11" s="49"/>
      <c r="AC11" s="48"/>
    </row>
    <row r="12" spans="2:29" ht="14.5" customHeight="1" x14ac:dyDescent="0.35">
      <c r="B12" s="24" t="s">
        <v>18</v>
      </c>
      <c r="C12" s="22">
        <f t="shared" si="0"/>
        <v>175843.18427808565</v>
      </c>
      <c r="D12" s="23">
        <f t="shared" si="5"/>
        <v>0.29742000000000002</v>
      </c>
      <c r="E12" s="23">
        <f t="shared" si="5"/>
        <v>1.3638999999999999</v>
      </c>
      <c r="F12" s="23">
        <f t="shared" si="5"/>
        <v>0.98570000000000002</v>
      </c>
      <c r="G12" s="86">
        <f t="shared" si="7"/>
        <v>63.264948761161804</v>
      </c>
      <c r="H12" s="29" t="s">
        <v>15</v>
      </c>
      <c r="I12" s="23" t="s">
        <v>15</v>
      </c>
      <c r="J12" s="23" t="s">
        <v>15</v>
      </c>
      <c r="K12" s="116" t="e">
        <f t="shared" si="3"/>
        <v>#VALUE!</v>
      </c>
      <c r="M12" s="24" t="s">
        <v>18</v>
      </c>
      <c r="N12" s="22">
        <f t="shared" si="1"/>
        <v>466214.62340955168</v>
      </c>
      <c r="O12" s="23">
        <f t="shared" ref="O12:Q13" si="8">S58</f>
        <v>0.29199999999999998</v>
      </c>
      <c r="P12" s="23">
        <f t="shared" si="8"/>
        <v>1.7112000000000001</v>
      </c>
      <c r="Q12" s="23">
        <f t="shared" si="8"/>
        <v>0.76665000000000005</v>
      </c>
      <c r="R12" s="86">
        <f t="shared" ref="R12:R13" si="9">V34*1000</f>
        <v>130.45955597848047</v>
      </c>
      <c r="S12" s="29" t="s">
        <v>15</v>
      </c>
      <c r="T12" s="23" t="s">
        <v>15</v>
      </c>
      <c r="U12" s="23" t="s">
        <v>15</v>
      </c>
      <c r="V12" s="116" t="e">
        <f t="shared" si="4"/>
        <v>#VALUE!</v>
      </c>
      <c r="W12" s="48"/>
      <c r="X12" s="48"/>
      <c r="Y12" s="48"/>
      <c r="AA12" s="48"/>
      <c r="AB12" s="48"/>
      <c r="AC12" s="48"/>
    </row>
    <row r="13" spans="2:29" ht="14.5" customHeight="1" x14ac:dyDescent="0.35">
      <c r="B13" s="24" t="s">
        <v>151</v>
      </c>
      <c r="C13" s="22">
        <f t="shared" si="0"/>
        <v>175843.18427808565</v>
      </c>
      <c r="D13" s="23">
        <f t="shared" si="5"/>
        <v>2.0272999999999999</v>
      </c>
      <c r="E13" s="23">
        <f t="shared" si="5"/>
        <v>11.098000000000001</v>
      </c>
      <c r="F13" s="23">
        <f t="shared" si="5"/>
        <v>7.8815999999999997</v>
      </c>
      <c r="G13" s="86">
        <f t="shared" si="7"/>
        <v>505.86285904024828</v>
      </c>
      <c r="H13" s="29" t="s">
        <v>15</v>
      </c>
      <c r="I13" s="23" t="s">
        <v>15</v>
      </c>
      <c r="J13" s="23" t="s">
        <v>15</v>
      </c>
      <c r="K13" s="116" t="e">
        <f t="shared" si="3"/>
        <v>#VALUE!</v>
      </c>
      <c r="M13" s="24" t="s">
        <v>151</v>
      </c>
      <c r="N13" s="22">
        <f t="shared" si="1"/>
        <v>466214.62340955168</v>
      </c>
      <c r="O13" s="23">
        <f t="shared" si="8"/>
        <v>1.0835999999999999</v>
      </c>
      <c r="P13" s="23">
        <f t="shared" si="8"/>
        <v>10.119999999999999</v>
      </c>
      <c r="Q13" s="23">
        <f>U59</f>
        <v>4.1059999999999999</v>
      </c>
      <c r="R13" s="86">
        <f t="shared" si="9"/>
        <v>698.71119395766107</v>
      </c>
      <c r="S13" s="29" t="s">
        <v>15</v>
      </c>
      <c r="T13" s="23" t="s">
        <v>15</v>
      </c>
      <c r="U13" s="23" t="s">
        <v>15</v>
      </c>
      <c r="V13" s="116" t="e">
        <f t="shared" si="4"/>
        <v>#VALUE!</v>
      </c>
      <c r="W13" s="48"/>
      <c r="X13" s="48"/>
      <c r="Y13" s="48"/>
      <c r="AA13" s="48"/>
      <c r="AB13" s="48"/>
      <c r="AC13" s="48"/>
    </row>
    <row r="14" spans="2:29" ht="14.5" customHeight="1" x14ac:dyDescent="0.35">
      <c r="B14" s="24" t="s">
        <v>20</v>
      </c>
      <c r="C14" s="22">
        <f>J36</f>
        <v>35297.582962815562</v>
      </c>
      <c r="D14" s="23">
        <f t="shared" si="5"/>
        <v>2.4367999999999999</v>
      </c>
      <c r="E14" s="23">
        <f t="shared" si="5"/>
        <v>7.6113</v>
      </c>
      <c r="F14" s="23">
        <f t="shared" si="5"/>
        <v>5.7763</v>
      </c>
      <c r="G14" s="86">
        <f t="shared" si="7"/>
        <v>74.419641390860718</v>
      </c>
      <c r="H14" s="29">
        <f>F57</f>
        <v>33799.969048820574</v>
      </c>
      <c r="I14" s="23">
        <f>E57/365</f>
        <v>5.4641793189622891</v>
      </c>
      <c r="J14" s="23">
        <f>D57</f>
        <v>73.235331837816176</v>
      </c>
      <c r="K14" s="116">
        <f>(F14-I14)/I14</f>
        <v>5.7121236844215828E-2</v>
      </c>
      <c r="M14" s="24" t="s">
        <v>20</v>
      </c>
      <c r="N14" s="22">
        <f t="shared" si="1"/>
        <v>0</v>
      </c>
      <c r="O14" s="23" t="s">
        <v>15</v>
      </c>
      <c r="P14" s="23" t="s">
        <v>15</v>
      </c>
      <c r="Q14" s="23" t="s">
        <v>15</v>
      </c>
      <c r="R14" s="86" t="s">
        <v>15</v>
      </c>
      <c r="S14" s="29" t="s">
        <v>15</v>
      </c>
      <c r="T14" s="23" t="s">
        <v>15</v>
      </c>
      <c r="U14" s="23" t="s">
        <v>15</v>
      </c>
      <c r="V14" s="116" t="e">
        <f t="shared" si="4"/>
        <v>#VALUE!</v>
      </c>
      <c r="W14" s="48"/>
      <c r="X14" s="49"/>
      <c r="Y14" s="48"/>
      <c r="AA14" s="48"/>
      <c r="AB14" s="49"/>
      <c r="AC14" s="48"/>
    </row>
    <row r="15" spans="2:29" ht="14.5" customHeight="1" x14ac:dyDescent="0.35">
      <c r="B15" s="24" t="s">
        <v>10</v>
      </c>
      <c r="C15" s="22">
        <f t="shared" si="0"/>
        <v>12945.510499000175</v>
      </c>
      <c r="D15" s="23">
        <f t="shared" si="5"/>
        <v>1.8284</v>
      </c>
      <c r="E15" s="23">
        <f t="shared" si="5"/>
        <v>4.4648000000000003</v>
      </c>
      <c r="F15" s="23">
        <f t="shared" si="5"/>
        <v>3.5297999999999998</v>
      </c>
      <c r="G15" s="86">
        <f t="shared" si="7"/>
        <v>16.678697980170348</v>
      </c>
      <c r="H15" s="29">
        <f>F55</f>
        <v>12463.195528123906</v>
      </c>
      <c r="I15" s="23">
        <f>E55/365</f>
        <v>1.3262725943379925</v>
      </c>
      <c r="J15" s="23">
        <f>D55</f>
        <v>28.990256835296833</v>
      </c>
      <c r="K15" s="116">
        <f t="shared" si="3"/>
        <v>1.6614438201234909</v>
      </c>
      <c r="M15" s="24" t="s">
        <v>10</v>
      </c>
      <c r="N15" s="22">
        <f t="shared" si="1"/>
        <v>0</v>
      </c>
      <c r="O15" s="23" t="s">
        <v>15</v>
      </c>
      <c r="P15" s="23" t="s">
        <v>15</v>
      </c>
      <c r="Q15" s="23" t="s">
        <v>15</v>
      </c>
      <c r="R15" s="86" t="s">
        <v>15</v>
      </c>
      <c r="S15" s="29" t="s">
        <v>15</v>
      </c>
      <c r="T15" s="23" t="s">
        <v>15</v>
      </c>
      <c r="U15" s="23" t="s">
        <v>15</v>
      </c>
      <c r="V15" s="116" t="e">
        <f t="shared" si="4"/>
        <v>#VALUE!</v>
      </c>
      <c r="W15" s="48"/>
      <c r="X15" s="49"/>
      <c r="Y15" s="48"/>
      <c r="AA15" s="48"/>
      <c r="AB15" s="49"/>
      <c r="AC15" s="48"/>
    </row>
    <row r="16" spans="2:29" ht="14.5" customHeight="1" x14ac:dyDescent="0.35">
      <c r="B16" s="24" t="s">
        <v>2</v>
      </c>
      <c r="C16" s="22">
        <f t="shared" si="0"/>
        <v>87680.525129422967</v>
      </c>
      <c r="D16" s="23">
        <f t="shared" ref="D16" si="10">O62</f>
        <v>3.3094000000000001</v>
      </c>
      <c r="E16" s="23">
        <f t="shared" ref="E16" si="11">P62</f>
        <v>6.6837999999999997</v>
      </c>
      <c r="F16" s="23">
        <f>Q62</f>
        <v>5.4871999999999996</v>
      </c>
      <c r="G16" s="86">
        <f t="shared" si="7"/>
        <v>175.60901078391194</v>
      </c>
      <c r="H16" s="29">
        <f>F60</f>
        <v>74506.286207833546</v>
      </c>
      <c r="I16" s="23">
        <f>E60/365</f>
        <v>4.1675665154657251</v>
      </c>
      <c r="J16" s="23">
        <f>D60</f>
        <v>113.33611481088761</v>
      </c>
      <c r="K16" s="116">
        <f t="shared" si="3"/>
        <v>0.31664365274966838</v>
      </c>
      <c r="M16" s="24" t="s">
        <v>2</v>
      </c>
      <c r="N16" s="22">
        <f t="shared" si="1"/>
        <v>49239.079066352002</v>
      </c>
      <c r="O16" s="23">
        <v>5.3127853699150398</v>
      </c>
      <c r="P16" s="23">
        <v>5.3127853699150434</v>
      </c>
      <c r="Q16" s="23">
        <f>U62</f>
        <v>3.5787</v>
      </c>
      <c r="R16" s="86">
        <f>V38*1000</f>
        <v>64.317340672985182</v>
      </c>
      <c r="S16" s="29">
        <f>J60</f>
        <v>57102.495594713655</v>
      </c>
      <c r="T16" s="23">
        <f>I60/365</f>
        <v>4.1515993978286101</v>
      </c>
      <c r="U16" s="23">
        <f>H60</f>
        <v>86.833294882119489</v>
      </c>
      <c r="V16" s="116">
        <f t="shared" si="4"/>
        <v>-0.13799486485335044</v>
      </c>
      <c r="W16" s="48"/>
      <c r="X16" s="48"/>
      <c r="Y16" s="48"/>
      <c r="AA16" s="48"/>
      <c r="AB16" s="48"/>
      <c r="AC16" s="48"/>
    </row>
    <row r="17" spans="1:30" ht="14.5" customHeight="1" x14ac:dyDescent="0.35">
      <c r="B17" s="24" t="s">
        <v>21</v>
      </c>
      <c r="C17" s="22">
        <f t="shared" si="0"/>
        <v>812370.37252938317</v>
      </c>
      <c r="D17" s="23">
        <f>O63</f>
        <v>1.9113</v>
      </c>
      <c r="E17" s="23">
        <v>3.2321875948700001</v>
      </c>
      <c r="F17" s="23">
        <f>Q63</f>
        <v>2.7970999999999999</v>
      </c>
      <c r="G17" s="86">
        <f t="shared" si="7"/>
        <v>829.38262668570701</v>
      </c>
      <c r="H17" s="29">
        <f>F61</f>
        <v>833222.03617835429</v>
      </c>
      <c r="I17" s="23">
        <f>E61/365</f>
        <v>3.5272610431821891</v>
      </c>
      <c r="J17" s="23">
        <f>D61</f>
        <v>1072.73194441449</v>
      </c>
      <c r="K17" s="116">
        <f t="shared" si="3"/>
        <v>-0.20700510516325715</v>
      </c>
      <c r="M17" s="24" t="s">
        <v>21</v>
      </c>
      <c r="N17" s="22">
        <f t="shared" si="1"/>
        <v>631850.90337925521</v>
      </c>
      <c r="O17" s="23">
        <f>S63</f>
        <v>1.4321999999999999</v>
      </c>
      <c r="P17" s="23">
        <v>3.2321875948700001</v>
      </c>
      <c r="Q17" s="23">
        <f>U63</f>
        <v>2.0367000000000002</v>
      </c>
      <c r="R17" s="86">
        <f>V39*1000</f>
        <v>469.71511824307311</v>
      </c>
      <c r="S17" s="29">
        <f>J61</f>
        <v>623264.37570633064</v>
      </c>
      <c r="T17" s="23">
        <f>I61/365</f>
        <v>3.4703883245814517</v>
      </c>
      <c r="U17" s="23">
        <f>H61</f>
        <v>789.48383559126103</v>
      </c>
      <c r="V17" s="116">
        <f t="shared" si="4"/>
        <v>-0.41312043220822048</v>
      </c>
      <c r="W17" s="48"/>
      <c r="X17" s="49"/>
      <c r="Y17" s="48"/>
      <c r="AA17" s="48"/>
      <c r="AB17" s="49"/>
      <c r="AC17" s="48"/>
    </row>
    <row r="18" spans="1:30" ht="15.65" customHeight="1" x14ac:dyDescent="0.35">
      <c r="B18" s="24" t="s">
        <v>71</v>
      </c>
      <c r="C18" s="22">
        <f t="shared" si="0"/>
        <v>75850.25</v>
      </c>
      <c r="D18" s="23">
        <f>O64</f>
        <v>4.4725999999999999</v>
      </c>
      <c r="E18" s="23">
        <f>P64</f>
        <v>11.137</v>
      </c>
      <c r="F18" s="23">
        <f>Q64</f>
        <v>8.7739999999999991</v>
      </c>
      <c r="G18" s="86">
        <f t="shared" si="7"/>
        <v>242.91118412749998</v>
      </c>
      <c r="H18" s="29">
        <f>F63</f>
        <v>73378.182419666176</v>
      </c>
      <c r="I18" s="23">
        <f>E63/365</f>
        <v>5.9762245330133883</v>
      </c>
      <c r="J18" s="23">
        <f>D63</f>
        <v>160.06144029698439</v>
      </c>
      <c r="K18" s="116">
        <f t="shared" si="3"/>
        <v>0.46815099592248588</v>
      </c>
      <c r="M18" s="24" t="s">
        <v>71</v>
      </c>
      <c r="N18" s="22">
        <f t="shared" si="1"/>
        <v>0</v>
      </c>
      <c r="O18" s="23" t="s">
        <v>15</v>
      </c>
      <c r="P18" s="23" t="s">
        <v>15</v>
      </c>
      <c r="Q18" s="23" t="s">
        <v>15</v>
      </c>
      <c r="R18" s="86" t="s">
        <v>15</v>
      </c>
      <c r="S18" s="29" t="s">
        <v>15</v>
      </c>
      <c r="T18" s="23" t="s">
        <v>15</v>
      </c>
      <c r="U18" s="23" t="s">
        <v>15</v>
      </c>
      <c r="V18" s="116" t="e">
        <f t="shared" si="4"/>
        <v>#VALUE!</v>
      </c>
      <c r="W18" s="48"/>
      <c r="X18" s="49"/>
      <c r="Y18" s="48"/>
      <c r="AA18" s="48"/>
      <c r="AB18" s="49"/>
      <c r="AC18" s="48"/>
    </row>
    <row r="19" spans="1:30" ht="15.65" customHeight="1" x14ac:dyDescent="0.35">
      <c r="B19" s="24" t="s">
        <v>49</v>
      </c>
      <c r="C19" s="22">
        <f t="shared" si="0"/>
        <v>3759.5482289475526</v>
      </c>
      <c r="D19" s="23" t="s">
        <v>15</v>
      </c>
      <c r="E19" s="23" t="s">
        <v>15</v>
      </c>
      <c r="F19" s="23">
        <f>G76</f>
        <v>24.800800688444401</v>
      </c>
      <c r="G19" s="86">
        <f t="shared" si="7"/>
        <v>34.032529301223668</v>
      </c>
      <c r="H19" s="29">
        <f>F64</f>
        <v>3759.6477738849817</v>
      </c>
      <c r="I19" s="23">
        <f t="shared" ref="I19:I20" si="12">E64/365</f>
        <v>11.115620732995987</v>
      </c>
      <c r="J19" s="23">
        <f>D64</f>
        <v>29.017452413651291</v>
      </c>
      <c r="K19" s="116">
        <f t="shared" si="3"/>
        <v>1.2311665074020437</v>
      </c>
      <c r="M19" s="24" t="s">
        <v>49</v>
      </c>
      <c r="N19" s="22">
        <f>N41</f>
        <v>5124</v>
      </c>
      <c r="O19" s="23" t="s">
        <v>15</v>
      </c>
      <c r="P19" s="23" t="s">
        <v>15</v>
      </c>
      <c r="Q19" s="23">
        <f>H76</f>
        <v>36.623643803403375</v>
      </c>
      <c r="R19" s="86">
        <f t="shared" ref="R19:R20" si="13">V41*1000</f>
        <v>68.495736059753185</v>
      </c>
      <c r="S19" s="29">
        <f>J64</f>
        <v>5124.4107133386369</v>
      </c>
      <c r="T19" s="23">
        <f>I64/365</f>
        <v>12.880447672515613</v>
      </c>
      <c r="U19" s="23">
        <f>H64</f>
        <v>63.451377767717666</v>
      </c>
      <c r="V19" s="116">
        <f t="shared" si="4"/>
        <v>1.8433517789564997</v>
      </c>
      <c r="W19" s="48"/>
      <c r="X19" s="49"/>
      <c r="Y19" s="48"/>
      <c r="AA19" s="48"/>
      <c r="AB19" s="49"/>
      <c r="AC19" s="48"/>
    </row>
    <row r="20" spans="1:30" ht="35.15" customHeight="1" x14ac:dyDescent="0.35">
      <c r="B20" s="24" t="s">
        <v>51</v>
      </c>
      <c r="C20" s="22">
        <f t="shared" si="0"/>
        <v>9335.4030131679592</v>
      </c>
      <c r="D20" s="23" t="s">
        <v>15</v>
      </c>
      <c r="E20" s="23" t="s">
        <v>15</v>
      </c>
      <c r="F20" s="23">
        <f>G77</f>
        <v>0.68884753002442156</v>
      </c>
      <c r="G20" s="86">
        <f t="shared" si="7"/>
        <v>2.3471942972022011</v>
      </c>
      <c r="H20" s="29">
        <f>F65</f>
        <v>9335.4030131679592</v>
      </c>
      <c r="I20" s="23">
        <f t="shared" si="12"/>
        <v>3.4573209474515489</v>
      </c>
      <c r="J20" s="23">
        <f>D65</f>
        <v>10.968595536344996</v>
      </c>
      <c r="K20" s="116">
        <f t="shared" si="3"/>
        <v>-0.80075684598151553</v>
      </c>
      <c r="M20" s="24" t="s">
        <v>51</v>
      </c>
      <c r="N20" s="22">
        <f t="shared" si="1"/>
        <v>0</v>
      </c>
      <c r="O20" s="23" t="s">
        <v>15</v>
      </c>
      <c r="P20" s="23" t="s">
        <v>15</v>
      </c>
      <c r="Q20" s="23">
        <f>H77</f>
        <v>0</v>
      </c>
      <c r="R20" s="86">
        <f t="shared" si="13"/>
        <v>0</v>
      </c>
      <c r="S20" s="29">
        <f>J65</f>
        <v>31772.414999999997</v>
      </c>
      <c r="T20" s="23">
        <f>I65/365</f>
        <v>1.0057166138384779</v>
      </c>
      <c r="U20" s="23">
        <f>H65</f>
        <v>11.663226653953863</v>
      </c>
      <c r="V20" s="116">
        <f t="shared" si="4"/>
        <v>-1</v>
      </c>
      <c r="W20" s="48"/>
      <c r="X20" s="49"/>
      <c r="Y20" s="48"/>
      <c r="AA20" s="48"/>
      <c r="AB20" s="49"/>
      <c r="AC20" s="48"/>
    </row>
    <row r="21" spans="1:30" ht="15.65" customHeight="1" x14ac:dyDescent="0.35">
      <c r="B21" s="24" t="s">
        <v>152</v>
      </c>
      <c r="C21" s="22">
        <f t="shared" si="0"/>
        <v>175843.18427808565</v>
      </c>
      <c r="D21" s="23">
        <f>O67</f>
        <v>4.6500000000000003E-4</v>
      </c>
      <c r="E21" s="23">
        <f>P67</f>
        <v>0.12402000000000001</v>
      </c>
      <c r="F21" s="23">
        <f>P67</f>
        <v>0.12402000000000001</v>
      </c>
      <c r="G21" s="86">
        <f>R43*1000</f>
        <v>7.9599461756713881</v>
      </c>
      <c r="H21" s="29" t="s">
        <v>15</v>
      </c>
      <c r="I21" s="23" t="s">
        <v>15</v>
      </c>
      <c r="J21" s="23">
        <f>D67</f>
        <v>23.98374199509313</v>
      </c>
      <c r="K21" s="116" t="e">
        <f t="shared" si="3"/>
        <v>#VALUE!</v>
      </c>
      <c r="M21" s="24" t="s">
        <v>152</v>
      </c>
      <c r="N21" s="22">
        <f>N43</f>
        <v>466214.62340955168</v>
      </c>
      <c r="O21" s="23">
        <f t="shared" ref="O21:P22" si="14">S67</f>
        <v>0.23061999999999999</v>
      </c>
      <c r="P21" s="23">
        <f t="shared" si="14"/>
        <v>10.473000000000001</v>
      </c>
      <c r="Q21" s="23">
        <f>U67</f>
        <v>3.6562999999999999</v>
      </c>
      <c r="R21" s="86">
        <f>U43*1000</f>
        <v>622.27406133880049</v>
      </c>
      <c r="S21" s="29" t="s">
        <v>15</v>
      </c>
      <c r="T21" s="23" t="s">
        <v>15</v>
      </c>
      <c r="U21" s="23">
        <f>H67</f>
        <v>56.645930117585422</v>
      </c>
      <c r="V21" s="116" t="e">
        <f t="shared" si="4"/>
        <v>#VALUE!</v>
      </c>
      <c r="W21" s="48"/>
      <c r="X21" s="49"/>
      <c r="Y21" s="48"/>
      <c r="AA21" s="48"/>
      <c r="AB21" s="49"/>
      <c r="AC21" s="48"/>
    </row>
    <row r="22" spans="1:30" ht="15.65" customHeight="1" x14ac:dyDescent="0.35">
      <c r="B22" s="24" t="s">
        <v>142</v>
      </c>
      <c r="C22" s="22">
        <f>J44</f>
        <v>13885.086821918754</v>
      </c>
      <c r="D22" s="23">
        <f>O68</f>
        <v>4.4406999999999996</v>
      </c>
      <c r="E22" s="23">
        <f>P68</f>
        <v>3.8201000000000001</v>
      </c>
      <c r="F22" s="23">
        <f>Q68</f>
        <v>4.0401999999999996</v>
      </c>
      <c r="G22" s="86">
        <f>R44*1000</f>
        <v>20.475962638939396</v>
      </c>
      <c r="H22" s="29" t="s">
        <v>15</v>
      </c>
      <c r="I22" s="23" t="s">
        <v>15</v>
      </c>
      <c r="J22" s="23">
        <f>D68</f>
        <v>17.288072720275313</v>
      </c>
      <c r="K22" s="116" t="e">
        <f t="shared" si="3"/>
        <v>#VALUE!</v>
      </c>
      <c r="M22" s="24" t="s">
        <v>142</v>
      </c>
      <c r="N22" s="22">
        <f>N44</f>
        <v>34604.513207406766</v>
      </c>
      <c r="O22" s="23">
        <f>S68</f>
        <v>1.536</v>
      </c>
      <c r="P22" s="23">
        <f t="shared" si="14"/>
        <v>34.259</v>
      </c>
      <c r="Q22" s="23">
        <f>U68</f>
        <v>12.48</v>
      </c>
      <c r="R22" s="86">
        <f>U44*1000</f>
        <v>157.6585446449956</v>
      </c>
      <c r="S22" s="29" t="s">
        <v>15</v>
      </c>
      <c r="T22" s="23" t="s">
        <v>15</v>
      </c>
      <c r="U22" s="23">
        <f>H68</f>
        <v>83.924351293763053</v>
      </c>
      <c r="V22" s="116" t="e">
        <f t="shared" si="4"/>
        <v>#VALUE!</v>
      </c>
      <c r="W22" s="48"/>
      <c r="X22" s="49"/>
      <c r="Y22" s="48"/>
      <c r="AA22" s="48"/>
      <c r="AB22" s="49"/>
      <c r="AC22" s="48"/>
    </row>
    <row r="23" spans="1:30" ht="15.65" customHeight="1" x14ac:dyDescent="0.35">
      <c r="B23" s="26" t="s">
        <v>150</v>
      </c>
      <c r="C23" s="27">
        <f>J45</f>
        <v>35297.582962815562</v>
      </c>
      <c r="D23" s="28" t="s">
        <v>15</v>
      </c>
      <c r="E23" s="28" t="s">
        <v>15</v>
      </c>
      <c r="F23" s="28">
        <f>G78</f>
        <v>7.63</v>
      </c>
      <c r="G23" s="87">
        <f>R45*1000</f>
        <v>98.302003672293196</v>
      </c>
      <c r="H23" s="30">
        <f>H14</f>
        <v>33799.969048820574</v>
      </c>
      <c r="I23" s="28">
        <f>(J23*10^6)/(H23*365)</f>
        <v>21.480988474318973</v>
      </c>
      <c r="J23" s="28">
        <f>D66</f>
        <v>265.01071213306926</v>
      </c>
      <c r="K23" s="116">
        <f t="shared" si="3"/>
        <v>-0.64480219291948115</v>
      </c>
      <c r="M23" s="26" t="s">
        <v>150</v>
      </c>
      <c r="N23" s="27">
        <f>N45</f>
        <v>0</v>
      </c>
      <c r="O23" s="28" t="s">
        <v>15</v>
      </c>
      <c r="P23" s="28" t="s">
        <v>15</v>
      </c>
      <c r="Q23" s="28" t="s">
        <v>15</v>
      </c>
      <c r="R23" s="87" t="s">
        <v>15</v>
      </c>
      <c r="S23" s="30" t="str">
        <f>S14</f>
        <v xml:space="preserve"> - </v>
      </c>
      <c r="T23" s="117" t="s">
        <v>15</v>
      </c>
      <c r="U23" s="28">
        <f>H66</f>
        <v>93.413900100071956</v>
      </c>
      <c r="V23" s="116" t="e">
        <f t="shared" si="4"/>
        <v>#VALUE!</v>
      </c>
      <c r="W23" s="48"/>
      <c r="X23" s="49"/>
      <c r="Y23" s="48"/>
      <c r="AA23" s="48"/>
      <c r="AB23" s="49"/>
      <c r="AC23" s="48"/>
    </row>
    <row r="24" spans="1:30" ht="15.65" customHeight="1" x14ac:dyDescent="0.35">
      <c r="B24" s="24"/>
      <c r="C24" s="42"/>
      <c r="D24" s="23"/>
      <c r="E24" s="23"/>
      <c r="F24" s="23"/>
      <c r="G24" s="23"/>
      <c r="H24" s="43"/>
      <c r="I24" s="23"/>
      <c r="J24" s="23"/>
      <c r="K24" s="116" t="e">
        <f t="shared" si="3"/>
        <v>#DIV/0!</v>
      </c>
      <c r="M24" s="24"/>
      <c r="N24" s="42"/>
      <c r="O24" s="23"/>
      <c r="P24" s="23"/>
      <c r="Q24" s="23"/>
      <c r="R24" s="23"/>
      <c r="S24" s="43"/>
      <c r="T24" s="23"/>
      <c r="U24" s="23"/>
      <c r="W24" s="48"/>
      <c r="X24" s="49"/>
      <c r="Y24" s="48"/>
      <c r="AA24" s="48"/>
      <c r="AB24" s="49"/>
      <c r="AC24" s="48"/>
    </row>
    <row r="25" spans="1:30" s="1" customFormat="1" ht="15.65" customHeight="1" x14ac:dyDescent="0.35">
      <c r="A25" s="57"/>
      <c r="C25" s="58"/>
      <c r="D25" s="59"/>
      <c r="E25" s="60"/>
      <c r="F25" s="60"/>
      <c r="G25" s="60"/>
      <c r="H25" s="61"/>
      <c r="I25" s="60"/>
      <c r="J25" s="60"/>
      <c r="L25" s="62"/>
      <c r="M25" s="63"/>
      <c r="N25" s="62"/>
      <c r="P25" s="62"/>
      <c r="Q25" s="63"/>
      <c r="R25" s="62"/>
    </row>
    <row r="26" spans="1:30" s="1" customFormat="1" x14ac:dyDescent="0.35">
      <c r="A26" s="1" t="s">
        <v>131</v>
      </c>
      <c r="E26" s="58"/>
      <c r="F26" s="59"/>
      <c r="G26" s="60"/>
      <c r="H26" s="60"/>
      <c r="I26" s="60"/>
      <c r="J26" s="61"/>
      <c r="K26" s="60"/>
      <c r="L26" s="60"/>
      <c r="M26" s="57"/>
      <c r="N26" s="62"/>
      <c r="O26" s="63"/>
      <c r="P26" s="62"/>
      <c r="R26" s="58"/>
      <c r="S26" s="59"/>
      <c r="T26" s="60"/>
      <c r="U26" s="60"/>
      <c r="V26" s="60"/>
      <c r="W26" s="60"/>
      <c r="X26" s="61"/>
      <c r="Y26" s="60"/>
      <c r="Z26" s="60"/>
      <c r="AA26" s="64"/>
    </row>
    <row r="27" spans="1:30" s="1" customFormat="1" x14ac:dyDescent="0.35">
      <c r="G27" s="130" t="s">
        <v>132</v>
      </c>
      <c r="H27" s="130"/>
      <c r="I27" s="130"/>
      <c r="J27" s="130"/>
      <c r="K27" s="130" t="s">
        <v>133</v>
      </c>
      <c r="L27" s="130"/>
      <c r="M27" s="130"/>
      <c r="N27" s="130"/>
      <c r="O27" s="131" t="s">
        <v>134</v>
      </c>
      <c r="P27" s="131"/>
      <c r="Q27" s="131"/>
      <c r="R27" s="131"/>
      <c r="S27" s="131" t="s">
        <v>135</v>
      </c>
      <c r="T27" s="131"/>
      <c r="U27" s="131"/>
      <c r="V27" s="131"/>
      <c r="W27" s="130" t="s">
        <v>137</v>
      </c>
      <c r="X27" s="130"/>
      <c r="Y27" s="130"/>
    </row>
    <row r="28" spans="1:30" s="1" customFormat="1" x14ac:dyDescent="0.35">
      <c r="E28" s="69"/>
      <c r="F28" s="69"/>
      <c r="G28" s="70" t="s">
        <v>72</v>
      </c>
      <c r="H28" s="69" t="s">
        <v>74</v>
      </c>
      <c r="I28" s="69" t="s">
        <v>32</v>
      </c>
      <c r="J28" s="69" t="s">
        <v>73</v>
      </c>
      <c r="K28" s="71" t="s">
        <v>72</v>
      </c>
      <c r="L28" s="69" t="s">
        <v>74</v>
      </c>
      <c r="M28" s="69" t="s">
        <v>32</v>
      </c>
      <c r="N28" s="69" t="s">
        <v>73</v>
      </c>
      <c r="O28" s="76" t="s">
        <v>77</v>
      </c>
      <c r="P28" s="69" t="s">
        <v>78</v>
      </c>
      <c r="Q28" s="69" t="s">
        <v>26</v>
      </c>
      <c r="R28" s="75" t="s">
        <v>126</v>
      </c>
      <c r="S28" s="69" t="s">
        <v>77</v>
      </c>
      <c r="T28" s="69" t="s">
        <v>78</v>
      </c>
      <c r="U28" s="69" t="s">
        <v>26</v>
      </c>
      <c r="V28" s="69" t="s">
        <v>126</v>
      </c>
      <c r="W28" s="77" t="s">
        <v>138</v>
      </c>
      <c r="X28" s="78" t="s">
        <v>139</v>
      </c>
      <c r="Y28" s="78" t="s">
        <v>136</v>
      </c>
    </row>
    <row r="29" spans="1:30" s="1" customFormat="1" x14ac:dyDescent="0.35">
      <c r="E29" s="53" t="s">
        <v>22</v>
      </c>
      <c r="F29" s="72"/>
      <c r="G29" s="114">
        <v>1</v>
      </c>
      <c r="H29" s="73">
        <f t="shared" ref="H29:H40" si="15">$B$34*G29</f>
        <v>153704</v>
      </c>
      <c r="I29" s="73">
        <f t="shared" ref="I29:I40" si="16">$B$35*G29</f>
        <v>279726</v>
      </c>
      <c r="J29" s="73">
        <f t="shared" ref="J29:J40" si="17">SUM(H29:I29)</f>
        <v>433430</v>
      </c>
      <c r="K29" s="114">
        <v>1</v>
      </c>
      <c r="L29" s="73">
        <f t="shared" ref="L29:L40" si="18">$C$34*K29</f>
        <v>380499</v>
      </c>
      <c r="M29" s="73">
        <f t="shared" ref="M29:M40" si="19">$C$35*K29</f>
        <v>191260</v>
      </c>
      <c r="N29" s="73">
        <f>SUM(L29:M29)</f>
        <v>571759</v>
      </c>
      <c r="O29" s="79">
        <f t="shared" ref="O29:O40" si="20">(H29*D7*365)/10^9</f>
        <v>9.1631331267999994E-2</v>
      </c>
      <c r="P29" s="80">
        <f t="shared" ref="P29:P40" si="21">(I29*E7*365)/10^9</f>
        <v>0.46931281403399999</v>
      </c>
      <c r="Q29" s="80">
        <f>SUM(O29:P29)</f>
        <v>0.56094414530199999</v>
      </c>
      <c r="R29" s="80">
        <f t="shared" ref="R29:R37" si="22">(J29*F7*365)/10^9</f>
        <v>0.56093665411500004</v>
      </c>
      <c r="S29" s="80">
        <f t="shared" ref="S29:S39" si="23">(L29*O7*365)/10^9</f>
        <v>8.3615378198099999E-2</v>
      </c>
      <c r="T29" s="80">
        <f t="shared" ref="T29:T39" si="24">(M29*P7*365)/10^9</f>
        <v>0.21885403649999999</v>
      </c>
      <c r="U29" s="80">
        <f>SUM(S29:T29)</f>
        <v>0.30246941469809996</v>
      </c>
      <c r="V29" s="80">
        <f>(N29*Q7*365)/10^9</f>
        <v>0.30243649712200005</v>
      </c>
      <c r="W29" s="79">
        <f>Q29+U29</f>
        <v>0.86341356000009994</v>
      </c>
      <c r="X29" s="80">
        <f>R29+V29</f>
        <v>0.86337315123700009</v>
      </c>
      <c r="Y29" s="80">
        <f>'Pie Charts'!E6</f>
        <v>0.83030049981419496</v>
      </c>
      <c r="Z29" s="65">
        <f>(Y29-X29)/Y29</f>
        <v>-3.9832146831425663E-2</v>
      </c>
      <c r="AA29" s="83"/>
      <c r="AD29" s="66">
        <f>5.31*N13*365</f>
        <v>903593872.36122251</v>
      </c>
    </row>
    <row r="30" spans="1:30" s="1" customFormat="1" x14ac:dyDescent="0.35">
      <c r="E30" s="53" t="s">
        <v>4</v>
      </c>
      <c r="F30" s="72"/>
      <c r="G30" s="114">
        <v>0</v>
      </c>
      <c r="H30" s="73">
        <f t="shared" si="15"/>
        <v>0</v>
      </c>
      <c r="I30" s="73">
        <f t="shared" si="16"/>
        <v>0</v>
      </c>
      <c r="J30" s="73">
        <f t="shared" si="17"/>
        <v>0</v>
      </c>
      <c r="K30" s="114">
        <v>0.22341324638497739</v>
      </c>
      <c r="L30" s="73">
        <f t="shared" si="18"/>
        <v>85008.516836237512</v>
      </c>
      <c r="M30" s="73">
        <f t="shared" si="19"/>
        <v>42730.017503590774</v>
      </c>
      <c r="N30" s="73">
        <f t="shared" ref="N30:N39" si="25">SUM(L30:M30)</f>
        <v>127738.53433982829</v>
      </c>
      <c r="O30" s="79" t="s">
        <v>15</v>
      </c>
      <c r="P30" s="80" t="s">
        <v>15</v>
      </c>
      <c r="Q30" s="80" t="s">
        <v>15</v>
      </c>
      <c r="R30" s="80" t="s">
        <v>15</v>
      </c>
      <c r="S30" s="80">
        <f t="shared" si="23"/>
        <v>4.6579396698214315E-2</v>
      </c>
      <c r="T30" s="80">
        <f t="shared" si="24"/>
        <v>0.1418419726280383</v>
      </c>
      <c r="U30" s="80">
        <f>SUM(S30:T30)</f>
        <v>0.18842136932625261</v>
      </c>
      <c r="V30" s="80">
        <f>(N30*Q8*365)/10^9</f>
        <v>0.18840054238953802</v>
      </c>
      <c r="W30" s="79">
        <f>U30</f>
        <v>0.18842136932625261</v>
      </c>
      <c r="X30" s="80">
        <f>V30</f>
        <v>0.18840054238953802</v>
      </c>
      <c r="Y30" s="80">
        <f>'Pie Charts'!E7</f>
        <v>0.16540477423953701</v>
      </c>
      <c r="Z30" s="65">
        <f t="shared" ref="Z30:Z45" si="26">(Y30-X30)/Y30</f>
        <v>-0.13902723337779141</v>
      </c>
    </row>
    <row r="31" spans="1:30" s="1" customFormat="1" x14ac:dyDescent="0.35">
      <c r="E31" s="53" t="s">
        <v>6</v>
      </c>
      <c r="F31" s="72"/>
      <c r="G31" s="114">
        <v>0.13208156501485876</v>
      </c>
      <c r="H31" s="73">
        <f>$B$34*G31</f>
        <v>20301.464869043852</v>
      </c>
      <c r="I31" s="73">
        <f t="shared" si="16"/>
        <v>36946.647855346382</v>
      </c>
      <c r="J31" s="73">
        <f t="shared" si="17"/>
        <v>57248.11272439023</v>
      </c>
      <c r="K31" s="114">
        <v>0.18589829443903069</v>
      </c>
      <c r="L31" s="73">
        <f t="shared" si="18"/>
        <v>70734.115135756743</v>
      </c>
      <c r="M31" s="73">
        <f t="shared" si="19"/>
        <v>35554.90779440901</v>
      </c>
      <c r="N31" s="73">
        <f t="shared" si="25"/>
        <v>106289.02293016575</v>
      </c>
      <c r="O31" s="79">
        <f t="shared" si="20"/>
        <v>6.2037551320994547E-3</v>
      </c>
      <c r="P31" s="80">
        <f t="shared" si="21"/>
        <v>4.1621728888370492E-2</v>
      </c>
      <c r="Q31" s="80">
        <f>SUM(O31:P31)</f>
        <v>4.7825484020469947E-2</v>
      </c>
      <c r="R31" s="80">
        <f t="shared" si="22"/>
        <v>4.7825760347308295E-2</v>
      </c>
      <c r="S31" s="80">
        <f t="shared" si="23"/>
        <v>1.0759889685751964E-2</v>
      </c>
      <c r="T31" s="80">
        <f t="shared" si="24"/>
        <v>3.4382698039335143E-2</v>
      </c>
      <c r="U31" s="80">
        <f>SUM(S31:T31)</f>
        <v>4.5142587725087106E-2</v>
      </c>
      <c r="V31" s="80">
        <f>(N31*Q9*365)/10^9</f>
        <v>4.5138556535425464E-2</v>
      </c>
      <c r="W31" s="79">
        <f>Q31+U31</f>
        <v>9.2968071745557046E-2</v>
      </c>
      <c r="X31" s="80">
        <f t="shared" ref="X31:X45" si="27">R31+V31</f>
        <v>9.2964316882733766E-2</v>
      </c>
      <c r="Y31" s="80">
        <f>'Pie Charts'!E8</f>
        <v>8.722973893507921E-2</v>
      </c>
      <c r="Z31" s="65">
        <f t="shared" si="26"/>
        <v>-6.5741088047076693E-2</v>
      </c>
    </row>
    <row r="32" spans="1:30" s="1" customFormat="1" x14ac:dyDescent="0.35">
      <c r="E32" s="53" t="s">
        <v>8</v>
      </c>
      <c r="F32" s="72"/>
      <c r="G32" s="114">
        <v>0.71018714545282546</v>
      </c>
      <c r="H32" s="73">
        <f t="shared" si="15"/>
        <v>109158.60500468109</v>
      </c>
      <c r="I32" s="73">
        <f t="shared" si="16"/>
        <v>198657.80944893704</v>
      </c>
      <c r="J32" s="73">
        <f t="shared" si="17"/>
        <v>307816.41445361811</v>
      </c>
      <c r="K32" s="114">
        <v>0.36891473118825829</v>
      </c>
      <c r="L32" s="73">
        <f t="shared" si="18"/>
        <v>140371.6863024011</v>
      </c>
      <c r="M32" s="73">
        <f t="shared" si="19"/>
        <v>70558.631487066275</v>
      </c>
      <c r="N32" s="73">
        <f t="shared" si="25"/>
        <v>210930.31778946737</v>
      </c>
      <c r="O32" s="79">
        <f t="shared" si="20"/>
        <v>7.2099695240011877E-2</v>
      </c>
      <c r="P32" s="80">
        <f t="shared" si="21"/>
        <v>0.38120735108980225</v>
      </c>
      <c r="Q32" s="80">
        <f t="shared" ref="Q32:Q39" si="28">SUM(O32:P32)</f>
        <v>0.45330704632981411</v>
      </c>
      <c r="R32" s="80">
        <f t="shared" si="22"/>
        <v>0.45331061389954469</v>
      </c>
      <c r="S32" s="80">
        <f t="shared" si="23"/>
        <v>3.2852308718841351E-2</v>
      </c>
      <c r="T32" s="80">
        <f t="shared" si="24"/>
        <v>8.4189500710895177E-2</v>
      </c>
      <c r="U32" s="80">
        <f>SUM(S32:T32)</f>
        <v>0.11704180942973652</v>
      </c>
      <c r="V32" s="80">
        <f>(N32*Q10*365)/10^9</f>
        <v>0.1170318392661958</v>
      </c>
      <c r="W32" s="79">
        <f>Q32+U32</f>
        <v>0.57034885575955063</v>
      </c>
      <c r="X32" s="80">
        <f t="shared" si="27"/>
        <v>0.5703424531657405</v>
      </c>
      <c r="Y32" s="80">
        <f>'Pie Charts'!E9</f>
        <v>0.55627168799249394</v>
      </c>
      <c r="Z32" s="65">
        <f t="shared" si="26"/>
        <v>-2.5294771380556819E-2</v>
      </c>
    </row>
    <row r="33" spans="1:31" s="1" customFormat="1" x14ac:dyDescent="0.35">
      <c r="B33" s="1" t="s">
        <v>75</v>
      </c>
      <c r="C33" s="1" t="s">
        <v>76</v>
      </c>
      <c r="E33" s="53" t="s">
        <v>9</v>
      </c>
      <c r="F33" s="72"/>
      <c r="G33" s="114">
        <v>0.8399461104605076</v>
      </c>
      <c r="H33" s="73">
        <f t="shared" si="15"/>
        <v>129103.07696222186</v>
      </c>
      <c r="I33" s="73">
        <f t="shared" si="16"/>
        <v>234954.76569467594</v>
      </c>
      <c r="J33" s="73">
        <f t="shared" si="17"/>
        <v>364057.84265689779</v>
      </c>
      <c r="K33" s="114">
        <v>0</v>
      </c>
      <c r="L33" s="73">
        <f t="shared" si="18"/>
        <v>0</v>
      </c>
      <c r="M33" s="73">
        <f t="shared" si="19"/>
        <v>0</v>
      </c>
      <c r="N33" s="73">
        <f t="shared" si="25"/>
        <v>0</v>
      </c>
      <c r="O33" s="79">
        <f t="shared" si="20"/>
        <v>6.0439476376787198E-2</v>
      </c>
      <c r="P33" s="80">
        <f t="shared" si="21"/>
        <v>0.33574448630854953</v>
      </c>
      <c r="Q33" s="80">
        <f t="shared" si="28"/>
        <v>0.39618396268533673</v>
      </c>
      <c r="R33" s="80">
        <f t="shared" si="22"/>
        <v>0.3961850371267624</v>
      </c>
      <c r="S33" s="79" t="s">
        <v>15</v>
      </c>
      <c r="T33" s="80" t="s">
        <v>15</v>
      </c>
      <c r="U33" s="80" t="s">
        <v>15</v>
      </c>
      <c r="V33" s="80" t="s">
        <v>15</v>
      </c>
      <c r="W33" s="79">
        <f>Q33</f>
        <v>0.39618396268533673</v>
      </c>
      <c r="X33" s="80">
        <f>R33</f>
        <v>0.3961850371267624</v>
      </c>
      <c r="Y33" s="80">
        <f>'Pie Charts'!E10</f>
        <v>0.37672774365108003</v>
      </c>
      <c r="Z33" s="65">
        <f t="shared" si="26"/>
        <v>-5.1648156536364474E-2</v>
      </c>
    </row>
    <row r="34" spans="1:31" s="1" customFormat="1" x14ac:dyDescent="0.35">
      <c r="A34" s="1" t="s">
        <v>74</v>
      </c>
      <c r="B34" s="1">
        <v>153704</v>
      </c>
      <c r="C34" s="1">
        <v>380499</v>
      </c>
      <c r="E34" s="53" t="s">
        <v>18</v>
      </c>
      <c r="F34" s="72"/>
      <c r="G34" s="114">
        <v>0.40570146108503258</v>
      </c>
      <c r="H34" s="73">
        <f t="shared" si="15"/>
        <v>62357.937374613844</v>
      </c>
      <c r="I34" s="73">
        <f t="shared" si="16"/>
        <v>113485.24690347182</v>
      </c>
      <c r="J34" s="73">
        <f t="shared" si="17"/>
        <v>175843.18427808565</v>
      </c>
      <c r="K34" s="114">
        <v>0.81540408355539951</v>
      </c>
      <c r="L34" s="73">
        <f t="shared" si="18"/>
        <v>310260.43838874594</v>
      </c>
      <c r="M34" s="73">
        <f t="shared" si="19"/>
        <v>155954.18502080571</v>
      </c>
      <c r="N34" s="73">
        <f t="shared" si="25"/>
        <v>466214.62340955168</v>
      </c>
      <c r="O34" s="79">
        <f t="shared" si="20"/>
        <v>6.7694716728945422E-3</v>
      </c>
      <c r="P34" s="80">
        <f t="shared" si="21"/>
        <v>5.6495622811850506E-2</v>
      </c>
      <c r="Q34" s="80">
        <f>SUM(O34:P34)</f>
        <v>6.3265094484745044E-2</v>
      </c>
      <c r="R34" s="80">
        <f t="shared" si="22"/>
        <v>6.3264948761161802E-2</v>
      </c>
      <c r="S34" s="80">
        <f t="shared" si="23"/>
        <v>3.3067557523472541E-2</v>
      </c>
      <c r="T34" s="80">
        <f t="shared" si="24"/>
        <v>9.7407112513774985E-2</v>
      </c>
      <c r="U34" s="80">
        <f>SUM(S34:T34)</f>
        <v>0.13047467003724753</v>
      </c>
      <c r="V34" s="80">
        <f>(N34*Q12*365)/10^9</f>
        <v>0.13045955597848047</v>
      </c>
      <c r="W34" s="79">
        <f>Q34+U34</f>
        <v>0.19373976452199257</v>
      </c>
      <c r="X34" s="80">
        <f t="shared" si="27"/>
        <v>0.19372450473964226</v>
      </c>
      <c r="Y34" s="80">
        <f>'Pie Charts'!E11</f>
        <v>0.1827227259288845</v>
      </c>
      <c r="Z34" s="65">
        <f t="shared" si="26"/>
        <v>-6.0210237970287489E-2</v>
      </c>
    </row>
    <row r="35" spans="1:31" s="1" customFormat="1" x14ac:dyDescent="0.35">
      <c r="A35" s="1" t="s">
        <v>32</v>
      </c>
      <c r="B35" s="1">
        <v>279726</v>
      </c>
      <c r="C35" s="1">
        <v>191260</v>
      </c>
      <c r="E35" s="53" t="s">
        <v>19</v>
      </c>
      <c r="F35" s="72"/>
      <c r="G35" s="114">
        <v>0.40570146108503258</v>
      </c>
      <c r="H35" s="73">
        <f>$B$34*G35</f>
        <v>62357.937374613844</v>
      </c>
      <c r="I35" s="73">
        <f t="shared" si="16"/>
        <v>113485.24690347182</v>
      </c>
      <c r="J35" s="73">
        <f>SUM(H35:I35)</f>
        <v>175843.18427808565</v>
      </c>
      <c r="K35" s="114">
        <v>0.81540408355539951</v>
      </c>
      <c r="L35" s="73">
        <f t="shared" si="18"/>
        <v>310260.43838874594</v>
      </c>
      <c r="M35" s="73">
        <f t="shared" si="19"/>
        <v>155954.18502080571</v>
      </c>
      <c r="N35" s="73">
        <f>SUM(L35:M35)</f>
        <v>466214.62340955168</v>
      </c>
      <c r="O35" s="79">
        <f t="shared" si="20"/>
        <v>4.614265995043744E-2</v>
      </c>
      <c r="P35" s="80">
        <f t="shared" si="21"/>
        <v>0.45970263359917651</v>
      </c>
      <c r="Q35" s="80">
        <f>SUM(O35:P35)</f>
        <v>0.50584529354961394</v>
      </c>
      <c r="R35" s="80">
        <f t="shared" si="22"/>
        <v>0.5058628590402483</v>
      </c>
      <c r="S35" s="80">
        <f t="shared" si="23"/>
        <v>0.12271234702888645</v>
      </c>
      <c r="T35" s="80">
        <f t="shared" si="24"/>
        <v>0.57606356862985209</v>
      </c>
      <c r="U35" s="80">
        <f>SUM(S35:T35)</f>
        <v>0.69877591565873853</v>
      </c>
      <c r="V35" s="80">
        <f>(N35*Q13*365)/10^9</f>
        <v>0.69871119395766101</v>
      </c>
      <c r="W35" s="79">
        <f>Q35+U35</f>
        <v>1.2046212092083524</v>
      </c>
      <c r="X35" s="80">
        <f>R35+V35</f>
        <v>1.2045740529979092</v>
      </c>
      <c r="Y35" s="80">
        <f>'Pie Charts'!E12</f>
        <v>1.2125047223973788</v>
      </c>
      <c r="Z35" s="65">
        <f t="shared" si="26"/>
        <v>6.5407327930146206E-3</v>
      </c>
    </row>
    <row r="36" spans="1:31" s="1" customFormat="1" x14ac:dyDescent="0.35">
      <c r="B36" s="1">
        <f>SUM(B34:B35)</f>
        <v>433430</v>
      </c>
      <c r="C36" s="1">
        <f>SUM(C34:C35)</f>
        <v>571759</v>
      </c>
      <c r="E36" s="53" t="s">
        <v>20</v>
      </c>
      <c r="F36" s="72"/>
      <c r="G36" s="114">
        <v>8.1437793790959473E-2</v>
      </c>
      <c r="H36" s="73">
        <f t="shared" si="15"/>
        <v>12517.314656845634</v>
      </c>
      <c r="I36" s="73">
        <f t="shared" si="16"/>
        <v>22780.26830596993</v>
      </c>
      <c r="J36" s="73">
        <f>SUM(H36:I36)</f>
        <v>35297.582962815562</v>
      </c>
      <c r="K36" s="114">
        <v>0</v>
      </c>
      <c r="L36" s="73">
        <f t="shared" si="18"/>
        <v>0</v>
      </c>
      <c r="M36" s="73">
        <f t="shared" si="19"/>
        <v>0</v>
      </c>
      <c r="N36" s="73">
        <f t="shared" si="25"/>
        <v>0</v>
      </c>
      <c r="O36" s="79">
        <f t="shared" si="20"/>
        <v>1.1133300209867527E-2</v>
      </c>
      <c r="P36" s="80">
        <f t="shared" si="21"/>
        <v>6.328642149738857E-2</v>
      </c>
      <c r="Q36" s="80">
        <f t="shared" si="28"/>
        <v>7.4419721707256095E-2</v>
      </c>
      <c r="R36" s="80">
        <f t="shared" si="22"/>
        <v>7.4419641390860714E-2</v>
      </c>
      <c r="S36" s="79" t="s">
        <v>15</v>
      </c>
      <c r="T36" s="80" t="s">
        <v>15</v>
      </c>
      <c r="U36" s="80" t="s">
        <v>15</v>
      </c>
      <c r="V36" s="80" t="s">
        <v>15</v>
      </c>
      <c r="W36" s="79">
        <f>Q36</f>
        <v>7.4419721707256095E-2</v>
      </c>
      <c r="X36" s="80">
        <f>R36</f>
        <v>7.4419641390860714E-2</v>
      </c>
      <c r="Y36" s="80">
        <f>'Pie Charts'!E13</f>
        <v>6.9589624672014599E-2</v>
      </c>
      <c r="Z36" s="65">
        <f t="shared" si="26"/>
        <v>-6.9407138515412928E-2</v>
      </c>
    </row>
    <row r="37" spans="1:31" s="1" customFormat="1" x14ac:dyDescent="0.35">
      <c r="E37" s="53" t="s">
        <v>10</v>
      </c>
      <c r="F37" s="72"/>
      <c r="G37" s="114">
        <v>2.9867592227118964E-2</v>
      </c>
      <c r="H37" s="73">
        <f t="shared" si="15"/>
        <v>4590.7683956770934</v>
      </c>
      <c r="I37" s="73">
        <f t="shared" si="16"/>
        <v>8354.7421033230803</v>
      </c>
      <c r="J37" s="73">
        <f t="shared" si="17"/>
        <v>12945.510499000175</v>
      </c>
      <c r="K37" s="114">
        <v>0</v>
      </c>
      <c r="L37" s="73">
        <f t="shared" si="18"/>
        <v>0</v>
      </c>
      <c r="M37" s="73">
        <f t="shared" si="19"/>
        <v>0</v>
      </c>
      <c r="N37" s="73">
        <f t="shared" si="25"/>
        <v>0</v>
      </c>
      <c r="O37" s="79">
        <f t="shared" si="20"/>
        <v>3.0637227411494396E-3</v>
      </c>
      <c r="P37" s="80">
        <f t="shared" si="21"/>
        <v>1.3615322178164664E-2</v>
      </c>
      <c r="Q37" s="80">
        <f t="shared" si="28"/>
        <v>1.6679044919314105E-2</v>
      </c>
      <c r="R37" s="80">
        <f t="shared" si="22"/>
        <v>1.6678697980170347E-2</v>
      </c>
      <c r="S37" s="79" t="s">
        <v>15</v>
      </c>
      <c r="T37" s="80" t="s">
        <v>15</v>
      </c>
      <c r="U37" s="80" t="s">
        <v>15</v>
      </c>
      <c r="V37" s="80" t="s">
        <v>15</v>
      </c>
      <c r="W37" s="79">
        <f>Q37</f>
        <v>1.6679044919314105E-2</v>
      </c>
      <c r="X37" s="80">
        <f>R37</f>
        <v>1.6678697980170347E-2</v>
      </c>
      <c r="Y37" s="80">
        <f>'Pie Charts'!E14</f>
        <v>1.7573299545453398E-2</v>
      </c>
      <c r="Z37" s="65">
        <f t="shared" si="26"/>
        <v>5.0906863732059049E-2</v>
      </c>
    </row>
    <row r="38" spans="1:31" s="1" customFormat="1" x14ac:dyDescent="0.35">
      <c r="E38" s="53" t="s">
        <v>2</v>
      </c>
      <c r="F38" s="72"/>
      <c r="G38" s="114">
        <v>0.2022945461306854</v>
      </c>
      <c r="H38" s="73">
        <f t="shared" si="15"/>
        <v>31093.480918470868</v>
      </c>
      <c r="I38" s="73">
        <f t="shared" si="16"/>
        <v>56587.044210952103</v>
      </c>
      <c r="J38" s="73">
        <f t="shared" si="17"/>
        <v>87680.525129422967</v>
      </c>
      <c r="K38" s="114">
        <v>8.6118590291280064E-2</v>
      </c>
      <c r="L38" s="73">
        <f t="shared" si="18"/>
        <v>32768.037487241774</v>
      </c>
      <c r="M38" s="73">
        <f t="shared" si="19"/>
        <v>16471.041579110224</v>
      </c>
      <c r="N38" s="73">
        <f t="shared" si="25"/>
        <v>49239.079066352002</v>
      </c>
      <c r="O38" s="79">
        <f t="shared" si="20"/>
        <v>3.7558779499329432E-2</v>
      </c>
      <c r="P38" s="80">
        <f t="shared" si="21"/>
        <v>0.13804901742546399</v>
      </c>
      <c r="Q38" s="80">
        <f>SUM(O38:P38)</f>
        <v>0.17560779692479342</v>
      </c>
      <c r="R38" s="80">
        <f t="shared" ref="R38" si="29">(J38*F16*365)/10^9</f>
        <v>0.17560901078391195</v>
      </c>
      <c r="S38" s="80">
        <f t="shared" si="23"/>
        <v>6.3542685809511668E-2</v>
      </c>
      <c r="T38" s="80">
        <f t="shared" si="24"/>
        <v>3.1940094685997095E-2</v>
      </c>
      <c r="U38" s="80">
        <f>SUM(S38:T38)</f>
        <v>9.5482780495508762E-2</v>
      </c>
      <c r="V38" s="80">
        <f>(N38*Q16*365)/10^9</f>
        <v>6.4317340672985182E-2</v>
      </c>
      <c r="W38" s="79">
        <f>Q38+U38</f>
        <v>0.27109057742030218</v>
      </c>
      <c r="X38" s="80">
        <f t="shared" si="27"/>
        <v>0.23992635145689711</v>
      </c>
      <c r="Y38" s="80">
        <f>'Pie Charts'!E15</f>
        <v>0.246180444870996</v>
      </c>
      <c r="Z38" s="65">
        <f t="shared" si="26"/>
        <v>2.5404509352382421E-2</v>
      </c>
    </row>
    <row r="39" spans="1:31" s="1" customFormat="1" x14ac:dyDescent="0.35">
      <c r="E39" s="67" t="s">
        <v>21</v>
      </c>
      <c r="F39" s="72"/>
      <c r="G39" s="114">
        <v>1.8742827504542445</v>
      </c>
      <c r="H39" s="73">
        <f t="shared" si="15"/>
        <v>288084.75587581919</v>
      </c>
      <c r="I39" s="73">
        <f t="shared" si="16"/>
        <v>524285.61665356398</v>
      </c>
      <c r="J39" s="73">
        <f t="shared" si="17"/>
        <v>812370.37252938317</v>
      </c>
      <c r="K39" s="114">
        <v>1.1051000568058487</v>
      </c>
      <c r="L39" s="73">
        <f t="shared" si="18"/>
        <v>420489.4665145686</v>
      </c>
      <c r="M39" s="73">
        <f t="shared" si="19"/>
        <v>211361.43686468661</v>
      </c>
      <c r="N39" s="73">
        <f t="shared" si="25"/>
        <v>631850.90337925521</v>
      </c>
      <c r="O39" s="79">
        <f t="shared" si="20"/>
        <v>0.20097498377549045</v>
      </c>
      <c r="P39" s="80">
        <f t="shared" si="21"/>
        <v>0.61852515520549245</v>
      </c>
      <c r="Q39" s="80">
        <f t="shared" si="28"/>
        <v>0.81950013898098284</v>
      </c>
      <c r="R39" s="80">
        <f>(J39*F17*365)/10^9</f>
        <v>0.82938262668570706</v>
      </c>
      <c r="S39" s="80">
        <f t="shared" si="23"/>
        <v>0.21981213008889025</v>
      </c>
      <c r="T39" s="80">
        <f t="shared" si="24"/>
        <v>0.24935333220779765</v>
      </c>
      <c r="U39" s="80">
        <f>SUM(S39:T39)</f>
        <v>0.46916546229668787</v>
      </c>
      <c r="V39" s="80">
        <f>(N39*Q17*365)/10^9</f>
        <v>0.4697151182430731</v>
      </c>
      <c r="W39" s="79">
        <f>Q39+U39</f>
        <v>1.2886656012776707</v>
      </c>
      <c r="X39" s="80">
        <f t="shared" si="27"/>
        <v>1.2990977449287802</v>
      </c>
      <c r="Y39" s="80">
        <f>'Pie Charts'!E16</f>
        <v>1.305401876253057</v>
      </c>
      <c r="Z39" s="65">
        <f t="shared" si="26"/>
        <v>4.8292647949701537E-3</v>
      </c>
    </row>
    <row r="40" spans="1:31" s="1" customFormat="1" ht="13.5" customHeight="1" x14ac:dyDescent="0.35">
      <c r="E40" s="53" t="s">
        <v>71</v>
      </c>
      <c r="F40" s="72"/>
      <c r="G40" s="114">
        <v>0.17499999999999999</v>
      </c>
      <c r="H40" s="73">
        <f t="shared" si="15"/>
        <v>26898.199999999997</v>
      </c>
      <c r="I40" s="73">
        <f t="shared" si="16"/>
        <v>48952.049999999996</v>
      </c>
      <c r="J40" s="73">
        <f t="shared" si="17"/>
        <v>75850.25</v>
      </c>
      <c r="K40" s="114">
        <v>0</v>
      </c>
      <c r="L40" s="73">
        <f t="shared" si="18"/>
        <v>0</v>
      </c>
      <c r="M40" s="73">
        <f t="shared" si="19"/>
        <v>0</v>
      </c>
      <c r="N40" s="73">
        <f>SUM(L40:M40)</f>
        <v>0</v>
      </c>
      <c r="O40" s="79">
        <f t="shared" si="20"/>
        <v>4.3911284601799994E-2</v>
      </c>
      <c r="P40" s="80">
        <f t="shared" si="21"/>
        <v>0.19899032801024996</v>
      </c>
      <c r="Q40" s="80">
        <f>SUM(O40:P40)</f>
        <v>0.24290161261204996</v>
      </c>
      <c r="R40" s="80">
        <f>(J40*F18*365)/10^9</f>
        <v>0.24291118412749999</v>
      </c>
      <c r="S40" s="79" t="s">
        <v>15</v>
      </c>
      <c r="T40" s="80" t="s">
        <v>15</v>
      </c>
      <c r="U40" s="80" t="s">
        <v>15</v>
      </c>
      <c r="V40" s="80" t="s">
        <v>15</v>
      </c>
      <c r="W40" s="79">
        <f>Q40</f>
        <v>0.24290161261204996</v>
      </c>
      <c r="X40" s="80">
        <f>R40</f>
        <v>0.24291118412749999</v>
      </c>
      <c r="Y40" s="80">
        <f>'Pie Charts'!E17</f>
        <v>0.2442420201679</v>
      </c>
      <c r="Z40" s="65">
        <f t="shared" si="26"/>
        <v>5.4488414380341188E-3</v>
      </c>
    </row>
    <row r="41" spans="1:31" s="1" customFormat="1" x14ac:dyDescent="0.35">
      <c r="E41" s="53" t="s">
        <v>67</v>
      </c>
      <c r="F41" s="72"/>
      <c r="G41" s="114">
        <v>1</v>
      </c>
      <c r="H41" s="73"/>
      <c r="I41" s="73"/>
      <c r="J41" s="73">
        <f>C76</f>
        <v>3759.5482289475526</v>
      </c>
      <c r="K41" s="114">
        <v>1</v>
      </c>
      <c r="L41" s="73"/>
      <c r="M41" s="73"/>
      <c r="N41" s="73">
        <f>D76</f>
        <v>5124</v>
      </c>
      <c r="O41" s="79"/>
      <c r="P41" s="80"/>
      <c r="Q41" s="80"/>
      <c r="R41" s="80">
        <f>(F19*J41*365)/10^9</f>
        <v>3.403252930122367E-2</v>
      </c>
      <c r="S41" s="80"/>
      <c r="T41" s="80"/>
      <c r="U41" s="80"/>
      <c r="V41" s="80">
        <f>(Q19*N41*365)/10^9</f>
        <v>6.849573605975319E-2</v>
      </c>
      <c r="W41" s="79">
        <f>Q41+U41</f>
        <v>0</v>
      </c>
      <c r="X41" s="80">
        <f>R41+V41</f>
        <v>0.10252826536097687</v>
      </c>
      <c r="Y41" s="80">
        <f>'Pie Charts'!E18</f>
        <v>0.10250000000000009</v>
      </c>
      <c r="Z41" s="65">
        <f t="shared" si="26"/>
        <v>-2.7575961928561719E-4</v>
      </c>
    </row>
    <row r="42" spans="1:31" s="1" customFormat="1" x14ac:dyDescent="0.35">
      <c r="E42" s="53" t="s">
        <v>68</v>
      </c>
      <c r="F42" s="72"/>
      <c r="G42" s="114">
        <v>1</v>
      </c>
      <c r="H42" s="73"/>
      <c r="I42" s="73"/>
      <c r="J42" s="73">
        <f>C77</f>
        <v>9335.4030131679592</v>
      </c>
      <c r="K42" s="114">
        <v>1</v>
      </c>
      <c r="L42" s="73"/>
      <c r="M42" s="73"/>
      <c r="N42" s="73">
        <f>D77</f>
        <v>0</v>
      </c>
      <c r="O42" s="79"/>
      <c r="P42" s="80"/>
      <c r="Q42" s="80"/>
      <c r="R42" s="80">
        <f>(F20*J42*365)/10^9</f>
        <v>2.3471942972022011E-3</v>
      </c>
      <c r="S42" s="80"/>
      <c r="T42" s="80"/>
      <c r="U42" s="80"/>
      <c r="V42" s="80">
        <f>(Q20*N42*365)/10^9</f>
        <v>0</v>
      </c>
      <c r="W42" s="79">
        <f>Q42+U42</f>
        <v>0</v>
      </c>
      <c r="X42" s="80">
        <f t="shared" si="27"/>
        <v>2.3471942972022011E-3</v>
      </c>
      <c r="Y42" s="80">
        <f>'Pie Charts'!E19</f>
        <v>2.3E-3</v>
      </c>
      <c r="Z42" s="65">
        <f t="shared" si="26"/>
        <v>-2.051925965313095E-2</v>
      </c>
    </row>
    <row r="43" spans="1:31" s="1" customFormat="1" x14ac:dyDescent="0.35">
      <c r="E43" s="53" t="s">
        <v>69</v>
      </c>
      <c r="F43" s="72"/>
      <c r="G43" s="114">
        <v>0.40570146108503258</v>
      </c>
      <c r="H43" s="73">
        <f>$B$34*G43</f>
        <v>62357.937374613844</v>
      </c>
      <c r="I43" s="73">
        <f>$B$35*G43</f>
        <v>113485.24690347182</v>
      </c>
      <c r="J43" s="73">
        <f>SUM(H43:I43)</f>
        <v>175843.18427808565</v>
      </c>
      <c r="K43" s="114">
        <v>0.81540408355539951</v>
      </c>
      <c r="L43" s="73">
        <f>$C$34*K43</f>
        <v>310260.43838874594</v>
      </c>
      <c r="M43" s="73">
        <f>$C$35*K43</f>
        <v>155954.18502080571</v>
      </c>
      <c r="N43" s="73">
        <f>SUM(L43:M43)</f>
        <v>466214.62340955168</v>
      </c>
      <c r="O43" s="79">
        <f>(H43*D21*365)/10^9</f>
        <v>1.0583700920906336E-5</v>
      </c>
      <c r="P43" s="80">
        <f>(I43*E21*365)/10^9</f>
        <v>5.1371707171535309E-3</v>
      </c>
      <c r="Q43" s="80">
        <f>SUM(O43:P43)</f>
        <v>5.1477544180744371E-3</v>
      </c>
      <c r="R43" s="80">
        <f>(J43*F21*365)/10^9</f>
        <v>7.9599461756713879E-3</v>
      </c>
      <c r="S43" s="80">
        <f>(L43*O21*365)/10^9</f>
        <v>2.6116575739942593E-2</v>
      </c>
      <c r="T43" s="80">
        <f>(M43*P21*365)/10^9</f>
        <v>0.59615748559885784</v>
      </c>
      <c r="U43" s="80">
        <f>SUM(S43:T43)</f>
        <v>0.62227406133880048</v>
      </c>
      <c r="V43" s="80">
        <f>(N43*Q21*365)/10^9</f>
        <v>0.62218649256390546</v>
      </c>
      <c r="W43" s="79">
        <f>Q43+U43</f>
        <v>0.62742181575687495</v>
      </c>
      <c r="X43" s="80">
        <f>R43+V43</f>
        <v>0.63014643873957688</v>
      </c>
      <c r="Y43" s="80">
        <f>'Pie Charts'!E21</f>
        <v>0.6255073828861698</v>
      </c>
      <c r="Z43" s="65">
        <f>(Y43-X43)/Y43</f>
        <v>-7.4164685826758475E-3</v>
      </c>
    </row>
    <row r="44" spans="1:31" s="1" customFormat="1" x14ac:dyDescent="0.35">
      <c r="E44" s="53" t="s">
        <v>142</v>
      </c>
      <c r="F44" s="72"/>
      <c r="G44" s="114">
        <v>3.20353617006639E-2</v>
      </c>
      <c r="H44" s="73">
        <f>$B$34*G44</f>
        <v>4923.9632348388441</v>
      </c>
      <c r="I44" s="73">
        <f>$B$35*G44</f>
        <v>8961.1235870799101</v>
      </c>
      <c r="J44" s="73">
        <f>$B$36*G44</f>
        <v>13885.086821918754</v>
      </c>
      <c r="K44" s="114">
        <v>6.05229007456057E-2</v>
      </c>
      <c r="L44" s="73">
        <f>$C$34*K44</f>
        <v>23028.903210802222</v>
      </c>
      <c r="M44" s="73">
        <f>$C$35*K44</f>
        <v>11575.609996604546</v>
      </c>
      <c r="N44" s="73">
        <f>$C$36*K44</f>
        <v>34604.513207406766</v>
      </c>
      <c r="O44" s="79">
        <f>(H44*D22*365)/10^9</f>
        <v>7.9810328909863323E-3</v>
      </c>
      <c r="P44" s="80">
        <f>(I44*E22*365)/10^9</f>
        <v>1.2494821698476447E-2</v>
      </c>
      <c r="Q44" s="80">
        <f>SUM(O44:P44)</f>
        <v>2.0475854589462779E-2</v>
      </c>
      <c r="R44" s="80">
        <f>(J44*F22*365)/10^9</f>
        <v>2.0475962638939395E-2</v>
      </c>
      <c r="S44" s="80">
        <f>(L44*O22*365)/10^9</f>
        <v>1.2910924296104158E-2</v>
      </c>
      <c r="T44" s="80">
        <f>(M44*P22*365)/10^9</f>
        <v>0.14474762034889144</v>
      </c>
      <c r="U44" s="80">
        <f>SUM(S44:T44)</f>
        <v>0.1576585446449956</v>
      </c>
      <c r="V44" s="80">
        <f>(N44*Q22*365)/10^9</f>
        <v>0.15763047856237933</v>
      </c>
      <c r="W44" s="79">
        <f>Q44+U44</f>
        <v>0.17813439923445837</v>
      </c>
      <c r="X44" s="80">
        <f>R44+V44</f>
        <v>0.17810644120131872</v>
      </c>
      <c r="Y44" s="80">
        <f>'Pie Charts'!E22</f>
        <v>0.19415968685570709</v>
      </c>
      <c r="Z44" s="65"/>
    </row>
    <row r="45" spans="1:31" s="1" customFormat="1" x14ac:dyDescent="0.35">
      <c r="E45" s="54" t="s">
        <v>70</v>
      </c>
      <c r="F45" s="68"/>
      <c r="G45" s="115">
        <f>G36</f>
        <v>8.1437793790959473E-2</v>
      </c>
      <c r="H45" s="74"/>
      <c r="I45" s="74"/>
      <c r="J45" s="74">
        <f>$B$36*G45</f>
        <v>35297.582962815562</v>
      </c>
      <c r="K45" s="115">
        <v>0</v>
      </c>
      <c r="L45" s="74"/>
      <c r="M45" s="74"/>
      <c r="N45" s="74"/>
      <c r="O45" s="81"/>
      <c r="P45" s="82"/>
      <c r="Q45" s="82"/>
      <c r="R45" s="82">
        <f>(F23*J45*365)/10^9</f>
        <v>9.8302003672293192E-2</v>
      </c>
      <c r="S45" s="82"/>
      <c r="T45" s="82"/>
      <c r="U45" s="82"/>
      <c r="V45" s="82"/>
      <c r="W45" s="81">
        <f>Q45+V45</f>
        <v>0</v>
      </c>
      <c r="X45" s="82">
        <f t="shared" si="27"/>
        <v>9.8302003672293192E-2</v>
      </c>
      <c r="Y45" s="82">
        <f>'Pie Charts'!E20</f>
        <v>9.8299999999999998E-2</v>
      </c>
      <c r="Z45" s="65">
        <f t="shared" si="26"/>
        <v>-2.0383237977556041E-5</v>
      </c>
    </row>
    <row r="46" spans="1:31" s="1" customFormat="1" x14ac:dyDescent="0.35"/>
    <row r="47" spans="1:31" s="1" customFormat="1" x14ac:dyDescent="0.35">
      <c r="W47" s="83">
        <f>SUM(W29:W45)</f>
        <v>6.2090095661750686</v>
      </c>
      <c r="X47" s="83">
        <f>SUM(X29:X45)</f>
        <v>6.3940280216949024</v>
      </c>
      <c r="Y47" s="83">
        <f t="shared" ref="Y47" si="30">SUM(Y29:Y45)</f>
        <v>6.3169162282099469</v>
      </c>
      <c r="AC47" s="1">
        <f>U43/N43</f>
        <v>1.3347373293182967E-6</v>
      </c>
      <c r="AD47" s="1">
        <f>AC47*(10^9/365)</f>
        <v>3.6568146008720452</v>
      </c>
    </row>
    <row r="48" spans="1:31" s="1" customFormat="1" x14ac:dyDescent="0.35">
      <c r="AD48" s="1">
        <f>U35/N35</f>
        <v>1.4988288238331183E-6</v>
      </c>
      <c r="AE48" s="1">
        <f>AD48*(10^9/365)</f>
        <v>4.1063803392688172</v>
      </c>
    </row>
    <row r="49" spans="2:21" s="1" customFormat="1" x14ac:dyDescent="0.35">
      <c r="M49" s="1" t="s">
        <v>161</v>
      </c>
    </row>
    <row r="50" spans="2:21" s="1" customFormat="1" x14ac:dyDescent="0.35">
      <c r="B50" s="55" t="s">
        <v>129</v>
      </c>
      <c r="C50" s="18"/>
      <c r="D50" s="18"/>
      <c r="E50" s="18"/>
      <c r="F50" s="18"/>
      <c r="G50" s="18"/>
      <c r="H50" s="18"/>
      <c r="I50" s="18"/>
      <c r="J50" s="18"/>
      <c r="K50" s="18"/>
      <c r="M50" s="56" t="s">
        <v>130</v>
      </c>
      <c r="N50" s="18"/>
      <c r="O50" s="18"/>
      <c r="P50" s="18"/>
      <c r="Q50" s="18"/>
      <c r="R50" s="18"/>
      <c r="S50" s="18"/>
    </row>
    <row r="51" spans="2:21" s="1" customFormat="1" x14ac:dyDescent="0.35">
      <c r="D51" s="1" t="s">
        <v>33</v>
      </c>
      <c r="H51" s="1" t="s">
        <v>35</v>
      </c>
      <c r="M51" s="50"/>
      <c r="N51" s="1" t="s">
        <v>29</v>
      </c>
      <c r="R51" s="1" t="s">
        <v>30</v>
      </c>
    </row>
    <row r="52" spans="2:21" s="1" customFormat="1" x14ac:dyDescent="0.35">
      <c r="D52" s="1" t="s">
        <v>128</v>
      </c>
      <c r="E52" s="1" t="s">
        <v>34</v>
      </c>
      <c r="F52" s="1" t="s">
        <v>79</v>
      </c>
      <c r="I52" s="1" t="s">
        <v>34</v>
      </c>
      <c r="J52" s="1" t="s">
        <v>79</v>
      </c>
      <c r="K52" s="1" t="s">
        <v>56</v>
      </c>
      <c r="N52" s="1" t="s">
        <v>141</v>
      </c>
      <c r="O52" s="1" t="s">
        <v>31</v>
      </c>
      <c r="P52" s="1" t="s">
        <v>32</v>
      </c>
      <c r="R52" s="1" t="s">
        <v>141</v>
      </c>
      <c r="S52" s="1" t="s">
        <v>31</v>
      </c>
      <c r="T52" s="1" t="s">
        <v>32</v>
      </c>
    </row>
    <row r="53" spans="2:21" s="1" customFormat="1" x14ac:dyDescent="0.35">
      <c r="B53" s="1" t="s">
        <v>36</v>
      </c>
      <c r="C53" s="1" t="s">
        <v>37</v>
      </c>
      <c r="D53" s="1">
        <v>49.057208658487589</v>
      </c>
      <c r="E53" s="1">
        <v>116.88859606208264</v>
      </c>
      <c r="F53" s="1">
        <v>419692</v>
      </c>
      <c r="H53" s="1">
        <v>65.293740703945531</v>
      </c>
      <c r="I53" s="1">
        <v>108.728850717372</v>
      </c>
      <c r="J53" s="1">
        <v>600519</v>
      </c>
      <c r="K53" s="1" t="s">
        <v>57</v>
      </c>
      <c r="M53" s="52" t="s">
        <v>22</v>
      </c>
      <c r="N53" s="1">
        <v>0.77081999999999995</v>
      </c>
      <c r="O53" s="1">
        <v>1.6333</v>
      </c>
      <c r="P53" s="1">
        <v>4.5965999999999996</v>
      </c>
      <c r="Q53" s="1">
        <v>3.5457000000000001</v>
      </c>
      <c r="R53" s="1">
        <v>0.59023999999999999</v>
      </c>
      <c r="S53" s="1">
        <v>0.60206000000000004</v>
      </c>
      <c r="T53" s="1">
        <v>3.1349999999999998</v>
      </c>
      <c r="U53" s="1">
        <v>1.4492</v>
      </c>
    </row>
    <row r="54" spans="2:21" s="1" customFormat="1" x14ac:dyDescent="0.35">
      <c r="B54" s="1" t="s">
        <v>8</v>
      </c>
      <c r="C54" s="1" t="s">
        <v>38</v>
      </c>
      <c r="D54" s="1">
        <v>118.42901270676604</v>
      </c>
      <c r="E54" s="1">
        <v>397.2688693094866</v>
      </c>
      <c r="F54" s="1">
        <v>298107.96127220738</v>
      </c>
      <c r="H54" s="1">
        <v>18.960322097449712</v>
      </c>
      <c r="I54" s="1">
        <v>87.848415196871073</v>
      </c>
      <c r="J54" s="1">
        <v>215829.98458149779</v>
      </c>
      <c r="K54" s="1" t="s">
        <v>58</v>
      </c>
      <c r="M54" s="53" t="s">
        <v>4</v>
      </c>
      <c r="N54" s="1" t="s">
        <v>27</v>
      </c>
      <c r="O54" s="1" t="s">
        <v>27</v>
      </c>
      <c r="P54" s="1" t="s">
        <v>28</v>
      </c>
      <c r="Q54" s="1" t="s">
        <v>27</v>
      </c>
      <c r="R54" s="1">
        <v>0.74641999999999997</v>
      </c>
      <c r="S54" s="1">
        <v>1.5012000000000001</v>
      </c>
      <c r="T54" s="1">
        <v>9.0945</v>
      </c>
      <c r="U54" s="1">
        <v>4.0407999999999999</v>
      </c>
    </row>
    <row r="55" spans="2:21" s="1" customFormat="1" x14ac:dyDescent="0.35">
      <c r="B55" s="1" t="s">
        <v>10</v>
      </c>
      <c r="C55" s="1" t="s">
        <v>39</v>
      </c>
      <c r="D55" s="1">
        <v>28.990256835296833</v>
      </c>
      <c r="E55" s="1">
        <v>484.08949693336729</v>
      </c>
      <c r="F55" s="1">
        <v>12463.195528123906</v>
      </c>
      <c r="H55" s="1">
        <v>0</v>
      </c>
      <c r="I55" s="1">
        <v>0</v>
      </c>
      <c r="J55" s="1">
        <v>0</v>
      </c>
      <c r="K55" s="1" t="s">
        <v>59</v>
      </c>
      <c r="M55" s="53" t="s">
        <v>6</v>
      </c>
      <c r="N55" s="1">
        <v>0.46595999999999999</v>
      </c>
      <c r="O55" s="1">
        <v>0.83721000000000001</v>
      </c>
      <c r="P55" s="1">
        <v>3.0863999999999998</v>
      </c>
      <c r="Q55" s="1">
        <v>2.2888000000000002</v>
      </c>
      <c r="R55" s="1">
        <v>0.43786000000000003</v>
      </c>
      <c r="S55" s="1">
        <v>0.41676000000000002</v>
      </c>
      <c r="T55" s="1">
        <v>2.6494</v>
      </c>
      <c r="U55" s="1">
        <v>1.1635</v>
      </c>
    </row>
    <row r="56" spans="2:21" s="1" customFormat="1" x14ac:dyDescent="0.35">
      <c r="B56" s="1" t="s">
        <v>40</v>
      </c>
      <c r="C56" s="1" t="s">
        <v>41</v>
      </c>
      <c r="D56" s="1">
        <v>73.422469090186524</v>
      </c>
      <c r="E56" s="1">
        <v>208.66558455309229</v>
      </c>
      <c r="F56" s="1">
        <v>351866.69257145812</v>
      </c>
      <c r="H56" s="1">
        <v>0</v>
      </c>
      <c r="I56" s="1">
        <v>0</v>
      </c>
      <c r="J56" s="1">
        <v>0</v>
      </c>
      <c r="K56" s="1" t="s">
        <v>60</v>
      </c>
      <c r="M56" s="53" t="s">
        <v>8</v>
      </c>
      <c r="N56" s="1">
        <v>0.72363999999999995</v>
      </c>
      <c r="O56" s="1">
        <v>1.8096000000000001</v>
      </c>
      <c r="P56" s="1">
        <v>5.2572999999999999</v>
      </c>
      <c r="Q56" s="1">
        <v>4.0347</v>
      </c>
      <c r="R56" s="1">
        <v>0.54468000000000005</v>
      </c>
      <c r="S56" s="1">
        <v>0.64119999999999999</v>
      </c>
      <c r="T56" s="1">
        <v>3.2690000000000001</v>
      </c>
      <c r="U56" s="1">
        <v>1.5201</v>
      </c>
    </row>
    <row r="57" spans="2:21" s="1" customFormat="1" x14ac:dyDescent="0.35">
      <c r="B57" s="1" t="s">
        <v>42</v>
      </c>
      <c r="C57" s="1" t="s">
        <v>43</v>
      </c>
      <c r="D57" s="1">
        <v>73.235331837816176</v>
      </c>
      <c r="E57" s="1">
        <v>1994.4254514212355</v>
      </c>
      <c r="F57" s="1">
        <v>33799.969048820574</v>
      </c>
      <c r="H57" s="1">
        <v>0</v>
      </c>
      <c r="I57" s="1">
        <v>0</v>
      </c>
      <c r="J57" s="1">
        <v>0</v>
      </c>
      <c r="K57" s="1" t="s">
        <v>61</v>
      </c>
      <c r="M57" s="53" t="s">
        <v>9</v>
      </c>
      <c r="N57" s="1">
        <v>0.58662000000000003</v>
      </c>
      <c r="O57" s="1">
        <v>1.2826</v>
      </c>
      <c r="P57" s="1">
        <v>3.915</v>
      </c>
      <c r="Q57" s="1">
        <v>2.9815</v>
      </c>
      <c r="R57" s="1" t="s">
        <v>28</v>
      </c>
      <c r="S57" s="1" t="s">
        <v>28</v>
      </c>
      <c r="T57" s="1" t="s">
        <v>28</v>
      </c>
      <c r="U57" s="1" t="s">
        <v>28</v>
      </c>
    </row>
    <row r="58" spans="2:21" s="1" customFormat="1" x14ac:dyDescent="0.35">
      <c r="B58" s="1" t="s">
        <v>6</v>
      </c>
      <c r="C58" s="1" t="s">
        <v>7</v>
      </c>
      <c r="D58" s="1">
        <v>13.532829221496492</v>
      </c>
      <c r="E58" s="1">
        <v>246.1564360731947</v>
      </c>
      <c r="F58" s="1">
        <v>54976.540274057676</v>
      </c>
      <c r="H58" s="1">
        <v>44.303151781188639</v>
      </c>
      <c r="I58" s="1">
        <v>134.93129699591427</v>
      </c>
      <c r="J58" s="1">
        <v>114278.16343612334</v>
      </c>
      <c r="K58" s="1" t="s">
        <v>62</v>
      </c>
      <c r="M58" s="53" t="s">
        <v>18</v>
      </c>
      <c r="N58" s="1">
        <v>0.23701</v>
      </c>
      <c r="O58" s="1">
        <v>0.29742000000000002</v>
      </c>
      <c r="P58" s="1">
        <v>1.3638999999999999</v>
      </c>
      <c r="Q58" s="1">
        <v>0.98570000000000002</v>
      </c>
      <c r="R58" s="1">
        <v>0.32957999999999998</v>
      </c>
      <c r="S58" s="1">
        <v>0.29199999999999998</v>
      </c>
      <c r="T58" s="1">
        <v>1.7112000000000001</v>
      </c>
      <c r="U58" s="1">
        <v>0.76665000000000005</v>
      </c>
    </row>
    <row r="59" spans="2:21" s="1" customFormat="1" x14ac:dyDescent="0.35">
      <c r="B59" s="1" t="s">
        <v>4</v>
      </c>
      <c r="C59" s="1" t="s">
        <v>5</v>
      </c>
      <c r="D59" s="1">
        <v>0</v>
      </c>
      <c r="E59" s="1">
        <v>0</v>
      </c>
      <c r="F59" s="1">
        <v>0</v>
      </c>
      <c r="H59" s="1">
        <v>7.9946938283332143</v>
      </c>
      <c r="I59" s="1">
        <v>57.833473610659325</v>
      </c>
      <c r="J59" s="1">
        <v>138236.44559471364</v>
      </c>
      <c r="M59" s="53" t="s">
        <v>19</v>
      </c>
      <c r="N59" s="1">
        <v>0.35561999999999999</v>
      </c>
      <c r="O59" s="1">
        <v>2.0272999999999999</v>
      </c>
      <c r="P59" s="1">
        <v>11.098000000000001</v>
      </c>
      <c r="Q59" s="1">
        <v>7.8815999999999997</v>
      </c>
      <c r="R59" s="1">
        <v>0.31401000000000001</v>
      </c>
      <c r="S59" s="1">
        <v>1.0835999999999999</v>
      </c>
      <c r="T59" s="1">
        <v>10.119999999999999</v>
      </c>
      <c r="U59" s="1">
        <v>4.1059999999999999</v>
      </c>
    </row>
    <row r="60" spans="2:21" s="1" customFormat="1" x14ac:dyDescent="0.35">
      <c r="B60" s="1" t="s">
        <v>44</v>
      </c>
      <c r="C60" s="1" t="s">
        <v>3</v>
      </c>
      <c r="D60" s="1">
        <v>113.33611481088761</v>
      </c>
      <c r="E60" s="1">
        <v>1521.1617781449897</v>
      </c>
      <c r="F60" s="1">
        <v>74506.286207833546</v>
      </c>
      <c r="H60" s="1">
        <v>86.833294882119489</v>
      </c>
      <c r="I60" s="1">
        <v>1515.3337802074427</v>
      </c>
      <c r="J60" s="1">
        <v>57102.495594713655</v>
      </c>
      <c r="K60" s="1" t="s">
        <v>63</v>
      </c>
      <c r="M60" s="53" t="s">
        <v>20</v>
      </c>
      <c r="N60" s="1">
        <v>0.88736999999999999</v>
      </c>
      <c r="O60" s="1">
        <v>2.4367999999999999</v>
      </c>
      <c r="P60" s="1">
        <v>7.6113</v>
      </c>
      <c r="Q60" s="1">
        <v>5.7763</v>
      </c>
      <c r="R60" s="1" t="s">
        <v>28</v>
      </c>
      <c r="S60" s="1" t="s">
        <v>28</v>
      </c>
      <c r="T60" s="1" t="s">
        <v>28</v>
      </c>
      <c r="U60" s="1" t="s">
        <v>28</v>
      </c>
    </row>
    <row r="61" spans="2:21" s="1" customFormat="1" x14ac:dyDescent="0.35">
      <c r="B61" s="1" t="s">
        <v>45</v>
      </c>
      <c r="C61" s="1" t="s">
        <v>0</v>
      </c>
      <c r="D61" s="1">
        <v>1072.73194441449</v>
      </c>
      <c r="E61" s="1">
        <v>1287.450280761499</v>
      </c>
      <c r="F61" s="1">
        <v>833222.03617835429</v>
      </c>
      <c r="H61" s="1">
        <v>789.48383559126103</v>
      </c>
      <c r="I61" s="1">
        <v>1266.6917384722299</v>
      </c>
      <c r="J61" s="1">
        <v>623264.37570633064</v>
      </c>
      <c r="K61" s="1" t="s">
        <v>64</v>
      </c>
      <c r="M61" s="53" t="s">
        <v>10</v>
      </c>
      <c r="N61" s="1">
        <v>0.72560000000000002</v>
      </c>
      <c r="O61" s="1">
        <v>1.8284</v>
      </c>
      <c r="P61" s="1">
        <v>4.4648000000000003</v>
      </c>
      <c r="Q61" s="1">
        <v>3.5297999999999998</v>
      </c>
      <c r="R61" s="1" t="s">
        <v>28</v>
      </c>
      <c r="S61" s="1" t="s">
        <v>28</v>
      </c>
      <c r="T61" s="1" t="s">
        <v>28</v>
      </c>
      <c r="U61" s="1" t="s">
        <v>28</v>
      </c>
    </row>
    <row r="62" spans="2:21" s="1" customFormat="1" x14ac:dyDescent="0.35">
      <c r="B62" s="1" t="s">
        <v>46</v>
      </c>
      <c r="C62" s="1" t="s">
        <v>1</v>
      </c>
      <c r="D62" s="1">
        <v>0</v>
      </c>
      <c r="F62" s="1">
        <v>0</v>
      </c>
      <c r="H62" s="1">
        <v>0</v>
      </c>
      <c r="I62" s="1">
        <v>0</v>
      </c>
      <c r="J62" s="1">
        <v>0</v>
      </c>
      <c r="M62" s="53" t="s">
        <v>2</v>
      </c>
      <c r="N62" s="1">
        <v>0.94327000000000005</v>
      </c>
      <c r="O62" s="1">
        <v>3.3094000000000001</v>
      </c>
      <c r="P62" s="1">
        <v>6.6837999999999997</v>
      </c>
      <c r="Q62" s="1">
        <v>5.4871999999999996</v>
      </c>
      <c r="R62" s="1">
        <v>0.84614</v>
      </c>
      <c r="S62" s="1">
        <v>2.0306000000000002</v>
      </c>
      <c r="T62" s="1">
        <v>6.6592000000000002</v>
      </c>
      <c r="U62" s="1">
        <v>3.5787</v>
      </c>
    </row>
    <row r="63" spans="2:21" s="1" customFormat="1" x14ac:dyDescent="0.35">
      <c r="B63" s="1" t="s">
        <v>47</v>
      </c>
      <c r="C63" s="1" t="s">
        <v>48</v>
      </c>
      <c r="D63" s="1">
        <v>160.06144029698439</v>
      </c>
      <c r="E63" s="1">
        <v>2181.3219545498869</v>
      </c>
      <c r="F63" s="1">
        <v>73378.182419666176</v>
      </c>
      <c r="H63" s="1">
        <v>0</v>
      </c>
      <c r="I63" s="1">
        <v>0</v>
      </c>
      <c r="J63" s="1">
        <v>0</v>
      </c>
      <c r="K63" s="1" t="s">
        <v>57</v>
      </c>
      <c r="M63" s="54" t="s">
        <v>21</v>
      </c>
      <c r="N63" s="1">
        <v>0.53352999999999995</v>
      </c>
      <c r="O63" s="1">
        <v>1.9113</v>
      </c>
      <c r="P63" s="1">
        <v>3.2839</v>
      </c>
      <c r="Q63" s="1">
        <v>2.7970999999999999</v>
      </c>
      <c r="R63" s="1">
        <v>0.90490000000000004</v>
      </c>
      <c r="S63" s="1">
        <v>1.4321999999999999</v>
      </c>
      <c r="T63" s="1">
        <v>3.2393999999999998</v>
      </c>
      <c r="U63" s="1">
        <v>2.0367000000000002</v>
      </c>
    </row>
    <row r="64" spans="2:21" s="1" customFormat="1" x14ac:dyDescent="0.35">
      <c r="B64" s="1" t="s">
        <v>49</v>
      </c>
      <c r="C64" s="1" t="s">
        <v>50</v>
      </c>
      <c r="D64" s="1">
        <v>29.017452413651291</v>
      </c>
      <c r="E64" s="1">
        <v>4057.2015675435355</v>
      </c>
      <c r="F64" s="1">
        <v>3759.6477738849817</v>
      </c>
      <c r="H64" s="1">
        <v>63.451377767717666</v>
      </c>
      <c r="I64" s="1">
        <v>4701.363400468199</v>
      </c>
      <c r="J64" s="1">
        <v>5124.4107133386369</v>
      </c>
      <c r="K64" s="1" t="s">
        <v>65</v>
      </c>
      <c r="M64" s="53" t="s">
        <v>48</v>
      </c>
      <c r="N64" s="1">
        <v>0.99834999999999996</v>
      </c>
      <c r="O64" s="1">
        <v>4.4725999999999999</v>
      </c>
      <c r="P64" s="1">
        <v>11.137</v>
      </c>
      <c r="Q64" s="1">
        <v>8.7739999999999991</v>
      </c>
      <c r="R64" s="1" t="s">
        <v>28</v>
      </c>
      <c r="S64" s="1" t="s">
        <v>28</v>
      </c>
      <c r="T64" s="1" t="s">
        <v>28</v>
      </c>
      <c r="U64" s="1" t="s">
        <v>28</v>
      </c>
    </row>
    <row r="65" spans="2:21" s="1" customFormat="1" x14ac:dyDescent="0.35">
      <c r="B65" s="1" t="s">
        <v>51</v>
      </c>
      <c r="C65" s="1" t="s">
        <v>52</v>
      </c>
      <c r="D65" s="1">
        <v>10.968595536344996</v>
      </c>
      <c r="E65" s="1">
        <v>1261.9221458198153</v>
      </c>
      <c r="F65" s="1">
        <v>9335.4030131679592</v>
      </c>
      <c r="H65" s="1">
        <v>11.663226653953863</v>
      </c>
      <c r="I65" s="1">
        <v>367.08656405104443</v>
      </c>
      <c r="J65" s="1">
        <v>31772.414999999997</v>
      </c>
      <c r="K65" s="1" t="s">
        <v>65</v>
      </c>
      <c r="M65" s="53" t="s">
        <v>67</v>
      </c>
      <c r="N65" s="1" t="s">
        <v>27</v>
      </c>
      <c r="O65" s="1" t="s">
        <v>27</v>
      </c>
      <c r="P65" s="1" t="s">
        <v>27</v>
      </c>
      <c r="Q65" s="1" t="s">
        <v>27</v>
      </c>
      <c r="R65" s="1" t="s">
        <v>27</v>
      </c>
      <c r="S65" s="1" t="s">
        <v>27</v>
      </c>
      <c r="T65" s="1" t="s">
        <v>27</v>
      </c>
      <c r="U65" s="1" t="s">
        <v>27</v>
      </c>
    </row>
    <row r="66" spans="2:21" s="1" customFormat="1" x14ac:dyDescent="0.35">
      <c r="B66" s="1" t="s">
        <v>53</v>
      </c>
      <c r="C66" s="1" t="s">
        <v>54</v>
      </c>
      <c r="D66" s="1">
        <v>265.01071213306926</v>
      </c>
      <c r="E66" s="1">
        <v>4833.975155929862</v>
      </c>
      <c r="F66" s="1">
        <v>54822.522579161232</v>
      </c>
      <c r="H66" s="1">
        <v>93.413900100071956</v>
      </c>
      <c r="I66" s="1">
        <v>4622.4000000000005</v>
      </c>
      <c r="J66" s="1">
        <v>20208.960734698849</v>
      </c>
      <c r="K66" s="1" t="s">
        <v>66</v>
      </c>
      <c r="M66" s="53" t="s">
        <v>68</v>
      </c>
      <c r="N66" s="1" t="s">
        <v>27</v>
      </c>
      <c r="O66" s="1" t="s">
        <v>27</v>
      </c>
      <c r="P66" s="1" t="s">
        <v>27</v>
      </c>
      <c r="Q66" s="1" t="s">
        <v>27</v>
      </c>
      <c r="R66" s="1" t="s">
        <v>27</v>
      </c>
      <c r="S66" s="1" t="s">
        <v>27</v>
      </c>
      <c r="T66" s="1" t="s">
        <v>27</v>
      </c>
      <c r="U66" s="1" t="s">
        <v>27</v>
      </c>
    </row>
    <row r="67" spans="2:21" s="1" customFormat="1" x14ac:dyDescent="0.35">
      <c r="B67" s="1" t="s">
        <v>55</v>
      </c>
      <c r="C67" s="1" t="s">
        <v>13</v>
      </c>
      <c r="D67" s="1">
        <v>23.98374199509313</v>
      </c>
      <c r="E67" s="1">
        <v>0.10491447871037288</v>
      </c>
      <c r="F67" s="1">
        <v>275335318.1647073</v>
      </c>
      <c r="H67" s="1">
        <v>56.645930117585422</v>
      </c>
      <c r="I67" s="1">
        <v>19378.254202186166</v>
      </c>
      <c r="J67" s="1">
        <v>2410.2024348544946</v>
      </c>
      <c r="M67" s="53" t="s">
        <v>69</v>
      </c>
      <c r="N67" s="1">
        <v>2.042E-3</v>
      </c>
      <c r="O67" s="1">
        <v>4.6500000000000003E-4</v>
      </c>
      <c r="P67" s="1">
        <v>0.12402000000000001</v>
      </c>
      <c r="Q67" s="1">
        <v>8.0208000000000002E-2</v>
      </c>
      <c r="R67" s="1">
        <v>7.8746999999999998E-2</v>
      </c>
      <c r="S67" s="1">
        <v>0.23061999999999999</v>
      </c>
      <c r="T67" s="1">
        <v>10.473000000000001</v>
      </c>
      <c r="U67" s="1">
        <v>3.6562999999999999</v>
      </c>
    </row>
    <row r="68" spans="2:21" s="1" customFormat="1" x14ac:dyDescent="0.35">
      <c r="B68" s="1" t="s">
        <v>146</v>
      </c>
      <c r="C68" s="1" t="s">
        <v>147</v>
      </c>
      <c r="D68" s="1">
        <v>17.288072720275313</v>
      </c>
      <c r="H68" s="1">
        <v>83.924351293763053</v>
      </c>
      <c r="I68" s="1">
        <v>0.12612900918486966</v>
      </c>
      <c r="M68" s="54" t="s">
        <v>142</v>
      </c>
      <c r="N68" s="118">
        <v>0.97806999999999999</v>
      </c>
      <c r="O68" s="118">
        <v>4.4406999999999996</v>
      </c>
      <c r="P68" s="118">
        <v>3.8201000000000001</v>
      </c>
      <c r="Q68" s="118">
        <v>4.0401999999999996</v>
      </c>
      <c r="R68" s="119">
        <v>0.96279000000000003</v>
      </c>
      <c r="S68" s="119">
        <v>1.536</v>
      </c>
      <c r="T68" s="119">
        <v>34.259</v>
      </c>
      <c r="U68" s="119">
        <v>12.48</v>
      </c>
    </row>
    <row r="69" spans="2:21" s="1" customFormat="1" x14ac:dyDescent="0.35"/>
    <row r="70" spans="2:21" s="1" customFormat="1" x14ac:dyDescent="0.35"/>
    <row r="71" spans="2:21" s="1" customFormat="1" x14ac:dyDescent="0.35">
      <c r="B71" s="56" t="s">
        <v>143</v>
      </c>
      <c r="C71" s="18"/>
      <c r="D71" s="18"/>
    </row>
    <row r="72" spans="2:21" s="1" customFormat="1" x14ac:dyDescent="0.35">
      <c r="B72" s="51" t="s">
        <v>127</v>
      </c>
    </row>
    <row r="73" spans="2:21" s="1" customFormat="1" x14ac:dyDescent="0.35"/>
    <row r="74" spans="2:21" s="1" customFormat="1" x14ac:dyDescent="0.35">
      <c r="C74" s="1" t="s">
        <v>144</v>
      </c>
      <c r="E74" s="1" t="s">
        <v>155</v>
      </c>
      <c r="G74" s="51" t="s">
        <v>145</v>
      </c>
      <c r="H74" s="51"/>
    </row>
    <row r="75" spans="2:21" s="1" customFormat="1" x14ac:dyDescent="0.35">
      <c r="C75" s="1" t="s">
        <v>29</v>
      </c>
      <c r="D75" s="1" t="s">
        <v>94</v>
      </c>
      <c r="E75" s="1" t="s">
        <v>29</v>
      </c>
      <c r="F75" s="51" t="s">
        <v>94</v>
      </c>
      <c r="G75" s="51" t="s">
        <v>29</v>
      </c>
      <c r="H75" s="51" t="s">
        <v>94</v>
      </c>
    </row>
    <row r="76" spans="2:21" s="1" customFormat="1" x14ac:dyDescent="0.35">
      <c r="B76" s="51" t="s">
        <v>49</v>
      </c>
      <c r="C76" s="1">
        <v>3759.5482289475526</v>
      </c>
      <c r="D76" s="1">
        <v>5124</v>
      </c>
      <c r="E76" s="1">
        <v>34032.529301223614</v>
      </c>
      <c r="F76" s="1">
        <v>68495.736059753195</v>
      </c>
      <c r="G76" s="51">
        <v>24.800800688444401</v>
      </c>
      <c r="H76" s="51">
        <v>36.623643803403375</v>
      </c>
    </row>
    <row r="77" spans="2:21" s="1" customFormat="1" x14ac:dyDescent="0.35">
      <c r="B77" s="51" t="s">
        <v>51</v>
      </c>
      <c r="C77" s="1">
        <v>9335.4030131679592</v>
      </c>
      <c r="D77" s="1">
        <v>0</v>
      </c>
      <c r="E77" s="1">
        <v>2347.1942972022011</v>
      </c>
      <c r="F77" s="1">
        <v>0</v>
      </c>
      <c r="G77" s="51">
        <v>0.68884753002442156</v>
      </c>
      <c r="H77" s="51">
        <v>0</v>
      </c>
    </row>
    <row r="78" spans="2:21" s="1" customFormat="1" x14ac:dyDescent="0.35">
      <c r="B78" s="51" t="s">
        <v>70</v>
      </c>
      <c r="G78" s="51">
        <v>7.63</v>
      </c>
      <c r="H78" s="51"/>
    </row>
    <row r="79" spans="2:21" s="1" customFormat="1" x14ac:dyDescent="0.35"/>
    <row r="80" spans="2:21" s="1" customFormat="1" x14ac:dyDescent="0.35">
      <c r="B80" s="1" t="s">
        <v>153</v>
      </c>
      <c r="C80" s="1">
        <v>131295.02073703406</v>
      </c>
      <c r="D80" s="1">
        <v>235584.87364624272</v>
      </c>
      <c r="E80" s="1">
        <v>23914.424391778102</v>
      </c>
      <c r="F80" s="1">
        <v>137810.62801780706</v>
      </c>
      <c r="G80" s="1">
        <v>0.49902098776162951</v>
      </c>
      <c r="H80" s="1">
        <v>1.6026638662688595</v>
      </c>
    </row>
    <row r="81" spans="2:8" s="1" customFormat="1" x14ac:dyDescent="0.35">
      <c r="B81" s="1" t="s">
        <v>154</v>
      </c>
      <c r="C81" s="1">
        <v>433430</v>
      </c>
      <c r="D81" s="1">
        <v>571761</v>
      </c>
      <c r="E81" s="1">
        <v>4204.174472267222</v>
      </c>
      <c r="F81" s="1">
        <v>154095.16597507623</v>
      </c>
      <c r="G81" s="1">
        <v>2.6574732310614513E-2</v>
      </c>
      <c r="H81" s="1">
        <v>0.73838288536296992</v>
      </c>
    </row>
    <row r="82" spans="2:8" s="1" customFormat="1" x14ac:dyDescent="0.35"/>
    <row r="83" spans="2:8" s="1" customFormat="1" x14ac:dyDescent="0.35"/>
    <row r="84" spans="2:8" s="1" customFormat="1" x14ac:dyDescent="0.35"/>
    <row r="85" spans="2:8" s="1" customFormat="1" x14ac:dyDescent="0.35"/>
    <row r="86" spans="2:8" s="1" customFormat="1" x14ac:dyDescent="0.35"/>
    <row r="87" spans="2:8" s="1" customFormat="1" x14ac:dyDescent="0.35"/>
    <row r="88" spans="2:8" s="1" customFormat="1" x14ac:dyDescent="0.35"/>
    <row r="89" spans="2:8" s="1" customFormat="1" x14ac:dyDescent="0.35"/>
    <row r="90" spans="2:8" s="1" customFormat="1" x14ac:dyDescent="0.35"/>
    <row r="91" spans="2:8" s="1" customFormat="1" x14ac:dyDescent="0.35"/>
    <row r="92" spans="2:8" s="1" customFormat="1" x14ac:dyDescent="0.35"/>
    <row r="93" spans="2:8" s="1" customFormat="1" x14ac:dyDescent="0.35"/>
    <row r="94" spans="2:8" s="1" customFormat="1" x14ac:dyDescent="0.35"/>
    <row r="95" spans="2:8" s="1" customFormat="1" x14ac:dyDescent="0.35"/>
    <row r="96" spans="2:8" s="1" customFormat="1" x14ac:dyDescent="0.35"/>
    <row r="97" spans="2:8" s="1" customFormat="1" x14ac:dyDescent="0.35"/>
    <row r="98" spans="2:8" s="1" customFormat="1" x14ac:dyDescent="0.35"/>
    <row r="99" spans="2:8" s="1" customFormat="1" x14ac:dyDescent="0.35"/>
    <row r="100" spans="2:8" s="1" customFormat="1" x14ac:dyDescent="0.35"/>
    <row r="101" spans="2:8" s="1" customFormat="1" x14ac:dyDescent="0.35"/>
    <row r="102" spans="2:8" s="1" customFormat="1" x14ac:dyDescent="0.35"/>
    <row r="103" spans="2:8" s="1" customFormat="1" x14ac:dyDescent="0.35"/>
    <row r="104" spans="2:8" s="1" customFormat="1" x14ac:dyDescent="0.35"/>
    <row r="105" spans="2:8" s="1" customFormat="1" x14ac:dyDescent="0.35"/>
    <row r="106" spans="2:8" s="1" customFormat="1" x14ac:dyDescent="0.35"/>
    <row r="107" spans="2:8" s="1" customFormat="1" x14ac:dyDescent="0.35"/>
    <row r="108" spans="2:8" s="1" customFormat="1" x14ac:dyDescent="0.35"/>
    <row r="109" spans="2:8" s="1" customFormat="1" x14ac:dyDescent="0.35"/>
    <row r="110" spans="2:8" s="1" customFormat="1" x14ac:dyDescent="0.35"/>
    <row r="111" spans="2:8" s="1" customFormat="1" x14ac:dyDescent="0.35"/>
    <row r="112" spans="2:8" s="1" customFormat="1" x14ac:dyDescent="0.35">
      <c r="B112" s="19"/>
      <c r="C112" s="19"/>
      <c r="D112" s="19"/>
      <c r="E112" s="19"/>
      <c r="F112" s="19"/>
      <c r="G112" s="19"/>
      <c r="H112" s="19"/>
    </row>
    <row r="113" spans="1:26" s="1" customFormat="1" x14ac:dyDescent="0.35">
      <c r="B113" s="19"/>
      <c r="C113" s="19"/>
      <c r="D113" s="19"/>
      <c r="E113" s="19"/>
      <c r="F113" s="19"/>
      <c r="G113" s="19"/>
      <c r="H113" s="19"/>
      <c r="I113" s="19"/>
      <c r="J113" s="19"/>
      <c r="K113" s="19"/>
    </row>
    <row r="114" spans="1:26" s="1" customFormat="1" x14ac:dyDescent="0.35">
      <c r="B114" s="19"/>
      <c r="C114" s="19"/>
      <c r="D114" s="19"/>
      <c r="E114" s="19"/>
      <c r="F114" s="19"/>
      <c r="G114" s="19"/>
      <c r="H114" s="19"/>
      <c r="I114" s="19"/>
      <c r="J114" s="19"/>
      <c r="K114" s="19"/>
    </row>
    <row r="115" spans="1:26" s="1" customFormat="1" x14ac:dyDescent="0.35">
      <c r="B115" s="19"/>
      <c r="C115" s="19"/>
      <c r="D115" s="19"/>
      <c r="E115" s="19"/>
      <c r="F115" s="19"/>
      <c r="G115" s="19"/>
      <c r="H115" s="19"/>
      <c r="I115" s="19"/>
      <c r="J115" s="19"/>
      <c r="K115" s="19"/>
    </row>
    <row r="116" spans="1:26" x14ac:dyDescent="0.35">
      <c r="A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35">
      <c r="A117" s="1"/>
      <c r="L117" s="1"/>
    </row>
    <row r="118" spans="1:26" x14ac:dyDescent="0.35">
      <c r="A118" s="1"/>
      <c r="L118" s="1"/>
    </row>
    <row r="119" spans="1:26" x14ac:dyDescent="0.35">
      <c r="A119" s="1"/>
      <c r="L119" s="1"/>
    </row>
    <row r="120" spans="1:26" x14ac:dyDescent="0.35">
      <c r="A120" s="1"/>
      <c r="L120" s="1"/>
    </row>
    <row r="121" spans="1:26" x14ac:dyDescent="0.35">
      <c r="A121" s="1"/>
      <c r="L121" s="1"/>
    </row>
    <row r="122" spans="1:26" x14ac:dyDescent="0.35">
      <c r="L122" s="1"/>
    </row>
  </sheetData>
  <mergeCells count="13">
    <mergeCell ref="N4:U4"/>
    <mergeCell ref="N5:R5"/>
    <mergeCell ref="S5:U5"/>
    <mergeCell ref="B4:B6"/>
    <mergeCell ref="M4:M6"/>
    <mergeCell ref="C4:J4"/>
    <mergeCell ref="C5:G5"/>
    <mergeCell ref="H5:J5"/>
    <mergeCell ref="G27:J27"/>
    <mergeCell ref="K27:N27"/>
    <mergeCell ref="O27:R27"/>
    <mergeCell ref="S27:V27"/>
    <mergeCell ref="W27:Y27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Pie Charts</vt:lpstr>
      <vt:lpstr>EF_Equip_apriori</vt:lpstr>
      <vt:lpstr>EF_Equip_posthoc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Scott Rutherford</dc:creator>
  <cp:lastModifiedBy>Jeff Rutherford</cp:lastModifiedBy>
  <dcterms:created xsi:type="dcterms:W3CDTF">2019-10-03T18:30:27Z</dcterms:created>
  <dcterms:modified xsi:type="dcterms:W3CDTF">2021-04-07T02:51:11Z</dcterms:modified>
</cp:coreProperties>
</file>