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ma\Desktop\CAES DIMPLADO DE POWER BI\CURSO DIPLOMADO EN EXCEL BASICO - AVANZADO\"/>
    </mc:Choice>
  </mc:AlternateContent>
  <xr:revisionPtr revIDLastSave="0" documentId="13_ncr:1_{862EA826-3F97-4712-AB4D-B995DAE01AD0}" xr6:coauthVersionLast="47" xr6:coauthVersionMax="47" xr10:uidLastSave="{00000000-0000-0000-0000-000000000000}"/>
  <bookViews>
    <workbookView xWindow="49080" yWindow="-120" windowWidth="29040" windowHeight="15720" tabRatio="753" activeTab="1" xr2:uid="{A3D3A7DE-79DF-4DE9-9F6C-1371646E0322}"/>
  </bookViews>
  <sheets>
    <sheet name="NOMINA" sheetId="1" r:id="rId1"/>
    <sheet name="FACTURACION" sheetId="3" r:id="rId2"/>
    <sheet name="ALMACEN" sheetId="2" r:id="rId3"/>
    <sheet name="SISTEMA DE CALIFICACION" sheetId="4" r:id="rId4"/>
    <sheet name="VARIAS FUNCIONES" sheetId="6" r:id="rId5"/>
    <sheet name="CALCULAR AMORTIZACION " sheetId="7" r:id="rId6"/>
    <sheet name="GRAFICOS DE VENTA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5" i="1" l="1"/>
  <c r="F25" i="1"/>
  <c r="G25" i="1"/>
  <c r="H25" i="1"/>
  <c r="I25" i="1"/>
  <c r="J25" i="1"/>
  <c r="K25" i="1"/>
  <c r="E2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I6" i="1"/>
  <c r="I7" i="1"/>
  <c r="I8" i="1"/>
  <c r="I10" i="1" s="1"/>
  <c r="I9" i="1"/>
  <c r="I11" i="1" s="1"/>
  <c r="J6" i="1"/>
  <c r="K6" i="1" s="1"/>
  <c r="L6" i="1" s="1"/>
  <c r="J7" i="1"/>
  <c r="K7" i="1" s="1"/>
  <c r="L7" i="1" s="1"/>
  <c r="K5" i="1"/>
  <c r="L5" i="1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" i="2"/>
  <c r="F42" i="3"/>
  <c r="H8" i="3"/>
  <c r="H9" i="3"/>
  <c r="H16" i="3"/>
  <c r="H17" i="3"/>
  <c r="H24" i="3"/>
  <c r="H25" i="3"/>
  <c r="H40" i="3"/>
  <c r="G5" i="3"/>
  <c r="H5" i="3" s="1"/>
  <c r="G8" i="3"/>
  <c r="I8" i="3" s="1"/>
  <c r="G9" i="3"/>
  <c r="I9" i="3" s="1"/>
  <c r="G12" i="3"/>
  <c r="H12" i="3" s="1"/>
  <c r="G13" i="3"/>
  <c r="H13" i="3" s="1"/>
  <c r="G16" i="3"/>
  <c r="I16" i="3" s="1"/>
  <c r="G17" i="3"/>
  <c r="I17" i="3" s="1"/>
  <c r="G20" i="3"/>
  <c r="H20" i="3" s="1"/>
  <c r="G21" i="3"/>
  <c r="H21" i="3" s="1"/>
  <c r="G24" i="3"/>
  <c r="I24" i="3" s="1"/>
  <c r="G25" i="3"/>
  <c r="I25" i="3" s="1"/>
  <c r="G27" i="3"/>
  <c r="G28" i="3"/>
  <c r="H28" i="3" s="1"/>
  <c r="I28" i="3" s="1"/>
  <c r="G29" i="3"/>
  <c r="H29" i="3" s="1"/>
  <c r="I29" i="3" s="1"/>
  <c r="G32" i="3"/>
  <c r="G36" i="3"/>
  <c r="H36" i="3" s="1"/>
  <c r="G37" i="3"/>
  <c r="H37" i="3" s="1"/>
  <c r="G40" i="3"/>
  <c r="I40" i="3" s="1"/>
  <c r="E7" i="3"/>
  <c r="G7" i="3" s="1"/>
  <c r="E8" i="3"/>
  <c r="E9" i="3"/>
  <c r="E10" i="3"/>
  <c r="G10" i="3" s="1"/>
  <c r="E11" i="3"/>
  <c r="G11" i="3" s="1"/>
  <c r="E12" i="3"/>
  <c r="E13" i="3"/>
  <c r="E14" i="3"/>
  <c r="G14" i="3" s="1"/>
  <c r="E15" i="3"/>
  <c r="G15" i="3" s="1"/>
  <c r="E16" i="3"/>
  <c r="E17" i="3"/>
  <c r="E18" i="3"/>
  <c r="G18" i="3" s="1"/>
  <c r="E19" i="3"/>
  <c r="G19" i="3" s="1"/>
  <c r="E20" i="3"/>
  <c r="E21" i="3"/>
  <c r="E22" i="3"/>
  <c r="G22" i="3" s="1"/>
  <c r="E23" i="3"/>
  <c r="G23" i="3" s="1"/>
  <c r="E24" i="3"/>
  <c r="E25" i="3"/>
  <c r="E26" i="3"/>
  <c r="G26" i="3" s="1"/>
  <c r="E27" i="3"/>
  <c r="E28" i="3"/>
  <c r="E29" i="3"/>
  <c r="E30" i="3"/>
  <c r="G30" i="3" s="1"/>
  <c r="E31" i="3"/>
  <c r="G31" i="3" s="1"/>
  <c r="E32" i="3"/>
  <c r="E33" i="3"/>
  <c r="G33" i="3" s="1"/>
  <c r="E34" i="3"/>
  <c r="G34" i="3" s="1"/>
  <c r="E35" i="3"/>
  <c r="G35" i="3" s="1"/>
  <c r="E36" i="3"/>
  <c r="E37" i="3"/>
  <c r="E38" i="3"/>
  <c r="G38" i="3" s="1"/>
  <c r="E39" i="3"/>
  <c r="G39" i="3" s="1"/>
  <c r="E40" i="3"/>
  <c r="E5" i="3"/>
  <c r="E6" i="3"/>
  <c r="G6" i="3" s="1"/>
  <c r="E4" i="3"/>
  <c r="G4" i="3" s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L2" i="1"/>
  <c r="I4" i="1"/>
  <c r="F4" i="1"/>
  <c r="G4" i="1"/>
  <c r="C24" i="8"/>
  <c r="D24" i="8" s="1"/>
  <c r="C25" i="8"/>
  <c r="D25" i="8" s="1"/>
  <c r="C26" i="8"/>
  <c r="D26" i="8" s="1"/>
  <c r="C27" i="8"/>
  <c r="D27" i="8" s="1"/>
  <c r="C28" i="8"/>
  <c r="D28" i="8" s="1"/>
  <c r="C29" i="8"/>
  <c r="D29" i="8" s="1"/>
  <c r="C30" i="8"/>
  <c r="D30" i="8" s="1"/>
  <c r="C31" i="8"/>
  <c r="D31" i="8" s="1"/>
  <c r="C32" i="8"/>
  <c r="D32" i="8" s="1"/>
  <c r="C33" i="8"/>
  <c r="D33" i="8" s="1"/>
  <c r="C34" i="8"/>
  <c r="D34" i="8" s="1"/>
  <c r="C23" i="8"/>
  <c r="D23" i="8" s="1"/>
  <c r="F10" i="7"/>
  <c r="L17" i="7"/>
  <c r="C6" i="7"/>
  <c r="B11" i="7" s="1"/>
  <c r="C4" i="7"/>
  <c r="I3" i="6"/>
  <c r="K9" i="6"/>
  <c r="R4" i="6"/>
  <c r="C6" i="4"/>
  <c r="D6" i="4"/>
  <c r="E6" i="4"/>
  <c r="F6" i="4"/>
  <c r="C7" i="4"/>
  <c r="D7" i="4"/>
  <c r="E7" i="4"/>
  <c r="F7" i="4"/>
  <c r="C8" i="4"/>
  <c r="D8" i="4"/>
  <c r="E8" i="4"/>
  <c r="F8" i="4"/>
  <c r="C9" i="4"/>
  <c r="D9" i="4"/>
  <c r="E9" i="4"/>
  <c r="F9" i="4"/>
  <c r="C10" i="4"/>
  <c r="D10" i="4"/>
  <c r="E10" i="4"/>
  <c r="F10" i="4"/>
  <c r="C11" i="4"/>
  <c r="D11" i="4"/>
  <c r="E11" i="4"/>
  <c r="F11" i="4"/>
  <c r="C12" i="4"/>
  <c r="D12" i="4"/>
  <c r="E12" i="4"/>
  <c r="F12" i="4"/>
  <c r="C13" i="4"/>
  <c r="D13" i="4"/>
  <c r="E13" i="4"/>
  <c r="F13" i="4"/>
  <c r="C14" i="4"/>
  <c r="D14" i="4"/>
  <c r="E14" i="4"/>
  <c r="F14" i="4"/>
  <c r="C15" i="4"/>
  <c r="D15" i="4"/>
  <c r="E15" i="4"/>
  <c r="F15" i="4"/>
  <c r="C16" i="4"/>
  <c r="D16" i="4"/>
  <c r="E16" i="4"/>
  <c r="F16" i="4"/>
  <c r="C17" i="4"/>
  <c r="D17" i="4"/>
  <c r="E17" i="4"/>
  <c r="F17" i="4"/>
  <c r="C18" i="4"/>
  <c r="D18" i="4"/>
  <c r="E18" i="4"/>
  <c r="F18" i="4"/>
  <c r="C19" i="4"/>
  <c r="D19" i="4"/>
  <c r="E19" i="4"/>
  <c r="F19" i="4"/>
  <c r="C20" i="4"/>
  <c r="D20" i="4"/>
  <c r="E20" i="4"/>
  <c r="F20" i="4"/>
  <c r="C21" i="4"/>
  <c r="D21" i="4"/>
  <c r="E21" i="4"/>
  <c r="F21" i="4"/>
  <c r="C22" i="4"/>
  <c r="D22" i="4"/>
  <c r="E22" i="4"/>
  <c r="F22" i="4"/>
  <c r="C23" i="4"/>
  <c r="D23" i="4"/>
  <c r="E23" i="4"/>
  <c r="F23" i="4"/>
  <c r="C24" i="4"/>
  <c r="D24" i="4"/>
  <c r="E24" i="4"/>
  <c r="F24" i="4"/>
  <c r="C25" i="4"/>
  <c r="D25" i="4"/>
  <c r="E25" i="4"/>
  <c r="F25" i="4"/>
  <c r="C26" i="4"/>
  <c r="D26" i="4"/>
  <c r="E26" i="4"/>
  <c r="F26" i="4"/>
  <c r="C27" i="4"/>
  <c r="D27" i="4"/>
  <c r="E27" i="4"/>
  <c r="F27" i="4"/>
  <c r="C28" i="4"/>
  <c r="D28" i="4"/>
  <c r="E28" i="4"/>
  <c r="F28" i="4"/>
  <c r="C29" i="4"/>
  <c r="D29" i="4"/>
  <c r="E29" i="4"/>
  <c r="F29" i="4"/>
  <c r="C30" i="4"/>
  <c r="D30" i="4"/>
  <c r="E30" i="4"/>
  <c r="F30" i="4"/>
  <c r="C31" i="4"/>
  <c r="D31" i="4"/>
  <c r="E31" i="4"/>
  <c r="F31" i="4"/>
  <c r="C32" i="4"/>
  <c r="D32" i="4"/>
  <c r="E32" i="4"/>
  <c r="F32" i="4"/>
  <c r="C33" i="4"/>
  <c r="D33" i="4"/>
  <c r="E33" i="4"/>
  <c r="F33" i="4"/>
  <c r="C34" i="4"/>
  <c r="D34" i="4"/>
  <c r="E34" i="4"/>
  <c r="F34" i="4"/>
  <c r="C35" i="4"/>
  <c r="D35" i="4"/>
  <c r="E35" i="4"/>
  <c r="F35" i="4"/>
  <c r="C36" i="4"/>
  <c r="D36" i="4"/>
  <c r="E36" i="4"/>
  <c r="F36" i="4"/>
  <c r="F5" i="4"/>
  <c r="E5" i="4"/>
  <c r="D5" i="4"/>
  <c r="C5" i="4"/>
  <c r="K3" i="6"/>
  <c r="T4" i="6"/>
  <c r="S4" i="6" a="1"/>
  <c r="S4" i="6" s="1"/>
  <c r="K4" i="6"/>
  <c r="K5" i="6"/>
  <c r="K6" i="6"/>
  <c r="K7" i="6"/>
  <c r="K8" i="6"/>
  <c r="K10" i="6"/>
  <c r="K11" i="6"/>
  <c r="K12" i="6"/>
  <c r="K13" i="6"/>
  <c r="K14" i="6"/>
  <c r="K15" i="6"/>
  <c r="K16" i="6"/>
  <c r="O14" i="6"/>
  <c r="I4" i="6"/>
  <c r="L4" i="6" s="1"/>
  <c r="I5" i="6"/>
  <c r="L5" i="6" s="1"/>
  <c r="I6" i="6"/>
  <c r="I7" i="6"/>
  <c r="L7" i="6" s="1"/>
  <c r="I8" i="6"/>
  <c r="L8" i="6" s="1"/>
  <c r="I9" i="6"/>
  <c r="J9" i="6" s="1"/>
  <c r="J10" i="6"/>
  <c r="I11" i="6"/>
  <c r="L11" i="6" s="1"/>
  <c r="I12" i="6"/>
  <c r="L12" i="6" s="1"/>
  <c r="I13" i="6"/>
  <c r="J13" i="6" s="1"/>
  <c r="I14" i="6"/>
  <c r="J14" i="6" s="1"/>
  <c r="I15" i="6"/>
  <c r="L15" i="6" s="1"/>
  <c r="I16" i="6"/>
  <c r="J16" i="6" s="1"/>
  <c r="J3" i="6"/>
  <c r="L6" i="6"/>
  <c r="L13" i="6"/>
  <c r="G5" i="1"/>
  <c r="I5" i="1"/>
  <c r="F5" i="1"/>
  <c r="J8" i="6"/>
  <c r="O7" i="6"/>
  <c r="J5" i="6"/>
  <c r="J6" i="6"/>
  <c r="J12" i="6"/>
  <c r="J4" i="1"/>
  <c r="K4" i="1" s="1"/>
  <c r="I13" i="1" l="1"/>
  <c r="J11" i="1"/>
  <c r="K11" i="1" s="1"/>
  <c r="L11" i="1" s="1"/>
  <c r="I12" i="1"/>
  <c r="J10" i="1"/>
  <c r="K10" i="1" s="1"/>
  <c r="L10" i="1" s="1"/>
  <c r="J9" i="1"/>
  <c r="K9" i="1" s="1"/>
  <c r="J8" i="1"/>
  <c r="K8" i="1" s="1"/>
  <c r="L8" i="1" s="1"/>
  <c r="L9" i="1"/>
  <c r="H39" i="3"/>
  <c r="I39" i="3" s="1"/>
  <c r="H35" i="3"/>
  <c r="I35" i="3" s="1"/>
  <c r="H31" i="3"/>
  <c r="I31" i="3" s="1"/>
  <c r="H23" i="3"/>
  <c r="I23" i="3" s="1"/>
  <c r="J25" i="3"/>
  <c r="K25" i="3" s="1"/>
  <c r="K17" i="3"/>
  <c r="J17" i="3"/>
  <c r="J9" i="3"/>
  <c r="K9" i="3" s="1"/>
  <c r="K40" i="3"/>
  <c r="J40" i="3"/>
  <c r="J29" i="3"/>
  <c r="K29" i="3"/>
  <c r="K24" i="3"/>
  <c r="J24" i="3"/>
  <c r="J16" i="3"/>
  <c r="K16" i="3" s="1"/>
  <c r="K8" i="3"/>
  <c r="J8" i="3"/>
  <c r="H33" i="3"/>
  <c r="I33" i="3" s="1"/>
  <c r="J28" i="3"/>
  <c r="K28" i="3" s="1"/>
  <c r="H27" i="3"/>
  <c r="I27" i="3" s="1"/>
  <c r="I37" i="3"/>
  <c r="I21" i="3"/>
  <c r="I13" i="3"/>
  <c r="I5" i="3"/>
  <c r="I19" i="3"/>
  <c r="H19" i="3"/>
  <c r="H15" i="3"/>
  <c r="I15" i="3" s="1"/>
  <c r="I11" i="3"/>
  <c r="H11" i="3"/>
  <c r="H7" i="3"/>
  <c r="I7" i="3" s="1"/>
  <c r="H32" i="3"/>
  <c r="I32" i="3" s="1"/>
  <c r="I36" i="3"/>
  <c r="I20" i="3"/>
  <c r="I12" i="3"/>
  <c r="E42" i="3"/>
  <c r="H6" i="3"/>
  <c r="I6" i="3" s="1"/>
  <c r="H38" i="3"/>
  <c r="I38" i="3" s="1"/>
  <c r="H34" i="3"/>
  <c r="I34" i="3" s="1"/>
  <c r="H30" i="3"/>
  <c r="I30" i="3" s="1"/>
  <c r="H26" i="3"/>
  <c r="I26" i="3" s="1"/>
  <c r="H22" i="3"/>
  <c r="I22" i="3" s="1"/>
  <c r="H18" i="3"/>
  <c r="I18" i="3" s="1"/>
  <c r="H14" i="3"/>
  <c r="I14" i="3" s="1"/>
  <c r="H10" i="3"/>
  <c r="I10" i="3" s="1"/>
  <c r="G42" i="3"/>
  <c r="H4" i="3"/>
  <c r="H42" i="3" s="1"/>
  <c r="B12" i="7"/>
  <c r="E11" i="7"/>
  <c r="F11" i="7" s="1"/>
  <c r="H18" i="7"/>
  <c r="H5" i="7"/>
  <c r="G5" i="4"/>
  <c r="H5" i="4" s="1"/>
  <c r="G35" i="4"/>
  <c r="H35" i="4" s="1"/>
  <c r="G31" i="4"/>
  <c r="I31" i="4" s="1"/>
  <c r="G27" i="4"/>
  <c r="I27" i="4" s="1"/>
  <c r="G23" i="4"/>
  <c r="I23" i="4" s="1"/>
  <c r="G19" i="4"/>
  <c r="H19" i="4" s="1"/>
  <c r="G15" i="4"/>
  <c r="I15" i="4" s="1"/>
  <c r="G11" i="4"/>
  <c r="H11" i="4" s="1"/>
  <c r="G7" i="4"/>
  <c r="I7" i="4" s="1"/>
  <c r="G36" i="4"/>
  <c r="I36" i="4" s="1"/>
  <c r="G34" i="4"/>
  <c r="I34" i="4" s="1"/>
  <c r="G33" i="4"/>
  <c r="H33" i="4" s="1"/>
  <c r="G32" i="4"/>
  <c r="H32" i="4" s="1"/>
  <c r="G30" i="4"/>
  <c r="H30" i="4" s="1"/>
  <c r="G29" i="4"/>
  <c r="I29" i="4" s="1"/>
  <c r="G28" i="4"/>
  <c r="I28" i="4" s="1"/>
  <c r="G26" i="4"/>
  <c r="I26" i="4" s="1"/>
  <c r="G25" i="4"/>
  <c r="H25" i="4" s="1"/>
  <c r="G24" i="4"/>
  <c r="H24" i="4" s="1"/>
  <c r="G22" i="4"/>
  <c r="H22" i="4" s="1"/>
  <c r="G21" i="4"/>
  <c r="I21" i="4" s="1"/>
  <c r="G20" i="4"/>
  <c r="I20" i="4" s="1"/>
  <c r="G18" i="4"/>
  <c r="I18" i="4" s="1"/>
  <c r="G17" i="4"/>
  <c r="H17" i="4" s="1"/>
  <c r="G16" i="4"/>
  <c r="H16" i="4" s="1"/>
  <c r="G14" i="4"/>
  <c r="H14" i="4" s="1"/>
  <c r="G13" i="4"/>
  <c r="I13" i="4" s="1"/>
  <c r="G12" i="4"/>
  <c r="I12" i="4" s="1"/>
  <c r="G10" i="4"/>
  <c r="I10" i="4" s="1"/>
  <c r="G9" i="4"/>
  <c r="H9" i="4" s="1"/>
  <c r="G8" i="4"/>
  <c r="H8" i="4" s="1"/>
  <c r="G6" i="4"/>
  <c r="H6" i="4" s="1"/>
  <c r="J7" i="6"/>
  <c r="L9" i="6"/>
  <c r="L16" i="6"/>
  <c r="L10" i="6"/>
  <c r="L3" i="6"/>
  <c r="J4" i="6"/>
  <c r="O5" i="6"/>
  <c r="L14" i="6"/>
  <c r="J15" i="6"/>
  <c r="J11" i="6"/>
  <c r="O4" i="6"/>
  <c r="O3" i="6"/>
  <c r="O6" i="6"/>
  <c r="J5" i="1"/>
  <c r="I14" i="1" l="1"/>
  <c r="J12" i="1"/>
  <c r="K12" i="1" s="1"/>
  <c r="L12" i="1" s="1"/>
  <c r="I15" i="1"/>
  <c r="J13" i="1"/>
  <c r="K13" i="1" s="1"/>
  <c r="L13" i="1" s="1"/>
  <c r="J10" i="3"/>
  <c r="K10" i="3" s="1"/>
  <c r="J26" i="3"/>
  <c r="K26" i="3" s="1"/>
  <c r="J6" i="3"/>
  <c r="K6" i="3" s="1"/>
  <c r="J27" i="3"/>
  <c r="K27" i="3" s="1"/>
  <c r="J23" i="3"/>
  <c r="K23" i="3" s="1"/>
  <c r="J14" i="3"/>
  <c r="K14" i="3" s="1"/>
  <c r="J30" i="3"/>
  <c r="K30" i="3" s="1"/>
  <c r="J32" i="3"/>
  <c r="K32" i="3" s="1"/>
  <c r="J15" i="3"/>
  <c r="K15" i="3" s="1"/>
  <c r="J31" i="3"/>
  <c r="K31" i="3" s="1"/>
  <c r="J18" i="3"/>
  <c r="K18" i="3" s="1"/>
  <c r="J34" i="3"/>
  <c r="K34" i="3" s="1"/>
  <c r="J7" i="3"/>
  <c r="K7" i="3" s="1"/>
  <c r="J33" i="3"/>
  <c r="K33" i="3" s="1"/>
  <c r="J35" i="3"/>
  <c r="K35" i="3" s="1"/>
  <c r="J22" i="3"/>
  <c r="K22" i="3" s="1"/>
  <c r="J38" i="3"/>
  <c r="K38" i="3" s="1"/>
  <c r="J39" i="3"/>
  <c r="K39" i="3" s="1"/>
  <c r="J11" i="3"/>
  <c r="K11" i="3" s="1"/>
  <c r="J19" i="3"/>
  <c r="K19" i="3" s="1"/>
  <c r="J37" i="3"/>
  <c r="K37" i="3"/>
  <c r="J12" i="3"/>
  <c r="K12" i="3"/>
  <c r="J5" i="3"/>
  <c r="K5" i="3"/>
  <c r="J20" i="3"/>
  <c r="K20" i="3"/>
  <c r="J13" i="3"/>
  <c r="K13" i="3"/>
  <c r="J36" i="3"/>
  <c r="K36" i="3"/>
  <c r="J21" i="3"/>
  <c r="K21" i="3"/>
  <c r="I4" i="3"/>
  <c r="I18" i="7"/>
  <c r="H19" i="7"/>
  <c r="J18" i="7"/>
  <c r="K18" i="7" s="1"/>
  <c r="B13" i="7"/>
  <c r="C13" i="7" s="1"/>
  <c r="D13" i="7" s="1"/>
  <c r="E12" i="7"/>
  <c r="F12" i="7" s="1"/>
  <c r="I5" i="4"/>
  <c r="H6" i="7"/>
  <c r="C12" i="7"/>
  <c r="D12" i="7" s="1"/>
  <c r="C11" i="7"/>
  <c r="D11" i="7" s="1"/>
  <c r="O10" i="6"/>
  <c r="O11" i="6"/>
  <c r="I30" i="4"/>
  <c r="I35" i="4"/>
  <c r="H20" i="4"/>
  <c r="H27" i="4"/>
  <c r="H31" i="4"/>
  <c r="I33" i="4"/>
  <c r="H34" i="4"/>
  <c r="I25" i="4"/>
  <c r="I19" i="4"/>
  <c r="I14" i="4"/>
  <c r="H28" i="4"/>
  <c r="I11" i="4"/>
  <c r="I9" i="4"/>
  <c r="H36" i="4"/>
  <c r="I8" i="4"/>
  <c r="H18" i="4"/>
  <c r="H29" i="4"/>
  <c r="H13" i="4"/>
  <c r="I6" i="4"/>
  <c r="H12" i="4"/>
  <c r="I17" i="4"/>
  <c r="I22" i="4"/>
  <c r="H7" i="4"/>
  <c r="H10" i="4"/>
  <c r="I32" i="4"/>
  <c r="I16" i="4"/>
  <c r="I24" i="4"/>
  <c r="H15" i="4"/>
  <c r="H21" i="4"/>
  <c r="H26" i="4"/>
  <c r="H23" i="4"/>
  <c r="O12" i="6"/>
  <c r="O8" i="6"/>
  <c r="O9" i="6"/>
  <c r="O13" i="6"/>
  <c r="I17" i="1" l="1"/>
  <c r="J15" i="1"/>
  <c r="I16" i="1"/>
  <c r="J14" i="1"/>
  <c r="K14" i="1" s="1"/>
  <c r="L14" i="1" s="1"/>
  <c r="I42" i="3"/>
  <c r="J4" i="3"/>
  <c r="J42" i="3" s="1"/>
  <c r="L18" i="7"/>
  <c r="J19" i="7" s="1"/>
  <c r="K19" i="7" s="1"/>
  <c r="L19" i="7" s="1"/>
  <c r="B14" i="7"/>
  <c r="E13" i="7"/>
  <c r="F13" i="7" s="1"/>
  <c r="H20" i="7"/>
  <c r="I19" i="7"/>
  <c r="P38" i="4"/>
  <c r="L38" i="4"/>
  <c r="L41" i="4"/>
  <c r="L42" i="4"/>
  <c r="L39" i="4"/>
  <c r="L40" i="4"/>
  <c r="P39" i="4"/>
  <c r="I18" i="1" l="1"/>
  <c r="J16" i="1"/>
  <c r="K16" i="1" s="1"/>
  <c r="L16" i="1" s="1"/>
  <c r="K15" i="1"/>
  <c r="L15" i="1"/>
  <c r="I19" i="1"/>
  <c r="J17" i="1"/>
  <c r="K4" i="3"/>
  <c r="K42" i="3" s="1"/>
  <c r="J20" i="7"/>
  <c r="K20" i="7" s="1"/>
  <c r="L20" i="7" s="1"/>
  <c r="I20" i="7"/>
  <c r="H21" i="7"/>
  <c r="B15" i="7"/>
  <c r="E14" i="7"/>
  <c r="F14" i="7" s="1"/>
  <c r="C14" i="7"/>
  <c r="D14" i="7" s="1"/>
  <c r="L43" i="4"/>
  <c r="P40" i="4"/>
  <c r="K17" i="1" l="1"/>
  <c r="L17" i="1"/>
  <c r="I21" i="1"/>
  <c r="J19" i="1"/>
  <c r="K19" i="1" s="1"/>
  <c r="L19" i="1" s="1"/>
  <c r="I20" i="1"/>
  <c r="J18" i="1"/>
  <c r="K18" i="1" s="1"/>
  <c r="L18" i="1" s="1"/>
  <c r="B16" i="7"/>
  <c r="E15" i="7"/>
  <c r="F15" i="7" s="1"/>
  <c r="C15" i="7"/>
  <c r="D15" i="7" s="1"/>
  <c r="J21" i="7"/>
  <c r="K21" i="7" s="1"/>
  <c r="L21" i="7" s="1"/>
  <c r="I21" i="7"/>
  <c r="H22" i="7"/>
  <c r="L4" i="1"/>
  <c r="I23" i="1" l="1"/>
  <c r="J23" i="1" s="1"/>
  <c r="J21" i="1"/>
  <c r="K21" i="1" s="1"/>
  <c r="L21" i="1" s="1"/>
  <c r="I22" i="1"/>
  <c r="J22" i="1" s="1"/>
  <c r="K22" i="1" s="1"/>
  <c r="L22" i="1" s="1"/>
  <c r="J20" i="1"/>
  <c r="K20" i="1" s="1"/>
  <c r="L20" i="1" s="1"/>
  <c r="J22" i="7"/>
  <c r="K22" i="7" s="1"/>
  <c r="L22" i="7" s="1"/>
  <c r="H23" i="7"/>
  <c r="I22" i="7"/>
  <c r="B17" i="7"/>
  <c r="E16" i="7"/>
  <c r="F16" i="7" s="1"/>
  <c r="C16" i="7"/>
  <c r="D16" i="7" s="1"/>
  <c r="K23" i="1" l="1"/>
  <c r="L23" i="1"/>
  <c r="J23" i="7"/>
  <c r="K23" i="7" s="1"/>
  <c r="L23" i="7" s="1"/>
  <c r="H24" i="7"/>
  <c r="I23" i="7"/>
  <c r="B18" i="7"/>
  <c r="E17" i="7"/>
  <c r="F17" i="7" s="1"/>
  <c r="C17" i="7"/>
  <c r="D17" i="7" s="1"/>
  <c r="J24" i="7" l="1"/>
  <c r="K24" i="7" s="1"/>
  <c r="L24" i="7" s="1"/>
  <c r="I24" i="7"/>
  <c r="H25" i="7"/>
  <c r="B19" i="7"/>
  <c r="E18" i="7"/>
  <c r="F18" i="7" s="1"/>
  <c r="C18" i="7"/>
  <c r="D18" i="7" s="1"/>
  <c r="B20" i="7" l="1"/>
  <c r="E19" i="7"/>
  <c r="F19" i="7" s="1"/>
  <c r="C19" i="7"/>
  <c r="D19" i="7" s="1"/>
  <c r="J25" i="7"/>
  <c r="K25" i="7" s="1"/>
  <c r="L25" i="7" s="1"/>
  <c r="H26" i="7"/>
  <c r="I25" i="7"/>
  <c r="B21" i="7" l="1"/>
  <c r="E20" i="7"/>
  <c r="F20" i="7" s="1"/>
  <c r="C20" i="7"/>
  <c r="D20" i="7" s="1"/>
  <c r="J26" i="7"/>
  <c r="K26" i="7" s="1"/>
  <c r="L26" i="7" s="1"/>
  <c r="H27" i="7"/>
  <c r="I26" i="7"/>
  <c r="B22" i="7" l="1"/>
  <c r="B23" i="7" s="1"/>
  <c r="E21" i="7"/>
  <c r="F21" i="7" s="1"/>
  <c r="C21" i="7"/>
  <c r="D21" i="7" s="1"/>
  <c r="J27" i="7"/>
  <c r="K27" i="7" s="1"/>
  <c r="L27" i="7" s="1"/>
  <c r="H28" i="7"/>
  <c r="I27" i="7"/>
  <c r="C23" i="7" l="1"/>
  <c r="D23" i="7" s="1"/>
  <c r="E23" i="7"/>
  <c r="B24" i="7"/>
  <c r="J28" i="7"/>
  <c r="K28" i="7" s="1"/>
  <c r="L28" i="7" s="1"/>
  <c r="I28" i="7"/>
  <c r="H29" i="7"/>
  <c r="E22" i="7"/>
  <c r="F22" i="7" s="1"/>
  <c r="C22" i="7"/>
  <c r="D22" i="7" s="1"/>
  <c r="F23" i="7" l="1"/>
  <c r="B25" i="7"/>
  <c r="E24" i="7"/>
  <c r="C24" i="7"/>
  <c r="D24" i="7" s="1"/>
  <c r="I29" i="7"/>
  <c r="J29" i="7"/>
  <c r="K29" i="7" s="1"/>
  <c r="L29" i="7" s="1"/>
  <c r="F24" i="7" l="1"/>
  <c r="E25" i="7"/>
  <c r="F25" i="7" s="1"/>
  <c r="C25" i="7"/>
  <c r="D25" i="7" s="1"/>
  <c r="B26" i="7"/>
  <c r="C26" i="7" l="1"/>
  <c r="D26" i="7" s="1"/>
  <c r="B27" i="7"/>
  <c r="E26" i="7"/>
  <c r="F26" i="7"/>
  <c r="C27" i="7" l="1"/>
  <c r="D27" i="7" s="1"/>
  <c r="B28" i="7"/>
  <c r="E27" i="7"/>
  <c r="F27" i="7" s="1"/>
  <c r="E28" i="7" l="1"/>
  <c r="F28" i="7" s="1"/>
  <c r="C28" i="7"/>
  <c r="D28" i="7" s="1"/>
  <c r="B29" i="7"/>
  <c r="E29" i="7" l="1"/>
  <c r="F29" i="7" s="1"/>
  <c r="C29" i="7"/>
  <c r="D29" i="7" s="1"/>
  <c r="B30" i="7"/>
  <c r="C30" i="7" l="1"/>
  <c r="D30" i="7" s="1"/>
  <c r="B31" i="7"/>
  <c r="E30" i="7"/>
  <c r="F30" i="7" s="1"/>
  <c r="C31" i="7" l="1"/>
  <c r="D31" i="7" s="1"/>
  <c r="B32" i="7"/>
  <c r="E31" i="7"/>
  <c r="F31" i="7" s="1"/>
  <c r="E32" i="7" l="1"/>
  <c r="F32" i="7" s="1"/>
  <c r="C32" i="7"/>
  <c r="D32" i="7" s="1"/>
  <c r="B33" i="7"/>
  <c r="E33" i="7" l="1"/>
  <c r="F33" i="7" s="1"/>
  <c r="C33" i="7"/>
  <c r="D33" i="7" s="1"/>
  <c r="B34" i="7"/>
  <c r="C34" i="7" l="1"/>
  <c r="D34" i="7" s="1"/>
  <c r="B35" i="7"/>
  <c r="E34" i="7"/>
  <c r="F34" i="7" s="1"/>
  <c r="C35" i="7" l="1"/>
  <c r="D35" i="7" s="1"/>
  <c r="B36" i="7"/>
  <c r="E35" i="7"/>
  <c r="F35" i="7" s="1"/>
  <c r="E36" i="7" l="1"/>
  <c r="F36" i="7" s="1"/>
  <c r="C36" i="7"/>
  <c r="D36" i="7" s="1"/>
  <c r="B37" i="7"/>
  <c r="E37" i="7" l="1"/>
  <c r="C37" i="7"/>
  <c r="D37" i="7" s="1"/>
  <c r="F37" i="7"/>
  <c r="B38" i="7"/>
  <c r="C38" i="7" l="1"/>
  <c r="D38" i="7" s="1"/>
  <c r="B39" i="7"/>
  <c r="E38" i="7"/>
  <c r="F38" i="7" s="1"/>
  <c r="C39" i="7" l="1"/>
  <c r="D39" i="7" s="1"/>
  <c r="B40" i="7"/>
  <c r="E39" i="7"/>
  <c r="F39" i="7" s="1"/>
  <c r="E40" i="7" l="1"/>
  <c r="F40" i="7" s="1"/>
  <c r="C40" i="7"/>
  <c r="D40" i="7" s="1"/>
  <c r="B41" i="7"/>
  <c r="E41" i="7" l="1"/>
  <c r="C41" i="7"/>
  <c r="D41" i="7" s="1"/>
  <c r="B42" i="7"/>
  <c r="F41" i="7"/>
  <c r="C42" i="7" l="1"/>
  <c r="D42" i="7" s="1"/>
  <c r="B43" i="7"/>
  <c r="E42" i="7"/>
  <c r="F42" i="7" s="1"/>
  <c r="C43" i="7" l="1"/>
  <c r="D43" i="7" s="1"/>
  <c r="B44" i="7"/>
  <c r="E43" i="7"/>
  <c r="F43" i="7" s="1"/>
  <c r="E44" i="7" l="1"/>
  <c r="C44" i="7"/>
  <c r="D44" i="7" s="1"/>
  <c r="B45" i="7"/>
  <c r="F44" i="7"/>
  <c r="E45" i="7" l="1"/>
  <c r="F45" i="7" s="1"/>
  <c r="C45" i="7"/>
  <c r="D45" i="7" s="1"/>
  <c r="B46" i="7"/>
  <c r="C46" i="7" l="1"/>
  <c r="D46" i="7" s="1"/>
  <c r="E46" i="7"/>
  <c r="F46" i="7" s="1"/>
  <c r="B47" i="7"/>
  <c r="C47" i="7" l="1"/>
  <c r="D47" i="7" s="1"/>
  <c r="B48" i="7"/>
  <c r="E47" i="7"/>
  <c r="F47" i="7" s="1"/>
  <c r="E48" i="7" l="1"/>
  <c r="F48" i="7"/>
  <c r="C48" i="7"/>
  <c r="D48" i="7" s="1"/>
  <c r="B49" i="7"/>
  <c r="C49" i="7" l="1"/>
  <c r="D49" i="7" s="1"/>
  <c r="B50" i="7"/>
  <c r="E49" i="7"/>
  <c r="F49" i="7" s="1"/>
  <c r="C50" i="7" l="1"/>
  <c r="D50" i="7" s="1"/>
  <c r="B51" i="7"/>
  <c r="E50" i="7"/>
  <c r="F50" i="7"/>
  <c r="C51" i="7" l="1"/>
  <c r="D51" i="7" s="1"/>
  <c r="B52" i="7"/>
  <c r="E51" i="7"/>
  <c r="F51" i="7" s="1"/>
  <c r="E52" i="7" l="1"/>
  <c r="F52" i="7" s="1"/>
  <c r="C52" i="7"/>
  <c r="D52" i="7" s="1"/>
  <c r="B53" i="7"/>
  <c r="E53" i="7" l="1"/>
  <c r="F53" i="7"/>
  <c r="B54" i="7"/>
  <c r="C53" i="7"/>
  <c r="D53" i="7" s="1"/>
  <c r="C54" i="7" l="1"/>
  <c r="D54" i="7" s="1"/>
  <c r="B55" i="7"/>
  <c r="E54" i="7"/>
  <c r="F54" i="7" s="1"/>
  <c r="C55" i="7" l="1"/>
  <c r="D55" i="7" s="1"/>
  <c r="B56" i="7"/>
  <c r="E55" i="7"/>
  <c r="F55" i="7" s="1"/>
  <c r="E56" i="7" l="1"/>
  <c r="F56" i="7" s="1"/>
  <c r="B57" i="7"/>
  <c r="C56" i="7"/>
  <c r="D56" i="7" s="1"/>
  <c r="E57" i="7" l="1"/>
  <c r="F57" i="7" s="1"/>
  <c r="C57" i="7"/>
  <c r="D57" i="7" s="1"/>
  <c r="B58" i="7"/>
  <c r="C58" i="7" l="1"/>
  <c r="D58" i="7" s="1"/>
  <c r="B59" i="7"/>
  <c r="E58" i="7"/>
  <c r="F58" i="7" s="1"/>
  <c r="C59" i="7" l="1"/>
  <c r="D59" i="7" s="1"/>
  <c r="B60" i="7"/>
  <c r="E59" i="7"/>
  <c r="F59" i="7" s="1"/>
  <c r="C60" i="7" l="1"/>
  <c r="D60" i="7" s="1"/>
  <c r="B61" i="7"/>
  <c r="E60" i="7"/>
  <c r="F60" i="7" s="1"/>
  <c r="E61" i="7" l="1"/>
  <c r="F61" i="7" s="1"/>
  <c r="C61" i="7"/>
  <c r="D61" i="7" s="1"/>
  <c r="B62" i="7"/>
  <c r="C62" i="7" l="1"/>
  <c r="D62" i="7" s="1"/>
  <c r="B63" i="7"/>
  <c r="E62" i="7"/>
  <c r="F62" i="7" s="1"/>
  <c r="E63" i="7" l="1"/>
  <c r="F63" i="7" s="1"/>
  <c r="C63" i="7"/>
  <c r="D63" i="7" s="1"/>
  <c r="B64" i="7"/>
  <c r="E64" i="7" l="1"/>
  <c r="F64" i="7" s="1"/>
  <c r="C64" i="7"/>
  <c r="D64" i="7" s="1"/>
  <c r="B65" i="7"/>
  <c r="E65" i="7" l="1"/>
  <c r="F65" i="7" s="1"/>
  <c r="C65" i="7"/>
  <c r="D65" i="7" s="1"/>
  <c r="B66" i="7"/>
  <c r="C66" i="7" l="1"/>
  <c r="D66" i="7" s="1"/>
  <c r="B67" i="7"/>
  <c r="E66" i="7"/>
  <c r="F66" i="7" s="1"/>
  <c r="C67" i="7" l="1"/>
  <c r="D67" i="7" s="1"/>
  <c r="B68" i="7"/>
  <c r="E67" i="7"/>
  <c r="F67" i="7" s="1"/>
  <c r="E68" i="7" l="1"/>
  <c r="F68" i="7" s="1"/>
  <c r="C68" i="7"/>
  <c r="D68" i="7" s="1"/>
  <c r="B69" i="7"/>
  <c r="E69" i="7" l="1"/>
  <c r="F69" i="7" s="1"/>
  <c r="B70" i="7"/>
  <c r="C69" i="7"/>
  <c r="D69" i="7" s="1"/>
  <c r="E70" i="7" l="1"/>
  <c r="F70" i="7" s="1"/>
  <c r="B71" i="7"/>
  <c r="C70" i="7"/>
  <c r="D70" i="7" s="1"/>
  <c r="C71" i="7" l="1"/>
  <c r="D71" i="7" s="1"/>
  <c r="B72" i="7"/>
  <c r="E71" i="7"/>
  <c r="F71" i="7" s="1"/>
  <c r="E72" i="7" l="1"/>
  <c r="F72" i="7" s="1"/>
  <c r="C72" i="7"/>
  <c r="D72" i="7" s="1"/>
  <c r="B73" i="7"/>
  <c r="E73" i="7" l="1"/>
  <c r="F73" i="7" s="1"/>
  <c r="C73" i="7"/>
  <c r="D73" i="7" s="1"/>
  <c r="B74" i="7"/>
  <c r="E74" i="7" l="1"/>
  <c r="F74" i="7" s="1"/>
  <c r="B75" i="7"/>
  <c r="C74" i="7"/>
  <c r="D74" i="7" s="1"/>
  <c r="C75" i="7" l="1"/>
  <c r="D75" i="7" s="1"/>
  <c r="B76" i="7"/>
  <c r="E75" i="7"/>
  <c r="F75" i="7" s="1"/>
  <c r="C76" i="7" l="1"/>
  <c r="D76" i="7" s="1"/>
  <c r="B77" i="7"/>
  <c r="E76" i="7"/>
  <c r="F76" i="7" s="1"/>
  <c r="E77" i="7" l="1"/>
  <c r="F77" i="7" s="1"/>
  <c r="B78" i="7"/>
  <c r="C77" i="7"/>
  <c r="D77" i="7" s="1"/>
  <c r="E78" i="7" l="1"/>
  <c r="F78" i="7" s="1"/>
  <c r="B79" i="7"/>
  <c r="C78" i="7"/>
  <c r="D78" i="7" s="1"/>
  <c r="C79" i="7" l="1"/>
  <c r="D79" i="7" s="1"/>
  <c r="B80" i="7"/>
  <c r="E79" i="7"/>
  <c r="F79" i="7" s="1"/>
  <c r="C80" i="7" l="1"/>
  <c r="D80" i="7" s="1"/>
  <c r="B81" i="7"/>
  <c r="E80" i="7"/>
  <c r="F80" i="7" s="1"/>
  <c r="E81" i="7" l="1"/>
  <c r="F81" i="7"/>
  <c r="C81" i="7"/>
  <c r="D81" i="7" s="1"/>
  <c r="B82" i="7"/>
  <c r="E82" i="7" l="1"/>
  <c r="F82" i="7" s="1"/>
  <c r="C82" i="7"/>
  <c r="D82" i="7" s="1"/>
  <c r="B83" i="7"/>
  <c r="C83" i="7" l="1"/>
  <c r="D83" i="7" s="1"/>
  <c r="B84" i="7"/>
  <c r="E83" i="7"/>
  <c r="F83" i="7" s="1"/>
  <c r="C84" i="7" l="1"/>
  <c r="D84" i="7" s="1"/>
  <c r="E84" i="7"/>
  <c r="F84" i="7" s="1"/>
  <c r="B85" i="7"/>
  <c r="E85" i="7" l="1"/>
  <c r="F85" i="7" s="1"/>
  <c r="B86" i="7"/>
  <c r="C85" i="7"/>
  <c r="D85" i="7" s="1"/>
  <c r="E86" i="7" l="1"/>
  <c r="B87" i="7"/>
  <c r="C86" i="7"/>
  <c r="D86" i="7" s="1"/>
  <c r="F86" i="7"/>
  <c r="C87" i="7" l="1"/>
  <c r="D87" i="7" s="1"/>
  <c r="B88" i="7"/>
  <c r="E87" i="7"/>
  <c r="F87" i="7" s="1"/>
  <c r="C88" i="7" l="1"/>
  <c r="D88" i="7" s="1"/>
  <c r="B89" i="7"/>
  <c r="E88" i="7"/>
  <c r="F88" i="7" s="1"/>
  <c r="E89" i="7" l="1"/>
  <c r="F89" i="7" s="1"/>
  <c r="C89" i="7"/>
  <c r="D89" i="7" s="1"/>
  <c r="B90" i="7"/>
  <c r="E90" i="7" l="1"/>
  <c r="C90" i="7"/>
  <c r="D90" i="7" s="1"/>
  <c r="F90" i="7"/>
  <c r="B91" i="7"/>
  <c r="E91" i="7" l="1"/>
  <c r="F91" i="7" s="1"/>
  <c r="B92" i="7"/>
  <c r="C91" i="7"/>
  <c r="D91" i="7" s="1"/>
  <c r="C92" i="7" l="1"/>
  <c r="D92" i="7" s="1"/>
  <c r="B93" i="7"/>
  <c r="E92" i="7"/>
  <c r="F92" i="7" s="1"/>
  <c r="C93" i="7" l="1"/>
  <c r="D93" i="7" s="1"/>
  <c r="B94" i="7"/>
  <c r="E93" i="7"/>
  <c r="F93" i="7" s="1"/>
  <c r="E94" i="7" l="1"/>
  <c r="F94" i="7" s="1"/>
  <c r="C94" i="7"/>
  <c r="D94" i="7" s="1"/>
  <c r="B95" i="7"/>
  <c r="E95" i="7" l="1"/>
  <c r="F95" i="7" s="1"/>
  <c r="B96" i="7"/>
  <c r="C95" i="7"/>
  <c r="D95" i="7" s="1"/>
  <c r="C96" i="7" l="1"/>
  <c r="D96" i="7" s="1"/>
  <c r="B97" i="7"/>
  <c r="E96" i="7"/>
  <c r="F96" i="7" s="1"/>
  <c r="C97" i="7" l="1"/>
  <c r="D97" i="7" s="1"/>
  <c r="B98" i="7"/>
  <c r="E97" i="7"/>
  <c r="F97" i="7" s="1"/>
  <c r="E98" i="7" l="1"/>
  <c r="F98" i="7" s="1"/>
  <c r="C98" i="7"/>
  <c r="D98" i="7" s="1"/>
  <c r="B99" i="7"/>
  <c r="E99" i="7" l="1"/>
  <c r="F99" i="7"/>
  <c r="C99" i="7"/>
  <c r="D99" i="7" s="1"/>
  <c r="B100" i="7"/>
  <c r="C100" i="7" l="1"/>
  <c r="D100" i="7" s="1"/>
  <c r="B101" i="7"/>
  <c r="E100" i="7"/>
  <c r="F100" i="7" s="1"/>
  <c r="C101" i="7" l="1"/>
  <c r="D101" i="7" s="1"/>
  <c r="B102" i="7"/>
  <c r="E101" i="7"/>
  <c r="F101" i="7" s="1"/>
  <c r="E102" i="7" l="1"/>
  <c r="F102" i="7" s="1"/>
  <c r="C102" i="7"/>
  <c r="D102" i="7" s="1"/>
  <c r="B103" i="7"/>
  <c r="E103" i="7" l="1"/>
  <c r="F103" i="7"/>
  <c r="C103" i="7"/>
  <c r="D103" i="7" s="1"/>
  <c r="B104" i="7"/>
  <c r="C104" i="7" l="1"/>
  <c r="D104" i="7" s="1"/>
  <c r="B105" i="7"/>
  <c r="E104" i="7"/>
  <c r="F104" i="7" s="1"/>
  <c r="C105" i="7" l="1"/>
  <c r="D105" i="7" s="1"/>
  <c r="B106" i="7"/>
  <c r="E105" i="7"/>
  <c r="F105" i="7" s="1"/>
  <c r="E106" i="7" l="1"/>
  <c r="F106" i="7" s="1"/>
  <c r="C106" i="7"/>
  <c r="D106" i="7" s="1"/>
  <c r="B107" i="7"/>
  <c r="E107" i="7" l="1"/>
  <c r="F107" i="7" s="1"/>
  <c r="B108" i="7"/>
  <c r="C107" i="7"/>
  <c r="D107" i="7" s="1"/>
  <c r="C108" i="7" l="1"/>
  <c r="D108" i="7" s="1"/>
  <c r="B109" i="7"/>
  <c r="E108" i="7"/>
  <c r="F108" i="7" s="1"/>
  <c r="E109" i="7" l="1"/>
  <c r="F109" i="7" s="1"/>
  <c r="C109" i="7"/>
  <c r="D109" i="7" s="1"/>
  <c r="B110" i="7"/>
  <c r="E110" i="7" l="1"/>
  <c r="F110" i="7" s="1"/>
  <c r="C110" i="7"/>
  <c r="D110" i="7" s="1"/>
  <c r="B111" i="7"/>
  <c r="E111" i="7" l="1"/>
  <c r="B112" i="7"/>
  <c r="C111" i="7"/>
  <c r="D111" i="7" s="1"/>
  <c r="F111" i="7"/>
  <c r="C112" i="7" l="1"/>
  <c r="D112" i="7" s="1"/>
  <c r="B113" i="7"/>
  <c r="E112" i="7"/>
  <c r="F112" i="7" s="1"/>
  <c r="C113" i="7" l="1"/>
  <c r="D113" i="7" s="1"/>
  <c r="B114" i="7"/>
  <c r="E113" i="7"/>
  <c r="F113" i="7" s="1"/>
  <c r="E114" i="7" l="1"/>
  <c r="F114" i="7" s="1"/>
  <c r="C114" i="7"/>
  <c r="D114" i="7" s="1"/>
  <c r="B115" i="7"/>
  <c r="E115" i="7" l="1"/>
  <c r="F115" i="7" s="1"/>
  <c r="C115" i="7"/>
  <c r="D115" i="7" s="1"/>
  <c r="B116" i="7"/>
  <c r="C116" i="7" l="1"/>
  <c r="D116" i="7" s="1"/>
  <c r="B117" i="7"/>
  <c r="E116" i="7"/>
  <c r="F116" i="7" s="1"/>
  <c r="C117" i="7" l="1"/>
  <c r="D117" i="7" s="1"/>
  <c r="B118" i="7"/>
  <c r="E117" i="7"/>
  <c r="F117" i="7" s="1"/>
  <c r="E118" i="7" l="1"/>
  <c r="F118" i="7" s="1"/>
  <c r="C118" i="7"/>
  <c r="D118" i="7" s="1"/>
  <c r="B119" i="7"/>
  <c r="E119" i="7" l="1"/>
  <c r="F119" i="7" s="1"/>
  <c r="B120" i="7"/>
  <c r="C119" i="7"/>
  <c r="D119" i="7" s="1"/>
  <c r="C120" i="7" l="1"/>
  <c r="D120" i="7" s="1"/>
  <c r="B121" i="7"/>
  <c r="E120" i="7"/>
  <c r="F120" i="7" s="1"/>
  <c r="C121" i="7" l="1"/>
  <c r="D121" i="7" s="1"/>
  <c r="E121" i="7"/>
  <c r="F121" i="7" s="1"/>
  <c r="B122" i="7"/>
  <c r="E122" i="7" l="1"/>
  <c r="C122" i="7"/>
  <c r="D122" i="7" s="1"/>
  <c r="F122" i="7"/>
  <c r="B123" i="7"/>
  <c r="E123" i="7" l="1"/>
  <c r="F123" i="7" s="1"/>
  <c r="B124" i="7"/>
  <c r="C123" i="7"/>
  <c r="D123" i="7" s="1"/>
  <c r="C124" i="7" l="1"/>
  <c r="D124" i="7" s="1"/>
  <c r="B125" i="7"/>
  <c r="E124" i="7"/>
  <c r="F124" i="7" s="1"/>
  <c r="E125" i="7" l="1"/>
  <c r="F125" i="7" s="1"/>
  <c r="C125" i="7"/>
  <c r="D125" i="7" s="1"/>
  <c r="B126" i="7"/>
  <c r="E126" i="7" l="1"/>
  <c r="F126" i="7"/>
  <c r="C126" i="7"/>
  <c r="D126" i="7" s="1"/>
  <c r="B127" i="7"/>
  <c r="E127" i="7" l="1"/>
  <c r="F127" i="7" s="1"/>
  <c r="B128" i="7"/>
  <c r="C127" i="7"/>
  <c r="D127" i="7" s="1"/>
  <c r="C128" i="7" l="1"/>
  <c r="D128" i="7" s="1"/>
  <c r="B129" i="7"/>
  <c r="E128" i="7"/>
  <c r="F128" i="7" s="1"/>
  <c r="C129" i="7" l="1"/>
  <c r="D129" i="7" s="1"/>
  <c r="B130" i="7"/>
  <c r="E129" i="7"/>
  <c r="F129" i="7" s="1"/>
  <c r="E130" i="7" l="1"/>
  <c r="C130" i="7"/>
  <c r="D130" i="7" s="1"/>
  <c r="F130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<sst xmlns="http://schemas.openxmlformats.org/spreadsheetml/2006/main" count="421" uniqueCount="284">
  <si>
    <t>CODIGO</t>
  </si>
  <si>
    <t>NOMBRE</t>
  </si>
  <si>
    <t>DEPARTAMENTO</t>
  </si>
  <si>
    <t xml:space="preserve">FECHA </t>
  </si>
  <si>
    <t>SALARIO BRUTO</t>
  </si>
  <si>
    <t>IMPUESTOS</t>
  </si>
  <si>
    <t>SEGURO</t>
  </si>
  <si>
    <t>PRESTAMO</t>
  </si>
  <si>
    <t>AHORRO</t>
  </si>
  <si>
    <t>Juan Pérez</t>
  </si>
  <si>
    <t>María Rodríguez</t>
  </si>
  <si>
    <t>Carlos Sánchez</t>
  </si>
  <si>
    <t>Laura Martínez</t>
  </si>
  <si>
    <t>Andrés López</t>
  </si>
  <si>
    <t>Ana González</t>
  </si>
  <si>
    <t>José Fernández</t>
  </si>
  <si>
    <t>Carolina Ramírez</t>
  </si>
  <si>
    <t>Manuel Torres</t>
  </si>
  <si>
    <t>Sofía Smith</t>
  </si>
  <si>
    <t>Javier García</t>
  </si>
  <si>
    <t>Valentina Johnson</t>
  </si>
  <si>
    <t>Luis Morales</t>
  </si>
  <si>
    <t>Daniela Brown</t>
  </si>
  <si>
    <t>Ricardo Pérez</t>
  </si>
  <si>
    <t>Paula Wilson</t>
  </si>
  <si>
    <t>Felipe Ortiz</t>
  </si>
  <si>
    <t>Adriana Davis</t>
  </si>
  <si>
    <t>Diego Rodríguez</t>
  </si>
  <si>
    <t>Marta Ruiz</t>
  </si>
  <si>
    <t>E10001</t>
  </si>
  <si>
    <t>E10002</t>
  </si>
  <si>
    <t>E10003</t>
  </si>
  <si>
    <t>E10004</t>
  </si>
  <si>
    <t>E10005</t>
  </si>
  <si>
    <t>E10006</t>
  </si>
  <si>
    <t>E10007</t>
  </si>
  <si>
    <t>E10008</t>
  </si>
  <si>
    <t>E10009</t>
  </si>
  <si>
    <t>E10010</t>
  </si>
  <si>
    <t>E10011</t>
  </si>
  <si>
    <t>E10012</t>
  </si>
  <si>
    <t>E10013</t>
  </si>
  <si>
    <t>E10014</t>
  </si>
  <si>
    <t>E10015</t>
  </si>
  <si>
    <t>E10016</t>
  </si>
  <si>
    <t>E10017</t>
  </si>
  <si>
    <t>E10018</t>
  </si>
  <si>
    <t>E10019</t>
  </si>
  <si>
    <t>E10020</t>
  </si>
  <si>
    <t>Ventas</t>
  </si>
  <si>
    <t>Marketing</t>
  </si>
  <si>
    <t>Finanzas</t>
  </si>
  <si>
    <t>Recursos Humanos</t>
  </si>
  <si>
    <t>Producción</t>
  </si>
  <si>
    <t>Investigación y Desarrollo</t>
  </si>
  <si>
    <t>Servicio al Cliente</t>
  </si>
  <si>
    <t>TOTALES</t>
  </si>
  <si>
    <t>Vestidos elegantes</t>
  </si>
  <si>
    <t>Blusas y camisetas de moda</t>
  </si>
  <si>
    <t>Pantalones y jeans</t>
  </si>
  <si>
    <t>Faldas</t>
  </si>
  <si>
    <t>Chaquetas y abrigos</t>
  </si>
  <si>
    <t>Ropa de dormir y ropa interior</t>
  </si>
  <si>
    <t>Trajes de baño</t>
  </si>
  <si>
    <t>Ropa deportiva</t>
  </si>
  <si>
    <t>Conjuntos de moda</t>
  </si>
  <si>
    <t>Ropa de maternidad</t>
  </si>
  <si>
    <t>Tallas grandes</t>
  </si>
  <si>
    <t>Bolsos y carteras</t>
  </si>
  <si>
    <t>Joyería (collares, pulseras, aretes)</t>
  </si>
  <si>
    <t>Bufandas y pañuelos</t>
  </si>
  <si>
    <t>Sombreros y gorras</t>
  </si>
  <si>
    <t>Cinturones</t>
  </si>
  <si>
    <t>Gafas de sol</t>
  </si>
  <si>
    <t>Relojes de moda</t>
  </si>
  <si>
    <t>Calcetines y medias</t>
  </si>
  <si>
    <t>Calzado (zapatos, botas, sandalias)</t>
  </si>
  <si>
    <t>Camisas</t>
  </si>
  <si>
    <t>Camisetas y polos</t>
  </si>
  <si>
    <t>Pantalones y vaqueros</t>
  </si>
  <si>
    <t>Trajes y ropa formal</t>
  </si>
  <si>
    <t>Ropa interior y calcetines</t>
  </si>
  <si>
    <t>Carteras y billeteras</t>
  </si>
  <si>
    <t>Corbatas y pajaritas</t>
  </si>
  <si>
    <t>Relojes elegantes</t>
  </si>
  <si>
    <t>Calcetines</t>
  </si>
  <si>
    <t>Calzado (zapatos, botas, zapatillas)</t>
  </si>
  <si>
    <t>ARTICULOS</t>
  </si>
  <si>
    <t>PRECIO $</t>
  </si>
  <si>
    <t>FECHA</t>
  </si>
  <si>
    <t>EXISTENCIA</t>
  </si>
  <si>
    <t>NOMINA EMPLEADOS  ME SALVE</t>
  </si>
  <si>
    <t>PARA LA EXISTECIA USAR RANDBETWEEN ( ALEARORIOENTRE)</t>
  </si>
  <si>
    <t>PARA LA FECHA USAR RANDBETWEEN ( ALEARORIOENTRE)</t>
  </si>
  <si>
    <t>A-10001</t>
  </si>
  <si>
    <t>A-10002</t>
  </si>
  <si>
    <t>A-10003</t>
  </si>
  <si>
    <t>A-10004</t>
  </si>
  <si>
    <t>A-10005</t>
  </si>
  <si>
    <t>A-10006</t>
  </si>
  <si>
    <t>A-10007</t>
  </si>
  <si>
    <t>A-10008</t>
  </si>
  <si>
    <t>A-10009</t>
  </si>
  <si>
    <t>A-10010</t>
  </si>
  <si>
    <t>A-10011</t>
  </si>
  <si>
    <t>A-10012</t>
  </si>
  <si>
    <t>A-10013</t>
  </si>
  <si>
    <t>A-10014</t>
  </si>
  <si>
    <t>A-10015</t>
  </si>
  <si>
    <t>A-10016</t>
  </si>
  <si>
    <t>A-10017</t>
  </si>
  <si>
    <t>A-10018</t>
  </si>
  <si>
    <t>A-10019</t>
  </si>
  <si>
    <t>A-10020</t>
  </si>
  <si>
    <t>A-10021</t>
  </si>
  <si>
    <t>A-10022</t>
  </si>
  <si>
    <t>A-10023</t>
  </si>
  <si>
    <t>A-10024</t>
  </si>
  <si>
    <t>A-10025</t>
  </si>
  <si>
    <t>A-10026</t>
  </si>
  <si>
    <t>A-10027</t>
  </si>
  <si>
    <t>A-10028</t>
  </si>
  <si>
    <t>A-10029</t>
  </si>
  <si>
    <t>A-10030</t>
  </si>
  <si>
    <t>A-10031</t>
  </si>
  <si>
    <t>A-10032</t>
  </si>
  <si>
    <t>A-10033</t>
  </si>
  <si>
    <t>A-10034</t>
  </si>
  <si>
    <t>A-10035</t>
  </si>
  <si>
    <t>A-10036</t>
  </si>
  <si>
    <t>A-10037</t>
  </si>
  <si>
    <t>Pseicologia</t>
  </si>
  <si>
    <t>CANTIDAD</t>
  </si>
  <si>
    <t>PARA LA STOP  CALCULAR (REBAJAR DE LA FACTURACION (EXISTENCIA - MENOS CANTIDAD)</t>
  </si>
  <si>
    <t>SUB_TOTAL</t>
  </si>
  <si>
    <t>DESCUENTOS</t>
  </si>
  <si>
    <t>SUB_TOTAL_DESCUENTO</t>
  </si>
  <si>
    <t>ITBIS</t>
  </si>
  <si>
    <t>TOTAL</t>
  </si>
  <si>
    <t>PARA LA CANRIDAD  USAR RANDBETWEEN ( ALEARORIOENTRE)</t>
  </si>
  <si>
    <t>PARA  EL SUB_TOTAL (CALCULAR PRECIO POR CANTIDAD )</t>
  </si>
  <si>
    <t>PARA EL SUB_TOTAL DE DESCUENTO  USAR (SUB_TOTAL MENOS DESCUENTOS)</t>
  </si>
  <si>
    <t>PARA EL  ITBIS  USAR (SUB_TOTAL DESCUENTOS POR 18%)</t>
  </si>
  <si>
    <t>EN EL TOTOAL SUMAR TODOS LOS DATOS DE LA COLUMNAS</t>
  </si>
  <si>
    <t>CALCULAR LA NOTA FINAL Y LA EQUIVALENCIA CON LA FUNCION IF (SI) EN CADA CASO.</t>
  </si>
  <si>
    <t>NO</t>
  </si>
  <si>
    <t>NOMBRE Y APELLIDO</t>
  </si>
  <si>
    <t>ASISTENCIA</t>
  </si>
  <si>
    <t>TRABAJO PRACTICO</t>
  </si>
  <si>
    <t>EXAMEN PARCIAL</t>
  </si>
  <si>
    <t>EXAMEN FINAL</t>
  </si>
  <si>
    <t>NOTA FINAL</t>
  </si>
  <si>
    <t>EQUIVALENCIA'</t>
  </si>
  <si>
    <t>ESTADO</t>
  </si>
  <si>
    <t>ESTATUS</t>
  </si>
  <si>
    <t>NOTA DE ASISTENCIA</t>
  </si>
  <si>
    <t>ROSAURA  ROBLE MARTINEZ</t>
  </si>
  <si>
    <t xml:space="preserve">
MARIA  ESTELA CRUZ  RODRIGUEZ</t>
  </si>
  <si>
    <t>LEINY  PAMELA ROSARIO  CRUZ</t>
  </si>
  <si>
    <t>YUGEIRY  MARIA GONZALEZ  TAVERAS</t>
  </si>
  <si>
    <t>YASELI  MARIA RODRIGUEZ  GUERRA</t>
  </si>
  <si>
    <t>ALTAGRACIA ROCIO CAMPUSANO TINEO</t>
  </si>
  <si>
    <t>NOELIA  MARGARITA FRANCISCO  CEBALLOS</t>
  </si>
  <si>
    <t>ALEXANDRA MERCEDES MAÑON  GUZMÁN</t>
  </si>
  <si>
    <t>MICHAEL  JOEL CABRERA  HERRERA</t>
  </si>
  <si>
    <t xml:space="preserve">IVELY  MACIEL HERRAND  </t>
  </si>
  <si>
    <t>JANLI  MACIEL MÉNDEZ  BELLO</t>
  </si>
  <si>
    <t xml:space="preserve">RANSEL EMIL   HERNÁNDEZ CALCAÑO  </t>
  </si>
  <si>
    <t xml:space="preserve">ANA IRIS  DIAZ DIAZ </t>
  </si>
  <si>
    <t>USA LA FUNCION SUMA EN SUS VARIAS FORMAS.
=C5+D5+E5+F5 = 88 o =SUMA(C5:F5)</t>
  </si>
  <si>
    <t>ANA LEYDI   DE LA CRUZ  ROSSO</t>
  </si>
  <si>
    <t>HEIMIS  ROSSO  VILCHEZ</t>
  </si>
  <si>
    <t>AMY  DARIANNA NUÑEZ  JOHNY</t>
  </si>
  <si>
    <t>FRANCHESCA  DELLALIZ MENDEZ  PEREZ</t>
  </si>
  <si>
    <r>
      <rPr>
        <b/>
        <u/>
        <sz val="12"/>
        <color theme="1"/>
        <rFont val="Calibri"/>
        <family val="2"/>
        <scheme val="minor"/>
      </rPr>
      <t xml:space="preserve">USAR LA  FUNCION SI POR EJEMPLO: 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2"/>
        <color rgb="FF0070C0"/>
        <rFont val="Calibri"/>
        <family val="2"/>
        <scheme val="minor"/>
      </rPr>
      <t>=SI(G5&gt;=90;"A";SI(G5&gt;=80;"B";SI(G5&gt;=75;"C";SI(G5&gt;=70;"D";"F")))))</t>
    </r>
  </si>
  <si>
    <t>YELIZA  ECHAVARRIA MONTERO</t>
  </si>
  <si>
    <t>NATALIA  CRISTAL CESPEDES  MORILLO</t>
  </si>
  <si>
    <t xml:space="preserve">VICTOR MIGUEL  FABIAN PERALTA </t>
  </si>
  <si>
    <t>LOURDES YULENNDY GONZALEZ MONEGRO</t>
  </si>
  <si>
    <t>LAURI  CRISTINA SANTOS BAUTISTA</t>
  </si>
  <si>
    <r>
      <rPr>
        <b/>
        <u/>
        <sz val="14"/>
        <color theme="1"/>
        <rFont val="Calibri"/>
        <family val="2"/>
        <scheme val="minor"/>
      </rPr>
      <t xml:space="preserve">USAR LA  FUNCION SI POR EJEMPLO: </t>
    </r>
    <r>
      <rPr>
        <b/>
        <sz val="14"/>
        <color theme="1"/>
        <rFont val="Calibri"/>
        <family val="2"/>
        <scheme val="minor"/>
      </rPr>
      <t xml:space="preserve">
=IF(G5&gt;=70,"APROBADO","REPROBADO")</t>
    </r>
  </si>
  <si>
    <t>EVELIA  PEÑA DE LA CRUZ</t>
  </si>
  <si>
    <t>SORIANNY  PANIAGUA  COLAS</t>
  </si>
  <si>
    <t>YAMILKA  ISABEL SANTANA  BAUTISTA</t>
  </si>
  <si>
    <t>EDISON MIGUEL   REYES VASQUEZ</t>
  </si>
  <si>
    <t>GENESIS MICHEL LUNA  SANTANA</t>
  </si>
  <si>
    <t>RESUMEN</t>
  </si>
  <si>
    <t>MIGUELINA  CABRERA  ENCARNACIÓN</t>
  </si>
  <si>
    <t>USAR LA  FUNCION CONTAR SI (COUNTIF)
=COUNTIFS($H$5:$H$36,"A")</t>
  </si>
  <si>
    <t>PALOMA  ASTER JUNQUERA  ROSARIO</t>
  </si>
  <si>
    <t>YANEISY  DE LA ROSA OGANDO</t>
  </si>
  <si>
    <t>MAYELIN JAZMIN DIAZ  VALERIO</t>
  </si>
  <si>
    <t>Y ASI CON CADA LETRA Y LO MISMO CON APROBADO Y REPROB</t>
  </si>
  <si>
    <t>JENIPHER  FERNANDEZ ALMANZAR</t>
  </si>
  <si>
    <t>A</t>
  </si>
  <si>
    <t>APROBARON</t>
  </si>
  <si>
    <t>B</t>
  </si>
  <si>
    <t>REPROBARON</t>
  </si>
  <si>
    <t>C</t>
  </si>
  <si>
    <t>D</t>
  </si>
  <si>
    <t>F</t>
  </si>
  <si>
    <t>% Deducciones</t>
  </si>
  <si>
    <t>MINIMA</t>
  </si>
  <si>
    <t>MAXIMA</t>
  </si>
  <si>
    <t>PARA LA EXISTECIA USAR RANDBETWEEN ( ALEARORIO.ENTRE)</t>
  </si>
  <si>
    <t>SUELDO A EVALUAR</t>
  </si>
  <si>
    <t>EXCEL</t>
  </si>
  <si>
    <t>POWER BI</t>
  </si>
  <si>
    <t>PROMEDIO</t>
  </si>
  <si>
    <t>DETALLES DE CALIFICACIONES</t>
  </si>
  <si>
    <t>VALOR</t>
  </si>
  <si>
    <t>Nota más Repetida</t>
  </si>
  <si>
    <t>Promedio del Curso</t>
  </si>
  <si>
    <t>Total de Alumnos</t>
  </si>
  <si>
    <t>Número de Aprobados</t>
  </si>
  <si>
    <t>Número de Reprobados</t>
  </si>
  <si>
    <t>Promedio de Aprobados</t>
  </si>
  <si>
    <t>Promedio de Reprobados</t>
  </si>
  <si>
    <t>NOMBRE Y APELLIDO ESTUDIANTES</t>
  </si>
  <si>
    <t>PARA LOS DESCUENTOS CALCULAR UN 5% A LA VENTA  IGUALES O MAYORES A 20 MIL Y PARA TODOS LOS DEMAS 2%.  (=SI(G4&gt;=2000,G4*5%, SI(G4&lt;2000,G4*2%)) EN INGLES: =IF(G4&gt;=2000;G4*5%;SI(G4&lt;2000;G4*2%))</t>
  </si>
  <si>
    <t>E4*F4</t>
  </si>
  <si>
    <t>VER FUNCION SI</t>
  </si>
  <si>
    <t>G4-H4</t>
  </si>
  <si>
    <t>I4*18%</t>
  </si>
  <si>
    <t>J4+I4</t>
  </si>
  <si>
    <t>NOMBRE Y APELIIDO DE CLIENTES</t>
  </si>
  <si>
    <t xml:space="preserve">ARTICULOS </t>
  </si>
  <si>
    <t>BUSCARV(C4,ALMACEN!A3:F40,3,FALSO)</t>
  </si>
  <si>
    <t>LO MIMO CON 4</t>
  </si>
  <si>
    <t>USO ALERATORIO</t>
  </si>
  <si>
    <t>ALEATORIO. ENTRE.ENTRE</t>
  </si>
  <si>
    <t>Resumen Aprobados o No</t>
  </si>
  <si>
    <t>Resumen Letras</t>
  </si>
  <si>
    <t>PYTHON</t>
  </si>
  <si>
    <t>R</t>
  </si>
  <si>
    <t>SQL SERVER</t>
  </si>
  <si>
    <t>MAYOR NOTA</t>
  </si>
  <si>
    <t>MENOR NOTA</t>
  </si>
  <si>
    <t>Nota más Alta  Promedio</t>
  </si>
  <si>
    <t>Nota más Baja  Promedio</t>
  </si>
  <si>
    <t>Ingreso Matrículas Aprobados</t>
  </si>
  <si>
    <t>Ingresos Matrículas Reprobados</t>
  </si>
  <si>
    <t>NOTA MAS ALTA</t>
  </si>
  <si>
    <t>CODIG</t>
  </si>
  <si>
    <t>CURSO</t>
  </si>
  <si>
    <t>CRITERIOS DE BUSQUEDAS INDICE  Y COINCIDIR</t>
  </si>
  <si>
    <t xml:space="preserve">INGRESOS </t>
  </si>
  <si>
    <t>Total de Ingresos</t>
  </si>
  <si>
    <t>EXISTENCIA INICIAL</t>
  </si>
  <si>
    <t xml:space="preserve">STOP ACTUAL </t>
  </si>
  <si>
    <t>USAR PARA LA ASISTENCIA FUNCION ALEATORIO. ENTTRE (1,10)</t>
  </si>
  <si>
    <t>USAR LA FUNCION ALEATORIO. ENTTRE (1,20)</t>
  </si>
  <si>
    <t>EQUIVALENCIA</t>
  </si>
  <si>
    <t>MONTO DEL PRESTAMO</t>
  </si>
  <si>
    <t>TASA DE INTERES ANUAL</t>
  </si>
  <si>
    <t>TASA DE INTERES MENSUAL</t>
  </si>
  <si>
    <t>PLAZO EN AÑOS</t>
  </si>
  <si>
    <t>PLAZO EN MESES</t>
  </si>
  <si>
    <t>PAGO MENSUAL</t>
  </si>
  <si>
    <t>MONTO A PAGAR</t>
  </si>
  <si>
    <t>NUMERO DE PERIODOS</t>
  </si>
  <si>
    <t>CUOTAS</t>
  </si>
  <si>
    <t>$ DE INTERESES</t>
  </si>
  <si>
    <t>$ DE CAPITAL</t>
  </si>
  <si>
    <t>$ SALDO</t>
  </si>
  <si>
    <t>FORMULA = C5*12</t>
  </si>
  <si>
    <t>FPRMULA= (1+C3)^(1/12)-1</t>
  </si>
  <si>
    <t>FORMULA</t>
  </si>
  <si>
    <t>PAGO(C4,C6,-C2)</t>
  </si>
  <si>
    <t>H5*C6</t>
  </si>
  <si>
    <t>TABLA DE PAGOS ( CON FUNCIONES FINANCIERAS)</t>
  </si>
  <si>
    <t>TABLA DE PAGOS FOMRULAS NORMALES</t>
  </si>
  <si>
    <t># PERIODOS</t>
  </si>
  <si>
    <t>#</t>
  </si>
  <si>
    <t>MES</t>
  </si>
  <si>
    <t>ANO ANTERIOR</t>
  </si>
  <si>
    <t>ANO ACTUAL</t>
  </si>
  <si>
    <t>VENTAS</t>
  </si>
  <si>
    <t>METAS</t>
  </si>
  <si>
    <t>% METAS</t>
  </si>
  <si>
    <t>DEDUCCIONES</t>
  </si>
  <si>
    <t xml:space="preserve">TOTAL SUELDO </t>
  </si>
  <si>
    <t>FACTURACION ME SALVE CON EXCEL Y JUANCITO</t>
  </si>
  <si>
    <t>ALMACEN ME SALVE-CON EXCEL Y JUANCITO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</si>
</sst>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[$-409]d\-mmm\-yyyy;@"/>
  </numFmts>
  <fonts count="2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name val="Calibri"/>
      <family val="2"/>
      <scheme val="minor"/>
    </font>
    <font>
      <b/>
      <u/>
      <sz val="1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26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8" fontId="0" fillId="0" borderId="1" xfId="0" applyNumberFormat="1" applyBorder="1"/>
    <xf numFmtId="8" fontId="0" fillId="0" borderId="9" xfId="0" applyNumberFormat="1" applyBorder="1"/>
    <xf numFmtId="0" fontId="3" fillId="0" borderId="5" xfId="0" applyFont="1" applyBorder="1"/>
    <xf numFmtId="0" fontId="3" fillId="0" borderId="6" xfId="0" applyFont="1" applyBorder="1"/>
    <xf numFmtId="0" fontId="3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2" borderId="0" xfId="0" applyFont="1" applyFill="1"/>
    <xf numFmtId="0" fontId="0" fillId="2" borderId="0" xfId="0" applyFill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/>
    <xf numFmtId="0" fontId="5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5" fillId="4" borderId="13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/>
    </xf>
    <xf numFmtId="0" fontId="5" fillId="4" borderId="17" xfId="0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44" fontId="0" fillId="0" borderId="0" xfId="1" applyFont="1"/>
    <xf numFmtId="0" fontId="0" fillId="0" borderId="21" xfId="0" applyBorder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1" xfId="0" applyNumberFormat="1" applyBorder="1"/>
    <xf numFmtId="164" fontId="0" fillId="0" borderId="3" xfId="0" applyNumberFormat="1" applyBorder="1" applyAlignment="1">
      <alignment horizontal="center"/>
    </xf>
    <xf numFmtId="8" fontId="0" fillId="4" borderId="21" xfId="0" applyNumberFormat="1" applyFill="1" applyBorder="1"/>
    <xf numFmtId="6" fontId="4" fillId="3" borderId="0" xfId="0" applyNumberFormat="1" applyFont="1" applyFill="1" applyAlignment="1">
      <alignment horizontal="center" vertical="center"/>
    </xf>
    <xf numFmtId="14" fontId="0" fillId="0" borderId="21" xfId="0" applyNumberFormat="1" applyBorder="1" applyAlignment="1">
      <alignment horizontal="center" vertical="center"/>
    </xf>
    <xf numFmtId="6" fontId="13" fillId="2" borderId="21" xfId="0" applyNumberFormat="1" applyFont="1" applyFill="1" applyBorder="1"/>
    <xf numFmtId="39" fontId="0" fillId="2" borderId="21" xfId="2" applyNumberFormat="1" applyFont="1" applyFill="1" applyBorder="1"/>
    <xf numFmtId="6" fontId="0" fillId="4" borderId="21" xfId="0" applyNumberFormat="1" applyFill="1" applyBorder="1"/>
    <xf numFmtId="44" fontId="0" fillId="4" borderId="21" xfId="1" applyFont="1" applyFill="1" applyBorder="1"/>
    <xf numFmtId="0" fontId="3" fillId="9" borderId="22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3" fillId="9" borderId="24" xfId="0" applyFont="1" applyFill="1" applyBorder="1" applyAlignment="1">
      <alignment horizontal="center" vertical="center"/>
    </xf>
    <xf numFmtId="6" fontId="0" fillId="3" borderId="21" xfId="2" applyNumberFormat="1" applyFont="1" applyFill="1" applyBorder="1"/>
    <xf numFmtId="8" fontId="0" fillId="0" borderId="0" xfId="0" applyNumberFormat="1"/>
    <xf numFmtId="8" fontId="16" fillId="0" borderId="0" xfId="0" applyNumberFormat="1" applyFont="1"/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3" fillId="0" borderId="9" xfId="0" applyFont="1" applyBorder="1"/>
    <xf numFmtId="14" fontId="0" fillId="0" borderId="0" xfId="0" applyNumberFormat="1" applyAlignment="1">
      <alignment horizontal="center"/>
    </xf>
    <xf numFmtId="164" fontId="0" fillId="0" borderId="1" xfId="2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4" fontId="0" fillId="0" borderId="9" xfId="0" applyNumberFormat="1" applyBorder="1"/>
    <xf numFmtId="164" fontId="0" fillId="0" borderId="9" xfId="2" applyNumberFormat="1" applyFont="1" applyBorder="1" applyAlignment="1">
      <alignment horizontal="center"/>
    </xf>
    <xf numFmtId="0" fontId="0" fillId="0" borderId="5" xfId="0" applyBorder="1"/>
    <xf numFmtId="0" fontId="17" fillId="0" borderId="7" xfId="0" applyFont="1" applyBorder="1"/>
    <xf numFmtId="0" fontId="17" fillId="0" borderId="5" xfId="0" applyFont="1" applyBorder="1"/>
    <xf numFmtId="0" fontId="17" fillId="0" borderId="8" xfId="0" applyFont="1" applyBorder="1"/>
    <xf numFmtId="44" fontId="17" fillId="0" borderId="1" xfId="1" applyFont="1" applyBorder="1"/>
    <xf numFmtId="44" fontId="17" fillId="0" borderId="9" xfId="1" applyFont="1" applyBorder="1"/>
    <xf numFmtId="0" fontId="3" fillId="2" borderId="25" xfId="0" applyFont="1" applyFill="1" applyBorder="1" applyAlignment="1">
      <alignment horizontal="right" vertical="center"/>
    </xf>
    <xf numFmtId="164" fontId="3" fillId="2" borderId="25" xfId="0" applyNumberFormat="1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44" fontId="5" fillId="3" borderId="25" xfId="1" applyFont="1" applyFill="1" applyBorder="1" applyAlignment="1">
      <alignment horizontal="center" vertical="center"/>
    </xf>
    <xf numFmtId="44" fontId="3" fillId="3" borderId="25" xfId="1" applyFont="1" applyFill="1" applyBorder="1"/>
    <xf numFmtId="44" fontId="3" fillId="2" borderId="0" xfId="1" applyFont="1" applyFill="1"/>
    <xf numFmtId="44" fontId="0" fillId="2" borderId="0" xfId="1" applyFont="1" applyFill="1"/>
    <xf numFmtId="0" fontId="0" fillId="11" borderId="1" xfId="0" applyFill="1" applyBorder="1"/>
    <xf numFmtId="0" fontId="0" fillId="3" borderId="0" xfId="0" applyFill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19" fillId="11" borderId="28" xfId="0" applyFont="1" applyFill="1" applyBorder="1" applyAlignment="1">
      <alignment horizontal="center" vertical="center"/>
    </xf>
    <xf numFmtId="0" fontId="19" fillId="11" borderId="29" xfId="0" applyFont="1" applyFill="1" applyBorder="1" applyAlignment="1">
      <alignment horizontal="center" vertical="center"/>
    </xf>
    <xf numFmtId="0" fontId="19" fillId="11" borderId="26" xfId="0" applyFont="1" applyFill="1" applyBorder="1" applyAlignment="1">
      <alignment horizontal="center" vertical="center"/>
    </xf>
    <xf numFmtId="0" fontId="19" fillId="11" borderId="27" xfId="0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8" fontId="3" fillId="0" borderId="1" xfId="0" applyNumberFormat="1" applyFont="1" applyBorder="1"/>
    <xf numFmtId="0" fontId="3" fillId="4" borderId="1" xfId="0" applyFont="1" applyFill="1" applyBorder="1"/>
    <xf numFmtId="8" fontId="3" fillId="4" borderId="1" xfId="0" applyNumberFormat="1" applyFont="1" applyFill="1" applyBorder="1"/>
    <xf numFmtId="44" fontId="3" fillId="4" borderId="1" xfId="1" applyFont="1" applyFill="1" applyBorder="1"/>
    <xf numFmtId="14" fontId="0" fillId="0" borderId="5" xfId="0" applyNumberFormat="1" applyBorder="1"/>
    <xf numFmtId="0" fontId="0" fillId="0" borderId="6" xfId="0" applyBorder="1"/>
    <xf numFmtId="0" fontId="0" fillId="11" borderId="6" xfId="0" applyFill="1" applyBorder="1"/>
    <xf numFmtId="8" fontId="3" fillId="0" borderId="6" xfId="0" applyNumberFormat="1" applyFont="1" applyBorder="1"/>
    <xf numFmtId="0" fontId="3" fillId="4" borderId="6" xfId="0" applyFont="1" applyFill="1" applyBorder="1"/>
    <xf numFmtId="8" fontId="3" fillId="4" borderId="6" xfId="0" applyNumberFormat="1" applyFont="1" applyFill="1" applyBorder="1"/>
    <xf numFmtId="44" fontId="3" fillId="4" borderId="6" xfId="1" applyFont="1" applyFill="1" applyBorder="1"/>
    <xf numFmtId="8" fontId="3" fillId="4" borderId="2" xfId="0" applyNumberFormat="1" applyFont="1" applyFill="1" applyBorder="1"/>
    <xf numFmtId="14" fontId="0" fillId="0" borderId="7" xfId="0" applyNumberFormat="1" applyBorder="1"/>
    <xf numFmtId="8" fontId="3" fillId="4" borderId="3" xfId="0" applyNumberFormat="1" applyFont="1" applyFill="1" applyBorder="1"/>
    <xf numFmtId="14" fontId="0" fillId="0" borderId="8" xfId="0" applyNumberFormat="1" applyBorder="1"/>
    <xf numFmtId="0" fontId="0" fillId="11" borderId="9" xfId="0" applyFill="1" applyBorder="1"/>
    <xf numFmtId="8" fontId="3" fillId="0" borderId="9" xfId="0" applyNumberFormat="1" applyFont="1" applyBorder="1"/>
    <xf numFmtId="0" fontId="3" fillId="4" borderId="9" xfId="0" applyFont="1" applyFill="1" applyBorder="1"/>
    <xf numFmtId="8" fontId="3" fillId="4" borderId="9" xfId="0" applyNumberFormat="1" applyFont="1" applyFill="1" applyBorder="1"/>
    <xf numFmtId="44" fontId="3" fillId="4" borderId="9" xfId="1" applyFont="1" applyFill="1" applyBorder="1"/>
    <xf numFmtId="8" fontId="3" fillId="4" borderId="4" xfId="0" applyNumberFormat="1" applyFont="1" applyFill="1" applyBorder="1"/>
    <xf numFmtId="0" fontId="21" fillId="4" borderId="10" xfId="0" applyFont="1" applyFill="1" applyBorder="1" applyAlignment="1">
      <alignment horizontal="right"/>
    </xf>
    <xf numFmtId="8" fontId="21" fillId="4" borderId="11" xfId="0" applyNumberFormat="1" applyFont="1" applyFill="1" applyBorder="1"/>
    <xf numFmtId="0" fontId="5" fillId="0" borderId="3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/>
    <xf numFmtId="44" fontId="17" fillId="0" borderId="21" xfId="1" applyFont="1" applyBorder="1"/>
    <xf numFmtId="0" fontId="0" fillId="0" borderId="21" xfId="0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2" fontId="17" fillId="0" borderId="21" xfId="0" applyNumberFormat="1" applyFont="1" applyBorder="1"/>
    <xf numFmtId="2" fontId="17" fillId="0" borderId="1" xfId="0" applyNumberFormat="1" applyFont="1" applyBorder="1"/>
    <xf numFmtId="2" fontId="17" fillId="0" borderId="9" xfId="0" applyNumberFormat="1" applyFont="1" applyBorder="1"/>
    <xf numFmtId="43" fontId="17" fillId="0" borderId="21" xfId="2" applyFont="1" applyBorder="1"/>
    <xf numFmtId="43" fontId="17" fillId="0" borderId="1" xfId="2" applyFont="1" applyBorder="1"/>
    <xf numFmtId="0" fontId="23" fillId="3" borderId="25" xfId="0" applyFont="1" applyFill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43" fontId="23" fillId="0" borderId="24" xfId="0" applyNumberFormat="1" applyFont="1" applyBorder="1" applyAlignment="1">
      <alignment horizontal="center" vertical="center"/>
    </xf>
    <xf numFmtId="0" fontId="23" fillId="2" borderId="32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43" fontId="23" fillId="0" borderId="0" xfId="0" applyNumberFormat="1" applyFont="1" applyAlignment="1">
      <alignment horizontal="center" vertical="center"/>
    </xf>
    <xf numFmtId="0" fontId="15" fillId="0" borderId="0" xfId="0" applyFont="1"/>
    <xf numFmtId="43" fontId="5" fillId="11" borderId="2" xfId="2" applyFont="1" applyFill="1" applyBorder="1"/>
    <xf numFmtId="43" fontId="5" fillId="11" borderId="3" xfId="2" applyFont="1" applyFill="1" applyBorder="1"/>
    <xf numFmtId="43" fontId="5" fillId="11" borderId="4" xfId="2" applyFont="1" applyFill="1" applyBorder="1"/>
    <xf numFmtId="0" fontId="3" fillId="9" borderId="26" xfId="0" applyFont="1" applyFill="1" applyBorder="1" applyAlignment="1">
      <alignment horizontal="center" vertical="top"/>
    </xf>
    <xf numFmtId="0" fontId="3" fillId="9" borderId="27" xfId="0" applyFont="1" applyFill="1" applyBorder="1" applyAlignment="1">
      <alignment horizontal="center" vertical="top"/>
    </xf>
    <xf numFmtId="0" fontId="15" fillId="10" borderId="26" xfId="0" applyFont="1" applyFill="1" applyBorder="1" applyAlignment="1">
      <alignment horizontal="center" vertical="center"/>
    </xf>
    <xf numFmtId="0" fontId="15" fillId="10" borderId="28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43" fontId="17" fillId="0" borderId="1" xfId="2" applyFont="1" applyBorder="1" applyAlignment="1">
      <alignment horizontal="center" vertical="center"/>
    </xf>
    <xf numFmtId="43" fontId="17" fillId="0" borderId="17" xfId="2" applyFont="1" applyBorder="1" applyAlignment="1">
      <alignment horizontal="center" vertical="center"/>
    </xf>
    <xf numFmtId="43" fontId="17" fillId="0" borderId="3" xfId="2" applyFont="1" applyBorder="1" applyAlignment="1">
      <alignment horizontal="center" vertical="center"/>
    </xf>
    <xf numFmtId="43" fontId="17" fillId="0" borderId="9" xfId="2" applyFont="1" applyBorder="1" applyAlignment="1">
      <alignment horizontal="center" vertical="center"/>
    </xf>
    <xf numFmtId="43" fontId="17" fillId="0" borderId="4" xfId="2" applyFont="1" applyBorder="1" applyAlignment="1">
      <alignment horizontal="center" vertical="center"/>
    </xf>
    <xf numFmtId="0" fontId="0" fillId="3" borderId="25" xfId="0" applyFill="1" applyBorder="1"/>
    <xf numFmtId="44" fontId="0" fillId="0" borderId="25" xfId="1" applyFont="1" applyBorder="1"/>
    <xf numFmtId="10" fontId="0" fillId="0" borderId="25" xfId="3" applyNumberFormat="1" applyFont="1" applyBorder="1"/>
    <xf numFmtId="43" fontId="0" fillId="0" borderId="25" xfId="2" applyFont="1" applyBorder="1"/>
    <xf numFmtId="0" fontId="0" fillId="11" borderId="11" xfId="0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8" fontId="0" fillId="0" borderId="25" xfId="1" applyNumberFormat="1" applyFont="1" applyBorder="1"/>
    <xf numFmtId="0" fontId="0" fillId="11" borderId="34" xfId="0" applyFill="1" applyBorder="1" applyAlignment="1">
      <alignment horizontal="center"/>
    </xf>
    <xf numFmtId="0" fontId="0" fillId="11" borderId="35" xfId="0" applyFill="1" applyBorder="1" applyAlignment="1">
      <alignment horizontal="center"/>
    </xf>
    <xf numFmtId="8" fontId="0" fillId="0" borderId="6" xfId="0" applyNumberFormat="1" applyBorder="1"/>
    <xf numFmtId="44" fontId="0" fillId="0" borderId="6" xfId="0" applyNumberFormat="1" applyBorder="1"/>
    <xf numFmtId="44" fontId="0" fillId="0" borderId="2" xfId="0" applyNumberFormat="1" applyBorder="1"/>
    <xf numFmtId="44" fontId="0" fillId="0" borderId="0" xfId="0" applyNumberFormat="1"/>
    <xf numFmtId="0" fontId="22" fillId="3" borderId="25" xfId="0" applyFont="1" applyFill="1" applyBorder="1" applyAlignment="1">
      <alignment horizontal="left"/>
    </xf>
    <xf numFmtId="166" fontId="0" fillId="0" borderId="1" xfId="0" applyNumberFormat="1" applyBorder="1"/>
    <xf numFmtId="166" fontId="0" fillId="0" borderId="7" xfId="0" applyNumberFormat="1" applyBorder="1"/>
    <xf numFmtId="166" fontId="0" fillId="0" borderId="8" xfId="0" applyNumberFormat="1" applyBorder="1"/>
    <xf numFmtId="44" fontId="0" fillId="0" borderId="1" xfId="1" applyFont="1" applyBorder="1"/>
    <xf numFmtId="44" fontId="0" fillId="0" borderId="9" xfId="1" applyFont="1" applyBorder="1"/>
    <xf numFmtId="44" fontId="2" fillId="0" borderId="9" xfId="1" applyFont="1" applyBorder="1" applyAlignment="1">
      <alignment horizontal="center" vertical="center"/>
    </xf>
    <xf numFmtId="44" fontId="2" fillId="0" borderId="1" xfId="1" applyFont="1" applyBorder="1" applyAlignment="1">
      <alignment horizontal="center" vertical="center"/>
    </xf>
    <xf numFmtId="166" fontId="0" fillId="0" borderId="21" xfId="0" applyNumberFormat="1" applyBorder="1" applyAlignment="1">
      <alignment horizontal="center" vertical="center"/>
    </xf>
    <xf numFmtId="44" fontId="2" fillId="0" borderId="21" xfId="1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10" fontId="0" fillId="0" borderId="3" xfId="3" applyNumberFormat="1" applyFont="1" applyBorder="1"/>
    <xf numFmtId="10" fontId="0" fillId="0" borderId="4" xfId="3" applyNumberFormat="1" applyFont="1" applyBorder="1"/>
    <xf numFmtId="166" fontId="0" fillId="0" borderId="20" xfId="0" applyNumberFormat="1" applyBorder="1" applyAlignment="1">
      <alignment horizontal="center" vertical="center"/>
    </xf>
    <xf numFmtId="10" fontId="0" fillId="0" borderId="17" xfId="3" applyNumberFormat="1" applyFont="1" applyBorder="1"/>
    <xf numFmtId="0" fontId="1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7" fillId="7" borderId="7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8" fillId="5" borderId="12" xfId="0" applyFont="1" applyFill="1" applyBorder="1" applyAlignment="1">
      <alignment horizontal="center"/>
    </xf>
    <xf numFmtId="0" fontId="5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3" fillId="6" borderId="14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0" fontId="8" fillId="3" borderId="30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4" fillId="0" borderId="10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0" fillId="11" borderId="33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0" borderId="33" xfId="0" applyBorder="1" applyAlignment="1">
      <alignment horizontal="center"/>
    </xf>
    <xf numFmtId="0" fontId="3" fillId="12" borderId="0" xfId="0" applyFont="1" applyFill="1" applyAlignment="1">
      <alignment horizontal="center"/>
    </xf>
    <xf numFmtId="0" fontId="18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19" fillId="0" borderId="0" xfId="0" applyFont="1" applyFill="1" applyBorder="1" applyAlignment="1">
      <alignment horizontal="center" vertical="center"/>
    </xf>
    <xf numFmtId="8" fontId="3" fillId="0" borderId="0" xfId="0" applyNumberFormat="1" applyFont="1" applyFill="1" applyBorder="1"/>
    <xf numFmtId="0" fontId="0" fillId="0" borderId="0" xfId="0" applyFill="1"/>
    <xf numFmtId="8" fontId="21" fillId="0" borderId="0" xfId="0" applyNumberFormat="1" applyFont="1" applyFill="1" applyBorder="1"/>
    <xf numFmtId="165" fontId="3" fillId="4" borderId="21" xfId="3" applyNumberFormat="1" applyFont="1" applyFill="1" applyBorder="1"/>
    <xf numFmtId="10" fontId="4" fillId="3" borderId="0" xfId="3" applyNumberFormat="1" applyFont="1" applyFill="1" applyAlignment="1">
      <alignment horizontal="center" vertical="center"/>
    </xf>
  </cellXfs>
  <cellStyles count="4">
    <cellStyle name="Millares" xfId="2" builtinId="3"/>
    <cellStyle name="Moneda" xfId="1" builtinId="4"/>
    <cellStyle name="Normal" xfId="0" builtinId="0"/>
    <cellStyle name="Porcentaje" xfId="3" builtinId="5"/>
  </cellStyles>
  <dxfs count="12">
    <dxf>
      <font>
        <b/>
        <i val="0"/>
        <color rgb="FFFF0000"/>
      </font>
    </dxf>
    <dxf>
      <font>
        <b/>
        <i val="0"/>
        <color rgb="FF00B050"/>
      </font>
      <fill>
        <patternFill>
          <bgColor theme="0"/>
        </patternFill>
      </fill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/>
        <horizontal/>
      </border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1" defaultTableStyle="TableStyleMedium2" defaultPivotStyle="PivotStyleLight16">
    <tableStyle name="Invisible" pivot="0" table="0" count="0" xr9:uid="{66B33B28-9F6D-4F07-8EAF-C0DB50CCD28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'GRAFICOS DE VENTAS'!$B$2</c:f>
              <c:strCache>
                <c:ptCount val="1"/>
                <c:pt idx="0">
                  <c:v>ANO ACTUAL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'GRAFICOS DE VENTAS'!$A$3:$A$14</c:f>
              <c:numCache>
                <c:formatCode>[$-409]d\-mmm\-yyyy;@</c:formatCode>
                <c:ptCount val="12"/>
                <c:pt idx="0">
                  <c:v>45322</c:v>
                </c:pt>
                <c:pt idx="1">
                  <c:v>45351</c:v>
                </c:pt>
                <c:pt idx="2">
                  <c:v>45382</c:v>
                </c:pt>
                <c:pt idx="3">
                  <c:v>45412</c:v>
                </c:pt>
                <c:pt idx="4">
                  <c:v>45443</c:v>
                </c:pt>
                <c:pt idx="5">
                  <c:v>45473</c:v>
                </c:pt>
                <c:pt idx="6">
                  <c:v>45504</c:v>
                </c:pt>
                <c:pt idx="7">
                  <c:v>45535</c:v>
                </c:pt>
                <c:pt idx="8">
                  <c:v>45565</c:v>
                </c:pt>
                <c:pt idx="9">
                  <c:v>45596</c:v>
                </c:pt>
                <c:pt idx="10">
                  <c:v>45626</c:v>
                </c:pt>
                <c:pt idx="11">
                  <c:v>45657</c:v>
                </c:pt>
              </c:numCache>
            </c:numRef>
          </c:cat>
          <c:val>
            <c:numRef>
              <c:f>'GRAFICOS DE VENTAS'!$B$3:$B$14</c:f>
              <c:numCache>
                <c:formatCode>_("$"* #,##0.00_);_("$"* \(#,##0.00\);_("$"* "-"??_);_(@_)</c:formatCode>
                <c:ptCount val="12"/>
                <c:pt idx="0">
                  <c:v>33588</c:v>
                </c:pt>
                <c:pt idx="1">
                  <c:v>30271</c:v>
                </c:pt>
                <c:pt idx="2">
                  <c:v>15599</c:v>
                </c:pt>
                <c:pt idx="3">
                  <c:v>32875</c:v>
                </c:pt>
                <c:pt idx="4">
                  <c:v>31758</c:v>
                </c:pt>
                <c:pt idx="5">
                  <c:v>16516</c:v>
                </c:pt>
                <c:pt idx="6">
                  <c:v>18868</c:v>
                </c:pt>
                <c:pt idx="7">
                  <c:v>31388</c:v>
                </c:pt>
                <c:pt idx="8">
                  <c:v>17128</c:v>
                </c:pt>
                <c:pt idx="9">
                  <c:v>22000</c:v>
                </c:pt>
                <c:pt idx="10">
                  <c:v>25979</c:v>
                </c:pt>
                <c:pt idx="11">
                  <c:v>33734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08-425B-8EA5-323A7B5ED1C5}"/>
            </c:ext>
          </c:extLst>
        </c:ser>
        <c:ser>
          <c:idx val="1"/>
          <c:order val="1"/>
          <c:tx>
            <c:strRef>
              <c:f>'GRAFICOS DE VENTAS'!$C$2</c:f>
              <c:strCache>
                <c:ptCount val="1"/>
                <c:pt idx="0">
                  <c:v>ANO ANTERIOR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'GRAFICOS DE VENTAS'!$A$3:$A$14</c:f>
              <c:numCache>
                <c:formatCode>[$-409]d\-mmm\-yyyy;@</c:formatCode>
                <c:ptCount val="12"/>
                <c:pt idx="0">
                  <c:v>45322</c:v>
                </c:pt>
                <c:pt idx="1">
                  <c:v>45351</c:v>
                </c:pt>
                <c:pt idx="2">
                  <c:v>45382</c:v>
                </c:pt>
                <c:pt idx="3">
                  <c:v>45412</c:v>
                </c:pt>
                <c:pt idx="4">
                  <c:v>45443</c:v>
                </c:pt>
                <c:pt idx="5">
                  <c:v>45473</c:v>
                </c:pt>
                <c:pt idx="6">
                  <c:v>45504</c:v>
                </c:pt>
                <c:pt idx="7">
                  <c:v>45535</c:v>
                </c:pt>
                <c:pt idx="8">
                  <c:v>45565</c:v>
                </c:pt>
                <c:pt idx="9">
                  <c:v>45596</c:v>
                </c:pt>
                <c:pt idx="10">
                  <c:v>45626</c:v>
                </c:pt>
                <c:pt idx="11">
                  <c:v>45657</c:v>
                </c:pt>
              </c:numCache>
            </c:numRef>
          </c:cat>
          <c:val>
            <c:numRef>
              <c:f>'GRAFICOS DE VENTAS'!$C$3:$C$14</c:f>
              <c:numCache>
                <c:formatCode>_("$"* #,##0.00_);_("$"* \(#,##0.00\);_("$"* "-"??_);_(@_)</c:formatCode>
                <c:ptCount val="12"/>
                <c:pt idx="0">
                  <c:v>21692</c:v>
                </c:pt>
                <c:pt idx="1">
                  <c:v>12872</c:v>
                </c:pt>
                <c:pt idx="2">
                  <c:v>13262</c:v>
                </c:pt>
                <c:pt idx="3">
                  <c:v>16414</c:v>
                </c:pt>
                <c:pt idx="4">
                  <c:v>14684</c:v>
                </c:pt>
                <c:pt idx="5">
                  <c:v>23093</c:v>
                </c:pt>
                <c:pt idx="6">
                  <c:v>15872</c:v>
                </c:pt>
                <c:pt idx="7">
                  <c:v>21664</c:v>
                </c:pt>
                <c:pt idx="8">
                  <c:v>18922</c:v>
                </c:pt>
                <c:pt idx="9">
                  <c:v>23051</c:v>
                </c:pt>
                <c:pt idx="10">
                  <c:v>23566</c:v>
                </c:pt>
                <c:pt idx="11">
                  <c:v>20051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08-425B-8EA5-323A7B5ED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7676320"/>
        <c:axId val="1838599488"/>
      </c:barChart>
      <c:dateAx>
        <c:axId val="1877676320"/>
        <c:scaling>
          <c:orientation val="minMax"/>
        </c:scaling>
        <c:delete val="0"/>
        <c:axPos val="b"/>
        <c:numFmt formatCode="[$-409]d\-mmm\-yy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599488"/>
        <c:crosses val="autoZero"/>
        <c:auto val="1"/>
        <c:lblOffset val="100"/>
        <c:baseTimeUnit val="months"/>
      </c:dateAx>
      <c:valAx>
        <c:axId val="183859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67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'GRAFICOS DE VENTAS'!$B$22</c:f>
              <c:strCache>
                <c:ptCount val="1"/>
                <c:pt idx="0">
                  <c:v>VENTAS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'GRAFICOS DE VENTAS'!$A$23:$A$34</c:f>
              <c:numCache>
                <c:formatCode>[$-409]d\-mmm\-yyyy;@</c:formatCode>
                <c:ptCount val="12"/>
                <c:pt idx="0">
                  <c:v>45322</c:v>
                </c:pt>
                <c:pt idx="1">
                  <c:v>45351</c:v>
                </c:pt>
                <c:pt idx="2">
                  <c:v>45382</c:v>
                </c:pt>
                <c:pt idx="3">
                  <c:v>45412</c:v>
                </c:pt>
                <c:pt idx="4">
                  <c:v>45443</c:v>
                </c:pt>
                <c:pt idx="5">
                  <c:v>45473</c:v>
                </c:pt>
                <c:pt idx="6">
                  <c:v>45504</c:v>
                </c:pt>
                <c:pt idx="7">
                  <c:v>45535</c:v>
                </c:pt>
                <c:pt idx="8">
                  <c:v>45565</c:v>
                </c:pt>
                <c:pt idx="9">
                  <c:v>45596</c:v>
                </c:pt>
                <c:pt idx="10">
                  <c:v>45626</c:v>
                </c:pt>
                <c:pt idx="11">
                  <c:v>45657</c:v>
                </c:pt>
              </c:numCache>
            </c:numRef>
          </c:cat>
          <c:val>
            <c:numRef>
              <c:f>'GRAFICOS DE VENTAS'!$B$23:$B$34</c:f>
              <c:numCache>
                <c:formatCode>_("$"* #,##0.00_);_("$"* \(#,##0.00\);_("$"* "-"??_);_(@_)</c:formatCode>
                <c:ptCount val="12"/>
                <c:pt idx="0">
                  <c:v>33588</c:v>
                </c:pt>
                <c:pt idx="1">
                  <c:v>30271</c:v>
                </c:pt>
                <c:pt idx="2">
                  <c:v>15599</c:v>
                </c:pt>
                <c:pt idx="3">
                  <c:v>32875</c:v>
                </c:pt>
                <c:pt idx="4">
                  <c:v>31758</c:v>
                </c:pt>
                <c:pt idx="5">
                  <c:v>16516</c:v>
                </c:pt>
                <c:pt idx="6">
                  <c:v>18868</c:v>
                </c:pt>
                <c:pt idx="7">
                  <c:v>31388</c:v>
                </c:pt>
                <c:pt idx="8">
                  <c:v>17128</c:v>
                </c:pt>
                <c:pt idx="9">
                  <c:v>22000</c:v>
                </c:pt>
                <c:pt idx="10">
                  <c:v>25979</c:v>
                </c:pt>
                <c:pt idx="11">
                  <c:v>33734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20-42AC-ABCC-F47D1FEBA7A0}"/>
            </c:ext>
          </c:extLst>
        </c:ser>
        <c:ser>
          <c:idx val="1"/>
          <c:order val="1"/>
          <c:tx>
            <c:strRef>
              <c:f>'GRAFICOS DE VENTAS'!$C$22</c:f>
              <c:strCache>
                <c:ptCount val="1"/>
                <c:pt idx="0">
                  <c:v>METAS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'GRAFICOS DE VENTAS'!$A$23:$A$34</c:f>
              <c:numCache>
                <c:formatCode>[$-409]d\-mmm\-yyyy;@</c:formatCode>
                <c:ptCount val="12"/>
                <c:pt idx="0">
                  <c:v>45322</c:v>
                </c:pt>
                <c:pt idx="1">
                  <c:v>45351</c:v>
                </c:pt>
                <c:pt idx="2">
                  <c:v>45382</c:v>
                </c:pt>
                <c:pt idx="3">
                  <c:v>45412</c:v>
                </c:pt>
                <c:pt idx="4">
                  <c:v>45443</c:v>
                </c:pt>
                <c:pt idx="5">
                  <c:v>45473</c:v>
                </c:pt>
                <c:pt idx="6">
                  <c:v>45504</c:v>
                </c:pt>
                <c:pt idx="7">
                  <c:v>45535</c:v>
                </c:pt>
                <c:pt idx="8">
                  <c:v>45565</c:v>
                </c:pt>
                <c:pt idx="9">
                  <c:v>45596</c:v>
                </c:pt>
                <c:pt idx="10">
                  <c:v>45626</c:v>
                </c:pt>
                <c:pt idx="11">
                  <c:v>45657</c:v>
                </c:pt>
              </c:numCache>
            </c:numRef>
          </c:cat>
          <c:val>
            <c:numRef>
              <c:f>'GRAFICOS DE VENTAS'!$C$23:$C$34</c:f>
              <c:numCache>
                <c:formatCode>_("$"* #,##0.00_);_("$"* \(#,##0.00\);_("$"* "-"??_);_(@_)</c:formatCode>
                <c:ptCount val="12"/>
                <c:pt idx="0">
                  <c:v>30206.628924056324</c:v>
                </c:pt>
                <c:pt idx="1">
                  <c:v>28929.436351339624</c:v>
                </c:pt>
                <c:pt idx="2">
                  <c:v>13804.245572077907</c:v>
                </c:pt>
                <c:pt idx="3">
                  <c:v>30435.646618972729</c:v>
                </c:pt>
                <c:pt idx="4">
                  <c:v>27529.292691570405</c:v>
                </c:pt>
                <c:pt idx="5">
                  <c:v>14977.142198311816</c:v>
                </c:pt>
                <c:pt idx="6">
                  <c:v>17779.752925588564</c:v>
                </c:pt>
                <c:pt idx="7">
                  <c:v>28708.335823711379</c:v>
                </c:pt>
                <c:pt idx="8">
                  <c:v>16329.093743078263</c:v>
                </c:pt>
                <c:pt idx="9">
                  <c:v>19994.375750689254</c:v>
                </c:pt>
                <c:pt idx="10">
                  <c:v>24858.022453097557</c:v>
                </c:pt>
                <c:pt idx="11">
                  <c:v>30124.831535177087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20-42AC-ABCC-F47D1FEBA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5853424"/>
        <c:axId val="225870224"/>
      </c:lineChart>
      <c:dateAx>
        <c:axId val="225853424"/>
        <c:scaling>
          <c:orientation val="minMax"/>
        </c:scaling>
        <c:delete val="0"/>
        <c:axPos val="b"/>
        <c:numFmt formatCode="[$-409]d\-mmm\-yy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870224"/>
        <c:crosses val="autoZero"/>
        <c:auto val="1"/>
        <c:lblOffset val="100"/>
        <c:baseTimeUnit val="months"/>
      </c:dateAx>
      <c:valAx>
        <c:axId val="22587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85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'GRAFICOS DE VENTAS'!$B$22</c:f>
              <c:strCache>
                <c:ptCount val="1"/>
                <c:pt idx="0">
                  <c:v>VENTAS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'GRAFICOS DE VENTAS'!$A$23:$A$34</c:f>
              <c:numCache>
                <c:formatCode>[$-409]d\-mmm\-yyyy;@</c:formatCode>
                <c:ptCount val="12"/>
                <c:pt idx="0">
                  <c:v>45322</c:v>
                </c:pt>
                <c:pt idx="1">
                  <c:v>45351</c:v>
                </c:pt>
                <c:pt idx="2">
                  <c:v>45382</c:v>
                </c:pt>
                <c:pt idx="3">
                  <c:v>45412</c:v>
                </c:pt>
                <c:pt idx="4">
                  <c:v>45443</c:v>
                </c:pt>
                <c:pt idx="5">
                  <c:v>45473</c:v>
                </c:pt>
                <c:pt idx="6">
                  <c:v>45504</c:v>
                </c:pt>
                <c:pt idx="7">
                  <c:v>45535</c:v>
                </c:pt>
                <c:pt idx="8">
                  <c:v>45565</c:v>
                </c:pt>
                <c:pt idx="9">
                  <c:v>45596</c:v>
                </c:pt>
                <c:pt idx="10">
                  <c:v>45626</c:v>
                </c:pt>
                <c:pt idx="11">
                  <c:v>45657</c:v>
                </c:pt>
              </c:numCache>
            </c:numRef>
          </c:cat>
          <c:val>
            <c:numRef>
              <c:f>'GRAFICOS DE VENTAS'!$B$23:$B$34</c:f>
              <c:numCache>
                <c:formatCode>_("$"* #,##0.00_);_("$"* \(#,##0.00\);_("$"* "-"??_);_(@_)</c:formatCode>
                <c:ptCount val="12"/>
                <c:pt idx="0">
                  <c:v>33588</c:v>
                </c:pt>
                <c:pt idx="1">
                  <c:v>30271</c:v>
                </c:pt>
                <c:pt idx="2">
                  <c:v>15599</c:v>
                </c:pt>
                <c:pt idx="3">
                  <c:v>32875</c:v>
                </c:pt>
                <c:pt idx="4">
                  <c:v>31758</c:v>
                </c:pt>
                <c:pt idx="5">
                  <c:v>16516</c:v>
                </c:pt>
                <c:pt idx="6">
                  <c:v>18868</c:v>
                </c:pt>
                <c:pt idx="7">
                  <c:v>31388</c:v>
                </c:pt>
                <c:pt idx="8">
                  <c:v>17128</c:v>
                </c:pt>
                <c:pt idx="9">
                  <c:v>22000</c:v>
                </c:pt>
                <c:pt idx="10">
                  <c:v>25979</c:v>
                </c:pt>
                <c:pt idx="11">
                  <c:v>33734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08-4274-8DC0-9E31B93044DE}"/>
            </c:ext>
          </c:extLst>
        </c:ser>
        <c:ser>
          <c:idx val="1"/>
          <c:order val="1"/>
          <c:tx>
            <c:strRef>
              <c:f>'GRAFICOS DE VENTAS'!$C$22</c:f>
              <c:strCache>
                <c:ptCount val="1"/>
                <c:pt idx="0">
                  <c:v>METAS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'GRAFICOS DE VENTAS'!$A$23:$A$34</c:f>
              <c:numCache>
                <c:formatCode>[$-409]d\-mmm\-yyyy;@</c:formatCode>
                <c:ptCount val="12"/>
                <c:pt idx="0">
                  <c:v>45322</c:v>
                </c:pt>
                <c:pt idx="1">
                  <c:v>45351</c:v>
                </c:pt>
                <c:pt idx="2">
                  <c:v>45382</c:v>
                </c:pt>
                <c:pt idx="3">
                  <c:v>45412</c:v>
                </c:pt>
                <c:pt idx="4">
                  <c:v>45443</c:v>
                </c:pt>
                <c:pt idx="5">
                  <c:v>45473</c:v>
                </c:pt>
                <c:pt idx="6">
                  <c:v>45504</c:v>
                </c:pt>
                <c:pt idx="7">
                  <c:v>45535</c:v>
                </c:pt>
                <c:pt idx="8">
                  <c:v>45565</c:v>
                </c:pt>
                <c:pt idx="9">
                  <c:v>45596</c:v>
                </c:pt>
                <c:pt idx="10">
                  <c:v>45626</c:v>
                </c:pt>
                <c:pt idx="11">
                  <c:v>45657</c:v>
                </c:pt>
              </c:numCache>
            </c:numRef>
          </c:cat>
          <c:val>
            <c:numRef>
              <c:f>'GRAFICOS DE VENTAS'!$C$23:$C$34</c:f>
              <c:numCache>
                <c:formatCode>_("$"* #,##0.00_);_("$"* \(#,##0.00\);_("$"* "-"??_);_(@_)</c:formatCode>
                <c:ptCount val="12"/>
                <c:pt idx="0">
                  <c:v>30206.628924056324</c:v>
                </c:pt>
                <c:pt idx="1">
                  <c:v>28929.436351339624</c:v>
                </c:pt>
                <c:pt idx="2">
                  <c:v>13804.245572077907</c:v>
                </c:pt>
                <c:pt idx="3">
                  <c:v>30435.646618972729</c:v>
                </c:pt>
                <c:pt idx="4">
                  <c:v>27529.292691570405</c:v>
                </c:pt>
                <c:pt idx="5">
                  <c:v>14977.142198311816</c:v>
                </c:pt>
                <c:pt idx="6">
                  <c:v>17779.752925588564</c:v>
                </c:pt>
                <c:pt idx="7">
                  <c:v>28708.335823711379</c:v>
                </c:pt>
                <c:pt idx="8">
                  <c:v>16329.093743078263</c:v>
                </c:pt>
                <c:pt idx="9">
                  <c:v>19994.375750689254</c:v>
                </c:pt>
                <c:pt idx="10">
                  <c:v>24858.022453097557</c:v>
                </c:pt>
                <c:pt idx="11">
                  <c:v>30124.831535177087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08-4274-8DC0-9E31B93044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8111712"/>
        <c:axId val="308113632"/>
      </c:barChart>
      <c:lineChart>
        <c:grouping val="standard"/>
        <c:varyColors val="0"/>
        <c:ser>
          <c:idx val="2"/>
          <c:order val="2"/>
          <c:tx>
            <c:strRef>
              <c:f>'GRAFICOS DE VENTAS'!$D$22</c:f>
              <c:strCache>
                <c:ptCount val="1"/>
                <c:pt idx="0">
                  <c:v>% METAS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'GRAFICOS DE VENTAS'!$A$23:$A$34</c:f>
              <c:numCache>
                <c:formatCode>[$-409]d\-mmm\-yyyy;@</c:formatCode>
                <c:ptCount val="12"/>
                <c:pt idx="0">
                  <c:v>45322</c:v>
                </c:pt>
                <c:pt idx="1">
                  <c:v>45351</c:v>
                </c:pt>
                <c:pt idx="2">
                  <c:v>45382</c:v>
                </c:pt>
                <c:pt idx="3">
                  <c:v>45412</c:v>
                </c:pt>
                <c:pt idx="4">
                  <c:v>45443</c:v>
                </c:pt>
                <c:pt idx="5">
                  <c:v>45473</c:v>
                </c:pt>
                <c:pt idx="6">
                  <c:v>45504</c:v>
                </c:pt>
                <c:pt idx="7">
                  <c:v>45535</c:v>
                </c:pt>
                <c:pt idx="8">
                  <c:v>45565</c:v>
                </c:pt>
                <c:pt idx="9">
                  <c:v>45596</c:v>
                </c:pt>
                <c:pt idx="10">
                  <c:v>45626</c:v>
                </c:pt>
                <c:pt idx="11">
                  <c:v>45657</c:v>
                </c:pt>
              </c:numCache>
            </c:numRef>
          </c:cat>
          <c:val>
            <c:numRef>
              <c:f>'GRAFICOS DE VENTAS'!$D$23:$D$34</c:f>
              <c:numCache>
                <c:formatCode>0.00%</c:formatCode>
                <c:ptCount val="12"/>
                <c:pt idx="0">
                  <c:v>0.89932800178802919</c:v>
                </c:pt>
                <c:pt idx="1">
                  <c:v>0.95568155499784035</c:v>
                </c:pt>
                <c:pt idx="2">
                  <c:v>0.88494426386806246</c:v>
                </c:pt>
                <c:pt idx="3">
                  <c:v>0.92579913669879021</c:v>
                </c:pt>
                <c:pt idx="4">
                  <c:v>0.86684591887305262</c:v>
                </c:pt>
                <c:pt idx="5">
                  <c:v>0.90682624111841947</c:v>
                </c:pt>
                <c:pt idx="6">
                  <c:v>0.94232313576365079</c:v>
                </c:pt>
                <c:pt idx="7">
                  <c:v>0.91462775021381992</c:v>
                </c:pt>
                <c:pt idx="8">
                  <c:v>0.95335671082895046</c:v>
                </c:pt>
                <c:pt idx="9">
                  <c:v>0.90883526139496607</c:v>
                </c:pt>
                <c:pt idx="10">
                  <c:v>0.95685062754908035</c:v>
                </c:pt>
                <c:pt idx="11">
                  <c:v>0.89301095438362144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08-4274-8DC0-9E31B93044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8109312"/>
        <c:axId val="308119872"/>
      </c:lineChart>
      <c:dateAx>
        <c:axId val="308111712"/>
        <c:scaling>
          <c:orientation val="minMax"/>
        </c:scaling>
        <c:delete val="0"/>
        <c:axPos val="b"/>
        <c:numFmt formatCode="[$-409]d\-mmm\-yy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113632"/>
        <c:crosses val="autoZero"/>
        <c:auto val="1"/>
        <c:lblOffset val="100"/>
        <c:baseTimeUnit val="months"/>
      </c:dateAx>
      <c:valAx>
        <c:axId val="30811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111712"/>
        <c:crosses val="autoZero"/>
        <c:crossBetween val="between"/>
      </c:valAx>
      <c:valAx>
        <c:axId val="30811987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109312"/>
        <c:crosses val="max"/>
        <c:crossBetween val="between"/>
      </c:valAx>
      <c:dateAx>
        <c:axId val="308109312"/>
        <c:scaling>
          <c:orientation val="minMax"/>
        </c:scaling>
        <c:delete val="1"/>
        <c:axPos val="b"/>
        <c:numFmt formatCode="[$-409]d\-mmm\-yyyy;@" sourceLinked="1"/>
        <c:majorTickMark val="out"/>
        <c:minorTickMark val="none"/>
        <c:tickLblPos val="nextTo"/>
        <c:crossAx val="308119872"/>
        <c:crosses val="autoZero"/>
        <c:auto val="1"/>
        <c:lblOffset val="100"/>
        <c:baseTimeUnit val="month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107676</xdr:rowOff>
    </xdr:from>
    <xdr:to>
      <xdr:col>5</xdr:col>
      <xdr:colOff>563217</xdr:colOff>
      <xdr:row>51</xdr:row>
      <xdr:rowOff>33131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73444486-02DB-3321-3CB8-B51E37186492}"/>
            </a:ext>
          </a:extLst>
        </xdr:cNvPr>
        <xdr:cNvSpPr/>
      </xdr:nvSpPr>
      <xdr:spPr>
        <a:xfrm>
          <a:off x="0" y="6419024"/>
          <a:ext cx="7098195" cy="373545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200" b="1" u="sng">
              <a:solidFill>
                <a:srgbClr val="FF0000"/>
              </a:solidFill>
            </a:rPr>
            <a:t>Impuestos:</a:t>
          </a:r>
        </a:p>
        <a:p>
          <a:r>
            <a:rPr lang="en-US" sz="1200" b="1"/>
            <a:t>Fórmula</a:t>
          </a:r>
          <a:r>
            <a:rPr lang="en-US" sz="1200"/>
            <a:t>: </a:t>
          </a:r>
          <a:r>
            <a:rPr lang="en-US" sz="1200" b="1">
              <a:solidFill>
                <a:srgbClr val="002060"/>
              </a:solidFill>
            </a:rPr>
            <a:t>=IF(E4&gt;=90000, E4*4%, 0%)</a:t>
          </a:r>
        </a:p>
        <a:p>
          <a:r>
            <a:rPr lang="en-US" sz="1200" b="1"/>
            <a:t>Descripción</a:t>
          </a:r>
          <a:r>
            <a:rPr lang="en-US" sz="1200"/>
            <a:t>: Calcula el 4% sobre los valores mayores o iguales a 90,000; para todos los demás, aplica un 0%.</a:t>
          </a:r>
        </a:p>
        <a:p>
          <a:r>
            <a:rPr lang="en-US" sz="1200" b="1" u="sng">
              <a:solidFill>
                <a:srgbClr val="FF0000"/>
              </a:solidFill>
            </a:rPr>
            <a:t>Seguro</a:t>
          </a:r>
          <a:r>
            <a:rPr lang="en-US" sz="1200" u="sng">
              <a:solidFill>
                <a:srgbClr val="FF0000"/>
              </a:solidFill>
            </a:rPr>
            <a:t>:</a:t>
          </a:r>
        </a:p>
        <a:p>
          <a:r>
            <a:rPr lang="en-US" sz="1200" b="1"/>
            <a:t>Fórmula</a:t>
          </a:r>
          <a:r>
            <a:rPr lang="en-US" sz="1200"/>
            <a:t>: </a:t>
          </a:r>
          <a:r>
            <a:rPr lang="en-US" sz="1200" b="1">
              <a:solidFill>
                <a:srgbClr val="002060"/>
              </a:solidFill>
            </a:rPr>
            <a:t>=E4*2%</a:t>
          </a:r>
        </a:p>
        <a:p>
          <a:r>
            <a:rPr lang="en-US" sz="1200" b="1"/>
            <a:t>Descripción</a:t>
          </a:r>
          <a:r>
            <a:rPr lang="en-US" sz="1200"/>
            <a:t>: Calcula el 2% sobre el sueldo bruto.</a:t>
          </a:r>
        </a:p>
        <a:p>
          <a:r>
            <a:rPr lang="en-US" sz="1200" b="1" u="sng">
              <a:solidFill>
                <a:srgbClr val="FF0000"/>
              </a:solidFill>
            </a:rPr>
            <a:t>Préstamos</a:t>
          </a:r>
          <a:r>
            <a:rPr lang="en-US" sz="1200" u="sng">
              <a:solidFill>
                <a:srgbClr val="FF0000"/>
              </a:solidFill>
            </a:rPr>
            <a:t>:</a:t>
          </a:r>
        </a:p>
        <a:p>
          <a:r>
            <a:rPr lang="en-US" sz="1200" b="1"/>
            <a:t>Fórmula</a:t>
          </a:r>
          <a:r>
            <a:rPr lang="en-US" sz="1200"/>
            <a:t>: =</a:t>
          </a:r>
          <a:r>
            <a:rPr lang="en-US" sz="1200" b="1">
              <a:solidFill>
                <a:srgbClr val="002060"/>
              </a:solidFill>
            </a:rPr>
            <a:t>RANDBETWEEN(2000, 10000)</a:t>
          </a:r>
        </a:p>
        <a:p>
          <a:r>
            <a:rPr lang="en-US" sz="1200" b="1"/>
            <a:t>Descripción</a:t>
          </a:r>
          <a:r>
            <a:rPr lang="en-US" sz="1200"/>
            <a:t>: Genera un valor aleatorio entre 2,000 y 10,000.</a:t>
          </a:r>
        </a:p>
        <a:p>
          <a:r>
            <a:rPr lang="en-US" sz="1200" b="1" u="sng">
              <a:solidFill>
                <a:srgbClr val="FF0000"/>
              </a:solidFill>
            </a:rPr>
            <a:t>Ahorros</a:t>
          </a:r>
          <a:r>
            <a:rPr lang="en-US" sz="1200" u="sng">
              <a:solidFill>
                <a:srgbClr val="FF0000"/>
              </a:solidFill>
            </a:rPr>
            <a:t>:</a:t>
          </a:r>
        </a:p>
        <a:p>
          <a:r>
            <a:rPr lang="en-US" sz="1200" b="1"/>
            <a:t>Fórmula</a:t>
          </a:r>
          <a:r>
            <a:rPr lang="en-US" sz="1200"/>
            <a:t>: </a:t>
          </a:r>
          <a:r>
            <a:rPr lang="en-US" sz="1200" b="1">
              <a:solidFill>
                <a:srgbClr val="002060"/>
              </a:solidFill>
            </a:rPr>
            <a:t>=IF(E4&gt;=100000, E4*10%, E4*5%)</a:t>
          </a:r>
        </a:p>
        <a:p>
          <a:r>
            <a:rPr lang="en-US" sz="1200" b="1"/>
            <a:t>Descripción</a:t>
          </a:r>
          <a:r>
            <a:rPr lang="en-US" sz="1200"/>
            <a:t>: Calcula un 10% para sueldos iguales o mayores a 100,000; para todos los demás, un 5%.</a:t>
          </a:r>
        </a:p>
        <a:p>
          <a:r>
            <a:rPr lang="en-US" sz="1200" b="1" u="sng">
              <a:solidFill>
                <a:srgbClr val="FF0000"/>
              </a:solidFill>
            </a:rPr>
            <a:t>Deducciones</a:t>
          </a:r>
          <a:r>
            <a:rPr lang="en-US" sz="1200" u="sng">
              <a:solidFill>
                <a:srgbClr val="FF0000"/>
              </a:solidFill>
            </a:rPr>
            <a:t>: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Fórmula</a:t>
          </a:r>
          <a:r>
            <a:rPr lang="en-US" sz="1100" b="1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:J4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(F4+G4+H4+I4)) O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 Suma =Suma(F3:I4)</a:t>
          </a: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 b="1"/>
            <a:t>Descripción</a:t>
          </a:r>
          <a:r>
            <a:rPr lang="en-US" sz="1200"/>
            <a:t>: Suma todas las deducciones </a:t>
          </a:r>
          <a:r>
            <a:rPr lang="en-US" sz="1200" b="1">
              <a:solidFill>
                <a:srgbClr val="002060"/>
              </a:solidFill>
            </a:rPr>
            <a:t>(Impuestos + Seguro + Préstamos + Ahorros).</a:t>
          </a:r>
        </a:p>
        <a:p>
          <a:r>
            <a:rPr lang="en-US" sz="1200" b="1" u="sng">
              <a:solidFill>
                <a:srgbClr val="FF0000"/>
              </a:solidFill>
            </a:rPr>
            <a:t>Total del Sueldo</a:t>
          </a:r>
          <a:r>
            <a:rPr lang="en-US" sz="1200" u="sng">
              <a:solidFill>
                <a:srgbClr val="FF0000"/>
              </a:solidFill>
            </a:rPr>
            <a:t>:</a:t>
          </a:r>
        </a:p>
        <a:p>
          <a:r>
            <a:rPr lang="en-US" sz="1200" b="1"/>
            <a:t>Descripción</a:t>
          </a:r>
          <a:r>
            <a:rPr lang="en-US" sz="1200"/>
            <a:t>: Resta al salario bruto el total de deducciones. </a:t>
          </a:r>
          <a:r>
            <a:rPr lang="en-US" sz="1200" b="1"/>
            <a:t>=E4-J4</a:t>
          </a:r>
        </a:p>
        <a:p>
          <a:r>
            <a:rPr lang="en-US" sz="1200" b="1" u="sng">
              <a:solidFill>
                <a:srgbClr val="FF0000"/>
              </a:solidFill>
            </a:rPr>
            <a:t>Totales de</a:t>
          </a:r>
          <a:r>
            <a:rPr lang="en-US" sz="1200" b="1" u="sng" baseline="0">
              <a:solidFill>
                <a:srgbClr val="FF0000"/>
              </a:solidFill>
            </a:rPr>
            <a:t> la parte baja</a:t>
          </a:r>
          <a:r>
            <a:rPr lang="en-US" sz="1200" u="sng">
              <a:solidFill>
                <a:srgbClr val="FF0000"/>
              </a:solidFill>
            </a:rPr>
            <a:t>:</a:t>
          </a:r>
        </a:p>
        <a:p>
          <a:r>
            <a:rPr lang="en-US" sz="1200" b="1"/>
            <a:t>Descripción</a:t>
          </a:r>
          <a:r>
            <a:rPr lang="en-US" sz="1200"/>
            <a:t>: Usa la función AUTOSUMA para sumar todas las columnas relevantes.</a:t>
          </a:r>
        </a:p>
        <a:p>
          <a:pPr algn="l"/>
          <a:endParaRPr lang="en-US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371475</xdr:colOff>
      <xdr:row>29</xdr:row>
      <xdr:rowOff>9524</xdr:rowOff>
    </xdr:from>
    <xdr:to>
      <xdr:col>24</xdr:col>
      <xdr:colOff>219075</xdr:colOff>
      <xdr:row>48</xdr:row>
      <xdr:rowOff>171450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A4B0D874-AABE-08FA-BF25-7F298273E539}"/>
            </a:ext>
          </a:extLst>
        </xdr:cNvPr>
        <xdr:cNvSpPr/>
      </xdr:nvSpPr>
      <xdr:spPr>
        <a:xfrm>
          <a:off x="16144875" y="5838824"/>
          <a:ext cx="7686675" cy="39052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endParaRPr lang="en-US" sz="1200" b="1">
            <a:solidFill>
              <a:srgbClr val="0070C0"/>
            </a:solidFill>
          </a:endParaRPr>
        </a:p>
        <a:p>
          <a:r>
            <a:rPr lang="en-US" sz="1200" b="1">
              <a:solidFill>
                <a:srgbClr val="FF0000"/>
              </a:solidFill>
            </a:rPr>
            <a:t>BUSCARV</a:t>
          </a:r>
          <a:r>
            <a:rPr lang="en-US" sz="1200" b="1">
              <a:solidFill>
                <a:srgbClr val="0070C0"/>
              </a:solidFill>
            </a:rPr>
            <a:t> es una función de Excel que busca un valor en la primera columna de una tabla y devuelve un valor en la misma fila desde una columna especificada. Se usa para buscar datos relacionados en una tabla verticalmente.</a:t>
          </a:r>
        </a:p>
        <a:p>
          <a:endParaRPr lang="en-US" sz="1200" b="1"/>
        </a:p>
        <a:p>
          <a:r>
            <a:rPr lang="en-US" sz="1200" b="1"/>
            <a:t>Verificar las celdas</a:t>
          </a:r>
          <a:r>
            <a:rPr lang="en-US" sz="1200"/>
            <a:t>:</a:t>
          </a:r>
        </a:p>
        <a:p>
          <a:r>
            <a:rPr lang="en-US" sz="1200"/>
            <a:t>Asegúrate de que las celdas C4 a C40 en la hoja "FACTURACION" contengan los códigos correctos.</a:t>
          </a:r>
        </a:p>
        <a:p>
          <a:r>
            <a:rPr lang="en-US" sz="1200" b="1"/>
            <a:t>Aplicar la fórmula en C4</a:t>
          </a:r>
          <a:r>
            <a:rPr lang="en-US" sz="1200"/>
            <a:t>:</a:t>
          </a:r>
        </a:p>
        <a:p>
          <a:r>
            <a:rPr lang="en-US" sz="1200"/>
            <a:t>En la celda D4 de la hoja "FACTURACION", ingresa la fórmula:excel-Para</a:t>
          </a:r>
          <a:r>
            <a:rPr lang="en-US" sz="1200" baseline="0"/>
            <a:t> buscar con BuscarV el </a:t>
          </a:r>
          <a:r>
            <a:rPr lang="en-US" sz="1200" b="1" baseline="0">
              <a:solidFill>
                <a:srgbClr val="FF0000"/>
              </a:solidFill>
            </a:rPr>
            <a:t>Nombre del Articuo</a:t>
          </a:r>
          <a:r>
            <a:rPr lang="en-US" sz="1200" baseline="0"/>
            <a:t>.</a:t>
          </a:r>
          <a:endParaRPr lang="en-US" sz="1200"/>
        </a:p>
        <a:p>
          <a:pPr rtl="0"/>
          <a:r>
            <a:rPr lang="en-US" sz="1200" b="1">
              <a:solidFill>
                <a:srgbClr val="00B050"/>
              </a:solidFill>
            </a:rPr>
            <a:t>=BUSCARV(C4,ALMACEN!A3:F40,3,FALSO) </a:t>
          </a:r>
          <a:r>
            <a:rPr lang="en-US" sz="1200" b="1"/>
            <a:t>-</a:t>
          </a:r>
        </a:p>
        <a:p>
          <a:pPr rtl="0"/>
          <a:endParaRPr lang="en-US" sz="1200" b="1"/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la celda E4 de la hoja "FACTURACION", ingresa la fórmula:excel-Para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buscar con BuscarV el </a:t>
          </a:r>
          <a:r>
            <a:rPr 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Precio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 Articulo.</a:t>
          </a:r>
          <a:endParaRPr lang="en-US" sz="1200">
            <a:effectLst/>
          </a:endParaRPr>
        </a:p>
        <a:p>
          <a:pPr rtl="0"/>
          <a:r>
            <a:rPr lang="en-US" sz="1200" b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=BUSCARV(C4,ALMACEN!A3:F40,4,FALSO) -</a:t>
          </a:r>
          <a:endParaRPr lang="en-US" sz="1400" b="1">
            <a:solidFill>
              <a:srgbClr val="00B050"/>
            </a:solidFill>
            <a:effectLst/>
          </a:endParaRPr>
        </a:p>
        <a:p>
          <a:pPr rtl="0"/>
          <a:endParaRPr lang="en-US" sz="1200" b="1"/>
        </a:p>
        <a:p>
          <a:pPr rtl="0"/>
          <a:r>
            <a:rPr lang="en-US" sz="1200" b="1"/>
            <a:t>Copiar la fórmula hacia abajo</a:t>
          </a:r>
          <a:r>
            <a:rPr lang="en-US" sz="1200"/>
            <a:t>:</a:t>
          </a:r>
        </a:p>
        <a:p>
          <a:r>
            <a:rPr lang="en-US" sz="1200"/>
            <a:t>Arrastra el controlador de relleno desde la celda D4 hasta D40 para copiar la fórmula a las demás celdas de la columna D.</a:t>
          </a:r>
        </a:p>
        <a:p>
          <a:r>
            <a:rPr lang="en-US" sz="1200" b="1"/>
            <a:t>Verificar los resultados</a:t>
          </a:r>
          <a:r>
            <a:rPr lang="en-US" sz="1200"/>
            <a:t>:</a:t>
          </a:r>
        </a:p>
        <a:p>
          <a:r>
            <a:rPr lang="en-US" sz="1200"/>
            <a:t>Revisa que las celdas en la columna D ahora muestren las descripciones correctas según los códigos en la columna C</a:t>
          </a:r>
        </a:p>
        <a:p>
          <a:r>
            <a:rPr lang="en-US" sz="1200" b="1"/>
            <a:t>Corregir errores</a:t>
          </a:r>
          <a:r>
            <a:rPr lang="en-US" sz="1200"/>
            <a:t>:</a:t>
          </a:r>
        </a:p>
        <a:p>
          <a:r>
            <a:rPr lang="en-US" sz="1200"/>
            <a:t>Asegúrate de que los códigos en C4 a C40 coincidan exactamente con los códigos en la tabla de la hoja "ALMACEN" para evitar errores de búsqueda.</a:t>
          </a:r>
        </a:p>
        <a:p>
          <a:pPr algn="l"/>
          <a:endParaRPr lang="en-US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86551</xdr:colOff>
      <xdr:row>16</xdr:row>
      <xdr:rowOff>133764</xdr:rowOff>
    </xdr:from>
    <xdr:to>
      <xdr:col>10</xdr:col>
      <xdr:colOff>437030</xdr:colOff>
      <xdr:row>32</xdr:row>
      <xdr:rowOff>142875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6A52DC35-4844-79B2-9491-56154CAC2028}"/>
            </a:ext>
          </a:extLst>
        </xdr:cNvPr>
        <xdr:cNvSpPr/>
      </xdr:nvSpPr>
      <xdr:spPr>
        <a:xfrm>
          <a:off x="86551" y="4504058"/>
          <a:ext cx="9561714" cy="305711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600" b="1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Detalles de Calificaciones:</a:t>
          </a:r>
          <a:endParaRPr lang="en-US" sz="1600" b="1" u="sng">
            <a:solidFill>
              <a:schemeClr val="tx1"/>
            </a:solidFill>
            <a:effectLst/>
          </a:endParaRPr>
        </a:p>
        <a:p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Nota más alta  Promedio: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Utiliza la función =</a:t>
          </a:r>
          <a:r>
            <a:rPr lang="en-US" sz="1400" b="1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MAX(I3:I16) 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 una celda para obtener la nota más alta del curso.</a:t>
          </a:r>
          <a:endParaRPr lang="en-US" sz="1400">
            <a:solidFill>
              <a:schemeClr val="tx1"/>
            </a:solidFill>
            <a:effectLst/>
          </a:endParaRPr>
        </a:p>
        <a:p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Nota más baja  Promedio: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Utiliza la función =</a:t>
          </a:r>
          <a:r>
            <a:rPr lang="en-US" sz="1400" b="1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MIN(I3:I16) 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para la nota más baja.</a:t>
          </a:r>
          <a:endParaRPr lang="en-US" sz="1400">
            <a:solidFill>
              <a:schemeClr val="tx1"/>
            </a:solidFill>
            <a:effectLst/>
          </a:endParaRPr>
        </a:p>
        <a:p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Nota más repetida: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Usa =</a:t>
          </a:r>
          <a:r>
            <a:rPr lang="en-US" sz="1400" b="1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MODA(I3:I16) 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para la nota más repetida.</a:t>
          </a:r>
          <a:endParaRPr lang="en-US" sz="1400">
            <a:solidFill>
              <a:schemeClr val="tx1"/>
            </a:solidFill>
            <a:effectLst/>
          </a:endParaRPr>
        </a:p>
        <a:p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Promedio del curso: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Utiliza =</a:t>
          </a:r>
          <a:r>
            <a:rPr lang="en-US" sz="1400" b="1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PROMEDIO(I3:I16) 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para obtener el promedio de todas las notas.</a:t>
          </a:r>
          <a:endParaRPr lang="en-US" sz="1400">
            <a:solidFill>
              <a:schemeClr val="tx1"/>
            </a:solidFill>
            <a:effectLst/>
          </a:endParaRPr>
        </a:p>
        <a:p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Total de Alumnos: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Utiliza </a:t>
          </a:r>
          <a:r>
            <a:rPr lang="en-US" sz="1400" b="1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=CONTARA(B3:B16)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para contar el total de alumnos.</a:t>
          </a:r>
          <a:endParaRPr lang="en-US" sz="1400">
            <a:solidFill>
              <a:schemeClr val="tx1"/>
            </a:solidFill>
            <a:effectLst/>
          </a:endParaRPr>
        </a:p>
        <a:p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Número de Aprobados: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Utiliza </a:t>
          </a:r>
          <a:r>
            <a:rPr lang="en-US" sz="1400" b="1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=CONTAR.SI(J3:J16,"APROBADO")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para contar los aprobados.</a:t>
          </a:r>
          <a:endParaRPr lang="en-US" sz="1400">
            <a:solidFill>
              <a:schemeClr val="tx1"/>
            </a:solidFill>
            <a:effectLst/>
          </a:endParaRPr>
        </a:p>
        <a:p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Número de Reprobados: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Usa </a:t>
          </a:r>
          <a:r>
            <a:rPr lang="en-US" sz="1400" b="1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=CONTAR.SI(J3:J16,"REPROBADO")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para contar los reprobados.</a:t>
          </a:r>
          <a:endParaRPr lang="en-US" sz="1400">
            <a:solidFill>
              <a:schemeClr val="tx1"/>
            </a:solidFill>
            <a:effectLst/>
          </a:endParaRPr>
        </a:p>
        <a:p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Promedio de Aprobados: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Utiliza </a:t>
          </a:r>
          <a:r>
            <a:rPr lang="en-US" sz="1400" b="1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=PROMEDIO.SI(J3:J16,"APROBADO",I3:I16) 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para el promedio de los aprobados.</a:t>
          </a:r>
          <a:endParaRPr lang="en-US" sz="1400">
            <a:solidFill>
              <a:schemeClr val="tx1"/>
            </a:solidFill>
            <a:effectLst/>
          </a:endParaRPr>
        </a:p>
        <a:p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Promedio de Reprobados: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Usa </a:t>
          </a:r>
          <a:r>
            <a:rPr lang="en-US" sz="1400" b="1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=PROMEDIO.SI(J4:J17,"REPROBADO",I3:I16) 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para el promedio de los reprobados.</a:t>
          </a:r>
          <a:endParaRPr lang="en-US" sz="1400">
            <a:solidFill>
              <a:schemeClr val="tx1"/>
            </a:solidFill>
            <a:effectLst/>
          </a:endParaRPr>
        </a:p>
        <a:p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Ingresos Matrículas Aprobados: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Utiliza </a:t>
          </a:r>
          <a:r>
            <a:rPr lang="en-US" sz="1400" b="1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=SUMAR.SI(J3:J16,"APROBADO",C3:C16) 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para sumar las matrículas de los aprobados.</a:t>
          </a:r>
          <a:endParaRPr lang="en-US" sz="1400">
            <a:solidFill>
              <a:schemeClr val="tx1"/>
            </a:solidFill>
            <a:effectLst/>
          </a:endParaRPr>
        </a:p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Ingresos </a:t>
          </a:r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Matrículas Reprobados: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Utiliza </a:t>
          </a:r>
          <a:r>
            <a:rPr lang="en-US" sz="1400" b="1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=SUMAR.SI(J3:J16,"REPROBADO",C3:C16) 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para sumar las matrículas de los reprobados.</a:t>
          </a:r>
        </a:p>
        <a:p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TOTAL INGRESOS DE ALUNNOS: </a:t>
          </a:r>
          <a:r>
            <a:rPr lang="en-US" sz="1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USAR</a:t>
          </a:r>
          <a:r>
            <a:rPr lang="en-US" sz="14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=SUMA(C3:C16)</a:t>
          </a:r>
          <a:endParaRPr lang="en-US" sz="1400" b="1">
            <a:solidFill>
              <a:schemeClr val="tx1"/>
            </a:solidFill>
            <a:effectLst/>
          </a:endParaRP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510988</xdr:colOff>
      <xdr:row>17</xdr:row>
      <xdr:rowOff>7454</xdr:rowOff>
    </xdr:from>
    <xdr:to>
      <xdr:col>20</xdr:col>
      <xdr:colOff>571499</xdr:colOff>
      <xdr:row>25</xdr:row>
      <xdr:rowOff>104775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19B3855C-FC08-04EE-012F-27C6F35CDEE1}"/>
            </a:ext>
          </a:extLst>
        </xdr:cNvPr>
        <xdr:cNvSpPr/>
      </xdr:nvSpPr>
      <xdr:spPr>
        <a:xfrm>
          <a:off x="9722223" y="4568248"/>
          <a:ext cx="10493188" cy="16213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B050"/>
              </a:solidFill>
            </a:rPr>
            <a:t>PARA CALCULAR EL ESTADO</a:t>
          </a:r>
          <a:r>
            <a:rPr lang="en-US" sz="1200" b="1" baseline="0">
              <a:solidFill>
                <a:srgbClr val="00B050"/>
              </a:solidFill>
            </a:rPr>
            <a:t> Y EL FORMATO CONDICIONAL:</a:t>
          </a:r>
        </a:p>
        <a:p>
          <a:pPr algn="l"/>
          <a:endParaRPr lang="en-US" sz="1200" baseline="0">
            <a:solidFill>
              <a:sysClr val="windowText" lastClr="000000"/>
            </a:solidFill>
          </a:endParaRPr>
        </a:p>
        <a:p>
          <a:pPr algn="l"/>
          <a:r>
            <a:rPr lang="en-US" sz="1200" b="1" baseline="0">
              <a:solidFill>
                <a:sysClr val="windowText" lastClr="000000"/>
              </a:solidFill>
            </a:rPr>
            <a:t>USAMOS LA FUNCION SI DE ESTA FORMA:</a:t>
          </a:r>
        </a:p>
        <a:p>
          <a:pPr algn="l"/>
          <a:endParaRPr lang="en-US" sz="1200" baseline="0">
            <a:solidFill>
              <a:sysClr val="windowText" lastClr="000000"/>
            </a:solidFill>
          </a:endParaRPr>
        </a:p>
        <a:p>
          <a:pPr algn="l"/>
          <a:r>
            <a:rPr lang="en-US" sz="1200" b="1" baseline="0">
              <a:solidFill>
                <a:srgbClr val="0070C0"/>
              </a:solidFill>
            </a:rPr>
            <a:t>=SI(G3&gt;=6,"APROBADO","REPROBADO")</a:t>
          </a:r>
        </a:p>
        <a:p>
          <a:pPr algn="l"/>
          <a:endParaRPr lang="en-US" sz="1200" baseline="0">
            <a:solidFill>
              <a:sysClr val="windowText" lastClr="000000"/>
            </a:solidFill>
          </a:endParaRPr>
        </a:p>
        <a:p>
          <a:pPr algn="l"/>
          <a:r>
            <a:rPr lang="en-US" sz="1200" b="0">
              <a:solidFill>
                <a:srgbClr val="002060"/>
              </a:solidFill>
            </a:rPr>
            <a:t>Es una fórmula de Excel que evalúa si el valor en la celda G3 es mayor o igual a </a:t>
          </a:r>
          <a:r>
            <a:rPr lang="en-US" sz="1600" b="1">
              <a:solidFill>
                <a:srgbClr val="00B050"/>
              </a:solidFill>
            </a:rPr>
            <a:t>6</a:t>
          </a:r>
          <a:r>
            <a:rPr lang="en-US" sz="1200" b="0">
              <a:solidFill>
                <a:srgbClr val="002060"/>
              </a:solidFill>
            </a:rPr>
            <a:t>. Si es así, devuelve "</a:t>
          </a:r>
          <a:r>
            <a:rPr lang="en-US" sz="1200" b="1">
              <a:solidFill>
                <a:srgbClr val="00B050"/>
              </a:solidFill>
            </a:rPr>
            <a:t>APROBADO</a:t>
          </a:r>
          <a:r>
            <a:rPr lang="en-US" sz="1200" b="0">
              <a:solidFill>
                <a:srgbClr val="002060"/>
              </a:solidFill>
            </a:rPr>
            <a:t>"; de lo contrario, devuelve "</a:t>
          </a:r>
          <a:r>
            <a:rPr lang="en-US" sz="1200" b="1">
              <a:solidFill>
                <a:srgbClr val="FF0000"/>
              </a:solidFill>
            </a:rPr>
            <a:t>REPROBADO</a:t>
          </a:r>
          <a:r>
            <a:rPr lang="en-US" sz="1200" b="0">
              <a:solidFill>
                <a:srgbClr val="002060"/>
              </a:solidFill>
            </a:rPr>
            <a:t>".</a:t>
          </a:r>
        </a:p>
        <a:p>
          <a:pPr algn="l"/>
          <a:endParaRPr lang="en-US" sz="1200" b="1" baseline="0">
            <a:solidFill>
              <a:srgbClr val="002060"/>
            </a:solidFill>
          </a:endParaRPr>
        </a:p>
      </xdr:txBody>
    </xdr:sp>
    <xdr:clientData/>
  </xdr:twoCellAnchor>
  <xdr:twoCellAnchor>
    <xdr:from>
      <xdr:col>10</xdr:col>
      <xdr:colOff>494741</xdr:colOff>
      <xdr:row>26</xdr:row>
      <xdr:rowOff>110938</xdr:rowOff>
    </xdr:from>
    <xdr:to>
      <xdr:col>19</xdr:col>
      <xdr:colOff>1000686</xdr:colOff>
      <xdr:row>39</xdr:row>
      <xdr:rowOff>44263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C9CB8B2D-83A8-43DB-96A8-5253845EF492}"/>
            </a:ext>
          </a:extLst>
        </xdr:cNvPr>
        <xdr:cNvSpPr/>
      </xdr:nvSpPr>
      <xdr:spPr>
        <a:xfrm>
          <a:off x="9705976" y="6386232"/>
          <a:ext cx="9907681" cy="2409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800" b="1"/>
            <a:t>Para aplicar formato condicional en Excel de manera resumida:</a:t>
          </a:r>
        </a:p>
        <a:p>
          <a:r>
            <a:rPr lang="en-US" sz="1400" b="1"/>
            <a:t>1-Selecciona las celdas</a:t>
          </a:r>
          <a:r>
            <a:rPr lang="en-US" sz="1400"/>
            <a:t> a las que deseas aplicar el formato.</a:t>
          </a:r>
        </a:p>
        <a:p>
          <a:r>
            <a:rPr lang="en-US" sz="1400"/>
            <a:t>2-Ve a la pestaña </a:t>
          </a:r>
          <a:r>
            <a:rPr lang="en-US" sz="1400" b="1"/>
            <a:t>"Inicio"</a:t>
          </a:r>
          <a:r>
            <a:rPr lang="en-US" sz="1400"/>
            <a:t>.</a:t>
          </a:r>
        </a:p>
        <a:p>
          <a:r>
            <a:rPr lang="en-US" sz="1400"/>
            <a:t>3-Haz clic en </a:t>
          </a:r>
          <a:r>
            <a:rPr lang="en-US" sz="1400" b="1"/>
            <a:t>"Formato condicional"</a:t>
          </a:r>
          <a:r>
            <a:rPr lang="en-US" sz="1400"/>
            <a:t>.</a:t>
          </a:r>
        </a:p>
        <a:p>
          <a:r>
            <a:rPr lang="en-US" sz="1400"/>
            <a:t>4-Elige </a:t>
          </a:r>
          <a:r>
            <a:rPr lang="en-US" sz="1400" b="1"/>
            <a:t>"Nueva regla"</a:t>
          </a:r>
          <a:r>
            <a:rPr lang="en-US" sz="1400"/>
            <a:t>.</a:t>
          </a:r>
        </a:p>
        <a:p>
          <a:r>
            <a:rPr lang="en-US" sz="1400"/>
            <a:t>5-Selecciona </a:t>
          </a:r>
          <a:r>
            <a:rPr lang="en-US" sz="1400" b="1"/>
            <a:t>"Formato de celdas que contengan"</a:t>
          </a:r>
          <a:r>
            <a:rPr lang="en-US" sz="1400"/>
            <a:t> o </a:t>
          </a:r>
          <a:r>
            <a:rPr lang="en-US" sz="1400" b="1"/>
            <a:t>"Usar una fórmula para determinar qué celdas formatear"</a:t>
          </a:r>
          <a:r>
            <a:rPr lang="en-US" sz="1400"/>
            <a:t>.</a:t>
          </a:r>
        </a:p>
        <a:p>
          <a:r>
            <a:rPr lang="en-US" sz="1400"/>
            <a:t>6-Define la condición (por ejemplo, </a:t>
          </a:r>
          <a:r>
            <a:rPr lang="en-US" sz="1400" b="1">
              <a:solidFill>
                <a:srgbClr val="002060"/>
              </a:solidFill>
            </a:rPr>
            <a:t>=G3&gt;=6).</a:t>
          </a:r>
        </a:p>
        <a:p>
          <a:r>
            <a:rPr lang="en-US" sz="1400"/>
            <a:t>8-Establece el formato deseado (</a:t>
          </a:r>
          <a:r>
            <a:rPr lang="en-US" sz="1400" b="1"/>
            <a:t>color</a:t>
          </a:r>
          <a:r>
            <a:rPr lang="en-US" sz="1400"/>
            <a:t>, fuente, fondo,etc.).</a:t>
          </a:r>
        </a:p>
        <a:p>
          <a:r>
            <a:rPr lang="en-US" sz="1400"/>
            <a:t>9-Haz clic en </a:t>
          </a:r>
          <a:r>
            <a:rPr lang="en-US" sz="1400" b="1"/>
            <a:t>"Aceptar"</a:t>
          </a:r>
          <a:r>
            <a:rPr lang="en-US" sz="1400"/>
            <a:t>.</a:t>
          </a:r>
        </a:p>
        <a:p>
          <a:pPr algn="l"/>
          <a:endParaRPr lang="en-US" sz="1400" b="1" baseline="0">
            <a:solidFill>
              <a:srgbClr val="002060"/>
            </a:solidFill>
          </a:endParaRPr>
        </a:p>
      </xdr:txBody>
    </xdr:sp>
    <xdr:clientData/>
  </xdr:twoCellAnchor>
  <xdr:twoCellAnchor>
    <xdr:from>
      <xdr:col>15</xdr:col>
      <xdr:colOff>156882</xdr:colOff>
      <xdr:row>4</xdr:row>
      <xdr:rowOff>224119</xdr:rowOff>
    </xdr:from>
    <xdr:to>
      <xdr:col>21</xdr:col>
      <xdr:colOff>324969</xdr:colOff>
      <xdr:row>15</xdr:row>
      <xdr:rowOff>44824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132D901C-0E78-2B7A-F309-152777E58B03}"/>
            </a:ext>
          </a:extLst>
        </xdr:cNvPr>
        <xdr:cNvSpPr/>
      </xdr:nvSpPr>
      <xdr:spPr>
        <a:xfrm>
          <a:off x="15027088" y="1232648"/>
          <a:ext cx="5703793" cy="290232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600" b="1"/>
            <a:t>Detalles de Calificaciones:</a:t>
          </a:r>
        </a:p>
        <a:p>
          <a:r>
            <a:rPr lang="en-US" sz="1600" b="1"/>
            <a:t>Nombre del Alumno:</a:t>
          </a:r>
          <a:br>
            <a:rPr lang="en-US" sz="1600"/>
          </a:br>
          <a:r>
            <a:rPr lang="en-US" sz="1600"/>
            <a:t>Utiliza la fórmula </a:t>
          </a:r>
          <a:r>
            <a:rPr lang="en-US" sz="1600" b="1">
              <a:solidFill>
                <a:srgbClr val="002060"/>
              </a:solidFill>
            </a:rPr>
            <a:t>=INDICE(B3:B16, COINCIDIR(Q4, A3:A16, 0)) </a:t>
          </a:r>
          <a:r>
            <a:rPr lang="en-US" sz="1600"/>
            <a:t>para obtener el nombre del alumno basado en el código en </a:t>
          </a:r>
          <a:r>
            <a:rPr lang="en-US" sz="1600" b="1">
              <a:solidFill>
                <a:srgbClr val="FF0000"/>
              </a:solidFill>
            </a:rPr>
            <a:t>Q4.</a:t>
          </a:r>
        </a:p>
        <a:p>
          <a:r>
            <a:rPr lang="en-US" sz="1600" b="1"/>
            <a:t>Nota Más Alta:</a:t>
          </a:r>
          <a:br>
            <a:rPr lang="en-US" sz="1600"/>
          </a:br>
          <a:r>
            <a:rPr lang="en-US" sz="1600"/>
            <a:t>Usa =</a:t>
          </a:r>
          <a:r>
            <a:rPr lang="en-US" sz="1600" b="1">
              <a:solidFill>
                <a:srgbClr val="002060"/>
              </a:solidFill>
            </a:rPr>
            <a:t>INDICE(K3:K16, COINCIDIR(Q4, A3:A16, 0)) </a:t>
          </a:r>
          <a:r>
            <a:rPr lang="en-US" sz="1600"/>
            <a:t>para encontrar la nota más alta del alumno con el código en </a:t>
          </a:r>
          <a:r>
            <a:rPr lang="en-US" sz="1600" b="1">
              <a:solidFill>
                <a:srgbClr val="FF0000"/>
              </a:solidFill>
            </a:rPr>
            <a:t>Q4.</a:t>
          </a:r>
        </a:p>
        <a:p>
          <a:r>
            <a:rPr lang="en-US" sz="1600" b="1"/>
            <a:t>Curso con la Nota Más Alta:</a:t>
          </a:r>
          <a:br>
            <a:rPr lang="en-US" sz="1600"/>
          </a:br>
          <a:r>
            <a:rPr lang="en-US" sz="1600"/>
            <a:t>Utiliza </a:t>
          </a:r>
          <a:r>
            <a:rPr lang="en-US" sz="1600" b="1">
              <a:solidFill>
                <a:srgbClr val="002060"/>
              </a:solidFill>
            </a:rPr>
            <a:t>=INDICE(D$2:H$2, COINCIDIR(MAX(FILTRAR(D3:H16, A3:A16=Q4)), FILTRAR(D3:H16, A3:A16=Q4), 0)) </a:t>
          </a:r>
          <a:r>
            <a:rPr lang="en-US" sz="1600"/>
            <a:t>para identificar el curso con la nota más alta del alumno con el código en </a:t>
          </a:r>
          <a:r>
            <a:rPr lang="en-US" sz="1600" b="1">
              <a:solidFill>
                <a:srgbClr val="FF0000"/>
              </a:solidFill>
            </a:rPr>
            <a:t>Q4</a:t>
          </a:r>
          <a:r>
            <a:rPr lang="en-US" sz="1600"/>
            <a:t>.</a:t>
          </a:r>
        </a:p>
        <a:p>
          <a:pPr algn="l"/>
          <a:endParaRPr lang="en-US" sz="16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78828</xdr:colOff>
      <xdr:row>0</xdr:row>
      <xdr:rowOff>137948</xdr:rowOff>
    </xdr:from>
    <xdr:to>
      <xdr:col>15</xdr:col>
      <xdr:colOff>571500</xdr:colOff>
      <xdr:row>12</xdr:row>
      <xdr:rowOff>52551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83FAA05C-2E0C-6394-8964-D50937237526}"/>
            </a:ext>
          </a:extLst>
        </xdr:cNvPr>
        <xdr:cNvSpPr/>
      </xdr:nvSpPr>
      <xdr:spPr>
        <a:xfrm>
          <a:off x="9899431" y="137948"/>
          <a:ext cx="4466897" cy="225972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/>
            <a:t>Los</a:t>
          </a:r>
          <a:r>
            <a:rPr lang="en-US" sz="1100" b="1" u="sng" baseline="0"/>
            <a:t> </a:t>
          </a:r>
          <a:r>
            <a:rPr lang="en-US" sz="1100" b="1" u="sng"/>
            <a:t>pasos para inmovilizar paneles en Excel:</a:t>
          </a:r>
        </a:p>
        <a:p>
          <a:r>
            <a:rPr lang="en-US" sz="1000" b="1">
              <a:solidFill>
                <a:srgbClr val="0070C0"/>
              </a:solidFill>
            </a:rPr>
            <a:t>Selecciona una celda</a:t>
          </a:r>
          <a:r>
            <a:rPr lang="en-US" sz="1000">
              <a:solidFill>
                <a:srgbClr val="0070C0"/>
              </a:solidFill>
            </a:rPr>
            <a:t>:</a:t>
          </a:r>
        </a:p>
        <a:p>
          <a:pPr lvl="1"/>
          <a:r>
            <a:rPr lang="en-US" sz="1000"/>
            <a:t>Haz clic en la celda que está justo </a:t>
          </a:r>
          <a:r>
            <a:rPr lang="en-US" sz="1000" b="1"/>
            <a:t>debajo</a:t>
          </a:r>
          <a:r>
            <a:rPr lang="en-US" sz="1000"/>
            <a:t> de las filas y </a:t>
          </a:r>
          <a:r>
            <a:rPr lang="en-US" sz="1000" b="1"/>
            <a:t>a la derecha</a:t>
          </a:r>
          <a:r>
            <a:rPr lang="en-US" sz="1000"/>
            <a:t> de las columnas que deseas inmovilizar.</a:t>
          </a:r>
        </a:p>
        <a:p>
          <a:r>
            <a:rPr lang="en-US" sz="1000" b="1">
              <a:solidFill>
                <a:srgbClr val="0070C0"/>
              </a:solidFill>
            </a:rPr>
            <a:t>Ve a la pestaña "Vista"</a:t>
          </a:r>
          <a:r>
            <a:rPr lang="en-US" sz="1000">
              <a:solidFill>
                <a:srgbClr val="0070C0"/>
              </a:solidFill>
            </a:rPr>
            <a:t>:</a:t>
          </a:r>
        </a:p>
        <a:p>
          <a:pPr lvl="1"/>
          <a:r>
            <a:rPr lang="en-US" sz="1000"/>
            <a:t>En la parte superior, haz clic en la pestaña </a:t>
          </a:r>
          <a:r>
            <a:rPr lang="en-US" sz="1000" b="1"/>
            <a:t>"Vista"</a:t>
          </a:r>
          <a:r>
            <a:rPr lang="en-US" sz="1000"/>
            <a:t>.</a:t>
          </a:r>
        </a:p>
        <a:p>
          <a:r>
            <a:rPr lang="en-US" sz="1000" b="1">
              <a:solidFill>
                <a:srgbClr val="0070C0"/>
              </a:solidFill>
            </a:rPr>
            <a:t>Haz clic en "Inmovilizar paneles"</a:t>
          </a:r>
          <a:r>
            <a:rPr lang="en-US" sz="1000">
              <a:solidFill>
                <a:srgbClr val="0070C0"/>
              </a:solidFill>
            </a:rPr>
            <a:t>:</a:t>
          </a:r>
        </a:p>
        <a:p>
          <a:pPr lvl="1"/>
          <a:r>
            <a:rPr lang="en-US" sz="1000"/>
            <a:t>En la cinta de opciones, selecciona el botón </a:t>
          </a:r>
          <a:r>
            <a:rPr lang="en-US" sz="1000" b="1"/>
            <a:t>"Inmovilizar paneles"</a:t>
          </a:r>
          <a:r>
            <a:rPr lang="en-US" sz="1000"/>
            <a:t> y elige </a:t>
          </a:r>
          <a:r>
            <a:rPr lang="en-US" sz="1000" b="1"/>
            <a:t>"Inmovilizar paneles"</a:t>
          </a:r>
          <a:r>
            <a:rPr lang="en-US" sz="1000"/>
            <a:t> en el menú desplegable.</a:t>
          </a:r>
        </a:p>
        <a:p>
          <a:endParaRPr lang="en-US" sz="1000"/>
        </a:p>
        <a:p>
          <a:r>
            <a:rPr lang="en-US" sz="1000" b="1">
              <a:solidFill>
                <a:srgbClr val="002060"/>
              </a:solidFill>
            </a:rPr>
            <a:t>Esto congelará las filas y columnas por encima y a la izquierda de la celda seleccionada, permitiéndote desplazarte por el resto de la hoja sin perder de vista esa sección.</a:t>
          </a:r>
        </a:p>
        <a:p>
          <a:pPr algn="l"/>
          <a:endParaRPr lang="en-US" sz="1000"/>
        </a:p>
      </xdr:txBody>
    </xdr:sp>
    <xdr:clientData/>
  </xdr:twoCellAnchor>
  <xdr:twoCellAnchor>
    <xdr:from>
      <xdr:col>6</xdr:col>
      <xdr:colOff>170792</xdr:colOff>
      <xdr:row>6</xdr:row>
      <xdr:rowOff>183931</xdr:rowOff>
    </xdr:from>
    <xdr:to>
      <xdr:col>9</xdr:col>
      <xdr:colOff>505810</xdr:colOff>
      <xdr:row>13</xdr:row>
      <xdr:rowOff>6569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E299C082-6213-C2B1-6AF0-9D5C9D40E911}"/>
            </a:ext>
          </a:extLst>
        </xdr:cNvPr>
        <xdr:cNvSpPr/>
      </xdr:nvSpPr>
      <xdr:spPr>
        <a:xfrm>
          <a:off x="6056585" y="1366345"/>
          <a:ext cx="2982311" cy="117584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b="1"/>
            <a:t>Fórmula: (1 + C3)^(1/12) - 1</a:t>
          </a:r>
          <a:endParaRPr lang="en-US"/>
        </a:p>
        <a:p>
          <a:r>
            <a:rPr lang="en-US"/>
            <a:t>Convierte una </a:t>
          </a:r>
          <a:r>
            <a:rPr lang="en-US" b="1"/>
            <a:t>tasa de interés anual</a:t>
          </a:r>
          <a:r>
            <a:rPr lang="en-US"/>
            <a:t> en </a:t>
          </a:r>
          <a:r>
            <a:rPr lang="en-US" b="1"/>
            <a:t>mensual</a:t>
          </a:r>
          <a:r>
            <a:rPr lang="en-US"/>
            <a:t>.</a:t>
          </a:r>
        </a:p>
        <a:p>
          <a:endParaRPr lang="en-US" b="1"/>
        </a:p>
        <a:p>
          <a:r>
            <a:rPr lang="en-US" b="1"/>
            <a:t>Fórmula: PAGO(C4, C6, -C2)</a:t>
          </a:r>
          <a:endParaRPr lang="en-US"/>
        </a:p>
        <a:p>
          <a:r>
            <a:rPr lang="en-US"/>
            <a:t>Calcula el </a:t>
          </a:r>
          <a:r>
            <a:rPr lang="en-US" b="1"/>
            <a:t>pago mensual</a:t>
          </a:r>
          <a:r>
            <a:rPr lang="en-US"/>
            <a:t> de un préstamo con tasa de interés, plazo y monto dados.</a:t>
          </a:r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183932</xdr:colOff>
      <xdr:row>13</xdr:row>
      <xdr:rowOff>72257</xdr:rowOff>
    </xdr:from>
    <xdr:to>
      <xdr:col>10</xdr:col>
      <xdr:colOff>584639</xdr:colOff>
      <xdr:row>22</xdr:row>
      <xdr:rowOff>151086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EA432BA7-95A0-3B23-22CE-1BE292C1ACB0}"/>
            </a:ext>
          </a:extLst>
        </xdr:cNvPr>
        <xdr:cNvSpPr/>
      </xdr:nvSpPr>
      <xdr:spPr>
        <a:xfrm>
          <a:off x="5774122" y="2607878"/>
          <a:ext cx="4631120" cy="185244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000" b="1"/>
            <a:t>Detalles de las Fórmulas</a:t>
          </a:r>
          <a:endParaRPr lang="en-US" sz="1000"/>
        </a:p>
        <a:p>
          <a:r>
            <a:rPr lang="en-US" sz="1000" b="1"/>
            <a:t>Período</a:t>
          </a:r>
          <a:r>
            <a:rPr lang="en-US" sz="1000"/>
            <a:t>: =</a:t>
          </a:r>
          <a:r>
            <a:rPr lang="en-US" sz="1000" b="1">
              <a:solidFill>
                <a:srgbClr val="0070C0"/>
              </a:solidFill>
            </a:rPr>
            <a:t>SI(B10&lt;$C$6, B10+1, "")</a:t>
          </a:r>
        </a:p>
        <a:p>
          <a:pPr lvl="1"/>
          <a:r>
            <a:rPr lang="en-US" sz="1000"/>
            <a:t>Incrementa el número del período si es menor al plazo en meses.</a:t>
          </a:r>
        </a:p>
        <a:p>
          <a:r>
            <a:rPr lang="en-US" sz="1000" b="1"/>
            <a:t>Cuota</a:t>
          </a:r>
          <a:r>
            <a:rPr lang="en-US" sz="1000"/>
            <a:t>: </a:t>
          </a:r>
          <a:r>
            <a:rPr lang="en-US" sz="1000" b="1">
              <a:solidFill>
                <a:srgbClr val="0070C0"/>
              </a:solidFill>
            </a:rPr>
            <a:t>=SI(B11="", "", $H$5)</a:t>
          </a:r>
        </a:p>
        <a:p>
          <a:pPr lvl="1"/>
          <a:r>
            <a:rPr lang="en-US" sz="1000"/>
            <a:t>Inserta el valor de la cuota mensual si hay un valor en el período.</a:t>
          </a:r>
        </a:p>
        <a:p>
          <a:r>
            <a:rPr lang="en-US" sz="1000" b="1"/>
            <a:t>Interés</a:t>
          </a:r>
          <a:r>
            <a:rPr lang="en-US" sz="1000"/>
            <a:t>: </a:t>
          </a:r>
          <a:r>
            <a:rPr lang="en-US" sz="1000" b="1">
              <a:solidFill>
                <a:srgbClr val="0070C0"/>
              </a:solidFill>
            </a:rPr>
            <a:t>=SI(C11="", "", PAGOINT($C$4,B11,$C$6,-$C$2))</a:t>
          </a:r>
        </a:p>
        <a:p>
          <a:pPr lvl="1"/>
          <a:r>
            <a:rPr lang="en-US" sz="1000"/>
            <a:t>Calcula el interés correspondiente al período actual del préstamo.</a:t>
          </a:r>
        </a:p>
        <a:p>
          <a:r>
            <a:rPr lang="en-US" sz="1000" b="1"/>
            <a:t>Capital</a:t>
          </a:r>
          <a:r>
            <a:rPr lang="en-US" sz="1000"/>
            <a:t>: </a:t>
          </a:r>
          <a:r>
            <a:rPr lang="en-US" sz="1000" b="1">
              <a:solidFill>
                <a:srgbClr val="0070C0"/>
              </a:solidFill>
            </a:rPr>
            <a:t>=SI(B11="", "", PAGOPRIN($C$4,B11,$C$6,-$C$2))</a:t>
          </a:r>
        </a:p>
        <a:p>
          <a:pPr lvl="1"/>
          <a:r>
            <a:rPr lang="en-US" sz="1000"/>
            <a:t>Determina cuánto del pago mensual se destina a capital.</a:t>
          </a:r>
        </a:p>
        <a:p>
          <a:r>
            <a:rPr lang="en-US" sz="1000" b="1"/>
            <a:t>Saldo</a:t>
          </a:r>
          <a:r>
            <a:rPr lang="en-US" sz="1000"/>
            <a:t>: </a:t>
          </a:r>
          <a:r>
            <a:rPr lang="en-US" sz="1000" b="1">
              <a:solidFill>
                <a:srgbClr val="0070C0"/>
              </a:solidFill>
            </a:rPr>
            <a:t>=SI(B11="", "", F10-E11)</a:t>
          </a:r>
        </a:p>
        <a:p>
          <a:pPr lvl="1"/>
          <a:r>
            <a:rPr lang="en-US" sz="1000"/>
            <a:t>Resta el pago de capital al saldo restante del préstamo.</a:t>
          </a:r>
        </a:p>
        <a:p>
          <a:pPr algn="l"/>
          <a:endParaRPr lang="en-US" sz="1000"/>
        </a:p>
      </xdr:txBody>
    </xdr:sp>
    <xdr:clientData/>
  </xdr:twoCellAnchor>
  <xdr:twoCellAnchor>
    <xdr:from>
      <xdr:col>6</xdr:col>
      <xdr:colOff>183173</xdr:colOff>
      <xdr:row>23</xdr:row>
      <xdr:rowOff>14653</xdr:rowOff>
    </xdr:from>
    <xdr:to>
      <xdr:col>9</xdr:col>
      <xdr:colOff>945173</xdr:colOff>
      <xdr:row>30</xdr:row>
      <xdr:rowOff>7327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2D2E1880-24CE-0076-A88E-2C9C9AFE7B91}"/>
            </a:ext>
          </a:extLst>
        </xdr:cNvPr>
        <xdr:cNvSpPr/>
      </xdr:nvSpPr>
      <xdr:spPr>
        <a:xfrm>
          <a:off x="5810250" y="4535365"/>
          <a:ext cx="4059115" cy="136280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b="1">
              <a:solidFill>
                <a:srgbClr val="0070C0"/>
              </a:solidFill>
            </a:rPr>
            <a:t>Formato Condicional para Delimitar Filas según Condición:</a:t>
          </a:r>
        </a:p>
        <a:p>
          <a:pPr algn="l"/>
          <a:endParaRPr lang="en-US"/>
        </a:p>
        <a:p>
          <a:pPr algn="l"/>
          <a:r>
            <a:rPr lang="en-US"/>
            <a:t>1-Selecciona hasta la fila 130.</a:t>
          </a:r>
        </a:p>
        <a:p>
          <a:pPr algn="l"/>
          <a:r>
            <a:rPr lang="en-US"/>
            <a:t>2-Ve a </a:t>
          </a:r>
          <a:r>
            <a:rPr lang="en-US" b="1"/>
            <a:t>Formato Condicional</a:t>
          </a:r>
          <a:r>
            <a:rPr lang="en-US"/>
            <a:t> &gt; </a:t>
          </a:r>
          <a:r>
            <a:rPr lang="en-US" b="1"/>
            <a:t>Nueva Regla</a:t>
          </a:r>
          <a:r>
            <a:rPr lang="en-US"/>
            <a:t> &gt; </a:t>
          </a:r>
          <a:r>
            <a:rPr lang="en-US" b="1"/>
            <a:t>Usar fórmula</a:t>
          </a:r>
          <a:r>
            <a:rPr lang="en-US"/>
            <a:t>.</a:t>
          </a:r>
        </a:p>
        <a:p>
          <a:pPr algn="l"/>
          <a:r>
            <a:rPr lang="en-US"/>
            <a:t>3-Escribe: =$B10&lt;&gt;"".</a:t>
          </a:r>
        </a:p>
        <a:p>
          <a:pPr algn="l"/>
          <a:r>
            <a:rPr lang="en-US"/>
            <a:t>4-Elige el </a:t>
          </a:r>
          <a:r>
            <a:rPr lang="en-US" b="1"/>
            <a:t>borde</a:t>
          </a:r>
          <a:r>
            <a:rPr lang="en-US"/>
            <a:t> en Formato</a:t>
          </a:r>
        </a:p>
        <a:p>
          <a:pPr algn="l"/>
          <a:r>
            <a:rPr lang="en-US"/>
            <a:t>5-Aplica y listo, se resaltan filas con datos en la columna B.</a:t>
          </a:r>
        </a:p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238124</xdr:colOff>
      <xdr:row>0</xdr:row>
      <xdr:rowOff>85726</xdr:rowOff>
    </xdr:from>
    <xdr:to>
      <xdr:col>12</xdr:col>
      <xdr:colOff>457199</xdr:colOff>
      <xdr:row>17</xdr:row>
      <xdr:rowOff>161926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B40FC80-EE5D-2B74-7E37-3367A54B38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200025</xdr:colOff>
      <xdr:row>18</xdr:row>
      <xdr:rowOff>161926</xdr:rowOff>
    </xdr:from>
    <xdr:to>
      <xdr:col>12</xdr:col>
      <xdr:colOff>447675</xdr:colOff>
      <xdr:row>35</xdr:row>
      <xdr:rowOff>123825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9BC8117-B29B-D946-96C1-D52139E59A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114299</xdr:colOff>
      <xdr:row>4</xdr:row>
      <xdr:rowOff>85724</xdr:rowOff>
    </xdr:from>
    <xdr:to>
      <xdr:col>24</xdr:col>
      <xdr:colOff>466724</xdr:colOff>
      <xdr:row>34</xdr:row>
      <xdr:rowOff>9524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D87E0299-069E-3954-D40C-DD08527485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C5F8-D1C5-4815-AEE4-D9FC24B16BA7}">
  <sheetPr codeName="Hoja1">
    <tabColor rgb="FF00B050"/>
  </sheetPr>
  <dimension ref="A1:N29"/>
  <sheetViews>
    <sheetView zoomScale="115" zoomScaleNormal="115" workbookViewId="0">
      <selection activeCell="D9" sqref="D9"/>
    </sheetView>
  </sheetViews>
  <sheetFormatPr baseColWidth="10" defaultColWidth="9.140625" defaultRowHeight="15" x14ac:dyDescent="0.25"/>
  <cols>
    <col min="1" max="1" width="11.7109375" customWidth="1"/>
    <col min="2" max="2" width="21" bestFit="1" customWidth="1"/>
    <col min="3" max="3" width="24.140625" bestFit="1" customWidth="1"/>
    <col min="4" max="4" width="19.28515625" style="2" customWidth="1"/>
    <col min="5" max="5" width="22" customWidth="1"/>
    <col min="6" max="6" width="13.7109375" customWidth="1"/>
    <col min="7" max="7" width="13.5703125" customWidth="1"/>
    <col min="8" max="8" width="15" customWidth="1"/>
    <col min="9" max="9" width="14.140625" customWidth="1"/>
    <col min="10" max="10" width="14" bestFit="1" customWidth="1"/>
    <col min="11" max="11" width="14.85546875" bestFit="1" customWidth="1"/>
    <col min="12" max="12" width="14.28515625" bestFit="1" customWidth="1"/>
    <col min="14" max="14" width="16.5703125" customWidth="1"/>
  </cols>
  <sheetData>
    <row r="1" spans="1:14" ht="32.25" thickBot="1" x14ac:dyDescent="0.55000000000000004">
      <c r="A1" s="180" t="s">
        <v>91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</row>
    <row r="2" spans="1:14" ht="19.5" thickBot="1" x14ac:dyDescent="0.3">
      <c r="C2" s="69" t="s">
        <v>205</v>
      </c>
      <c r="D2" s="73">
        <v>90000</v>
      </c>
      <c r="E2" s="70" t="s">
        <v>8</v>
      </c>
      <c r="F2" s="74">
        <v>100000</v>
      </c>
      <c r="I2" s="75">
        <v>40000</v>
      </c>
      <c r="J2" s="76">
        <v>160000</v>
      </c>
      <c r="L2" s="53">
        <f>E4-K4</f>
        <v>25926.36</v>
      </c>
      <c r="N2" s="58">
        <v>43831</v>
      </c>
    </row>
    <row r="3" spans="1:14" s="2" customFormat="1" ht="15.75" thickBot="1" x14ac:dyDescent="0.3">
      <c r="A3" s="49" t="s">
        <v>0</v>
      </c>
      <c r="B3" s="50" t="s">
        <v>1</v>
      </c>
      <c r="C3" s="50" t="s">
        <v>2</v>
      </c>
      <c r="D3" s="50" t="s">
        <v>3</v>
      </c>
      <c r="E3" s="50" t="s">
        <v>4</v>
      </c>
      <c r="F3" s="50" t="s">
        <v>5</v>
      </c>
      <c r="G3" s="50" t="s">
        <v>6</v>
      </c>
      <c r="H3" s="50" t="s">
        <v>7</v>
      </c>
      <c r="I3" s="50" t="s">
        <v>8</v>
      </c>
      <c r="J3" s="50" t="s">
        <v>280</v>
      </c>
      <c r="K3" s="50" t="s">
        <v>281</v>
      </c>
      <c r="L3" s="51" t="s">
        <v>201</v>
      </c>
      <c r="N3" s="38">
        <v>45027</v>
      </c>
    </row>
    <row r="4" spans="1:14" x14ac:dyDescent="0.25">
      <c r="A4" s="37" t="s">
        <v>29</v>
      </c>
      <c r="B4" s="37" t="s">
        <v>9</v>
      </c>
      <c r="C4" s="37" t="s">
        <v>49</v>
      </c>
      <c r="D4" s="44">
        <v>44252</v>
      </c>
      <c r="E4" s="45">
        <v>111971</v>
      </c>
      <c r="F4" s="46">
        <f>IF(E4&gt;=$D$2,E4*4%,E4*0%)</f>
        <v>4478.84</v>
      </c>
      <c r="G4" s="47">
        <f>E4*2%</f>
        <v>2239.42</v>
      </c>
      <c r="H4" s="48">
        <v>8011</v>
      </c>
      <c r="I4" s="48">
        <f>IF(E4&gt;=I2,E4*10%,IF(E4&lt;I2,E4*5%))</f>
        <v>11197.1</v>
      </c>
      <c r="J4" s="52">
        <f>SUM(F4:I4)</f>
        <v>25926.36</v>
      </c>
      <c r="K4" s="42">
        <f>E4-J4</f>
        <v>86044.64</v>
      </c>
      <c r="L4" s="224">
        <f>J4/K4</f>
        <v>0.30131289990869858</v>
      </c>
    </row>
    <row r="5" spans="1:14" x14ac:dyDescent="0.25">
      <c r="A5" s="1" t="s">
        <v>30</v>
      </c>
      <c r="B5" s="1" t="s">
        <v>10</v>
      </c>
      <c r="C5" s="1" t="s">
        <v>50</v>
      </c>
      <c r="D5" s="44">
        <v>44253</v>
      </c>
      <c r="E5" s="45">
        <v>101000</v>
      </c>
      <c r="F5" s="46">
        <f>IF(E5&gt;=$D$2,E5*4%,E5*0%)</f>
        <v>4040</v>
      </c>
      <c r="G5" s="47">
        <f>E5*2%</f>
        <v>2020</v>
      </c>
      <c r="H5" s="48">
        <v>8012</v>
      </c>
      <c r="I5" s="48">
        <f>IF(E5&gt;=I3,E5*10%,IF(E5&lt;I3,E5*5%))</f>
        <v>5050</v>
      </c>
      <c r="J5" s="52">
        <f>SUM(F5:I5)</f>
        <v>19122</v>
      </c>
      <c r="K5" s="42">
        <f t="shared" ref="K5:K23" si="0">E5-J5</f>
        <v>81878</v>
      </c>
      <c r="L5" s="224">
        <f t="shared" ref="L5:L23" si="1">J5/K5</f>
        <v>0.23354258775250983</v>
      </c>
      <c r="N5" s="36">
        <v>2000</v>
      </c>
    </row>
    <row r="6" spans="1:14" x14ac:dyDescent="0.25">
      <c r="A6" s="1" t="s">
        <v>31</v>
      </c>
      <c r="B6" s="1" t="s">
        <v>11</v>
      </c>
      <c r="C6" s="1" t="s">
        <v>51</v>
      </c>
      <c r="D6" s="44">
        <v>44254</v>
      </c>
      <c r="E6" s="45">
        <v>77702</v>
      </c>
      <c r="F6" s="46">
        <f t="shared" ref="F6:F23" si="2">IF(E6&gt;=$D$2,E6*4%,E6*0%)</f>
        <v>0</v>
      </c>
      <c r="G6" s="47">
        <f t="shared" ref="G6:G23" si="3">E6*2%</f>
        <v>1554.04</v>
      </c>
      <c r="H6" s="48">
        <v>8012</v>
      </c>
      <c r="I6" s="48">
        <f t="shared" ref="I6:I23" si="4">IF(E6&gt;=I4,E6*10%,IF(E6&lt;I4,E6*5%))</f>
        <v>7770.2000000000007</v>
      </c>
      <c r="J6" s="52">
        <f t="shared" ref="J6:J23" si="5">SUM(F6:I6)</f>
        <v>17336.240000000002</v>
      </c>
      <c r="K6" s="42">
        <f t="shared" si="0"/>
        <v>60365.759999999995</v>
      </c>
      <c r="L6" s="224">
        <f t="shared" si="1"/>
        <v>0.28718664355422679</v>
      </c>
      <c r="N6" s="36">
        <v>10000</v>
      </c>
    </row>
    <row r="7" spans="1:14" x14ac:dyDescent="0.25">
      <c r="A7" s="1" t="s">
        <v>32</v>
      </c>
      <c r="B7" s="1" t="s">
        <v>12</v>
      </c>
      <c r="C7" s="1" t="s">
        <v>52</v>
      </c>
      <c r="D7" s="44">
        <v>44255</v>
      </c>
      <c r="E7" s="45">
        <v>62140</v>
      </c>
      <c r="F7" s="46">
        <f t="shared" si="2"/>
        <v>0</v>
      </c>
      <c r="G7" s="47">
        <f t="shared" si="3"/>
        <v>1242.8</v>
      </c>
      <c r="H7" s="48">
        <v>8012</v>
      </c>
      <c r="I7" s="48">
        <f t="shared" si="4"/>
        <v>6214</v>
      </c>
      <c r="J7" s="52">
        <f t="shared" si="5"/>
        <v>15468.8</v>
      </c>
      <c r="K7" s="42">
        <f t="shared" si="0"/>
        <v>46671.199999999997</v>
      </c>
      <c r="L7" s="224">
        <f t="shared" si="1"/>
        <v>0.33144208848283307</v>
      </c>
      <c r="N7" s="36"/>
    </row>
    <row r="8" spans="1:14" x14ac:dyDescent="0.25">
      <c r="A8" s="1" t="s">
        <v>33</v>
      </c>
      <c r="B8" s="1" t="s">
        <v>13</v>
      </c>
      <c r="C8" s="1" t="s">
        <v>131</v>
      </c>
      <c r="D8" s="44">
        <v>44256</v>
      </c>
      <c r="E8" s="45">
        <v>105854</v>
      </c>
      <c r="F8" s="46">
        <f t="shared" si="2"/>
        <v>4234.16</v>
      </c>
      <c r="G8" s="47">
        <f t="shared" si="3"/>
        <v>2117.08</v>
      </c>
      <c r="H8" s="48">
        <v>8012</v>
      </c>
      <c r="I8" s="48">
        <f t="shared" si="4"/>
        <v>10585.400000000001</v>
      </c>
      <c r="J8" s="52">
        <f t="shared" si="5"/>
        <v>24948.639999999999</v>
      </c>
      <c r="K8" s="42">
        <f t="shared" si="0"/>
        <v>80905.36</v>
      </c>
      <c r="L8" s="224">
        <f t="shared" si="1"/>
        <v>0.30836819711326913</v>
      </c>
      <c r="N8" s="36"/>
    </row>
    <row r="9" spans="1:14" x14ac:dyDescent="0.25">
      <c r="A9" s="1" t="s">
        <v>34</v>
      </c>
      <c r="B9" s="1" t="s">
        <v>14</v>
      </c>
      <c r="C9" s="1" t="s">
        <v>54</v>
      </c>
      <c r="D9" s="44">
        <v>44257</v>
      </c>
      <c r="E9" s="45">
        <v>52659</v>
      </c>
      <c r="F9" s="46">
        <f t="shared" si="2"/>
        <v>0</v>
      </c>
      <c r="G9" s="47">
        <f t="shared" si="3"/>
        <v>1053.18</v>
      </c>
      <c r="H9" s="48">
        <v>8012</v>
      </c>
      <c r="I9" s="48">
        <f t="shared" si="4"/>
        <v>5265.9000000000005</v>
      </c>
      <c r="J9" s="52">
        <f t="shared" si="5"/>
        <v>14331.080000000002</v>
      </c>
      <c r="K9" s="42">
        <f t="shared" si="0"/>
        <v>38327.919999999998</v>
      </c>
      <c r="L9" s="224">
        <f t="shared" si="1"/>
        <v>0.37390706304959942</v>
      </c>
      <c r="N9" s="36">
        <v>40000</v>
      </c>
    </row>
    <row r="10" spans="1:14" x14ac:dyDescent="0.25">
      <c r="A10" s="1" t="s">
        <v>35</v>
      </c>
      <c r="B10" s="1" t="s">
        <v>15</v>
      </c>
      <c r="C10" s="1" t="s">
        <v>55</v>
      </c>
      <c r="D10" s="44">
        <v>44258</v>
      </c>
      <c r="E10" s="45">
        <v>47150</v>
      </c>
      <c r="F10" s="46">
        <f t="shared" si="2"/>
        <v>0</v>
      </c>
      <c r="G10" s="47">
        <f t="shared" si="3"/>
        <v>943</v>
      </c>
      <c r="H10" s="48">
        <v>8012</v>
      </c>
      <c r="I10" s="48">
        <f t="shared" si="4"/>
        <v>4715</v>
      </c>
      <c r="J10" s="52">
        <f t="shared" si="5"/>
        <v>13670</v>
      </c>
      <c r="K10" s="42">
        <f t="shared" si="0"/>
        <v>33480</v>
      </c>
      <c r="L10" s="224">
        <f t="shared" si="1"/>
        <v>0.40830346475507767</v>
      </c>
      <c r="N10" s="36">
        <v>150000</v>
      </c>
    </row>
    <row r="11" spans="1:14" x14ac:dyDescent="0.25">
      <c r="A11" s="1" t="s">
        <v>36</v>
      </c>
      <c r="B11" s="1" t="s">
        <v>16</v>
      </c>
      <c r="C11" s="1" t="s">
        <v>49</v>
      </c>
      <c r="D11" s="44">
        <v>44259</v>
      </c>
      <c r="E11" s="45">
        <v>143313</v>
      </c>
      <c r="F11" s="46">
        <f t="shared" si="2"/>
        <v>5732.52</v>
      </c>
      <c r="G11" s="47">
        <f t="shared" si="3"/>
        <v>2866.26</v>
      </c>
      <c r="H11" s="48">
        <v>8012</v>
      </c>
      <c r="I11" s="48">
        <f t="shared" si="4"/>
        <v>14331.300000000001</v>
      </c>
      <c r="J11" s="52">
        <f t="shared" si="5"/>
        <v>30942.080000000002</v>
      </c>
      <c r="K11" s="42">
        <f t="shared" si="0"/>
        <v>112370.92</v>
      </c>
      <c r="L11" s="224">
        <f t="shared" si="1"/>
        <v>0.27535664921137964</v>
      </c>
      <c r="N11" s="36"/>
    </row>
    <row r="12" spans="1:14" x14ac:dyDescent="0.25">
      <c r="A12" s="1" t="s">
        <v>37</v>
      </c>
      <c r="B12" s="1" t="s">
        <v>17</v>
      </c>
      <c r="C12" s="1" t="s">
        <v>50</v>
      </c>
      <c r="D12" s="44">
        <v>44260</v>
      </c>
      <c r="E12" s="45">
        <v>67637</v>
      </c>
      <c r="F12" s="46">
        <f t="shared" si="2"/>
        <v>0</v>
      </c>
      <c r="G12" s="47">
        <f t="shared" si="3"/>
        <v>1352.74</v>
      </c>
      <c r="H12" s="48">
        <v>8012</v>
      </c>
      <c r="I12" s="48">
        <f t="shared" si="4"/>
        <v>6763.7000000000007</v>
      </c>
      <c r="J12" s="52">
        <f t="shared" si="5"/>
        <v>16128.44</v>
      </c>
      <c r="K12" s="42">
        <f t="shared" si="0"/>
        <v>51508.56</v>
      </c>
      <c r="L12" s="224">
        <f t="shared" si="1"/>
        <v>0.31312154717584806</v>
      </c>
    </row>
    <row r="13" spans="1:14" x14ac:dyDescent="0.25">
      <c r="A13" s="1" t="s">
        <v>38</v>
      </c>
      <c r="B13" s="1" t="s">
        <v>18</v>
      </c>
      <c r="C13" s="1" t="s">
        <v>51</v>
      </c>
      <c r="D13" s="44">
        <v>44261</v>
      </c>
      <c r="E13" s="45">
        <v>94294</v>
      </c>
      <c r="F13" s="46">
        <f t="shared" si="2"/>
        <v>3771.76</v>
      </c>
      <c r="G13" s="47">
        <f t="shared" si="3"/>
        <v>1885.88</v>
      </c>
      <c r="H13" s="48">
        <v>8012</v>
      </c>
      <c r="I13" s="48">
        <f t="shared" si="4"/>
        <v>9429.4</v>
      </c>
      <c r="J13" s="52">
        <f t="shared" si="5"/>
        <v>23099.040000000001</v>
      </c>
      <c r="K13" s="42">
        <f t="shared" si="0"/>
        <v>71194.959999999992</v>
      </c>
      <c r="L13" s="224">
        <f t="shared" si="1"/>
        <v>0.32444768562269022</v>
      </c>
    </row>
    <row r="14" spans="1:14" x14ac:dyDescent="0.25">
      <c r="A14" s="1" t="s">
        <v>39</v>
      </c>
      <c r="B14" s="1" t="s">
        <v>19</v>
      </c>
      <c r="C14" s="1" t="s">
        <v>52</v>
      </c>
      <c r="D14" s="44">
        <v>44262</v>
      </c>
      <c r="E14" s="45">
        <v>116822</v>
      </c>
      <c r="F14" s="46">
        <f t="shared" si="2"/>
        <v>4672.88</v>
      </c>
      <c r="G14" s="47">
        <f t="shared" si="3"/>
        <v>2336.44</v>
      </c>
      <c r="H14" s="48">
        <v>8012</v>
      </c>
      <c r="I14" s="48">
        <f t="shared" si="4"/>
        <v>11682.2</v>
      </c>
      <c r="J14" s="52">
        <f t="shared" si="5"/>
        <v>26703.52</v>
      </c>
      <c r="K14" s="42">
        <f t="shared" si="0"/>
        <v>90118.48</v>
      </c>
      <c r="L14" s="224">
        <f t="shared" si="1"/>
        <v>0.29631569462778334</v>
      </c>
      <c r="N14" s="53"/>
    </row>
    <row r="15" spans="1:14" x14ac:dyDescent="0.25">
      <c r="A15" s="1" t="s">
        <v>40</v>
      </c>
      <c r="B15" s="1" t="s">
        <v>20</v>
      </c>
      <c r="C15" s="1" t="s">
        <v>53</v>
      </c>
      <c r="D15" s="44">
        <v>44263</v>
      </c>
      <c r="E15" s="45">
        <v>70997</v>
      </c>
      <c r="F15" s="46">
        <f t="shared" si="2"/>
        <v>0</v>
      </c>
      <c r="G15" s="47">
        <f t="shared" si="3"/>
        <v>1419.94</v>
      </c>
      <c r="H15" s="48">
        <v>8012</v>
      </c>
      <c r="I15" s="48">
        <f t="shared" si="4"/>
        <v>7099.7000000000007</v>
      </c>
      <c r="J15" s="52">
        <f t="shared" si="5"/>
        <v>16531.64</v>
      </c>
      <c r="K15" s="42">
        <f t="shared" si="0"/>
        <v>54465.36</v>
      </c>
      <c r="L15" s="224">
        <f t="shared" si="1"/>
        <v>0.30352576389837505</v>
      </c>
      <c r="N15" s="54"/>
    </row>
    <row r="16" spans="1:14" x14ac:dyDescent="0.25">
      <c r="A16" s="1" t="s">
        <v>41</v>
      </c>
      <c r="B16" s="1" t="s">
        <v>21</v>
      </c>
      <c r="C16" s="1" t="s">
        <v>54</v>
      </c>
      <c r="D16" s="44">
        <v>44264</v>
      </c>
      <c r="E16" s="45">
        <v>61082</v>
      </c>
      <c r="F16" s="46">
        <f t="shared" si="2"/>
        <v>0</v>
      </c>
      <c r="G16" s="47">
        <f t="shared" si="3"/>
        <v>1221.6400000000001</v>
      </c>
      <c r="H16" s="48">
        <v>8012</v>
      </c>
      <c r="I16" s="48">
        <f t="shared" si="4"/>
        <v>6108.2000000000007</v>
      </c>
      <c r="J16" s="52">
        <f t="shared" si="5"/>
        <v>15341.84</v>
      </c>
      <c r="K16" s="42">
        <f t="shared" si="0"/>
        <v>45740.160000000003</v>
      </c>
      <c r="L16" s="224">
        <f t="shared" si="1"/>
        <v>0.33541290629503701</v>
      </c>
    </row>
    <row r="17" spans="1:12" x14ac:dyDescent="0.25">
      <c r="A17" s="1" t="s">
        <v>42</v>
      </c>
      <c r="B17" s="1" t="s">
        <v>22</v>
      </c>
      <c r="C17" s="1" t="s">
        <v>55</v>
      </c>
      <c r="D17" s="44">
        <v>44265</v>
      </c>
      <c r="E17" s="45">
        <v>99999</v>
      </c>
      <c r="F17" s="46">
        <f t="shared" si="2"/>
        <v>3999.96</v>
      </c>
      <c r="G17" s="47">
        <f t="shared" si="3"/>
        <v>1999.98</v>
      </c>
      <c r="H17" s="48">
        <v>8012</v>
      </c>
      <c r="I17" s="48">
        <f t="shared" si="4"/>
        <v>9999.9000000000015</v>
      </c>
      <c r="J17" s="52">
        <f t="shared" si="5"/>
        <v>24011.840000000004</v>
      </c>
      <c r="K17" s="42">
        <f t="shared" si="0"/>
        <v>75987.16</v>
      </c>
      <c r="L17" s="224">
        <f t="shared" si="1"/>
        <v>0.31599865029828728</v>
      </c>
    </row>
    <row r="18" spans="1:12" x14ac:dyDescent="0.25">
      <c r="A18" s="1" t="s">
        <v>43</v>
      </c>
      <c r="B18" s="1" t="s">
        <v>23</v>
      </c>
      <c r="C18" s="1" t="s">
        <v>49</v>
      </c>
      <c r="D18" s="44">
        <v>44266</v>
      </c>
      <c r="E18" s="45">
        <v>56737</v>
      </c>
      <c r="F18" s="46">
        <f t="shared" si="2"/>
        <v>0</v>
      </c>
      <c r="G18" s="47">
        <f t="shared" si="3"/>
        <v>1134.74</v>
      </c>
      <c r="H18" s="48">
        <v>8012</v>
      </c>
      <c r="I18" s="48">
        <f t="shared" si="4"/>
        <v>5673.7000000000007</v>
      </c>
      <c r="J18" s="52">
        <f t="shared" si="5"/>
        <v>14820.44</v>
      </c>
      <c r="K18" s="42">
        <f t="shared" si="0"/>
        <v>41916.559999999998</v>
      </c>
      <c r="L18" s="224">
        <f t="shared" si="1"/>
        <v>0.35357004487009436</v>
      </c>
    </row>
    <row r="19" spans="1:12" x14ac:dyDescent="0.25">
      <c r="A19" s="1" t="s">
        <v>44</v>
      </c>
      <c r="B19" s="1" t="s">
        <v>24</v>
      </c>
      <c r="C19" s="1" t="s">
        <v>50</v>
      </c>
      <c r="D19" s="44">
        <v>44267</v>
      </c>
      <c r="E19" s="45">
        <v>67900</v>
      </c>
      <c r="F19" s="46">
        <f t="shared" si="2"/>
        <v>0</v>
      </c>
      <c r="G19" s="47">
        <f t="shared" si="3"/>
        <v>1358</v>
      </c>
      <c r="H19" s="48">
        <v>8012</v>
      </c>
      <c r="I19" s="48">
        <f t="shared" si="4"/>
        <v>6790</v>
      </c>
      <c r="J19" s="52">
        <f t="shared" si="5"/>
        <v>16160</v>
      </c>
      <c r="K19" s="42">
        <f t="shared" si="0"/>
        <v>51740</v>
      </c>
      <c r="L19" s="224">
        <f t="shared" si="1"/>
        <v>0.3123308851952068</v>
      </c>
    </row>
    <row r="20" spans="1:12" x14ac:dyDescent="0.25">
      <c r="A20" s="1" t="s">
        <v>45</v>
      </c>
      <c r="B20" s="1" t="s">
        <v>25</v>
      </c>
      <c r="C20" s="1" t="s">
        <v>51</v>
      </c>
      <c r="D20" s="44">
        <v>44268</v>
      </c>
      <c r="E20" s="45">
        <v>43093</v>
      </c>
      <c r="F20" s="46">
        <f t="shared" si="2"/>
        <v>0</v>
      </c>
      <c r="G20" s="47">
        <f t="shared" si="3"/>
        <v>861.86</v>
      </c>
      <c r="H20" s="48">
        <v>8012</v>
      </c>
      <c r="I20" s="48">
        <f t="shared" si="4"/>
        <v>4309.3</v>
      </c>
      <c r="J20" s="52">
        <f t="shared" si="5"/>
        <v>13183.16</v>
      </c>
      <c r="K20" s="42">
        <f t="shared" si="0"/>
        <v>29909.84</v>
      </c>
      <c r="L20" s="224">
        <f t="shared" si="1"/>
        <v>0.4407633073262846</v>
      </c>
    </row>
    <row r="21" spans="1:12" x14ac:dyDescent="0.25">
      <c r="A21" s="1" t="s">
        <v>46</v>
      </c>
      <c r="B21" s="1" t="s">
        <v>26</v>
      </c>
      <c r="C21" s="1" t="s">
        <v>52</v>
      </c>
      <c r="D21" s="44">
        <v>44269</v>
      </c>
      <c r="E21" s="45">
        <v>89011</v>
      </c>
      <c r="F21" s="46">
        <f t="shared" si="2"/>
        <v>0</v>
      </c>
      <c r="G21" s="47">
        <f t="shared" si="3"/>
        <v>1780.22</v>
      </c>
      <c r="H21" s="48">
        <v>8012</v>
      </c>
      <c r="I21" s="48">
        <f t="shared" si="4"/>
        <v>8901.1</v>
      </c>
      <c r="J21" s="52">
        <f t="shared" si="5"/>
        <v>18693.32</v>
      </c>
      <c r="K21" s="42">
        <f t="shared" si="0"/>
        <v>70317.679999999993</v>
      </c>
      <c r="L21" s="224">
        <f t="shared" si="1"/>
        <v>0.26584096631174409</v>
      </c>
    </row>
    <row r="22" spans="1:12" x14ac:dyDescent="0.25">
      <c r="A22" s="1" t="s">
        <v>47</v>
      </c>
      <c r="B22" s="1" t="s">
        <v>27</v>
      </c>
      <c r="C22" s="1" t="s">
        <v>53</v>
      </c>
      <c r="D22" s="44">
        <v>44270</v>
      </c>
      <c r="E22" s="45">
        <v>48758</v>
      </c>
      <c r="F22" s="46">
        <f t="shared" si="2"/>
        <v>0</v>
      </c>
      <c r="G22" s="47">
        <f t="shared" si="3"/>
        <v>975.16</v>
      </c>
      <c r="H22" s="48">
        <v>8012</v>
      </c>
      <c r="I22" s="48">
        <f t="shared" si="4"/>
        <v>4875.8</v>
      </c>
      <c r="J22" s="52">
        <f t="shared" si="5"/>
        <v>13862.96</v>
      </c>
      <c r="K22" s="42">
        <f t="shared" si="0"/>
        <v>34895.040000000001</v>
      </c>
      <c r="L22" s="224">
        <f t="shared" si="1"/>
        <v>0.39727594523462356</v>
      </c>
    </row>
    <row r="23" spans="1:12" x14ac:dyDescent="0.25">
      <c r="A23" s="1" t="s">
        <v>48</v>
      </c>
      <c r="B23" s="1" t="s">
        <v>28</v>
      </c>
      <c r="C23" s="1" t="s">
        <v>54</v>
      </c>
      <c r="D23" s="44">
        <v>44132</v>
      </c>
      <c r="E23" s="45">
        <v>117054</v>
      </c>
      <c r="F23" s="46">
        <f t="shared" si="2"/>
        <v>4682.16</v>
      </c>
      <c r="G23" s="47">
        <f t="shared" si="3"/>
        <v>2341.08</v>
      </c>
      <c r="H23" s="48">
        <v>8012</v>
      </c>
      <c r="I23" s="48">
        <f t="shared" si="4"/>
        <v>11705.400000000001</v>
      </c>
      <c r="J23" s="52">
        <f t="shared" si="5"/>
        <v>26740.639999999999</v>
      </c>
      <c r="K23" s="42">
        <f t="shared" si="0"/>
        <v>90313.36</v>
      </c>
      <c r="L23" s="224">
        <f t="shared" si="1"/>
        <v>0.29608731199902205</v>
      </c>
    </row>
    <row r="25" spans="1:12" ht="24.75" customHeight="1" x14ac:dyDescent="0.25">
      <c r="D25" s="12" t="s">
        <v>56</v>
      </c>
      <c r="E25" s="43">
        <f>SUM(E4:E24)</f>
        <v>1635173</v>
      </c>
      <c r="F25" s="43">
        <f t="shared" ref="F25:L25" si="6">SUM(F4:F24)</f>
        <v>35612.28</v>
      </c>
      <c r="G25" s="43">
        <f t="shared" si="6"/>
        <v>32703.46</v>
      </c>
      <c r="H25" s="43">
        <f t="shared" si="6"/>
        <v>160239</v>
      </c>
      <c r="I25" s="43">
        <f t="shared" si="6"/>
        <v>158467.29999999999</v>
      </c>
      <c r="J25" s="43">
        <f t="shared" si="6"/>
        <v>387022.04000000004</v>
      </c>
      <c r="K25" s="43">
        <f t="shared" si="6"/>
        <v>1248150.9600000002</v>
      </c>
      <c r="L25" s="225">
        <f>J25/K25</f>
        <v>0.31007630679545362</v>
      </c>
    </row>
    <row r="29" spans="1:12" x14ac:dyDescent="0.25">
      <c r="F29" s="36"/>
      <c r="G29" s="36"/>
    </row>
  </sheetData>
  <mergeCells count="1">
    <mergeCell ref="A1:L1"/>
  </mergeCells>
  <phoneticPr fontId="1" type="noConversion"/>
  <conditionalFormatting sqref="L4:L23">
    <cfRule type="cellIs" dxfId="1" priority="2" operator="greaterThanOrEqual">
      <formula>0.3</formula>
    </cfRule>
    <cfRule type="cellIs" dxfId="0" priority="1" operator="lessThan">
      <formula>0.3</formula>
    </cfRule>
  </conditionalFormatting>
  <pageMargins left="0.25" right="0.25" top="0.75" bottom="0.75" header="0.3" footer="0.3"/>
  <pageSetup paperSize="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BBB2-AFF7-4DFE-8F2D-339FF5702172}">
  <sheetPr codeName="Hoja3">
    <tabColor rgb="FF00B0F0"/>
  </sheetPr>
  <dimension ref="A1:T42"/>
  <sheetViews>
    <sheetView tabSelected="1" zoomScaleNormal="100" workbookViewId="0">
      <selection activeCell="E7" sqref="E7"/>
    </sheetView>
  </sheetViews>
  <sheetFormatPr baseColWidth="10" defaultColWidth="9.140625" defaultRowHeight="15" x14ac:dyDescent="0.25"/>
  <cols>
    <col min="1" max="1" width="23" customWidth="1"/>
    <col min="2" max="2" width="47.5703125" customWidth="1"/>
    <col min="4" max="4" width="35.7109375" customWidth="1"/>
    <col min="5" max="5" width="16.85546875" customWidth="1"/>
    <col min="6" max="6" width="17" customWidth="1"/>
    <col min="7" max="7" width="16.85546875" customWidth="1"/>
    <col min="8" max="8" width="16.42578125" customWidth="1"/>
    <col min="9" max="9" width="23.28515625" bestFit="1" customWidth="1"/>
    <col min="10" max="10" width="15" bestFit="1" customWidth="1"/>
    <col min="11" max="11" width="16.140625" customWidth="1"/>
    <col min="12" max="12" width="3.7109375" style="222" customWidth="1"/>
    <col min="13" max="13" width="2.42578125" customWidth="1"/>
    <col min="18" max="18" width="11.85546875" customWidth="1"/>
    <col min="19" max="19" width="16.7109375" customWidth="1"/>
  </cols>
  <sheetData>
    <row r="1" spans="1:19" ht="36" x14ac:dyDescent="0.25">
      <c r="A1" s="185" t="s">
        <v>282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218"/>
    </row>
    <row r="2" spans="1:19" ht="15.75" thickBot="1" x14ac:dyDescent="0.3">
      <c r="A2" s="79" t="s">
        <v>230</v>
      </c>
      <c r="D2" s="85" t="s">
        <v>227</v>
      </c>
      <c r="E2" s="79" t="s">
        <v>228</v>
      </c>
      <c r="F2" s="79" t="s">
        <v>229</v>
      </c>
      <c r="G2" s="80" t="s">
        <v>220</v>
      </c>
      <c r="H2" s="79" t="s">
        <v>221</v>
      </c>
      <c r="I2" s="80" t="s">
        <v>222</v>
      </c>
      <c r="J2" s="78" t="s">
        <v>223</v>
      </c>
      <c r="K2" s="80" t="s">
        <v>224</v>
      </c>
      <c r="L2" s="219"/>
      <c r="N2" s="187" t="s">
        <v>132</v>
      </c>
      <c r="O2" s="187"/>
      <c r="P2" s="18"/>
      <c r="Q2" s="187" t="s">
        <v>89</v>
      </c>
      <c r="R2" s="187"/>
    </row>
    <row r="3" spans="1:19" s="2" customFormat="1" ht="15.75" thickBot="1" x14ac:dyDescent="0.3">
      <c r="A3" s="81" t="s">
        <v>89</v>
      </c>
      <c r="B3" s="82" t="s">
        <v>225</v>
      </c>
      <c r="C3" s="83" t="s">
        <v>0</v>
      </c>
      <c r="D3" s="81" t="s">
        <v>226</v>
      </c>
      <c r="E3" s="81" t="s">
        <v>88</v>
      </c>
      <c r="F3" s="81" t="s">
        <v>132</v>
      </c>
      <c r="G3" s="81" t="s">
        <v>134</v>
      </c>
      <c r="H3" s="81" t="s">
        <v>135</v>
      </c>
      <c r="I3" s="81" t="s">
        <v>136</v>
      </c>
      <c r="J3" s="81" t="s">
        <v>137</v>
      </c>
      <c r="K3" s="84" t="s">
        <v>138</v>
      </c>
      <c r="L3" s="220"/>
      <c r="M3" s="16"/>
      <c r="N3" t="s">
        <v>202</v>
      </c>
      <c r="O3">
        <v>10</v>
      </c>
      <c r="Q3" t="s">
        <v>202</v>
      </c>
      <c r="R3" s="39">
        <v>44197</v>
      </c>
    </row>
    <row r="4" spans="1:19" x14ac:dyDescent="0.25">
      <c r="A4" s="90">
        <v>44841</v>
      </c>
      <c r="B4" s="91" t="s">
        <v>156</v>
      </c>
      <c r="C4" s="91" t="s">
        <v>94</v>
      </c>
      <c r="D4" s="92" t="str">
        <f>VLOOKUP(C4,ALMACEN!A4:F40,3,FALSE)</f>
        <v>Vestidos elegantes</v>
      </c>
      <c r="E4" s="93">
        <f>VLOOKUP(C4,ALMACEN!A4:F40,4,FALSE)</f>
        <v>50</v>
      </c>
      <c r="F4" s="94">
        <v>11</v>
      </c>
      <c r="G4" s="95">
        <f>E4*F4</f>
        <v>550</v>
      </c>
      <c r="H4" s="96">
        <f>IF(G4&gt;=2000,G4*5%,G4*2%)</f>
        <v>11</v>
      </c>
      <c r="I4" s="95">
        <f>G4-H4</f>
        <v>539</v>
      </c>
      <c r="J4" s="95">
        <f>I4*0.18</f>
        <v>97.02</v>
      </c>
      <c r="K4" s="97">
        <f>I4+J4</f>
        <v>636.02</v>
      </c>
      <c r="L4" s="221"/>
      <c r="N4" t="s">
        <v>203</v>
      </c>
      <c r="O4">
        <v>100</v>
      </c>
      <c r="Q4" t="s">
        <v>203</v>
      </c>
      <c r="R4" s="39">
        <v>45027</v>
      </c>
    </row>
    <row r="5" spans="1:19" ht="16.5" customHeight="1" x14ac:dyDescent="0.25">
      <c r="A5" s="98">
        <v>44376</v>
      </c>
      <c r="B5" s="71" t="s">
        <v>157</v>
      </c>
      <c r="C5" s="1" t="s">
        <v>95</v>
      </c>
      <c r="D5" s="77" t="str">
        <f>VLOOKUP(C5,ALMACEN!A5:F41,3,FALSE)</f>
        <v>Blusas y camisetas de moda</v>
      </c>
      <c r="E5" s="86">
        <f>VLOOKUP(C5,ALMACEN!A5:F41,4,FALSE)</f>
        <v>25</v>
      </c>
      <c r="F5" s="87">
        <v>10</v>
      </c>
      <c r="G5" s="88">
        <f t="shared" ref="G5:G40" si="0">E5*F5</f>
        <v>250</v>
      </c>
      <c r="H5" s="89">
        <f t="shared" ref="H5:H40" si="1">IF(G5&gt;=2000,G5*5%,G5*2%)</f>
        <v>5</v>
      </c>
      <c r="I5" s="88">
        <f t="shared" ref="I5:I40" si="2">G5-H5</f>
        <v>245</v>
      </c>
      <c r="J5" s="88">
        <f t="shared" ref="J5:J40" si="3">I5*0.18</f>
        <v>44.1</v>
      </c>
      <c r="K5" s="99">
        <f t="shared" ref="K5:K40" si="4">I5+J5</f>
        <v>289.10000000000002</v>
      </c>
      <c r="L5" s="221"/>
    </row>
    <row r="6" spans="1:19" x14ac:dyDescent="0.25">
      <c r="A6" s="98">
        <v>44992</v>
      </c>
      <c r="B6" s="1" t="s">
        <v>158</v>
      </c>
      <c r="C6" s="1" t="s">
        <v>96</v>
      </c>
      <c r="D6" s="77" t="str">
        <f>VLOOKUP(C6,ALMACEN!A6:F42,3,FALSE)</f>
        <v>Pantalones y jeans</v>
      </c>
      <c r="E6" s="86">
        <f>VLOOKUP(C6,ALMACEN!A6:F42,4,FALSE)</f>
        <v>40</v>
      </c>
      <c r="F6" s="87">
        <v>95</v>
      </c>
      <c r="G6" s="88">
        <f t="shared" si="0"/>
        <v>3800</v>
      </c>
      <c r="H6" s="89">
        <f t="shared" si="1"/>
        <v>190</v>
      </c>
      <c r="I6" s="88">
        <f t="shared" si="2"/>
        <v>3610</v>
      </c>
      <c r="J6" s="88">
        <f t="shared" si="3"/>
        <v>649.79999999999995</v>
      </c>
      <c r="K6" s="99">
        <f t="shared" si="4"/>
        <v>4259.8</v>
      </c>
      <c r="L6" s="221"/>
    </row>
    <row r="7" spans="1:19" x14ac:dyDescent="0.25">
      <c r="A7" s="98">
        <v>45023</v>
      </c>
      <c r="B7" s="1" t="s">
        <v>159</v>
      </c>
      <c r="C7" s="1" t="s">
        <v>97</v>
      </c>
      <c r="D7" s="77" t="str">
        <f>VLOOKUP(C7,ALMACEN!A7:F43,3,FALSE)</f>
        <v>Faldas</v>
      </c>
      <c r="E7" s="86">
        <f>VLOOKUP(C7,ALMACEN!A7:F43,4,FALSE)</f>
        <v>30</v>
      </c>
      <c r="F7" s="87">
        <v>84</v>
      </c>
      <c r="G7" s="88">
        <f t="shared" si="0"/>
        <v>2520</v>
      </c>
      <c r="H7" s="89">
        <f t="shared" si="1"/>
        <v>126</v>
      </c>
      <c r="I7" s="88">
        <f t="shared" si="2"/>
        <v>2394</v>
      </c>
      <c r="J7" s="88">
        <f t="shared" si="3"/>
        <v>430.91999999999996</v>
      </c>
      <c r="K7" s="99">
        <f t="shared" si="4"/>
        <v>2824.92</v>
      </c>
      <c r="L7" s="221"/>
      <c r="N7" s="183" t="s">
        <v>204</v>
      </c>
      <c r="O7" s="183"/>
      <c r="P7" s="183"/>
      <c r="Q7" s="183"/>
      <c r="R7" s="183"/>
      <c r="S7" s="183"/>
    </row>
    <row r="8" spans="1:19" x14ac:dyDescent="0.25">
      <c r="A8" s="98">
        <v>44379</v>
      </c>
      <c r="B8" s="71" t="s">
        <v>160</v>
      </c>
      <c r="C8" s="1" t="s">
        <v>98</v>
      </c>
      <c r="D8" s="77" t="str">
        <f>VLOOKUP(C8,ALMACEN!A8:F44,3,FALSE)</f>
        <v>Chaquetas y abrigos</v>
      </c>
      <c r="E8" s="86">
        <f>VLOOKUP(C8,ALMACEN!A8:F44,4,FALSE)</f>
        <v>60</v>
      </c>
      <c r="F8" s="87">
        <v>65</v>
      </c>
      <c r="G8" s="88">
        <f t="shared" si="0"/>
        <v>3900</v>
      </c>
      <c r="H8" s="89">
        <f t="shared" si="1"/>
        <v>195</v>
      </c>
      <c r="I8" s="88">
        <f t="shared" si="2"/>
        <v>3705</v>
      </c>
      <c r="J8" s="88">
        <f t="shared" si="3"/>
        <v>666.9</v>
      </c>
      <c r="K8" s="99">
        <f t="shared" si="4"/>
        <v>4371.8999999999996</v>
      </c>
      <c r="L8" s="221"/>
      <c r="N8" s="17"/>
      <c r="O8" s="17"/>
      <c r="P8" s="17"/>
      <c r="Q8" s="17"/>
      <c r="R8" s="17"/>
      <c r="S8" s="17"/>
    </row>
    <row r="9" spans="1:19" x14ac:dyDescent="0.25">
      <c r="A9" s="98">
        <v>44484</v>
      </c>
      <c r="B9" s="1" t="s">
        <v>161</v>
      </c>
      <c r="C9" s="1" t="s">
        <v>99</v>
      </c>
      <c r="D9" s="77" t="str">
        <f>VLOOKUP(C9,ALMACEN!A9:F45,3,FALSE)</f>
        <v>Ropa de dormir y ropa interior</v>
      </c>
      <c r="E9" s="86">
        <f>VLOOKUP(C9,ALMACEN!A9:F45,4,FALSE)</f>
        <v>15</v>
      </c>
      <c r="F9" s="87">
        <v>41</v>
      </c>
      <c r="G9" s="88">
        <f t="shared" si="0"/>
        <v>615</v>
      </c>
      <c r="H9" s="89">
        <f t="shared" si="1"/>
        <v>12.3</v>
      </c>
      <c r="I9" s="88">
        <f t="shared" si="2"/>
        <v>602.70000000000005</v>
      </c>
      <c r="J9" s="88">
        <f t="shared" si="3"/>
        <v>108.486</v>
      </c>
      <c r="K9" s="99">
        <f t="shared" si="4"/>
        <v>711.18600000000004</v>
      </c>
      <c r="L9" s="221"/>
      <c r="N9" s="17"/>
      <c r="O9" s="17"/>
      <c r="P9" s="17"/>
      <c r="Q9" s="17"/>
      <c r="R9" s="17"/>
      <c r="S9" s="17"/>
    </row>
    <row r="10" spans="1:19" x14ac:dyDescent="0.25">
      <c r="A10" s="98">
        <v>45004</v>
      </c>
      <c r="B10" s="1" t="s">
        <v>162</v>
      </c>
      <c r="C10" s="1" t="s">
        <v>100</v>
      </c>
      <c r="D10" s="77" t="str">
        <f>VLOOKUP(C10,ALMACEN!A10:F46,3,FALSE)</f>
        <v>Trajes de baño</v>
      </c>
      <c r="E10" s="86">
        <f>VLOOKUP(C10,ALMACEN!A10:F46,4,FALSE)</f>
        <v>45</v>
      </c>
      <c r="F10" s="87">
        <v>34</v>
      </c>
      <c r="G10" s="88">
        <f t="shared" si="0"/>
        <v>1530</v>
      </c>
      <c r="H10" s="89">
        <f t="shared" si="1"/>
        <v>30.6</v>
      </c>
      <c r="I10" s="88">
        <f t="shared" si="2"/>
        <v>1499.4</v>
      </c>
      <c r="J10" s="88">
        <f t="shared" si="3"/>
        <v>269.892</v>
      </c>
      <c r="K10" s="99">
        <f t="shared" si="4"/>
        <v>1769.2920000000001</v>
      </c>
      <c r="L10" s="221"/>
      <c r="N10" s="183" t="s">
        <v>93</v>
      </c>
      <c r="O10" s="183"/>
      <c r="P10" s="183"/>
      <c r="Q10" s="183"/>
      <c r="R10" s="183"/>
      <c r="S10" s="183"/>
    </row>
    <row r="11" spans="1:19" x14ac:dyDescent="0.25">
      <c r="A11" s="98">
        <v>44757</v>
      </c>
      <c r="B11" s="1" t="s">
        <v>163</v>
      </c>
      <c r="C11" s="1" t="s">
        <v>101</v>
      </c>
      <c r="D11" s="77" t="str">
        <f>VLOOKUP(C11,ALMACEN!A11:F47,3,FALSE)</f>
        <v>Ropa deportiva</v>
      </c>
      <c r="E11" s="86">
        <f>VLOOKUP(C11,ALMACEN!A11:F47,4,FALSE)</f>
        <v>35</v>
      </c>
      <c r="F11" s="87">
        <v>54</v>
      </c>
      <c r="G11" s="88">
        <f t="shared" si="0"/>
        <v>1890</v>
      </c>
      <c r="H11" s="89">
        <f t="shared" si="1"/>
        <v>37.800000000000004</v>
      </c>
      <c r="I11" s="88">
        <f t="shared" si="2"/>
        <v>1852.2</v>
      </c>
      <c r="J11" s="88">
        <f t="shared" si="3"/>
        <v>333.39600000000002</v>
      </c>
      <c r="K11" s="99">
        <f t="shared" si="4"/>
        <v>2185.596</v>
      </c>
      <c r="L11" s="221"/>
      <c r="N11" s="17"/>
      <c r="O11" s="17"/>
      <c r="P11" s="17"/>
      <c r="Q11" s="17"/>
      <c r="R11" s="17"/>
      <c r="S11" s="17"/>
    </row>
    <row r="12" spans="1:19" x14ac:dyDescent="0.25">
      <c r="A12" s="98">
        <v>44300</v>
      </c>
      <c r="B12" s="1" t="s">
        <v>164</v>
      </c>
      <c r="C12" s="1" t="s">
        <v>102</v>
      </c>
      <c r="D12" s="77" t="str">
        <f>VLOOKUP(C12,ALMACEN!A12:F48,3,FALSE)</f>
        <v>Conjuntos de moda</v>
      </c>
      <c r="E12" s="86">
        <f>VLOOKUP(C12,ALMACEN!A12:F48,4,FALSE)</f>
        <v>55</v>
      </c>
      <c r="F12" s="87">
        <v>37</v>
      </c>
      <c r="G12" s="88">
        <f t="shared" si="0"/>
        <v>2035</v>
      </c>
      <c r="H12" s="89">
        <f t="shared" si="1"/>
        <v>101.75</v>
      </c>
      <c r="I12" s="88">
        <f t="shared" si="2"/>
        <v>1933.25</v>
      </c>
      <c r="J12" s="88">
        <f t="shared" si="3"/>
        <v>347.98500000000001</v>
      </c>
      <c r="K12" s="99">
        <f t="shared" si="4"/>
        <v>2281.2350000000001</v>
      </c>
      <c r="L12" s="221"/>
      <c r="N12" s="183" t="s">
        <v>139</v>
      </c>
      <c r="O12" s="183"/>
      <c r="P12" s="183"/>
      <c r="Q12" s="183"/>
      <c r="R12" s="183"/>
      <c r="S12" s="183"/>
    </row>
    <row r="13" spans="1:19" x14ac:dyDescent="0.25">
      <c r="A13" s="98">
        <v>44260</v>
      </c>
      <c r="B13" s="1" t="s">
        <v>165</v>
      </c>
      <c r="C13" s="1" t="s">
        <v>103</v>
      </c>
      <c r="D13" s="77" t="str">
        <f>VLOOKUP(C13,ALMACEN!A13:F49,3,FALSE)</f>
        <v>Ropa de maternidad</v>
      </c>
      <c r="E13" s="86">
        <f>VLOOKUP(C13,ALMACEN!A13:F49,4,FALSE)</f>
        <v>45</v>
      </c>
      <c r="F13" s="87">
        <v>51</v>
      </c>
      <c r="G13" s="88">
        <f t="shared" si="0"/>
        <v>2295</v>
      </c>
      <c r="H13" s="89">
        <f t="shared" si="1"/>
        <v>114.75</v>
      </c>
      <c r="I13" s="88">
        <f t="shared" si="2"/>
        <v>2180.25</v>
      </c>
      <c r="J13" s="88">
        <f t="shared" si="3"/>
        <v>392.44499999999999</v>
      </c>
      <c r="K13" s="99">
        <f t="shared" si="4"/>
        <v>2572.6950000000002</v>
      </c>
      <c r="L13" s="221"/>
    </row>
    <row r="14" spans="1:19" x14ac:dyDescent="0.25">
      <c r="A14" s="98">
        <v>44208</v>
      </c>
      <c r="B14" s="1" t="s">
        <v>166</v>
      </c>
      <c r="C14" s="1" t="s">
        <v>104</v>
      </c>
      <c r="D14" s="77" t="str">
        <f>VLOOKUP(C14,ALMACEN!A14:F50,3,FALSE)</f>
        <v>Tallas grandes</v>
      </c>
      <c r="E14" s="86">
        <f>VLOOKUP(C14,ALMACEN!A14:F50,4,FALSE)</f>
        <v>40</v>
      </c>
      <c r="F14" s="87">
        <v>22</v>
      </c>
      <c r="G14" s="88">
        <f t="shared" si="0"/>
        <v>880</v>
      </c>
      <c r="H14" s="89">
        <f t="shared" si="1"/>
        <v>17.600000000000001</v>
      </c>
      <c r="I14" s="88">
        <f t="shared" si="2"/>
        <v>862.4</v>
      </c>
      <c r="J14" s="88">
        <f t="shared" si="3"/>
        <v>155.232</v>
      </c>
      <c r="K14" s="99">
        <f t="shared" si="4"/>
        <v>1017.6319999999999</v>
      </c>
      <c r="L14" s="221"/>
      <c r="N14" s="183" t="s">
        <v>140</v>
      </c>
      <c r="O14" s="183"/>
      <c r="P14" s="183"/>
      <c r="Q14" s="183"/>
      <c r="R14" s="183"/>
      <c r="S14" s="183"/>
    </row>
    <row r="15" spans="1:19" x14ac:dyDescent="0.25">
      <c r="A15" s="98">
        <v>44801</v>
      </c>
      <c r="B15" s="1" t="s">
        <v>167</v>
      </c>
      <c r="C15" s="1" t="s">
        <v>105</v>
      </c>
      <c r="D15" s="77" t="str">
        <f>VLOOKUP(C15,ALMACEN!A15:F51,3,FALSE)</f>
        <v>Bolsos y carteras</v>
      </c>
      <c r="E15" s="86">
        <f>VLOOKUP(C15,ALMACEN!A15:F51,4,FALSE)</f>
        <v>60</v>
      </c>
      <c r="F15" s="87">
        <v>68</v>
      </c>
      <c r="G15" s="88">
        <f t="shared" si="0"/>
        <v>4080</v>
      </c>
      <c r="H15" s="89">
        <f t="shared" si="1"/>
        <v>204</v>
      </c>
      <c r="I15" s="88">
        <f t="shared" si="2"/>
        <v>3876</v>
      </c>
      <c r="J15" s="88">
        <f t="shared" si="3"/>
        <v>697.68</v>
      </c>
      <c r="K15" s="99">
        <f t="shared" si="4"/>
        <v>4573.68</v>
      </c>
      <c r="L15" s="221"/>
    </row>
    <row r="16" spans="1:19" ht="15" customHeight="1" x14ac:dyDescent="0.25">
      <c r="A16" s="98">
        <v>44965</v>
      </c>
      <c r="B16" s="1" t="s">
        <v>168</v>
      </c>
      <c r="C16" s="1" t="s">
        <v>106</v>
      </c>
      <c r="D16" s="77" t="str">
        <f>VLOOKUP(C16,ALMACEN!A16:F52,3,FALSE)</f>
        <v>Joyería (collares, pulseras, aretes)</v>
      </c>
      <c r="E16" s="86">
        <f>VLOOKUP(C16,ALMACEN!A16:F52,4,FALSE)</f>
        <v>20</v>
      </c>
      <c r="F16" s="87">
        <v>69</v>
      </c>
      <c r="G16" s="88">
        <f t="shared" si="0"/>
        <v>1380</v>
      </c>
      <c r="H16" s="89">
        <f t="shared" si="1"/>
        <v>27.6</v>
      </c>
      <c r="I16" s="88">
        <f t="shared" si="2"/>
        <v>1352.4</v>
      </c>
      <c r="J16" s="88">
        <f t="shared" si="3"/>
        <v>243.43200000000002</v>
      </c>
      <c r="K16" s="99">
        <f t="shared" si="4"/>
        <v>1595.8320000000001</v>
      </c>
      <c r="L16" s="221"/>
      <c r="N16" s="188" t="s">
        <v>219</v>
      </c>
      <c r="O16" s="188"/>
      <c r="P16" s="188"/>
      <c r="Q16" s="188"/>
      <c r="R16" s="188"/>
      <c r="S16" s="188"/>
    </row>
    <row r="17" spans="1:20" x14ac:dyDescent="0.25">
      <c r="A17" s="98">
        <v>44688</v>
      </c>
      <c r="B17" s="71" t="s">
        <v>170</v>
      </c>
      <c r="C17" s="1" t="s">
        <v>107</v>
      </c>
      <c r="D17" s="77" t="str">
        <f>VLOOKUP(C17,ALMACEN!A17:F53,3,FALSE)</f>
        <v>Bufandas y pañuelos</v>
      </c>
      <c r="E17" s="86">
        <f>VLOOKUP(C17,ALMACEN!A17:F53,4,FALSE)</f>
        <v>10</v>
      </c>
      <c r="F17" s="87">
        <v>22</v>
      </c>
      <c r="G17" s="88">
        <f t="shared" si="0"/>
        <v>220</v>
      </c>
      <c r="H17" s="89">
        <f t="shared" si="1"/>
        <v>4.4000000000000004</v>
      </c>
      <c r="I17" s="88">
        <f t="shared" si="2"/>
        <v>215.6</v>
      </c>
      <c r="J17" s="88">
        <f t="shared" si="3"/>
        <v>38.808</v>
      </c>
      <c r="K17" s="99">
        <f t="shared" si="4"/>
        <v>254.40799999999999</v>
      </c>
      <c r="L17" s="221"/>
      <c r="N17" s="188"/>
      <c r="O17" s="188"/>
      <c r="P17" s="188"/>
      <c r="Q17" s="188"/>
      <c r="R17" s="188"/>
      <c r="S17" s="188"/>
    </row>
    <row r="18" spans="1:20" x14ac:dyDescent="0.25">
      <c r="A18" s="98">
        <v>44766</v>
      </c>
      <c r="B18" s="1" t="s">
        <v>171</v>
      </c>
      <c r="C18" s="1" t="s">
        <v>108</v>
      </c>
      <c r="D18" s="77" t="str">
        <f>VLOOKUP(C18,ALMACEN!A18:F54,3,FALSE)</f>
        <v>Sombreros y gorras</v>
      </c>
      <c r="E18" s="86">
        <f>VLOOKUP(C18,ALMACEN!A18:F54,4,FALSE)</f>
        <v>15</v>
      </c>
      <c r="F18" s="87">
        <v>14</v>
      </c>
      <c r="G18" s="88">
        <f t="shared" si="0"/>
        <v>210</v>
      </c>
      <c r="H18" s="89">
        <f t="shared" si="1"/>
        <v>4.2</v>
      </c>
      <c r="I18" s="88">
        <f t="shared" si="2"/>
        <v>205.8</v>
      </c>
      <c r="J18" s="88">
        <f t="shared" si="3"/>
        <v>37.044000000000004</v>
      </c>
      <c r="K18" s="99">
        <f t="shared" si="4"/>
        <v>242.84400000000002</v>
      </c>
      <c r="L18" s="221"/>
      <c r="N18" s="188"/>
      <c r="O18" s="188"/>
      <c r="P18" s="188"/>
      <c r="Q18" s="188"/>
      <c r="R18" s="188"/>
      <c r="S18" s="188"/>
    </row>
    <row r="19" spans="1:20" x14ac:dyDescent="0.25">
      <c r="A19" s="98">
        <v>44789</v>
      </c>
      <c r="B19" s="1" t="s">
        <v>172</v>
      </c>
      <c r="C19" s="1" t="s">
        <v>109</v>
      </c>
      <c r="D19" s="77" t="str">
        <f>VLOOKUP(C19,ALMACEN!A19:F55,3,FALSE)</f>
        <v>Cinturones</v>
      </c>
      <c r="E19" s="86">
        <f>VLOOKUP(C19,ALMACEN!A19:F55,4,FALSE)</f>
        <v>25</v>
      </c>
      <c r="F19" s="87">
        <v>17</v>
      </c>
      <c r="G19" s="88">
        <f t="shared" si="0"/>
        <v>425</v>
      </c>
      <c r="H19" s="89">
        <f t="shared" si="1"/>
        <v>8.5</v>
      </c>
      <c r="I19" s="88">
        <f t="shared" si="2"/>
        <v>416.5</v>
      </c>
      <c r="J19" s="88">
        <f t="shared" si="3"/>
        <v>74.97</v>
      </c>
      <c r="K19" s="99">
        <f t="shared" si="4"/>
        <v>491.47</v>
      </c>
      <c r="L19" s="221"/>
      <c r="N19" s="188"/>
      <c r="O19" s="188"/>
      <c r="P19" s="188"/>
      <c r="Q19" s="188"/>
      <c r="R19" s="188"/>
      <c r="S19" s="188"/>
    </row>
    <row r="20" spans="1:20" x14ac:dyDescent="0.25">
      <c r="A20" s="98">
        <v>44916</v>
      </c>
      <c r="B20" s="1" t="s">
        <v>173</v>
      </c>
      <c r="C20" s="1" t="s">
        <v>110</v>
      </c>
      <c r="D20" s="77" t="str">
        <f>VLOOKUP(C20,ALMACEN!A20:F56,3,FALSE)</f>
        <v>Gafas de sol</v>
      </c>
      <c r="E20" s="86">
        <f>VLOOKUP(C20,ALMACEN!A20:F56,4,FALSE)</f>
        <v>30</v>
      </c>
      <c r="F20" s="87">
        <v>48</v>
      </c>
      <c r="G20" s="88">
        <f t="shared" si="0"/>
        <v>1440</v>
      </c>
      <c r="H20" s="89">
        <f t="shared" si="1"/>
        <v>28.8</v>
      </c>
      <c r="I20" s="88">
        <f t="shared" si="2"/>
        <v>1411.2</v>
      </c>
      <c r="J20" s="88">
        <f t="shared" si="3"/>
        <v>254.01599999999999</v>
      </c>
      <c r="K20" s="99">
        <f t="shared" si="4"/>
        <v>1665.2160000000001</v>
      </c>
      <c r="L20" s="221"/>
      <c r="N20" s="188"/>
      <c r="O20" s="188"/>
      <c r="P20" s="188"/>
      <c r="Q20" s="188"/>
      <c r="R20" s="188"/>
      <c r="S20" s="188"/>
    </row>
    <row r="21" spans="1:20" x14ac:dyDescent="0.25">
      <c r="A21" s="98">
        <v>44400</v>
      </c>
      <c r="B21" s="1" t="s">
        <v>175</v>
      </c>
      <c r="C21" s="1" t="s">
        <v>111</v>
      </c>
      <c r="D21" s="77" t="str">
        <f>VLOOKUP(C21,ALMACEN!A21:F57,3,FALSE)</f>
        <v>Relojes de moda</v>
      </c>
      <c r="E21" s="86">
        <f>VLOOKUP(C21,ALMACEN!A21:F57,4,FALSE)</f>
        <v>50</v>
      </c>
      <c r="F21" s="87">
        <v>19</v>
      </c>
      <c r="G21" s="88">
        <f t="shared" si="0"/>
        <v>950</v>
      </c>
      <c r="H21" s="89">
        <f t="shared" si="1"/>
        <v>19</v>
      </c>
      <c r="I21" s="88">
        <f t="shared" si="2"/>
        <v>931</v>
      </c>
      <c r="J21" s="88">
        <f t="shared" si="3"/>
        <v>167.57999999999998</v>
      </c>
      <c r="K21" s="99">
        <f t="shared" si="4"/>
        <v>1098.58</v>
      </c>
      <c r="L21" s="221"/>
    </row>
    <row r="22" spans="1:20" x14ac:dyDescent="0.25">
      <c r="A22" s="98">
        <v>44325</v>
      </c>
      <c r="B22" s="1" t="s">
        <v>176</v>
      </c>
      <c r="C22" s="1" t="s">
        <v>112</v>
      </c>
      <c r="D22" s="77" t="str">
        <f>VLOOKUP(C22,ALMACEN!A22:F58,3,FALSE)</f>
        <v>Calcetines y medias</v>
      </c>
      <c r="E22" s="86">
        <f>VLOOKUP(C22,ALMACEN!A22:F58,4,FALSE)</f>
        <v>10</v>
      </c>
      <c r="F22" s="87">
        <v>92</v>
      </c>
      <c r="G22" s="88">
        <f t="shared" si="0"/>
        <v>920</v>
      </c>
      <c r="H22" s="89">
        <f t="shared" si="1"/>
        <v>18.400000000000002</v>
      </c>
      <c r="I22" s="88">
        <f t="shared" si="2"/>
        <v>901.6</v>
      </c>
      <c r="J22" s="88">
        <f t="shared" si="3"/>
        <v>162.28800000000001</v>
      </c>
      <c r="K22" s="99">
        <f t="shared" si="4"/>
        <v>1063.8879999999999</v>
      </c>
      <c r="L22" s="221"/>
    </row>
    <row r="23" spans="1:20" x14ac:dyDescent="0.25">
      <c r="A23" s="98">
        <v>44667</v>
      </c>
      <c r="B23" s="1" t="s">
        <v>177</v>
      </c>
      <c r="C23" s="1" t="s">
        <v>113</v>
      </c>
      <c r="D23" s="77" t="str">
        <f>VLOOKUP(C23,ALMACEN!A23:F59,3,FALSE)</f>
        <v>Calzado (zapatos, botas, sandalias)</v>
      </c>
      <c r="E23" s="86">
        <f>VLOOKUP(C23,ALMACEN!A23:F59,4,FALSE)</f>
        <v>40</v>
      </c>
      <c r="F23" s="87">
        <v>59</v>
      </c>
      <c r="G23" s="88">
        <f t="shared" si="0"/>
        <v>2360</v>
      </c>
      <c r="H23" s="89">
        <f t="shared" si="1"/>
        <v>118</v>
      </c>
      <c r="I23" s="88">
        <f t="shared" si="2"/>
        <v>2242</v>
      </c>
      <c r="J23" s="88">
        <f t="shared" si="3"/>
        <v>403.56</v>
      </c>
      <c r="K23" s="99">
        <f t="shared" si="4"/>
        <v>2645.56</v>
      </c>
      <c r="L23" s="221"/>
    </row>
    <row r="24" spans="1:20" x14ac:dyDescent="0.25">
      <c r="A24" s="98">
        <v>44981</v>
      </c>
      <c r="B24" s="1" t="s">
        <v>178</v>
      </c>
      <c r="C24" s="1" t="s">
        <v>114</v>
      </c>
      <c r="D24" s="77" t="str">
        <f>VLOOKUP(C24,ALMACEN!A24:F60,3,FALSE)</f>
        <v>Camisas</v>
      </c>
      <c r="E24" s="86">
        <f>VLOOKUP(C24,ALMACEN!A24:F60,4,FALSE)</f>
        <v>30</v>
      </c>
      <c r="F24" s="87">
        <v>85</v>
      </c>
      <c r="G24" s="88">
        <f t="shared" si="0"/>
        <v>2550</v>
      </c>
      <c r="H24" s="89">
        <f t="shared" si="1"/>
        <v>127.5</v>
      </c>
      <c r="I24" s="88">
        <f t="shared" si="2"/>
        <v>2422.5</v>
      </c>
      <c r="J24" s="88">
        <f t="shared" si="3"/>
        <v>436.05</v>
      </c>
      <c r="K24" s="99">
        <f t="shared" si="4"/>
        <v>2858.55</v>
      </c>
      <c r="L24" s="221"/>
      <c r="N24" s="183" t="s">
        <v>141</v>
      </c>
      <c r="O24" s="183"/>
      <c r="P24" s="183"/>
      <c r="Q24" s="183"/>
      <c r="R24" s="183"/>
      <c r="S24" s="183"/>
      <c r="T24" s="183"/>
    </row>
    <row r="25" spans="1:20" x14ac:dyDescent="0.25">
      <c r="A25" s="98">
        <v>44336</v>
      </c>
      <c r="B25" s="1" t="s">
        <v>179</v>
      </c>
      <c r="C25" s="1" t="s">
        <v>115</v>
      </c>
      <c r="D25" s="77" t="str">
        <f>VLOOKUP(C25,ALMACEN!A25:F61,3,FALSE)</f>
        <v>Camisetas y polos</v>
      </c>
      <c r="E25" s="86">
        <f>VLOOKUP(C25,ALMACEN!A25:F61,4,FALSE)</f>
        <v>20</v>
      </c>
      <c r="F25" s="87">
        <v>39</v>
      </c>
      <c r="G25" s="88">
        <f t="shared" si="0"/>
        <v>780</v>
      </c>
      <c r="H25" s="89">
        <f t="shared" si="1"/>
        <v>15.6</v>
      </c>
      <c r="I25" s="88">
        <f t="shared" si="2"/>
        <v>764.4</v>
      </c>
      <c r="J25" s="88">
        <f t="shared" si="3"/>
        <v>137.59199999999998</v>
      </c>
      <c r="K25" s="99">
        <f t="shared" si="4"/>
        <v>901.99199999999996</v>
      </c>
      <c r="L25" s="221"/>
      <c r="N25" s="72"/>
      <c r="O25" s="72"/>
      <c r="P25" s="72"/>
      <c r="Q25" s="72"/>
      <c r="R25" s="72"/>
      <c r="S25" s="72"/>
      <c r="T25" s="72"/>
    </row>
    <row r="26" spans="1:20" x14ac:dyDescent="0.25">
      <c r="A26" s="98">
        <v>44294</v>
      </c>
      <c r="B26" s="1" t="s">
        <v>181</v>
      </c>
      <c r="C26" s="1" t="s">
        <v>116</v>
      </c>
      <c r="D26" s="77" t="str">
        <f>VLOOKUP(C26,ALMACEN!A26:F62,3,FALSE)</f>
        <v>Pantalones y vaqueros</v>
      </c>
      <c r="E26" s="86">
        <f>VLOOKUP(C26,ALMACEN!A26:F62,4,FALSE)</f>
        <v>50</v>
      </c>
      <c r="F26" s="87">
        <v>93</v>
      </c>
      <c r="G26" s="88">
        <f t="shared" si="0"/>
        <v>4650</v>
      </c>
      <c r="H26" s="89">
        <f t="shared" si="1"/>
        <v>232.5</v>
      </c>
      <c r="I26" s="88">
        <f t="shared" si="2"/>
        <v>4417.5</v>
      </c>
      <c r="J26" s="88">
        <f t="shared" si="3"/>
        <v>795.15</v>
      </c>
      <c r="K26" s="99">
        <f t="shared" si="4"/>
        <v>5212.6499999999996</v>
      </c>
      <c r="L26" s="221"/>
      <c r="N26" s="183" t="s">
        <v>142</v>
      </c>
      <c r="O26" s="183"/>
      <c r="P26" s="183"/>
      <c r="Q26" s="183"/>
      <c r="R26" s="183"/>
      <c r="S26" s="183"/>
      <c r="T26" s="183"/>
    </row>
    <row r="27" spans="1:20" x14ac:dyDescent="0.25">
      <c r="A27" s="98">
        <v>44803</v>
      </c>
      <c r="B27" s="1" t="s">
        <v>182</v>
      </c>
      <c r="C27" s="1" t="s">
        <v>117</v>
      </c>
      <c r="D27" s="77" t="str">
        <f>VLOOKUP(C27,ALMACEN!A27:F63,3,FALSE)</f>
        <v>Trajes y ropa formal</v>
      </c>
      <c r="E27" s="86">
        <f>VLOOKUP(C27,ALMACEN!A27:F63,4,FALSE)</f>
        <v>70</v>
      </c>
      <c r="F27" s="87">
        <v>13</v>
      </c>
      <c r="G27" s="88">
        <f t="shared" si="0"/>
        <v>910</v>
      </c>
      <c r="H27" s="89">
        <f t="shared" si="1"/>
        <v>18.2</v>
      </c>
      <c r="I27" s="88">
        <f t="shared" si="2"/>
        <v>891.8</v>
      </c>
      <c r="J27" s="88">
        <f t="shared" si="3"/>
        <v>160.52399999999997</v>
      </c>
      <c r="K27" s="99">
        <f t="shared" si="4"/>
        <v>1052.3239999999998</v>
      </c>
      <c r="L27" s="221"/>
      <c r="N27" s="72"/>
      <c r="O27" s="72"/>
      <c r="P27" s="72"/>
      <c r="Q27" s="72"/>
      <c r="R27" s="72"/>
      <c r="S27" s="72"/>
      <c r="T27" s="72"/>
    </row>
    <row r="28" spans="1:20" x14ac:dyDescent="0.25">
      <c r="A28" s="98">
        <v>44580</v>
      </c>
      <c r="B28" s="1" t="s">
        <v>183</v>
      </c>
      <c r="C28" s="1" t="s">
        <v>118</v>
      </c>
      <c r="D28" s="77" t="str">
        <f>VLOOKUP(C28,ALMACEN!A28:F64,3,FALSE)</f>
        <v>Chaquetas y abrigos</v>
      </c>
      <c r="E28" s="86">
        <f>VLOOKUP(C28,ALMACEN!A28:F64,4,FALSE)</f>
        <v>15</v>
      </c>
      <c r="F28" s="87">
        <v>64</v>
      </c>
      <c r="G28" s="88">
        <f t="shared" si="0"/>
        <v>960</v>
      </c>
      <c r="H28" s="89">
        <f t="shared" si="1"/>
        <v>19.2</v>
      </c>
      <c r="I28" s="88">
        <f t="shared" si="2"/>
        <v>940.8</v>
      </c>
      <c r="J28" s="88">
        <f t="shared" si="3"/>
        <v>169.34399999999999</v>
      </c>
      <c r="K28" s="99">
        <f t="shared" si="4"/>
        <v>1110.144</v>
      </c>
      <c r="L28" s="221"/>
      <c r="N28" s="186" t="s">
        <v>143</v>
      </c>
      <c r="O28" s="186"/>
      <c r="P28" s="186"/>
      <c r="Q28" s="186"/>
      <c r="R28" s="186"/>
      <c r="S28" s="186"/>
      <c r="T28" s="186"/>
    </row>
    <row r="29" spans="1:20" x14ac:dyDescent="0.25">
      <c r="A29" s="98">
        <v>44244</v>
      </c>
      <c r="B29" s="1" t="s">
        <v>184</v>
      </c>
      <c r="C29" s="1" t="s">
        <v>119</v>
      </c>
      <c r="D29" s="77" t="str">
        <f>VLOOKUP(C29,ALMACEN!A29:F65,3,FALSE)</f>
        <v>Ropa interior y calcetines</v>
      </c>
      <c r="E29" s="86">
        <f>VLOOKUP(C29,ALMACEN!A29:F65,4,FALSE)</f>
        <v>10</v>
      </c>
      <c r="F29" s="87">
        <v>80</v>
      </c>
      <c r="G29" s="88">
        <f t="shared" si="0"/>
        <v>800</v>
      </c>
      <c r="H29" s="89">
        <f t="shared" si="1"/>
        <v>16</v>
      </c>
      <c r="I29" s="88">
        <f t="shared" si="2"/>
        <v>784</v>
      </c>
      <c r="J29" s="88">
        <f t="shared" si="3"/>
        <v>141.12</v>
      </c>
      <c r="K29" s="99">
        <f t="shared" si="4"/>
        <v>925.12</v>
      </c>
      <c r="L29" s="221"/>
      <c r="N29" s="72"/>
      <c r="O29" s="72"/>
      <c r="P29" s="72"/>
      <c r="Q29" s="72"/>
      <c r="R29" s="72"/>
      <c r="S29" s="72"/>
      <c r="T29" s="72"/>
    </row>
    <row r="30" spans="1:20" x14ac:dyDescent="0.25">
      <c r="A30" s="98">
        <v>44648</v>
      </c>
      <c r="B30" s="1" t="s">
        <v>185</v>
      </c>
      <c r="C30" s="1" t="s">
        <v>120</v>
      </c>
      <c r="D30" s="77" t="str">
        <f>VLOOKUP(C30,ALMACEN!A30:F66,3,FALSE)</f>
        <v>Trajes de baño</v>
      </c>
      <c r="E30" s="86">
        <f>VLOOKUP(C30,ALMACEN!A30:F66,4,FALSE)</f>
        <v>25</v>
      </c>
      <c r="F30" s="87">
        <v>29</v>
      </c>
      <c r="G30" s="88">
        <f t="shared" si="0"/>
        <v>725</v>
      </c>
      <c r="H30" s="89">
        <f t="shared" si="1"/>
        <v>14.5</v>
      </c>
      <c r="I30" s="88">
        <f t="shared" si="2"/>
        <v>710.5</v>
      </c>
      <c r="J30" s="88">
        <f t="shared" si="3"/>
        <v>127.89</v>
      </c>
      <c r="K30" s="99">
        <f t="shared" si="4"/>
        <v>838.39</v>
      </c>
      <c r="L30" s="221"/>
    </row>
    <row r="31" spans="1:20" x14ac:dyDescent="0.25">
      <c r="A31" s="98">
        <v>44345</v>
      </c>
      <c r="B31" s="1" t="s">
        <v>187</v>
      </c>
      <c r="C31" s="1" t="s">
        <v>121</v>
      </c>
      <c r="D31" s="77" t="str">
        <f>VLOOKUP(C31,ALMACEN!A31:F67,3,FALSE)</f>
        <v>Ropa deportiva</v>
      </c>
      <c r="E31" s="86">
        <f>VLOOKUP(C31,ALMACEN!A31:F67,4,FALSE)</f>
        <v>30</v>
      </c>
      <c r="F31" s="87">
        <v>68</v>
      </c>
      <c r="G31" s="88">
        <f t="shared" si="0"/>
        <v>2040</v>
      </c>
      <c r="H31" s="89">
        <f t="shared" si="1"/>
        <v>102</v>
      </c>
      <c r="I31" s="88">
        <f t="shared" si="2"/>
        <v>1938</v>
      </c>
      <c r="J31" s="88">
        <f t="shared" si="3"/>
        <v>348.84</v>
      </c>
      <c r="K31" s="99">
        <f t="shared" si="4"/>
        <v>2286.84</v>
      </c>
      <c r="L31" s="221"/>
    </row>
    <row r="32" spans="1:20" x14ac:dyDescent="0.25">
      <c r="A32" s="98">
        <v>44940</v>
      </c>
      <c r="B32" s="1" t="s">
        <v>189</v>
      </c>
      <c r="C32" s="1" t="s">
        <v>122</v>
      </c>
      <c r="D32" s="77" t="str">
        <f>VLOOKUP(C32,ALMACEN!A32:F68,3,FALSE)</f>
        <v>Tallas grandes</v>
      </c>
      <c r="E32" s="86">
        <f>VLOOKUP(C32,ALMACEN!A32:F68,4,FALSE)</f>
        <v>40</v>
      </c>
      <c r="F32" s="87">
        <v>52</v>
      </c>
      <c r="G32" s="88">
        <f t="shared" si="0"/>
        <v>2080</v>
      </c>
      <c r="H32" s="89">
        <f t="shared" si="1"/>
        <v>104</v>
      </c>
      <c r="I32" s="88">
        <f t="shared" si="2"/>
        <v>1976</v>
      </c>
      <c r="J32" s="88">
        <f t="shared" si="3"/>
        <v>355.68</v>
      </c>
      <c r="K32" s="99">
        <f t="shared" si="4"/>
        <v>2331.6799999999998</v>
      </c>
      <c r="L32" s="221"/>
    </row>
    <row r="33" spans="1:12" x14ac:dyDescent="0.25">
      <c r="A33" s="98">
        <v>44211</v>
      </c>
      <c r="B33" s="1" t="s">
        <v>190</v>
      </c>
      <c r="C33" s="1" t="s">
        <v>123</v>
      </c>
      <c r="D33" s="77" t="str">
        <f>VLOOKUP(C33,ALMACEN!A33:F69,3,FALSE)</f>
        <v>Carteras y billeteras</v>
      </c>
      <c r="E33" s="86">
        <f>VLOOKUP(C33,ALMACEN!A33:F69,4,FALSE)</f>
        <v>25</v>
      </c>
      <c r="F33" s="87">
        <v>11</v>
      </c>
      <c r="G33" s="88">
        <f t="shared" si="0"/>
        <v>275</v>
      </c>
      <c r="H33" s="89">
        <f t="shared" si="1"/>
        <v>5.5</v>
      </c>
      <c r="I33" s="88">
        <f t="shared" si="2"/>
        <v>269.5</v>
      </c>
      <c r="J33" s="88">
        <f t="shared" si="3"/>
        <v>48.51</v>
      </c>
      <c r="K33" s="99">
        <f t="shared" si="4"/>
        <v>318.01</v>
      </c>
      <c r="L33" s="221"/>
    </row>
    <row r="34" spans="1:12" x14ac:dyDescent="0.25">
      <c r="A34" s="98">
        <v>44254</v>
      </c>
      <c r="B34" s="71" t="s">
        <v>191</v>
      </c>
      <c r="C34" s="1" t="s">
        <v>124</v>
      </c>
      <c r="D34" s="77" t="str">
        <f>VLOOKUP(C34,ALMACEN!A34:F70,3,FALSE)</f>
        <v>Corbatas y pajaritas</v>
      </c>
      <c r="E34" s="86">
        <f>VLOOKUP(C34,ALMACEN!A34:F70,4,FALSE)</f>
        <v>15</v>
      </c>
      <c r="F34" s="87">
        <v>43</v>
      </c>
      <c r="G34" s="88">
        <f t="shared" si="0"/>
        <v>645</v>
      </c>
      <c r="H34" s="89">
        <f t="shared" si="1"/>
        <v>12.9</v>
      </c>
      <c r="I34" s="88">
        <f t="shared" si="2"/>
        <v>632.1</v>
      </c>
      <c r="J34" s="88">
        <f t="shared" si="3"/>
        <v>113.77800000000001</v>
      </c>
      <c r="K34" s="99">
        <f t="shared" si="4"/>
        <v>745.87800000000004</v>
      </c>
      <c r="L34" s="221"/>
    </row>
    <row r="35" spans="1:12" x14ac:dyDescent="0.25">
      <c r="A35" s="98">
        <v>44388</v>
      </c>
      <c r="B35" s="1" t="s">
        <v>193</v>
      </c>
      <c r="C35" s="1" t="s">
        <v>125</v>
      </c>
      <c r="D35" s="77" t="str">
        <f>VLOOKUP(C35,ALMACEN!A35:F71,3,FALSE)</f>
        <v>Relojes elegantes</v>
      </c>
      <c r="E35" s="86">
        <f>VLOOKUP(C35,ALMACEN!A35:F71,4,FALSE)</f>
        <v>60</v>
      </c>
      <c r="F35" s="87">
        <v>66</v>
      </c>
      <c r="G35" s="88">
        <f t="shared" si="0"/>
        <v>3960</v>
      </c>
      <c r="H35" s="89">
        <f t="shared" si="1"/>
        <v>198</v>
      </c>
      <c r="I35" s="88">
        <f t="shared" si="2"/>
        <v>3762</v>
      </c>
      <c r="J35" s="88">
        <f t="shared" si="3"/>
        <v>677.16</v>
      </c>
      <c r="K35" s="99">
        <f t="shared" si="4"/>
        <v>4439.16</v>
      </c>
      <c r="L35" s="221"/>
    </row>
    <row r="36" spans="1:12" x14ac:dyDescent="0.25">
      <c r="A36" s="98">
        <v>44310</v>
      </c>
      <c r="B36" s="1" t="s">
        <v>172</v>
      </c>
      <c r="C36" s="1" t="s">
        <v>126</v>
      </c>
      <c r="D36" s="77" t="str">
        <f>VLOOKUP(C36,ALMACEN!A36:F72,3,FALSE)</f>
        <v>Gafas de sol</v>
      </c>
      <c r="E36" s="86">
        <f>VLOOKUP(C36,ALMACEN!A36:F72,4,FALSE)</f>
        <v>40</v>
      </c>
      <c r="F36" s="87">
        <v>56</v>
      </c>
      <c r="G36" s="88">
        <f t="shared" si="0"/>
        <v>2240</v>
      </c>
      <c r="H36" s="89">
        <f t="shared" si="1"/>
        <v>112</v>
      </c>
      <c r="I36" s="88">
        <f t="shared" si="2"/>
        <v>2128</v>
      </c>
      <c r="J36" s="88">
        <f t="shared" si="3"/>
        <v>383.03999999999996</v>
      </c>
      <c r="K36" s="99">
        <f t="shared" si="4"/>
        <v>2511.04</v>
      </c>
      <c r="L36" s="221"/>
    </row>
    <row r="37" spans="1:12" x14ac:dyDescent="0.25">
      <c r="A37" s="98">
        <v>44912</v>
      </c>
      <c r="B37" s="1" t="s">
        <v>173</v>
      </c>
      <c r="C37" s="1" t="s">
        <v>127</v>
      </c>
      <c r="D37" s="77" t="str">
        <f>VLOOKUP(C37,ALMACEN!A37:F73,3,FALSE)</f>
        <v>Sombreros y gorras</v>
      </c>
      <c r="E37" s="86">
        <f>VLOOKUP(C37,ALMACEN!A37:F73,4,FALSE)</f>
        <v>20</v>
      </c>
      <c r="F37" s="87">
        <v>79</v>
      </c>
      <c r="G37" s="88">
        <f t="shared" si="0"/>
        <v>1580</v>
      </c>
      <c r="H37" s="89">
        <f t="shared" si="1"/>
        <v>31.6</v>
      </c>
      <c r="I37" s="88">
        <f t="shared" si="2"/>
        <v>1548.4</v>
      </c>
      <c r="J37" s="88">
        <f t="shared" si="3"/>
        <v>278.71199999999999</v>
      </c>
      <c r="K37" s="99">
        <f t="shared" si="4"/>
        <v>1827.1120000000001</v>
      </c>
      <c r="L37" s="221"/>
    </row>
    <row r="38" spans="1:12" x14ac:dyDescent="0.25">
      <c r="A38" s="98">
        <v>44266</v>
      </c>
      <c r="B38" s="1" t="s">
        <v>175</v>
      </c>
      <c r="C38" s="1" t="s">
        <v>128</v>
      </c>
      <c r="D38" s="77" t="str">
        <f>VLOOKUP(C38,ALMACEN!A38:F74,3,FALSE)</f>
        <v>Cinturones</v>
      </c>
      <c r="E38" s="86">
        <f>VLOOKUP(C38,ALMACEN!A38:F74,4,FALSE)</f>
        <v>25</v>
      </c>
      <c r="F38" s="87">
        <v>40</v>
      </c>
      <c r="G38" s="88">
        <f t="shared" si="0"/>
        <v>1000</v>
      </c>
      <c r="H38" s="89">
        <f t="shared" si="1"/>
        <v>20</v>
      </c>
      <c r="I38" s="88">
        <f t="shared" si="2"/>
        <v>980</v>
      </c>
      <c r="J38" s="88">
        <f t="shared" si="3"/>
        <v>176.4</v>
      </c>
      <c r="K38" s="99">
        <f t="shared" si="4"/>
        <v>1156.4000000000001</v>
      </c>
      <c r="L38" s="221"/>
    </row>
    <row r="39" spans="1:12" x14ac:dyDescent="0.25">
      <c r="A39" s="98">
        <v>44338</v>
      </c>
      <c r="B39" s="1" t="s">
        <v>176</v>
      </c>
      <c r="C39" s="1" t="s">
        <v>129</v>
      </c>
      <c r="D39" s="77" t="str">
        <f>VLOOKUP(C39,ALMACEN!A39:F75,3,FALSE)</f>
        <v>Calcetines</v>
      </c>
      <c r="E39" s="86">
        <f>VLOOKUP(C39,ALMACEN!A39:F75,4,FALSE)</f>
        <v>15</v>
      </c>
      <c r="F39" s="87">
        <v>80</v>
      </c>
      <c r="G39" s="88">
        <f t="shared" si="0"/>
        <v>1200</v>
      </c>
      <c r="H39" s="89">
        <f t="shared" si="1"/>
        <v>24</v>
      </c>
      <c r="I39" s="88">
        <f t="shared" si="2"/>
        <v>1176</v>
      </c>
      <c r="J39" s="88">
        <f t="shared" si="3"/>
        <v>211.67999999999998</v>
      </c>
      <c r="K39" s="99">
        <f t="shared" si="4"/>
        <v>1387.68</v>
      </c>
      <c r="L39" s="221"/>
    </row>
    <row r="40" spans="1:12" ht="15.75" thickBot="1" x14ac:dyDescent="0.3">
      <c r="A40" s="100">
        <v>44244</v>
      </c>
      <c r="B40" s="5" t="s">
        <v>177</v>
      </c>
      <c r="C40" s="5" t="s">
        <v>130</v>
      </c>
      <c r="D40" s="101" t="str">
        <f>VLOOKUP(C40,ALMACEN!A40:F76,3,FALSE)</f>
        <v>Calzado (zapatos, botas, zapatillas)</v>
      </c>
      <c r="E40" s="102">
        <f>VLOOKUP(C40,ALMACEN!A40:F76,4,FALSE)</f>
        <v>23</v>
      </c>
      <c r="F40" s="103">
        <v>12</v>
      </c>
      <c r="G40" s="104">
        <f t="shared" si="0"/>
        <v>276</v>
      </c>
      <c r="H40" s="105">
        <f t="shared" si="1"/>
        <v>5.5200000000000005</v>
      </c>
      <c r="I40" s="104">
        <f t="shared" si="2"/>
        <v>270.48</v>
      </c>
      <c r="J40" s="104">
        <f t="shared" si="3"/>
        <v>48.686399999999999</v>
      </c>
      <c r="K40" s="106">
        <f t="shared" si="4"/>
        <v>319.16640000000001</v>
      </c>
      <c r="L40" s="221"/>
    </row>
    <row r="41" spans="1:12" ht="15.75" thickBot="1" x14ac:dyDescent="0.3"/>
    <row r="42" spans="1:12" ht="23.25" customHeight="1" thickBot="1" x14ac:dyDescent="0.35">
      <c r="A42" t="s">
        <v>273</v>
      </c>
      <c r="D42" s="107" t="s">
        <v>138</v>
      </c>
      <c r="E42" s="108">
        <f>SUM(E4:E40)</f>
        <v>1213</v>
      </c>
      <c r="F42" s="108">
        <f t="shared" ref="F42:K42" si="5">SUM(F4:F40)</f>
        <v>1822</v>
      </c>
      <c r="G42" s="108">
        <f t="shared" si="5"/>
        <v>58921</v>
      </c>
      <c r="H42" s="108">
        <f t="shared" si="5"/>
        <v>2333.7200000000003</v>
      </c>
      <c r="I42" s="108">
        <f t="shared" si="5"/>
        <v>56587.280000000013</v>
      </c>
      <c r="J42" s="108">
        <f t="shared" si="5"/>
        <v>10185.7104</v>
      </c>
      <c r="K42" s="108">
        <f t="shared" si="5"/>
        <v>66772.99040000001</v>
      </c>
      <c r="L42" s="223"/>
    </row>
  </sheetData>
  <mergeCells count="11">
    <mergeCell ref="A1:K1"/>
    <mergeCell ref="N24:T24"/>
    <mergeCell ref="N26:T26"/>
    <mergeCell ref="N28:T28"/>
    <mergeCell ref="N7:S7"/>
    <mergeCell ref="N10:S10"/>
    <mergeCell ref="N12:S12"/>
    <mergeCell ref="N14:S14"/>
    <mergeCell ref="N2:O2"/>
    <mergeCell ref="Q2:R2"/>
    <mergeCell ref="N16:S2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D283E-648C-4012-AD8F-7E85C9BE1D44}">
  <sheetPr codeName="Hoja2">
    <tabColor rgb="FFFFC000"/>
  </sheetPr>
  <dimension ref="A1:S40"/>
  <sheetViews>
    <sheetView zoomScale="130" zoomScaleNormal="130" workbookViewId="0">
      <selection activeCell="J12" sqref="J12"/>
    </sheetView>
  </sheetViews>
  <sheetFormatPr baseColWidth="10" defaultColWidth="9.140625" defaultRowHeight="15" x14ac:dyDescent="0.25"/>
  <cols>
    <col min="2" max="2" width="13" customWidth="1"/>
    <col min="3" max="3" width="32.28515625" bestFit="1" customWidth="1"/>
    <col min="4" max="4" width="8.85546875" bestFit="1" customWidth="1"/>
    <col min="5" max="5" width="19.85546875" style="6" customWidth="1"/>
    <col min="6" max="6" width="13.7109375" style="6" customWidth="1"/>
    <col min="12" max="12" width="10.28515625" bestFit="1" customWidth="1"/>
  </cols>
  <sheetData>
    <row r="1" spans="1:19" ht="28.5" x14ac:dyDescent="0.45">
      <c r="A1" s="181" t="s">
        <v>283</v>
      </c>
      <c r="B1" s="181"/>
      <c r="C1" s="181"/>
      <c r="D1" s="181"/>
      <c r="E1" s="181"/>
      <c r="F1" s="181"/>
    </row>
    <row r="2" spans="1:19" ht="15.75" thickBot="1" x14ac:dyDescent="0.3">
      <c r="H2" s="184" t="s">
        <v>90</v>
      </c>
      <c r="I2" s="184"/>
      <c r="K2" s="184" t="s">
        <v>89</v>
      </c>
      <c r="L2" s="184"/>
    </row>
    <row r="3" spans="1:19" x14ac:dyDescent="0.25">
      <c r="A3" s="9" t="s">
        <v>0</v>
      </c>
      <c r="B3" s="10" t="s">
        <v>89</v>
      </c>
      <c r="C3" s="10" t="s">
        <v>87</v>
      </c>
      <c r="D3" s="10" t="s">
        <v>88</v>
      </c>
      <c r="E3" s="60" t="s">
        <v>248</v>
      </c>
      <c r="F3" s="13" t="s">
        <v>249</v>
      </c>
      <c r="H3" t="s">
        <v>202</v>
      </c>
      <c r="I3">
        <v>10</v>
      </c>
      <c r="K3" t="s">
        <v>202</v>
      </c>
      <c r="L3" s="39">
        <v>44197</v>
      </c>
    </row>
    <row r="4" spans="1:19" x14ac:dyDescent="0.25">
      <c r="A4" s="3" t="s">
        <v>94</v>
      </c>
      <c r="B4" s="40"/>
      <c r="C4" s="1" t="s">
        <v>57</v>
      </c>
      <c r="D4" s="7">
        <v>50</v>
      </c>
      <c r="E4" s="59">
        <v>100</v>
      </c>
      <c r="F4" s="41">
        <f>E4-FACTURACION!F4</f>
        <v>89</v>
      </c>
      <c r="H4" t="s">
        <v>203</v>
      </c>
      <c r="I4">
        <v>100</v>
      </c>
      <c r="K4" t="s">
        <v>203</v>
      </c>
      <c r="L4" s="39">
        <v>45027</v>
      </c>
    </row>
    <row r="5" spans="1:19" x14ac:dyDescent="0.25">
      <c r="A5" s="3" t="s">
        <v>95</v>
      </c>
      <c r="B5" s="40"/>
      <c r="C5" s="1" t="s">
        <v>58</v>
      </c>
      <c r="D5" s="7">
        <v>25</v>
      </c>
      <c r="E5" s="59">
        <v>100</v>
      </c>
      <c r="F5" s="41">
        <f>E5-FACTURACION!F5</f>
        <v>90</v>
      </c>
    </row>
    <row r="6" spans="1:19" x14ac:dyDescent="0.25">
      <c r="A6" s="3" t="s">
        <v>96</v>
      </c>
      <c r="B6" s="40"/>
      <c r="C6" s="1" t="s">
        <v>59</v>
      </c>
      <c r="D6" s="7">
        <v>40</v>
      </c>
      <c r="E6" s="59">
        <v>100</v>
      </c>
      <c r="F6" s="41">
        <f>E6-FACTURACION!F6</f>
        <v>5</v>
      </c>
    </row>
    <row r="7" spans="1:19" x14ac:dyDescent="0.25">
      <c r="A7" s="3" t="s">
        <v>97</v>
      </c>
      <c r="B7" s="40"/>
      <c r="C7" s="1" t="s">
        <v>60</v>
      </c>
      <c r="D7" s="7">
        <v>30</v>
      </c>
      <c r="E7" s="59">
        <v>100</v>
      </c>
      <c r="F7" s="41">
        <f>E7-FACTURACION!F7</f>
        <v>16</v>
      </c>
      <c r="I7" s="182" t="s">
        <v>92</v>
      </c>
      <c r="J7" s="182"/>
      <c r="K7" s="182"/>
      <c r="L7" s="182"/>
      <c r="M7" s="182"/>
      <c r="N7" s="182"/>
    </row>
    <row r="8" spans="1:19" x14ac:dyDescent="0.25">
      <c r="A8" s="3" t="s">
        <v>98</v>
      </c>
      <c r="B8" s="40"/>
      <c r="C8" s="1" t="s">
        <v>61</v>
      </c>
      <c r="D8" s="7">
        <v>60</v>
      </c>
      <c r="E8" s="59">
        <v>100</v>
      </c>
      <c r="F8" s="41">
        <f>E8-FACTURACION!F8</f>
        <v>35</v>
      </c>
    </row>
    <row r="9" spans="1:19" x14ac:dyDescent="0.25">
      <c r="A9" s="3" t="s">
        <v>99</v>
      </c>
      <c r="B9" s="40"/>
      <c r="C9" s="1" t="s">
        <v>62</v>
      </c>
      <c r="D9" s="7">
        <v>15</v>
      </c>
      <c r="E9" s="59">
        <v>100</v>
      </c>
      <c r="F9" s="41">
        <f>E9-FACTURACION!F9</f>
        <v>59</v>
      </c>
    </row>
    <row r="10" spans="1:19" x14ac:dyDescent="0.25">
      <c r="A10" s="3" t="s">
        <v>100</v>
      </c>
      <c r="B10" s="40"/>
      <c r="C10" s="1" t="s">
        <v>63</v>
      </c>
      <c r="D10" s="7">
        <v>45</v>
      </c>
      <c r="E10" s="59">
        <v>100</v>
      </c>
      <c r="F10" s="41">
        <f>E10-FACTURACION!F10</f>
        <v>66</v>
      </c>
      <c r="I10" s="183" t="s">
        <v>93</v>
      </c>
      <c r="J10" s="183"/>
      <c r="K10" s="183"/>
      <c r="L10" s="183"/>
      <c r="M10" s="183"/>
      <c r="N10" s="183"/>
    </row>
    <row r="11" spans="1:19" x14ac:dyDescent="0.25">
      <c r="A11" s="3" t="s">
        <v>101</v>
      </c>
      <c r="B11" s="40"/>
      <c r="C11" s="1" t="s">
        <v>64</v>
      </c>
      <c r="D11" s="7">
        <v>35</v>
      </c>
      <c r="E11" s="59">
        <v>100</v>
      </c>
      <c r="F11" s="41">
        <f>E11-FACTURACION!F11</f>
        <v>46</v>
      </c>
    </row>
    <row r="12" spans="1:19" x14ac:dyDescent="0.25">
      <c r="A12" s="3" t="s">
        <v>102</v>
      </c>
      <c r="B12" s="40"/>
      <c r="C12" s="1" t="s">
        <v>65</v>
      </c>
      <c r="D12" s="7">
        <v>55</v>
      </c>
      <c r="E12" s="59">
        <v>100</v>
      </c>
      <c r="F12" s="41">
        <f>E12-FACTURACION!F12</f>
        <v>63</v>
      </c>
      <c r="I12" s="11" t="s">
        <v>133</v>
      </c>
      <c r="J12" s="14"/>
      <c r="K12" s="14"/>
      <c r="L12" s="14"/>
      <c r="M12" s="14"/>
      <c r="N12" s="14"/>
      <c r="O12" s="15"/>
      <c r="P12" s="15"/>
      <c r="Q12" s="15"/>
      <c r="R12" s="15"/>
      <c r="S12" s="15"/>
    </row>
    <row r="13" spans="1:19" x14ac:dyDescent="0.25">
      <c r="A13" s="3" t="s">
        <v>103</v>
      </c>
      <c r="B13" s="40"/>
      <c r="C13" s="1" t="s">
        <v>66</v>
      </c>
      <c r="D13" s="7">
        <v>45</v>
      </c>
      <c r="E13" s="59">
        <v>100</v>
      </c>
      <c r="F13" s="41">
        <f>E13-FACTURACION!F13</f>
        <v>49</v>
      </c>
    </row>
    <row r="14" spans="1:19" x14ac:dyDescent="0.25">
      <c r="A14" s="3" t="s">
        <v>104</v>
      </c>
      <c r="B14" s="40"/>
      <c r="C14" s="1" t="s">
        <v>67</v>
      </c>
      <c r="D14" s="7">
        <v>40</v>
      </c>
      <c r="E14" s="59">
        <v>100</v>
      </c>
      <c r="F14" s="41">
        <f>E14-FACTURACION!F14</f>
        <v>78</v>
      </c>
    </row>
    <row r="15" spans="1:19" x14ac:dyDescent="0.25">
      <c r="A15" s="3" t="s">
        <v>105</v>
      </c>
      <c r="B15" s="40"/>
      <c r="C15" s="1" t="s">
        <v>68</v>
      </c>
      <c r="D15" s="7">
        <v>60</v>
      </c>
      <c r="E15" s="59">
        <v>100</v>
      </c>
      <c r="F15" s="41">
        <f>E15-FACTURACION!F15</f>
        <v>32</v>
      </c>
    </row>
    <row r="16" spans="1:19" x14ac:dyDescent="0.25">
      <c r="A16" s="3" t="s">
        <v>106</v>
      </c>
      <c r="B16" s="40"/>
      <c r="C16" s="1" t="s">
        <v>69</v>
      </c>
      <c r="D16" s="7">
        <v>20</v>
      </c>
      <c r="E16" s="59">
        <v>100</v>
      </c>
      <c r="F16" s="41">
        <f>E16-FACTURACION!F16</f>
        <v>31</v>
      </c>
    </row>
    <row r="17" spans="1:6" x14ac:dyDescent="0.25">
      <c r="A17" s="3" t="s">
        <v>107</v>
      </c>
      <c r="B17" s="40"/>
      <c r="C17" s="1" t="s">
        <v>70</v>
      </c>
      <c r="D17" s="7">
        <v>10</v>
      </c>
      <c r="E17" s="59">
        <v>100</v>
      </c>
      <c r="F17" s="41">
        <f>E17-FACTURACION!F17</f>
        <v>78</v>
      </c>
    </row>
    <row r="18" spans="1:6" x14ac:dyDescent="0.25">
      <c r="A18" s="3" t="s">
        <v>108</v>
      </c>
      <c r="B18" s="40"/>
      <c r="C18" s="1" t="s">
        <v>71</v>
      </c>
      <c r="D18" s="7">
        <v>15</v>
      </c>
      <c r="E18" s="59">
        <v>100</v>
      </c>
      <c r="F18" s="41">
        <f>E18-FACTURACION!F18</f>
        <v>86</v>
      </c>
    </row>
    <row r="19" spans="1:6" x14ac:dyDescent="0.25">
      <c r="A19" s="3" t="s">
        <v>109</v>
      </c>
      <c r="B19" s="40"/>
      <c r="C19" s="1" t="s">
        <v>72</v>
      </c>
      <c r="D19" s="7">
        <v>25</v>
      </c>
      <c r="E19" s="59">
        <v>100</v>
      </c>
      <c r="F19" s="41">
        <f>E19-FACTURACION!F19</f>
        <v>83</v>
      </c>
    </row>
    <row r="20" spans="1:6" x14ac:dyDescent="0.25">
      <c r="A20" s="3" t="s">
        <v>110</v>
      </c>
      <c r="B20" s="40"/>
      <c r="C20" s="1" t="s">
        <v>73</v>
      </c>
      <c r="D20" s="7">
        <v>30</v>
      </c>
      <c r="E20" s="59">
        <v>100</v>
      </c>
      <c r="F20" s="41">
        <f>E20-FACTURACION!F20</f>
        <v>52</v>
      </c>
    </row>
    <row r="21" spans="1:6" x14ac:dyDescent="0.25">
      <c r="A21" s="3" t="s">
        <v>111</v>
      </c>
      <c r="B21" s="40"/>
      <c r="C21" s="1" t="s">
        <v>74</v>
      </c>
      <c r="D21" s="7">
        <v>50</v>
      </c>
      <c r="E21" s="59">
        <v>100</v>
      </c>
      <c r="F21" s="41">
        <f>E21-FACTURACION!F21</f>
        <v>81</v>
      </c>
    </row>
    <row r="22" spans="1:6" x14ac:dyDescent="0.25">
      <c r="A22" s="3" t="s">
        <v>112</v>
      </c>
      <c r="B22" s="40"/>
      <c r="C22" s="1" t="s">
        <v>75</v>
      </c>
      <c r="D22" s="7">
        <v>10</v>
      </c>
      <c r="E22" s="59">
        <v>100</v>
      </c>
      <c r="F22" s="41">
        <f>E22-FACTURACION!F22</f>
        <v>8</v>
      </c>
    </row>
    <row r="23" spans="1:6" x14ac:dyDescent="0.25">
      <c r="A23" s="3" t="s">
        <v>113</v>
      </c>
      <c r="B23" s="40"/>
      <c r="C23" s="1" t="s">
        <v>76</v>
      </c>
      <c r="D23" s="7">
        <v>40</v>
      </c>
      <c r="E23" s="59">
        <v>100</v>
      </c>
      <c r="F23" s="41">
        <f>E23-FACTURACION!F23</f>
        <v>41</v>
      </c>
    </row>
    <row r="24" spans="1:6" x14ac:dyDescent="0.25">
      <c r="A24" s="3" t="s">
        <v>114</v>
      </c>
      <c r="B24" s="40"/>
      <c r="C24" s="1" t="s">
        <v>77</v>
      </c>
      <c r="D24" s="7">
        <v>30</v>
      </c>
      <c r="E24" s="59">
        <v>100</v>
      </c>
      <c r="F24" s="41">
        <f>E24-FACTURACION!F24</f>
        <v>15</v>
      </c>
    </row>
    <row r="25" spans="1:6" x14ac:dyDescent="0.25">
      <c r="A25" s="3" t="s">
        <v>115</v>
      </c>
      <c r="B25" s="40"/>
      <c r="C25" s="1" t="s">
        <v>78</v>
      </c>
      <c r="D25" s="7">
        <v>20</v>
      </c>
      <c r="E25" s="59">
        <v>100</v>
      </c>
      <c r="F25" s="41">
        <f>E25-FACTURACION!F25</f>
        <v>61</v>
      </c>
    </row>
    <row r="26" spans="1:6" x14ac:dyDescent="0.25">
      <c r="A26" s="3" t="s">
        <v>116</v>
      </c>
      <c r="B26" s="40"/>
      <c r="C26" s="1" t="s">
        <v>79</v>
      </c>
      <c r="D26" s="7">
        <v>50</v>
      </c>
      <c r="E26" s="59">
        <v>100</v>
      </c>
      <c r="F26" s="41">
        <f>E26-FACTURACION!F26</f>
        <v>7</v>
      </c>
    </row>
    <row r="27" spans="1:6" x14ac:dyDescent="0.25">
      <c r="A27" s="3" t="s">
        <v>117</v>
      </c>
      <c r="B27" s="40"/>
      <c r="C27" s="1" t="s">
        <v>80</v>
      </c>
      <c r="D27" s="7">
        <v>70</v>
      </c>
      <c r="E27" s="59">
        <v>100</v>
      </c>
      <c r="F27" s="41">
        <f>E27-FACTURACION!F27</f>
        <v>87</v>
      </c>
    </row>
    <row r="28" spans="1:6" x14ac:dyDescent="0.25">
      <c r="A28" s="3" t="s">
        <v>118</v>
      </c>
      <c r="B28" s="40"/>
      <c r="C28" s="1" t="s">
        <v>61</v>
      </c>
      <c r="D28" s="7">
        <v>15</v>
      </c>
      <c r="E28" s="59">
        <v>100</v>
      </c>
      <c r="F28" s="41">
        <f>E28-FACTURACION!F28</f>
        <v>36</v>
      </c>
    </row>
    <row r="29" spans="1:6" x14ac:dyDescent="0.25">
      <c r="A29" s="3" t="s">
        <v>119</v>
      </c>
      <c r="B29" s="40"/>
      <c r="C29" s="1" t="s">
        <v>81</v>
      </c>
      <c r="D29" s="7">
        <v>10</v>
      </c>
      <c r="E29" s="59">
        <v>100</v>
      </c>
      <c r="F29" s="41">
        <f>E29-FACTURACION!F29</f>
        <v>20</v>
      </c>
    </row>
    <row r="30" spans="1:6" x14ac:dyDescent="0.25">
      <c r="A30" s="3" t="s">
        <v>120</v>
      </c>
      <c r="B30" s="40"/>
      <c r="C30" s="1" t="s">
        <v>63</v>
      </c>
      <c r="D30" s="7">
        <v>25</v>
      </c>
      <c r="E30" s="59">
        <v>100</v>
      </c>
      <c r="F30" s="41">
        <f>E30-FACTURACION!F30</f>
        <v>71</v>
      </c>
    </row>
    <row r="31" spans="1:6" x14ac:dyDescent="0.25">
      <c r="A31" s="3" t="s">
        <v>121</v>
      </c>
      <c r="B31" s="40"/>
      <c r="C31" s="1" t="s">
        <v>64</v>
      </c>
      <c r="D31" s="7">
        <v>30</v>
      </c>
      <c r="E31" s="59">
        <v>100</v>
      </c>
      <c r="F31" s="41">
        <f>E31-FACTURACION!F31</f>
        <v>32</v>
      </c>
    </row>
    <row r="32" spans="1:6" x14ac:dyDescent="0.25">
      <c r="A32" s="3" t="s">
        <v>122</v>
      </c>
      <c r="B32" s="40"/>
      <c r="C32" s="1" t="s">
        <v>67</v>
      </c>
      <c r="D32" s="7">
        <v>40</v>
      </c>
      <c r="E32" s="59">
        <v>100</v>
      </c>
      <c r="F32" s="41">
        <f>E32-FACTURACION!F32</f>
        <v>48</v>
      </c>
    </row>
    <row r="33" spans="1:6" x14ac:dyDescent="0.25">
      <c r="A33" s="3" t="s">
        <v>123</v>
      </c>
      <c r="B33" s="40"/>
      <c r="C33" s="1" t="s">
        <v>82</v>
      </c>
      <c r="D33" s="7">
        <v>25</v>
      </c>
      <c r="E33" s="59">
        <v>100</v>
      </c>
      <c r="F33" s="41">
        <f>E33-FACTURACION!F33</f>
        <v>89</v>
      </c>
    </row>
    <row r="34" spans="1:6" x14ac:dyDescent="0.25">
      <c r="A34" s="3" t="s">
        <v>124</v>
      </c>
      <c r="B34" s="40"/>
      <c r="C34" s="1" t="s">
        <v>83</v>
      </c>
      <c r="D34" s="7">
        <v>15</v>
      </c>
      <c r="E34" s="59">
        <v>100</v>
      </c>
      <c r="F34" s="41">
        <f>E34-FACTURACION!F34</f>
        <v>57</v>
      </c>
    </row>
    <row r="35" spans="1:6" x14ac:dyDescent="0.25">
      <c r="A35" s="3" t="s">
        <v>125</v>
      </c>
      <c r="B35" s="40"/>
      <c r="C35" s="1" t="s">
        <v>84</v>
      </c>
      <c r="D35" s="7">
        <v>60</v>
      </c>
      <c r="E35" s="59">
        <v>100</v>
      </c>
      <c r="F35" s="41">
        <f>E35-FACTURACION!F35</f>
        <v>34</v>
      </c>
    </row>
    <row r="36" spans="1:6" x14ac:dyDescent="0.25">
      <c r="A36" s="3" t="s">
        <v>126</v>
      </c>
      <c r="B36" s="40"/>
      <c r="C36" s="1" t="s">
        <v>73</v>
      </c>
      <c r="D36" s="7">
        <v>40</v>
      </c>
      <c r="E36" s="59">
        <v>100</v>
      </c>
      <c r="F36" s="41">
        <f>E36-FACTURACION!F36</f>
        <v>44</v>
      </c>
    </row>
    <row r="37" spans="1:6" x14ac:dyDescent="0.25">
      <c r="A37" s="3" t="s">
        <v>127</v>
      </c>
      <c r="B37" s="40"/>
      <c r="C37" s="1" t="s">
        <v>71</v>
      </c>
      <c r="D37" s="7">
        <v>20</v>
      </c>
      <c r="E37" s="59">
        <v>100</v>
      </c>
      <c r="F37" s="41">
        <f>E37-FACTURACION!F37</f>
        <v>21</v>
      </c>
    </row>
    <row r="38" spans="1:6" x14ac:dyDescent="0.25">
      <c r="A38" s="3" t="s">
        <v>128</v>
      </c>
      <c r="B38" s="40"/>
      <c r="C38" s="1" t="s">
        <v>72</v>
      </c>
      <c r="D38" s="7">
        <v>25</v>
      </c>
      <c r="E38" s="59">
        <v>100</v>
      </c>
      <c r="F38" s="41">
        <f>E38-FACTURACION!F38</f>
        <v>60</v>
      </c>
    </row>
    <row r="39" spans="1:6" x14ac:dyDescent="0.25">
      <c r="A39" s="3" t="s">
        <v>129</v>
      </c>
      <c r="B39" s="40"/>
      <c r="C39" s="1" t="s">
        <v>85</v>
      </c>
      <c r="D39" s="7">
        <v>15</v>
      </c>
      <c r="E39" s="59">
        <v>100</v>
      </c>
      <c r="F39" s="41">
        <f>E39-FACTURACION!F39</f>
        <v>20</v>
      </c>
    </row>
    <row r="40" spans="1:6" ht="15.75" thickBot="1" x14ac:dyDescent="0.3">
      <c r="A40" s="4" t="s">
        <v>130</v>
      </c>
      <c r="B40" s="61"/>
      <c r="C40" s="5" t="s">
        <v>86</v>
      </c>
      <c r="D40" s="8">
        <v>23</v>
      </c>
      <c r="E40" s="62">
        <v>100</v>
      </c>
      <c r="F40" s="41">
        <f>E40-FACTURACION!F40</f>
        <v>88</v>
      </c>
    </row>
  </sheetData>
  <mergeCells count="5">
    <mergeCell ref="A1:F1"/>
    <mergeCell ref="I7:N7"/>
    <mergeCell ref="I10:N10"/>
    <mergeCell ref="K2:L2"/>
    <mergeCell ref="H2:I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03B3-8811-4F1C-9918-2371D884CE67}">
  <sheetPr codeName="Hoja4">
    <tabColor rgb="FF92D050"/>
  </sheetPr>
  <dimension ref="A1:P43"/>
  <sheetViews>
    <sheetView zoomScale="85" zoomScaleNormal="85" workbookViewId="0">
      <selection activeCell="I40" sqref="I40"/>
    </sheetView>
  </sheetViews>
  <sheetFormatPr baseColWidth="10" defaultColWidth="11.42578125" defaultRowHeight="18.75" x14ac:dyDescent="0.3"/>
  <cols>
    <col min="1" max="1" width="11.42578125" style="19"/>
    <col min="2" max="2" width="53" style="18" customWidth="1"/>
    <col min="3" max="3" width="20.140625" style="18" customWidth="1"/>
    <col min="4" max="4" width="26.42578125" style="18" customWidth="1"/>
    <col min="5" max="5" width="24" style="18" customWidth="1"/>
    <col min="6" max="6" width="20.5703125" style="18" customWidth="1"/>
    <col min="7" max="7" width="20.140625" style="18" customWidth="1"/>
    <col min="8" max="8" width="21.42578125" style="18" customWidth="1"/>
    <col min="9" max="9" width="23" style="18" customWidth="1"/>
    <col min="10" max="10" width="5.140625" style="18" customWidth="1"/>
    <col min="11" max="11" width="21.85546875" style="18" customWidth="1"/>
    <col min="12" max="15" width="11.42578125" style="18"/>
    <col min="16" max="16" width="18.7109375" style="18" customWidth="1"/>
    <col min="17" max="16384" width="11.42578125" style="18"/>
  </cols>
  <sheetData>
    <row r="1" spans="1:16" ht="15" customHeight="1" x14ac:dyDescent="0.25">
      <c r="A1" s="201" t="s">
        <v>144</v>
      </c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</row>
    <row r="2" spans="1:16" ht="15" customHeight="1" x14ac:dyDescent="0.25">
      <c r="A2" s="201"/>
      <c r="B2" s="201"/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</row>
    <row r="3" spans="1:16" ht="19.5" thickBot="1" x14ac:dyDescent="0.35"/>
    <row r="4" spans="1:16" s="20" customFormat="1" ht="24" thickBot="1" x14ac:dyDescent="0.3">
      <c r="A4" s="140" t="s">
        <v>145</v>
      </c>
      <c r="B4" s="141" t="s">
        <v>146</v>
      </c>
      <c r="C4" s="141" t="s">
        <v>147</v>
      </c>
      <c r="D4" s="141" t="s">
        <v>148</v>
      </c>
      <c r="E4" s="141" t="s">
        <v>149</v>
      </c>
      <c r="F4" s="141" t="s">
        <v>150</v>
      </c>
      <c r="G4" s="141" t="s">
        <v>151</v>
      </c>
      <c r="H4" s="141" t="s">
        <v>252</v>
      </c>
      <c r="I4" s="141" t="s">
        <v>153</v>
      </c>
      <c r="K4" s="203" t="s">
        <v>155</v>
      </c>
      <c r="L4" s="204"/>
      <c r="M4" s="204"/>
      <c r="N4" s="204"/>
      <c r="O4" s="204"/>
      <c r="P4" s="205"/>
    </row>
    <row r="5" spans="1:16" x14ac:dyDescent="0.3">
      <c r="A5" s="110">
        <v>1</v>
      </c>
      <c r="B5" s="10" t="s">
        <v>156</v>
      </c>
      <c r="C5" s="111">
        <f ca="1">RANDBETWEEN(1,10)</f>
        <v>6</v>
      </c>
      <c r="D5" s="111">
        <f ca="1">RANDBETWEEN(1,20)</f>
        <v>11</v>
      </c>
      <c r="E5" s="111">
        <f ca="1">RANDBETWEEN(1,20)</f>
        <v>16</v>
      </c>
      <c r="F5" s="111">
        <f ca="1">RANDBETWEEN(1,50)</f>
        <v>46</v>
      </c>
      <c r="G5" s="112">
        <f ca="1">SUM(C5:F5)</f>
        <v>79</v>
      </c>
      <c r="H5" s="112" t="str">
        <f ca="1">IF(G5&gt;=90,"A",IF(G5&gt;=80,"B",IF(G5&gt;=75,"C",IF(G5&gt;=70,"D","F"))))</f>
        <v>C</v>
      </c>
      <c r="I5" s="26" t="str">
        <f ca="1">IF(G5&gt;=70,"APROBADO","REPROBADO")</f>
        <v>APROBADO</v>
      </c>
      <c r="J5" s="109"/>
      <c r="K5" s="206" t="s">
        <v>250</v>
      </c>
      <c r="L5" s="206"/>
      <c r="M5" s="206"/>
      <c r="N5" s="206"/>
      <c r="O5" s="206"/>
      <c r="P5" s="206"/>
    </row>
    <row r="6" spans="1:16" ht="21.75" customHeight="1" x14ac:dyDescent="0.3">
      <c r="A6" s="55">
        <v>2</v>
      </c>
      <c r="B6" s="24" t="s">
        <v>157</v>
      </c>
      <c r="C6" s="21">
        <f t="shared" ref="C6:C36" ca="1" si="0">RANDBETWEEN(1,10)</f>
        <v>8</v>
      </c>
      <c r="D6" s="21">
        <f t="shared" ref="D6:E36" ca="1" si="1">RANDBETWEEN(1,20)</f>
        <v>4</v>
      </c>
      <c r="E6" s="21">
        <f t="shared" ca="1" si="1"/>
        <v>14</v>
      </c>
      <c r="F6" s="21">
        <f t="shared" ref="F6:F36" ca="1" si="2">RANDBETWEEN(1,50)</f>
        <v>8</v>
      </c>
      <c r="G6" s="23">
        <f t="shared" ref="G6:G36" ca="1" si="3">SUM(C6:F6)</f>
        <v>34</v>
      </c>
      <c r="H6" s="23" t="str">
        <f t="shared" ref="H6:H36" ca="1" si="4">IF(G6&gt;=90,"A",IF(G6&gt;=80,"B",IF(G6&gt;=75,"C",IF(G6&gt;=70,"D","F"))))</f>
        <v>F</v>
      </c>
      <c r="I6" s="142" t="str">
        <f t="shared" ref="I6:I36" ca="1" si="5">IF(G6&gt;=70,"APROBADO","REPROBADO")</f>
        <v>REPROBADO</v>
      </c>
      <c r="J6" s="109"/>
      <c r="K6" s="206"/>
      <c r="L6" s="206"/>
      <c r="M6" s="206"/>
      <c r="N6" s="206"/>
      <c r="O6" s="206"/>
      <c r="P6" s="206"/>
    </row>
    <row r="7" spans="1:16" ht="19.5" thickBot="1" x14ac:dyDescent="0.35">
      <c r="A7" s="55">
        <v>3</v>
      </c>
      <c r="B7" s="22" t="s">
        <v>158</v>
      </c>
      <c r="C7" s="21">
        <f t="shared" ca="1" si="0"/>
        <v>5</v>
      </c>
      <c r="D7" s="21">
        <f t="shared" ca="1" si="1"/>
        <v>11</v>
      </c>
      <c r="E7" s="21">
        <f t="shared" ca="1" si="1"/>
        <v>20</v>
      </c>
      <c r="F7" s="21">
        <f t="shared" ca="1" si="2"/>
        <v>3</v>
      </c>
      <c r="G7" s="23">
        <f t="shared" ca="1" si="3"/>
        <v>39</v>
      </c>
      <c r="H7" s="23" t="str">
        <f t="shared" ca="1" si="4"/>
        <v>F</v>
      </c>
      <c r="I7" s="142" t="str">
        <f t="shared" ca="1" si="5"/>
        <v>REPROBADO</v>
      </c>
      <c r="J7" s="109"/>
      <c r="K7" s="187"/>
      <c r="L7" s="187"/>
      <c r="M7" s="187"/>
      <c r="N7" s="187"/>
      <c r="O7" s="187"/>
    </row>
    <row r="8" spans="1:16" ht="24" thickBot="1" x14ac:dyDescent="0.4">
      <c r="A8" s="55">
        <v>4</v>
      </c>
      <c r="B8" s="22" t="s">
        <v>159</v>
      </c>
      <c r="C8" s="21">
        <f t="shared" ca="1" si="0"/>
        <v>2</v>
      </c>
      <c r="D8" s="21">
        <f t="shared" ca="1" si="1"/>
        <v>1</v>
      </c>
      <c r="E8" s="21">
        <f t="shared" ca="1" si="1"/>
        <v>20</v>
      </c>
      <c r="F8" s="21">
        <f t="shared" ca="1" si="2"/>
        <v>5</v>
      </c>
      <c r="G8" s="23">
        <f t="shared" ca="1" si="3"/>
        <v>28</v>
      </c>
      <c r="H8" s="23" t="str">
        <f t="shared" ca="1" si="4"/>
        <v>F</v>
      </c>
      <c r="I8" s="142" t="str">
        <f t="shared" ca="1" si="5"/>
        <v>REPROBADO</v>
      </c>
      <c r="J8" s="109"/>
      <c r="K8" s="193" t="s">
        <v>148</v>
      </c>
      <c r="L8" s="194"/>
      <c r="M8" s="194"/>
      <c r="N8" s="194"/>
      <c r="O8" s="194"/>
      <c r="P8" s="195"/>
    </row>
    <row r="9" spans="1:16" x14ac:dyDescent="0.3">
      <c r="A9" s="55">
        <v>5</v>
      </c>
      <c r="B9" s="24" t="s">
        <v>160</v>
      </c>
      <c r="C9" s="21">
        <f t="shared" ca="1" si="0"/>
        <v>8</v>
      </c>
      <c r="D9" s="21">
        <f t="shared" ca="1" si="1"/>
        <v>11</v>
      </c>
      <c r="E9" s="21">
        <f t="shared" ca="1" si="1"/>
        <v>12</v>
      </c>
      <c r="F9" s="21">
        <f t="shared" ca="1" si="2"/>
        <v>17</v>
      </c>
      <c r="G9" s="23">
        <f t="shared" ca="1" si="3"/>
        <v>48</v>
      </c>
      <c r="H9" s="23" t="str">
        <f t="shared" ca="1" si="4"/>
        <v>F</v>
      </c>
      <c r="I9" s="142" t="str">
        <f t="shared" ca="1" si="5"/>
        <v>REPROBADO</v>
      </c>
      <c r="J9" s="109"/>
      <c r="K9" s="207" t="s">
        <v>251</v>
      </c>
      <c r="L9" s="207"/>
      <c r="M9" s="207"/>
      <c r="N9" s="207"/>
      <c r="O9" s="207"/>
      <c r="P9" s="207"/>
    </row>
    <row r="10" spans="1:16" x14ac:dyDescent="0.3">
      <c r="A10" s="55">
        <v>6</v>
      </c>
      <c r="B10" s="22" t="s">
        <v>161</v>
      </c>
      <c r="C10" s="21">
        <f t="shared" ca="1" si="0"/>
        <v>3</v>
      </c>
      <c r="D10" s="21">
        <f t="shared" ca="1" si="1"/>
        <v>14</v>
      </c>
      <c r="E10" s="21">
        <f t="shared" ca="1" si="1"/>
        <v>11</v>
      </c>
      <c r="F10" s="21">
        <f t="shared" ca="1" si="2"/>
        <v>41</v>
      </c>
      <c r="G10" s="23">
        <f t="shared" ca="1" si="3"/>
        <v>69</v>
      </c>
      <c r="H10" s="23" t="str">
        <f t="shared" ca="1" si="4"/>
        <v>F</v>
      </c>
      <c r="I10" s="142" t="str">
        <f t="shared" ca="1" si="5"/>
        <v>REPROBADO</v>
      </c>
      <c r="J10" s="109"/>
      <c r="K10" s="207"/>
      <c r="L10" s="207"/>
      <c r="M10" s="207"/>
      <c r="N10" s="207"/>
      <c r="O10" s="207"/>
      <c r="P10" s="207"/>
    </row>
    <row r="11" spans="1:16" ht="19.5" thickBot="1" x14ac:dyDescent="0.35">
      <c r="A11" s="55">
        <v>7</v>
      </c>
      <c r="B11" s="22" t="s">
        <v>162</v>
      </c>
      <c r="C11" s="21">
        <f t="shared" ca="1" si="0"/>
        <v>2</v>
      </c>
      <c r="D11" s="21">
        <f t="shared" ca="1" si="1"/>
        <v>16</v>
      </c>
      <c r="E11" s="21">
        <f t="shared" ca="1" si="1"/>
        <v>4</v>
      </c>
      <c r="F11" s="21">
        <f t="shared" ca="1" si="2"/>
        <v>40</v>
      </c>
      <c r="G11" s="23">
        <f t="shared" ca="1" si="3"/>
        <v>62</v>
      </c>
      <c r="H11" s="23" t="str">
        <f t="shared" ca="1" si="4"/>
        <v>F</v>
      </c>
      <c r="I11" s="142" t="str">
        <f t="shared" ca="1" si="5"/>
        <v>REPROBADO</v>
      </c>
      <c r="J11" s="109"/>
    </row>
    <row r="12" spans="1:16" ht="24" thickBot="1" x14ac:dyDescent="0.4">
      <c r="A12" s="55">
        <v>8</v>
      </c>
      <c r="B12" s="22" t="s">
        <v>163</v>
      </c>
      <c r="C12" s="21">
        <f t="shared" ca="1" si="0"/>
        <v>7</v>
      </c>
      <c r="D12" s="21">
        <f t="shared" ca="1" si="1"/>
        <v>19</v>
      </c>
      <c r="E12" s="21">
        <f t="shared" ca="1" si="1"/>
        <v>5</v>
      </c>
      <c r="F12" s="21">
        <f t="shared" ca="1" si="2"/>
        <v>37</v>
      </c>
      <c r="G12" s="23">
        <f t="shared" ca="1" si="3"/>
        <v>68</v>
      </c>
      <c r="H12" s="23" t="str">
        <f t="shared" ca="1" si="4"/>
        <v>F</v>
      </c>
      <c r="I12" s="142" t="str">
        <f t="shared" ca="1" si="5"/>
        <v>REPROBADO</v>
      </c>
      <c r="J12" s="109"/>
      <c r="K12" s="193" t="s">
        <v>149</v>
      </c>
      <c r="L12" s="194"/>
      <c r="M12" s="194"/>
      <c r="N12" s="194"/>
      <c r="O12" s="194"/>
      <c r="P12" s="195"/>
    </row>
    <row r="13" spans="1:16" x14ac:dyDescent="0.3">
      <c r="A13" s="55">
        <v>9</v>
      </c>
      <c r="B13" s="22" t="s">
        <v>164</v>
      </c>
      <c r="C13" s="21">
        <f t="shared" ca="1" si="0"/>
        <v>3</v>
      </c>
      <c r="D13" s="21">
        <f t="shared" ca="1" si="1"/>
        <v>17</v>
      </c>
      <c r="E13" s="21">
        <f t="shared" ca="1" si="1"/>
        <v>3</v>
      </c>
      <c r="F13" s="21">
        <f t="shared" ca="1" si="2"/>
        <v>2</v>
      </c>
      <c r="G13" s="23">
        <f t="shared" ca="1" si="3"/>
        <v>25</v>
      </c>
      <c r="H13" s="23" t="str">
        <f t="shared" ca="1" si="4"/>
        <v>F</v>
      </c>
      <c r="I13" s="142" t="str">
        <f t="shared" ca="1" si="5"/>
        <v>REPROBADO</v>
      </c>
      <c r="J13" s="109"/>
      <c r="K13" s="207" t="s">
        <v>251</v>
      </c>
      <c r="L13" s="207"/>
      <c r="M13" s="207"/>
      <c r="N13" s="207"/>
      <c r="O13" s="207"/>
      <c r="P13" s="207"/>
    </row>
    <row r="14" spans="1:16" x14ac:dyDescent="0.3">
      <c r="A14" s="55">
        <v>10</v>
      </c>
      <c r="B14" s="22" t="s">
        <v>165</v>
      </c>
      <c r="C14" s="21">
        <f t="shared" ca="1" si="0"/>
        <v>2</v>
      </c>
      <c r="D14" s="21">
        <f t="shared" ca="1" si="1"/>
        <v>19</v>
      </c>
      <c r="E14" s="21">
        <f t="shared" ca="1" si="1"/>
        <v>16</v>
      </c>
      <c r="F14" s="21">
        <f t="shared" ca="1" si="2"/>
        <v>41</v>
      </c>
      <c r="G14" s="23">
        <f t="shared" ca="1" si="3"/>
        <v>78</v>
      </c>
      <c r="H14" s="23" t="str">
        <f t="shared" ca="1" si="4"/>
        <v>C</v>
      </c>
      <c r="I14" s="142" t="str">
        <f t="shared" ca="1" si="5"/>
        <v>APROBADO</v>
      </c>
      <c r="J14" s="109"/>
      <c r="K14" s="207"/>
      <c r="L14" s="207"/>
      <c r="M14" s="207"/>
      <c r="N14" s="207"/>
      <c r="O14" s="207"/>
      <c r="P14" s="207"/>
    </row>
    <row r="15" spans="1:16" ht="19.5" thickBot="1" x14ac:dyDescent="0.35">
      <c r="A15" s="55">
        <v>11</v>
      </c>
      <c r="B15" s="22" t="s">
        <v>166</v>
      </c>
      <c r="C15" s="21">
        <f t="shared" ca="1" si="0"/>
        <v>1</v>
      </c>
      <c r="D15" s="21">
        <f t="shared" ca="1" si="1"/>
        <v>5</v>
      </c>
      <c r="E15" s="21">
        <f t="shared" ca="1" si="1"/>
        <v>20</v>
      </c>
      <c r="F15" s="21">
        <f t="shared" ca="1" si="2"/>
        <v>13</v>
      </c>
      <c r="G15" s="23">
        <f t="shared" ca="1" si="3"/>
        <v>39</v>
      </c>
      <c r="H15" s="23" t="str">
        <f t="shared" ca="1" si="4"/>
        <v>F</v>
      </c>
      <c r="I15" s="142" t="str">
        <f t="shared" ca="1" si="5"/>
        <v>REPROBADO</v>
      </c>
      <c r="J15" s="109"/>
    </row>
    <row r="16" spans="1:16" ht="24" thickBot="1" x14ac:dyDescent="0.4">
      <c r="A16" s="55">
        <v>12</v>
      </c>
      <c r="B16" s="22" t="s">
        <v>167</v>
      </c>
      <c r="C16" s="21">
        <f t="shared" ca="1" si="0"/>
        <v>1</v>
      </c>
      <c r="D16" s="21">
        <f t="shared" ca="1" si="1"/>
        <v>11</v>
      </c>
      <c r="E16" s="21">
        <f t="shared" ca="1" si="1"/>
        <v>9</v>
      </c>
      <c r="F16" s="21">
        <f t="shared" ca="1" si="2"/>
        <v>20</v>
      </c>
      <c r="G16" s="23">
        <f t="shared" ca="1" si="3"/>
        <v>41</v>
      </c>
      <c r="H16" s="23" t="str">
        <f t="shared" ca="1" si="4"/>
        <v>F</v>
      </c>
      <c r="I16" s="142" t="str">
        <f t="shared" ca="1" si="5"/>
        <v>REPROBADO</v>
      </c>
      <c r="J16" s="109"/>
      <c r="K16" s="193" t="s">
        <v>150</v>
      </c>
      <c r="L16" s="194"/>
      <c r="M16" s="194"/>
      <c r="N16" s="194"/>
      <c r="O16" s="194"/>
      <c r="P16" s="195"/>
    </row>
    <row r="17" spans="1:16" ht="18.75" customHeight="1" x14ac:dyDescent="0.3">
      <c r="A17" s="55">
        <v>13</v>
      </c>
      <c r="B17" s="22" t="s">
        <v>168</v>
      </c>
      <c r="C17" s="21">
        <f t="shared" ca="1" si="0"/>
        <v>3</v>
      </c>
      <c r="D17" s="21">
        <f t="shared" ca="1" si="1"/>
        <v>9</v>
      </c>
      <c r="E17" s="21">
        <f t="shared" ca="1" si="1"/>
        <v>8</v>
      </c>
      <c r="F17" s="21">
        <f t="shared" ca="1" si="2"/>
        <v>27</v>
      </c>
      <c r="G17" s="23">
        <f t="shared" ca="1" si="3"/>
        <v>47</v>
      </c>
      <c r="H17" s="23" t="str">
        <f t="shared" ca="1" si="4"/>
        <v>F</v>
      </c>
      <c r="I17" s="142" t="str">
        <f t="shared" ca="1" si="5"/>
        <v>REPROBADO</v>
      </c>
      <c r="J17" s="109"/>
      <c r="K17" s="196" t="s">
        <v>169</v>
      </c>
      <c r="L17" s="196"/>
      <c r="M17" s="196"/>
      <c r="N17" s="196"/>
      <c r="O17" s="196"/>
      <c r="P17" s="196"/>
    </row>
    <row r="18" spans="1:16" x14ac:dyDescent="0.3">
      <c r="A18" s="55">
        <v>14</v>
      </c>
      <c r="B18" s="24" t="s">
        <v>170</v>
      </c>
      <c r="C18" s="21">
        <f t="shared" ca="1" si="0"/>
        <v>8</v>
      </c>
      <c r="D18" s="21">
        <f t="shared" ca="1" si="1"/>
        <v>12</v>
      </c>
      <c r="E18" s="21">
        <f t="shared" ca="1" si="1"/>
        <v>17</v>
      </c>
      <c r="F18" s="21">
        <f t="shared" ca="1" si="2"/>
        <v>31</v>
      </c>
      <c r="G18" s="23">
        <f t="shared" ca="1" si="3"/>
        <v>68</v>
      </c>
      <c r="H18" s="23" t="str">
        <f t="shared" ca="1" si="4"/>
        <v>F</v>
      </c>
      <c r="I18" s="142" t="str">
        <f t="shared" ca="1" si="5"/>
        <v>REPROBADO</v>
      </c>
      <c r="J18" s="109"/>
      <c r="K18" s="196"/>
      <c r="L18" s="196"/>
      <c r="M18" s="196"/>
      <c r="N18" s="196"/>
      <c r="O18" s="196"/>
      <c r="P18" s="196"/>
    </row>
    <row r="19" spans="1:16" ht="19.5" thickBot="1" x14ac:dyDescent="0.35">
      <c r="A19" s="55">
        <v>15</v>
      </c>
      <c r="B19" s="22" t="s">
        <v>171</v>
      </c>
      <c r="C19" s="21">
        <f t="shared" ca="1" si="0"/>
        <v>9</v>
      </c>
      <c r="D19" s="21">
        <f t="shared" ca="1" si="1"/>
        <v>9</v>
      </c>
      <c r="E19" s="21">
        <f t="shared" ca="1" si="1"/>
        <v>3</v>
      </c>
      <c r="F19" s="21">
        <f t="shared" ca="1" si="2"/>
        <v>35</v>
      </c>
      <c r="G19" s="23">
        <f t="shared" ca="1" si="3"/>
        <v>56</v>
      </c>
      <c r="H19" s="23" t="str">
        <f t="shared" ca="1" si="4"/>
        <v>F</v>
      </c>
      <c r="I19" s="142" t="str">
        <f t="shared" ca="1" si="5"/>
        <v>REPROBADO</v>
      </c>
      <c r="J19" s="109"/>
    </row>
    <row r="20" spans="1:16" ht="24" thickBot="1" x14ac:dyDescent="0.4">
      <c r="A20" s="55">
        <v>16</v>
      </c>
      <c r="B20" s="22" t="s">
        <v>172</v>
      </c>
      <c r="C20" s="21">
        <f t="shared" ca="1" si="0"/>
        <v>4</v>
      </c>
      <c r="D20" s="21">
        <f t="shared" ca="1" si="1"/>
        <v>14</v>
      </c>
      <c r="E20" s="21">
        <f t="shared" ca="1" si="1"/>
        <v>11</v>
      </c>
      <c r="F20" s="21">
        <f t="shared" ca="1" si="2"/>
        <v>14</v>
      </c>
      <c r="G20" s="23">
        <f t="shared" ca="1" si="3"/>
        <v>43</v>
      </c>
      <c r="H20" s="23" t="str">
        <f t="shared" ca="1" si="4"/>
        <v>F</v>
      </c>
      <c r="I20" s="142" t="str">
        <f t="shared" ca="1" si="5"/>
        <v>REPROBADO</v>
      </c>
      <c r="J20" s="109"/>
      <c r="K20" s="193" t="s">
        <v>152</v>
      </c>
      <c r="L20" s="194"/>
      <c r="M20" s="194"/>
      <c r="N20" s="194"/>
      <c r="O20" s="194"/>
      <c r="P20" s="195"/>
    </row>
    <row r="21" spans="1:16" ht="18.75" customHeight="1" x14ac:dyDescent="0.3">
      <c r="A21" s="55">
        <v>17</v>
      </c>
      <c r="B21" s="22" t="s">
        <v>173</v>
      </c>
      <c r="C21" s="21">
        <f t="shared" ca="1" si="0"/>
        <v>6</v>
      </c>
      <c r="D21" s="21">
        <f t="shared" ca="1" si="1"/>
        <v>17</v>
      </c>
      <c r="E21" s="21">
        <f t="shared" ca="1" si="1"/>
        <v>11</v>
      </c>
      <c r="F21" s="21">
        <f t="shared" ca="1" si="2"/>
        <v>16</v>
      </c>
      <c r="G21" s="23">
        <f t="shared" ca="1" si="3"/>
        <v>50</v>
      </c>
      <c r="H21" s="23" t="str">
        <f t="shared" ca="1" si="4"/>
        <v>F</v>
      </c>
      <c r="I21" s="142" t="str">
        <f t="shared" ca="1" si="5"/>
        <v>REPROBADO</v>
      </c>
      <c r="J21" s="109"/>
      <c r="K21" s="202" t="s">
        <v>174</v>
      </c>
      <c r="L21" s="202"/>
      <c r="M21" s="202"/>
      <c r="N21" s="202"/>
      <c r="O21" s="202"/>
      <c r="P21" s="202"/>
    </row>
    <row r="22" spans="1:16" x14ac:dyDescent="0.3">
      <c r="A22" s="55">
        <v>18</v>
      </c>
      <c r="B22" s="22" t="s">
        <v>175</v>
      </c>
      <c r="C22" s="21">
        <f t="shared" ca="1" si="0"/>
        <v>9</v>
      </c>
      <c r="D22" s="21">
        <f t="shared" ca="1" si="1"/>
        <v>11</v>
      </c>
      <c r="E22" s="21">
        <f t="shared" ca="1" si="1"/>
        <v>3</v>
      </c>
      <c r="F22" s="21">
        <f t="shared" ca="1" si="2"/>
        <v>1</v>
      </c>
      <c r="G22" s="23">
        <f t="shared" ca="1" si="3"/>
        <v>24</v>
      </c>
      <c r="H22" s="23" t="str">
        <f t="shared" ca="1" si="4"/>
        <v>F</v>
      </c>
      <c r="I22" s="142" t="str">
        <f t="shared" ca="1" si="5"/>
        <v>REPROBADO</v>
      </c>
      <c r="J22" s="109"/>
      <c r="K22" s="202"/>
      <c r="L22" s="202"/>
      <c r="M22" s="202"/>
      <c r="N22" s="202"/>
      <c r="O22" s="202"/>
      <c r="P22" s="202"/>
    </row>
    <row r="23" spans="1:16" x14ac:dyDescent="0.3">
      <c r="A23" s="55">
        <v>19</v>
      </c>
      <c r="B23" s="22" t="s">
        <v>176</v>
      </c>
      <c r="C23" s="21">
        <f t="shared" ca="1" si="0"/>
        <v>5</v>
      </c>
      <c r="D23" s="21">
        <f t="shared" ca="1" si="1"/>
        <v>3</v>
      </c>
      <c r="E23" s="21">
        <f t="shared" ca="1" si="1"/>
        <v>19</v>
      </c>
      <c r="F23" s="21">
        <f t="shared" ca="1" si="2"/>
        <v>7</v>
      </c>
      <c r="G23" s="23">
        <f t="shared" ca="1" si="3"/>
        <v>34</v>
      </c>
      <c r="H23" s="23" t="str">
        <f t="shared" ca="1" si="4"/>
        <v>F</v>
      </c>
      <c r="I23" s="142" t="str">
        <f t="shared" ca="1" si="5"/>
        <v>REPROBADO</v>
      </c>
      <c r="J23" s="109"/>
      <c r="K23" s="202"/>
      <c r="L23" s="202"/>
      <c r="M23" s="202"/>
      <c r="N23" s="202"/>
      <c r="O23" s="202"/>
      <c r="P23" s="202"/>
    </row>
    <row r="24" spans="1:16" ht="19.5" thickBot="1" x14ac:dyDescent="0.35">
      <c r="A24" s="55">
        <v>20</v>
      </c>
      <c r="B24" s="22" t="s">
        <v>177</v>
      </c>
      <c r="C24" s="21">
        <f t="shared" ca="1" si="0"/>
        <v>1</v>
      </c>
      <c r="D24" s="21">
        <f t="shared" ca="1" si="1"/>
        <v>13</v>
      </c>
      <c r="E24" s="21">
        <f t="shared" ca="1" si="1"/>
        <v>12</v>
      </c>
      <c r="F24" s="21">
        <f t="shared" ca="1" si="2"/>
        <v>41</v>
      </c>
      <c r="G24" s="23">
        <f t="shared" ca="1" si="3"/>
        <v>67</v>
      </c>
      <c r="H24" s="23" t="str">
        <f t="shared" ca="1" si="4"/>
        <v>F</v>
      </c>
      <c r="I24" s="142" t="str">
        <f t="shared" ca="1" si="5"/>
        <v>REPROBADO</v>
      </c>
      <c r="J24" s="109"/>
    </row>
    <row r="25" spans="1:16" ht="24" thickBot="1" x14ac:dyDescent="0.4">
      <c r="A25" s="55">
        <v>21</v>
      </c>
      <c r="B25" s="22" t="s">
        <v>178</v>
      </c>
      <c r="C25" s="21">
        <f t="shared" ca="1" si="0"/>
        <v>1</v>
      </c>
      <c r="D25" s="21">
        <f t="shared" ca="1" si="1"/>
        <v>1</v>
      </c>
      <c r="E25" s="21">
        <f t="shared" ca="1" si="1"/>
        <v>5</v>
      </c>
      <c r="F25" s="21">
        <f t="shared" ca="1" si="2"/>
        <v>11</v>
      </c>
      <c r="G25" s="23">
        <f t="shared" ca="1" si="3"/>
        <v>18</v>
      </c>
      <c r="H25" s="23" t="str">
        <f t="shared" ca="1" si="4"/>
        <v>F</v>
      </c>
      <c r="I25" s="142" t="str">
        <f t="shared" ca="1" si="5"/>
        <v>REPROBADO</v>
      </c>
      <c r="J25" s="109"/>
      <c r="K25" s="193" t="s">
        <v>154</v>
      </c>
      <c r="L25" s="194"/>
      <c r="M25" s="194"/>
      <c r="N25" s="194"/>
      <c r="O25" s="194"/>
      <c r="P25" s="195"/>
    </row>
    <row r="26" spans="1:16" x14ac:dyDescent="0.3">
      <c r="A26" s="55">
        <v>22</v>
      </c>
      <c r="B26" s="22" t="s">
        <v>179</v>
      </c>
      <c r="C26" s="21">
        <f t="shared" ca="1" si="0"/>
        <v>4</v>
      </c>
      <c r="D26" s="21">
        <f t="shared" ca="1" si="1"/>
        <v>16</v>
      </c>
      <c r="E26" s="21">
        <f t="shared" ca="1" si="1"/>
        <v>12</v>
      </c>
      <c r="F26" s="21">
        <f t="shared" ca="1" si="2"/>
        <v>26</v>
      </c>
      <c r="G26" s="23">
        <f t="shared" ca="1" si="3"/>
        <v>58</v>
      </c>
      <c r="H26" s="23" t="str">
        <f t="shared" ca="1" si="4"/>
        <v>F</v>
      </c>
      <c r="I26" s="142" t="str">
        <f t="shared" ca="1" si="5"/>
        <v>REPROBADO</v>
      </c>
      <c r="J26" s="109"/>
      <c r="K26" s="196" t="s">
        <v>180</v>
      </c>
      <c r="L26" s="196"/>
      <c r="M26" s="196"/>
      <c r="N26" s="196"/>
      <c r="O26" s="196"/>
      <c r="P26" s="196"/>
    </row>
    <row r="27" spans="1:16" x14ac:dyDescent="0.3">
      <c r="A27" s="55">
        <v>23</v>
      </c>
      <c r="B27" s="22" t="s">
        <v>181</v>
      </c>
      <c r="C27" s="21">
        <f t="shared" ca="1" si="0"/>
        <v>1</v>
      </c>
      <c r="D27" s="21">
        <f t="shared" ca="1" si="1"/>
        <v>17</v>
      </c>
      <c r="E27" s="21">
        <f t="shared" ca="1" si="1"/>
        <v>6</v>
      </c>
      <c r="F27" s="21">
        <f t="shared" ca="1" si="2"/>
        <v>49</v>
      </c>
      <c r="G27" s="23">
        <f t="shared" ca="1" si="3"/>
        <v>73</v>
      </c>
      <c r="H27" s="23" t="str">
        <f t="shared" ca="1" si="4"/>
        <v>D</v>
      </c>
      <c r="I27" s="142" t="str">
        <f t="shared" ca="1" si="5"/>
        <v>APROBADO</v>
      </c>
      <c r="J27" s="109"/>
      <c r="K27" s="196"/>
      <c r="L27" s="196"/>
      <c r="M27" s="196"/>
      <c r="N27" s="196"/>
      <c r="O27" s="196"/>
      <c r="P27" s="196"/>
    </row>
    <row r="28" spans="1:16" x14ac:dyDescent="0.3">
      <c r="A28" s="55">
        <v>24</v>
      </c>
      <c r="B28" s="22" t="s">
        <v>182</v>
      </c>
      <c r="C28" s="21">
        <f t="shared" ca="1" si="0"/>
        <v>6</v>
      </c>
      <c r="D28" s="21">
        <f t="shared" ca="1" si="1"/>
        <v>5</v>
      </c>
      <c r="E28" s="21">
        <f t="shared" ca="1" si="1"/>
        <v>18</v>
      </c>
      <c r="F28" s="21">
        <f t="shared" ca="1" si="2"/>
        <v>39</v>
      </c>
      <c r="G28" s="23">
        <f t="shared" ca="1" si="3"/>
        <v>68</v>
      </c>
      <c r="H28" s="23" t="str">
        <f t="shared" ca="1" si="4"/>
        <v>F</v>
      </c>
      <c r="I28" s="142" t="str">
        <f t="shared" ca="1" si="5"/>
        <v>REPROBADO</v>
      </c>
      <c r="J28" s="109"/>
      <c r="K28" s="196"/>
      <c r="L28" s="196"/>
      <c r="M28" s="196"/>
      <c r="N28" s="196"/>
      <c r="O28" s="196"/>
      <c r="P28" s="196"/>
    </row>
    <row r="29" spans="1:16" x14ac:dyDescent="0.3">
      <c r="A29" s="55">
        <v>25</v>
      </c>
      <c r="B29" s="22" t="s">
        <v>183</v>
      </c>
      <c r="C29" s="21">
        <f t="shared" ca="1" si="0"/>
        <v>2</v>
      </c>
      <c r="D29" s="21">
        <f t="shared" ca="1" si="1"/>
        <v>8</v>
      </c>
      <c r="E29" s="21">
        <f t="shared" ca="1" si="1"/>
        <v>5</v>
      </c>
      <c r="F29" s="21">
        <f t="shared" ca="1" si="2"/>
        <v>1</v>
      </c>
      <c r="G29" s="23">
        <f t="shared" ca="1" si="3"/>
        <v>16</v>
      </c>
      <c r="H29" s="23" t="str">
        <f t="shared" ca="1" si="4"/>
        <v>F</v>
      </c>
      <c r="I29" s="142" t="str">
        <f t="shared" ca="1" si="5"/>
        <v>REPROBADO</v>
      </c>
      <c r="J29" s="109"/>
    </row>
    <row r="30" spans="1:16" ht="19.5" thickBot="1" x14ac:dyDescent="0.35">
      <c r="A30" s="55">
        <v>26</v>
      </c>
      <c r="B30" s="22" t="s">
        <v>184</v>
      </c>
      <c r="C30" s="21">
        <f t="shared" ca="1" si="0"/>
        <v>10</v>
      </c>
      <c r="D30" s="21">
        <f t="shared" ca="1" si="1"/>
        <v>9</v>
      </c>
      <c r="E30" s="21">
        <f t="shared" ca="1" si="1"/>
        <v>11</v>
      </c>
      <c r="F30" s="21">
        <f t="shared" ca="1" si="2"/>
        <v>49</v>
      </c>
      <c r="G30" s="23">
        <f t="shared" ca="1" si="3"/>
        <v>79</v>
      </c>
      <c r="H30" s="23" t="str">
        <f t="shared" ca="1" si="4"/>
        <v>C</v>
      </c>
      <c r="I30" s="142" t="str">
        <f t="shared" ca="1" si="5"/>
        <v>APROBADO</v>
      </c>
      <c r="J30" s="109"/>
    </row>
    <row r="31" spans="1:16" ht="24" thickBot="1" x14ac:dyDescent="0.4">
      <c r="A31" s="55">
        <v>27</v>
      </c>
      <c r="B31" s="22" t="s">
        <v>185</v>
      </c>
      <c r="C31" s="21">
        <f t="shared" ca="1" si="0"/>
        <v>9</v>
      </c>
      <c r="D31" s="21">
        <f t="shared" ca="1" si="1"/>
        <v>9</v>
      </c>
      <c r="E31" s="21">
        <f t="shared" ca="1" si="1"/>
        <v>5</v>
      </c>
      <c r="F31" s="21">
        <f t="shared" ca="1" si="2"/>
        <v>11</v>
      </c>
      <c r="G31" s="23">
        <f t="shared" ca="1" si="3"/>
        <v>34</v>
      </c>
      <c r="H31" s="23" t="str">
        <f t="shared" ca="1" si="4"/>
        <v>F</v>
      </c>
      <c r="I31" s="142" t="str">
        <f t="shared" ca="1" si="5"/>
        <v>REPROBADO</v>
      </c>
      <c r="J31" s="109"/>
      <c r="K31" s="193" t="s">
        <v>186</v>
      </c>
      <c r="L31" s="194"/>
      <c r="M31" s="194"/>
      <c r="N31" s="194"/>
      <c r="O31" s="194"/>
      <c r="P31" s="195"/>
    </row>
    <row r="32" spans="1:16" x14ac:dyDescent="0.3">
      <c r="A32" s="55">
        <v>28</v>
      </c>
      <c r="B32" s="22" t="s">
        <v>187</v>
      </c>
      <c r="C32" s="21">
        <f t="shared" ca="1" si="0"/>
        <v>10</v>
      </c>
      <c r="D32" s="21">
        <f t="shared" ca="1" si="1"/>
        <v>2</v>
      </c>
      <c r="E32" s="21">
        <f t="shared" ca="1" si="1"/>
        <v>8</v>
      </c>
      <c r="F32" s="21">
        <f t="shared" ca="1" si="2"/>
        <v>27</v>
      </c>
      <c r="G32" s="23">
        <f t="shared" ca="1" si="3"/>
        <v>47</v>
      </c>
      <c r="H32" s="23" t="str">
        <f t="shared" ca="1" si="4"/>
        <v>F</v>
      </c>
      <c r="I32" s="142" t="str">
        <f t="shared" ca="1" si="5"/>
        <v>REPROBADO</v>
      </c>
      <c r="J32" s="109"/>
      <c r="K32" s="197" t="s">
        <v>188</v>
      </c>
      <c r="L32" s="196"/>
      <c r="M32" s="196"/>
      <c r="N32" s="196"/>
      <c r="O32" s="196"/>
      <c r="P32" s="196"/>
    </row>
    <row r="33" spans="1:16" x14ac:dyDescent="0.3">
      <c r="A33" s="55">
        <v>29</v>
      </c>
      <c r="B33" s="22" t="s">
        <v>189</v>
      </c>
      <c r="C33" s="21">
        <f t="shared" ca="1" si="0"/>
        <v>2</v>
      </c>
      <c r="D33" s="21">
        <f t="shared" ca="1" si="1"/>
        <v>15</v>
      </c>
      <c r="E33" s="21">
        <f t="shared" ca="1" si="1"/>
        <v>3</v>
      </c>
      <c r="F33" s="21">
        <f t="shared" ca="1" si="2"/>
        <v>16</v>
      </c>
      <c r="G33" s="23">
        <f t="shared" ca="1" si="3"/>
        <v>36</v>
      </c>
      <c r="H33" s="23" t="str">
        <f t="shared" ca="1" si="4"/>
        <v>F</v>
      </c>
      <c r="I33" s="142" t="str">
        <f t="shared" ca="1" si="5"/>
        <v>REPROBADO</v>
      </c>
      <c r="J33" s="109"/>
      <c r="K33" s="196"/>
      <c r="L33" s="196"/>
      <c r="M33" s="196"/>
      <c r="N33" s="196"/>
      <c r="O33" s="196"/>
      <c r="P33" s="196"/>
    </row>
    <row r="34" spans="1:16" x14ac:dyDescent="0.3">
      <c r="A34" s="55">
        <v>30</v>
      </c>
      <c r="B34" s="22" t="s">
        <v>190</v>
      </c>
      <c r="C34" s="21">
        <f t="shared" ca="1" si="0"/>
        <v>9</v>
      </c>
      <c r="D34" s="21">
        <f t="shared" ca="1" si="1"/>
        <v>8</v>
      </c>
      <c r="E34" s="21">
        <f t="shared" ca="1" si="1"/>
        <v>6</v>
      </c>
      <c r="F34" s="21">
        <f t="shared" ca="1" si="2"/>
        <v>4</v>
      </c>
      <c r="G34" s="23">
        <f t="shared" ca="1" si="3"/>
        <v>27</v>
      </c>
      <c r="H34" s="23" t="str">
        <f t="shared" ca="1" si="4"/>
        <v>F</v>
      </c>
      <c r="I34" s="142" t="str">
        <f t="shared" ca="1" si="5"/>
        <v>REPROBADO</v>
      </c>
      <c r="J34" s="109"/>
      <c r="K34" s="196"/>
      <c r="L34" s="196"/>
      <c r="M34" s="196"/>
      <c r="N34" s="196"/>
      <c r="O34" s="196"/>
      <c r="P34" s="196"/>
    </row>
    <row r="35" spans="1:16" x14ac:dyDescent="0.3">
      <c r="A35" s="55">
        <v>31</v>
      </c>
      <c r="B35" s="24" t="s">
        <v>191</v>
      </c>
      <c r="C35" s="21">
        <f t="shared" ca="1" si="0"/>
        <v>3</v>
      </c>
      <c r="D35" s="21">
        <f t="shared" ca="1" si="1"/>
        <v>1</v>
      </c>
      <c r="E35" s="21">
        <f t="shared" ca="1" si="1"/>
        <v>11</v>
      </c>
      <c r="F35" s="21">
        <f t="shared" ca="1" si="2"/>
        <v>25</v>
      </c>
      <c r="G35" s="23">
        <f t="shared" ca="1" si="3"/>
        <v>40</v>
      </c>
      <c r="H35" s="23" t="str">
        <f t="shared" ca="1" si="4"/>
        <v>F</v>
      </c>
      <c r="I35" s="142" t="str">
        <f t="shared" ca="1" si="5"/>
        <v>REPROBADO</v>
      </c>
      <c r="J35" s="109"/>
      <c r="K35" s="187" t="s">
        <v>192</v>
      </c>
      <c r="L35" s="187"/>
      <c r="M35" s="187"/>
      <c r="N35" s="187"/>
      <c r="O35" s="187"/>
      <c r="P35" s="187"/>
    </row>
    <row r="36" spans="1:16" ht="19.5" thickBot="1" x14ac:dyDescent="0.35">
      <c r="A36" s="56">
        <v>32</v>
      </c>
      <c r="B36" s="57" t="s">
        <v>193</v>
      </c>
      <c r="C36" s="113">
        <f t="shared" ca="1" si="0"/>
        <v>2</v>
      </c>
      <c r="D36" s="113">
        <f t="shared" ca="1" si="1"/>
        <v>6</v>
      </c>
      <c r="E36" s="113">
        <f t="shared" ca="1" si="1"/>
        <v>13</v>
      </c>
      <c r="F36" s="113">
        <f t="shared" ca="1" si="2"/>
        <v>34</v>
      </c>
      <c r="G36" s="143">
        <f t="shared" ca="1" si="3"/>
        <v>55</v>
      </c>
      <c r="H36" s="143" t="str">
        <f t="shared" ca="1" si="4"/>
        <v>F</v>
      </c>
      <c r="I36" s="144" t="str">
        <f t="shared" ca="1" si="5"/>
        <v>REPROBADO</v>
      </c>
      <c r="J36" s="109"/>
    </row>
    <row r="37" spans="1:16" ht="33.75" customHeight="1" thickBot="1" x14ac:dyDescent="0.35">
      <c r="H37" s="19"/>
      <c r="K37" s="200" t="s">
        <v>232</v>
      </c>
      <c r="L37" s="200"/>
      <c r="N37" s="200" t="s">
        <v>231</v>
      </c>
      <c r="O37" s="200"/>
      <c r="P37" s="200"/>
    </row>
    <row r="38" spans="1:16" x14ac:dyDescent="0.3">
      <c r="H38" s="19"/>
      <c r="K38" s="25" t="s">
        <v>194</v>
      </c>
      <c r="L38" s="26">
        <f ca="1">COUNTIFS($H$5:$H$36,"A")</f>
        <v>0</v>
      </c>
      <c r="N38" s="198" t="s">
        <v>195</v>
      </c>
      <c r="O38" s="199"/>
      <c r="P38" s="27">
        <f ca="1">COUNTIF(I5:I36,"APROBADO")</f>
        <v>4</v>
      </c>
    </row>
    <row r="39" spans="1:16" x14ac:dyDescent="0.3">
      <c r="K39" s="28" t="s">
        <v>196</v>
      </c>
      <c r="L39" s="29">
        <f ca="1">COUNTIFS($H$5:$H$36,"B")</f>
        <v>0</v>
      </c>
      <c r="N39" s="189" t="s">
        <v>197</v>
      </c>
      <c r="O39" s="190"/>
      <c r="P39" s="30">
        <f ca="1">COUNTIF(I5:I36,"REPROBADO")</f>
        <v>28</v>
      </c>
    </row>
    <row r="40" spans="1:16" ht="19.5" thickBot="1" x14ac:dyDescent="0.35">
      <c r="K40" s="28" t="s">
        <v>198</v>
      </c>
      <c r="L40" s="29">
        <f ca="1">COUNTIFS($H$5:$H$36,"C")</f>
        <v>3</v>
      </c>
      <c r="N40" s="191" t="s">
        <v>138</v>
      </c>
      <c r="O40" s="192"/>
      <c r="P40" s="31">
        <f ca="1">SUM(P38:P39)</f>
        <v>32</v>
      </c>
    </row>
    <row r="41" spans="1:16" x14ac:dyDescent="0.3">
      <c r="K41" s="28" t="s">
        <v>199</v>
      </c>
      <c r="L41" s="29">
        <f ca="1">COUNTIFS($H$5:$H$36,"D")</f>
        <v>1</v>
      </c>
    </row>
    <row r="42" spans="1:16" ht="19.5" thickBot="1" x14ac:dyDescent="0.35">
      <c r="K42" s="32" t="s">
        <v>200</v>
      </c>
      <c r="L42" s="33">
        <f ca="1">COUNTIFS($H$5:$H$36,"F")</f>
        <v>28</v>
      </c>
    </row>
    <row r="43" spans="1:16" ht="19.5" thickBot="1" x14ac:dyDescent="0.35">
      <c r="K43" s="34" t="s">
        <v>138</v>
      </c>
      <c r="L43" s="35">
        <f ca="1">SUM(L38:L42)</f>
        <v>32</v>
      </c>
    </row>
  </sheetData>
  <mergeCells count="22">
    <mergeCell ref="A1:P2"/>
    <mergeCell ref="K21:P23"/>
    <mergeCell ref="K4:P4"/>
    <mergeCell ref="K5:P6"/>
    <mergeCell ref="K7:O7"/>
    <mergeCell ref="K8:P8"/>
    <mergeCell ref="K9:P10"/>
    <mergeCell ref="K12:P12"/>
    <mergeCell ref="K13:P14"/>
    <mergeCell ref="K16:P16"/>
    <mergeCell ref="K17:P18"/>
    <mergeCell ref="K20:P20"/>
    <mergeCell ref="N39:O39"/>
    <mergeCell ref="N40:O40"/>
    <mergeCell ref="K25:P25"/>
    <mergeCell ref="K26:P28"/>
    <mergeCell ref="K31:P31"/>
    <mergeCell ref="K32:P34"/>
    <mergeCell ref="K35:P35"/>
    <mergeCell ref="N38:O38"/>
    <mergeCell ref="K37:L37"/>
    <mergeCell ref="N37:P37"/>
  </mergeCells>
  <conditionalFormatting sqref="H5:H36">
    <cfRule type="cellIs" dxfId="11" priority="15" operator="equal">
      <formula>"F"</formula>
    </cfRule>
    <cfRule type="cellIs" dxfId="10" priority="16" operator="equal">
      <formula>"D"</formula>
    </cfRule>
    <cfRule type="cellIs" dxfId="9" priority="17" operator="equal">
      <formula>"C"</formula>
    </cfRule>
    <cfRule type="cellIs" dxfId="8" priority="18" operator="equal">
      <formula>"B"</formula>
    </cfRule>
    <cfRule type="cellIs" dxfId="7" priority="19" operator="equal">
      <formula>"A"</formula>
    </cfRule>
  </conditionalFormatting>
  <conditionalFormatting sqref="I5:J36">
    <cfRule type="cellIs" dxfId="6" priority="1" operator="equal">
      <formula>"REPROBADO"</formula>
    </cfRule>
    <cfRule type="cellIs" dxfId="5" priority="2" operator="equal">
      <formula>"APROBADO"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6649-13CC-4DA5-918F-65ED936A47D9}">
  <sheetPr codeName="Hoja5">
    <tabColor rgb="FFFFFF00"/>
  </sheetPr>
  <dimension ref="A1:T16"/>
  <sheetViews>
    <sheetView zoomScale="85" zoomScaleNormal="85" workbookViewId="0">
      <selection activeCell="I4" sqref="I4"/>
    </sheetView>
  </sheetViews>
  <sheetFormatPr baseColWidth="10" defaultRowHeight="15" x14ac:dyDescent="0.25"/>
  <cols>
    <col min="1" max="1" width="10.42578125" customWidth="1"/>
    <col min="2" max="2" width="41.85546875" customWidth="1"/>
    <col min="3" max="3" width="15.85546875" bestFit="1" customWidth="1"/>
    <col min="4" max="4" width="9.42578125" bestFit="1" customWidth="1"/>
    <col min="5" max="5" width="11.42578125" bestFit="1" customWidth="1"/>
    <col min="6" max="6" width="9.85546875" bestFit="1" customWidth="1"/>
    <col min="7" max="7" width="8.42578125" bestFit="1" customWidth="1"/>
    <col min="8" max="8" width="8" bestFit="1" customWidth="1"/>
    <col min="9" max="9" width="10.85546875" bestFit="1" customWidth="1"/>
    <col min="10" max="10" width="12" style="2" bestFit="1" customWidth="1"/>
    <col min="11" max="11" width="13.42578125" style="2" bestFit="1" customWidth="1"/>
    <col min="12" max="12" width="13.42578125" bestFit="1" customWidth="1"/>
    <col min="13" max="13" width="4.5703125" customWidth="1"/>
    <col min="14" max="14" width="37.5703125" bestFit="1" customWidth="1"/>
    <col min="15" max="15" width="15.85546875" bestFit="1" customWidth="1"/>
    <col min="16" max="16" width="4.7109375" customWidth="1"/>
    <col min="17" max="17" width="6.85546875" bestFit="1" customWidth="1"/>
    <col min="18" max="18" width="34.5703125" bestFit="1" customWidth="1"/>
    <col min="19" max="19" width="9.85546875" bestFit="1" customWidth="1"/>
    <col min="20" max="20" width="15.42578125" bestFit="1" customWidth="1"/>
  </cols>
  <sheetData>
    <row r="1" spans="1:20" ht="15.75" thickBot="1" x14ac:dyDescent="0.3"/>
    <row r="2" spans="1:20" ht="21.75" thickBot="1" x14ac:dyDescent="0.4">
      <c r="A2" s="119" t="s">
        <v>0</v>
      </c>
      <c r="B2" s="120" t="s">
        <v>218</v>
      </c>
      <c r="C2" s="120" t="s">
        <v>246</v>
      </c>
      <c r="D2" s="120" t="s">
        <v>206</v>
      </c>
      <c r="E2" s="120" t="s">
        <v>235</v>
      </c>
      <c r="F2" s="120" t="s">
        <v>207</v>
      </c>
      <c r="G2" s="120" t="s">
        <v>233</v>
      </c>
      <c r="H2" s="120" t="s">
        <v>234</v>
      </c>
      <c r="I2" s="120" t="s">
        <v>208</v>
      </c>
      <c r="J2" s="120" t="s">
        <v>153</v>
      </c>
      <c r="K2" s="120" t="s">
        <v>236</v>
      </c>
      <c r="L2" s="121" t="s">
        <v>237</v>
      </c>
      <c r="M2" s="16"/>
      <c r="N2" s="138" t="s">
        <v>209</v>
      </c>
      <c r="O2" s="139" t="s">
        <v>210</v>
      </c>
      <c r="Q2" s="208" t="s">
        <v>245</v>
      </c>
      <c r="R2" s="209"/>
      <c r="S2" s="209"/>
      <c r="T2" s="210"/>
    </row>
    <row r="3" spans="1:20" ht="19.5" thickBot="1" x14ac:dyDescent="0.35">
      <c r="A3" s="116">
        <v>1001</v>
      </c>
      <c r="B3" s="37" t="s">
        <v>156</v>
      </c>
      <c r="C3" s="117">
        <v>15000</v>
      </c>
      <c r="D3" s="125">
        <v>9</v>
      </c>
      <c r="E3" s="125">
        <v>7</v>
      </c>
      <c r="F3" s="125">
        <v>10</v>
      </c>
      <c r="G3" s="125">
        <v>8</v>
      </c>
      <c r="H3" s="125">
        <v>7</v>
      </c>
      <c r="I3" s="122">
        <f>AVERAGE(D3:H3)</f>
        <v>8.1999999999999993</v>
      </c>
      <c r="J3" s="118" t="str">
        <f>IF(I3&gt;=6,"APROBADO","REPROBADO")</f>
        <v>APROBADO</v>
      </c>
      <c r="K3" s="145">
        <f t="shared" ref="K3:K16" si="0">MAX(D3:H3)</f>
        <v>10</v>
      </c>
      <c r="L3" s="146">
        <f>MIN(E3:I3)</f>
        <v>7</v>
      </c>
      <c r="N3" s="65" t="s">
        <v>238</v>
      </c>
      <c r="O3" s="135">
        <f>MAX(I3:I16)</f>
        <v>8.4</v>
      </c>
      <c r="Q3" s="127" t="s">
        <v>243</v>
      </c>
      <c r="R3" s="127" t="s">
        <v>1</v>
      </c>
      <c r="S3" s="127" t="s">
        <v>244</v>
      </c>
      <c r="T3" s="127" t="s">
        <v>242</v>
      </c>
    </row>
    <row r="4" spans="1:20" ht="21.75" customHeight="1" thickBot="1" x14ac:dyDescent="0.35">
      <c r="A4" s="3">
        <v>1002</v>
      </c>
      <c r="B4" s="1" t="s">
        <v>157</v>
      </c>
      <c r="C4" s="67">
        <v>8500</v>
      </c>
      <c r="D4" s="126">
        <v>5</v>
      </c>
      <c r="E4" s="126">
        <v>5</v>
      </c>
      <c r="F4" s="126">
        <v>4</v>
      </c>
      <c r="G4" s="126">
        <v>6</v>
      </c>
      <c r="H4" s="126">
        <v>8</v>
      </c>
      <c r="I4" s="123">
        <f t="shared" ref="I4:I16" si="1">AVERAGE(D4:H4)</f>
        <v>5.6</v>
      </c>
      <c r="J4" s="114" t="str">
        <f t="shared" ref="J4:J16" si="2">IF(I4&gt;=6,"APROBADO","REPROBADO")</f>
        <v>REPROBADO</v>
      </c>
      <c r="K4" s="145">
        <f t="shared" si="0"/>
        <v>8</v>
      </c>
      <c r="L4" s="147">
        <f t="shared" ref="L4:L16" si="3">MIN(E4:I4)</f>
        <v>4</v>
      </c>
      <c r="N4" s="64" t="s">
        <v>239</v>
      </c>
      <c r="O4" s="136">
        <f>MIN(I3:I17)</f>
        <v>5.6</v>
      </c>
      <c r="Q4" s="131">
        <v>1002</v>
      </c>
      <c r="R4" s="128" t="str">
        <f>INDEX(B3:B16,MATCH(Q4,A3:A16,0))</f>
        <v xml:space="preserve">
MARIA  ESTELA CRUZ  RODRIGUEZ</v>
      </c>
      <c r="S4" s="129" t="str" cm="1">
        <f t="array" ref="S4">INDEX(D$2:H$2, MATCH(MAX(_xlfn._xlws.FILTER(D3:H16, A3:A16=Q4)), _xlfn._xlws.FILTER(D3:H16, A3:A16=Q4), 0))</f>
        <v>R</v>
      </c>
      <c r="T4" s="130">
        <f>INDEX(K3:K16,MATCH(Q4,A3:A16,0))</f>
        <v>8</v>
      </c>
    </row>
    <row r="5" spans="1:20" ht="21.75" customHeight="1" x14ac:dyDescent="0.3">
      <c r="A5" s="3">
        <v>1003</v>
      </c>
      <c r="B5" s="1" t="s">
        <v>158</v>
      </c>
      <c r="C5" s="67">
        <v>16500</v>
      </c>
      <c r="D5" s="126">
        <v>6</v>
      </c>
      <c r="E5" s="126">
        <v>7</v>
      </c>
      <c r="F5" s="126">
        <v>8</v>
      </c>
      <c r="G5" s="126">
        <v>9</v>
      </c>
      <c r="H5" s="126">
        <v>9.5</v>
      </c>
      <c r="I5" s="123">
        <f t="shared" si="1"/>
        <v>7.9</v>
      </c>
      <c r="J5" s="114" t="str">
        <f t="shared" si="2"/>
        <v>APROBADO</v>
      </c>
      <c r="K5" s="145">
        <f t="shared" si="0"/>
        <v>9.5</v>
      </c>
      <c r="L5" s="147">
        <f t="shared" si="3"/>
        <v>7</v>
      </c>
      <c r="N5" s="64" t="s">
        <v>211</v>
      </c>
      <c r="O5" s="136">
        <f>_xlfn.MODE.SNGL(I3:I16)</f>
        <v>8.11</v>
      </c>
    </row>
    <row r="6" spans="1:20" ht="21.75" customHeight="1" x14ac:dyDescent="0.35">
      <c r="A6" s="3">
        <v>1004</v>
      </c>
      <c r="B6" s="1" t="s">
        <v>159</v>
      </c>
      <c r="C6" s="67">
        <v>12000</v>
      </c>
      <c r="D6" s="126">
        <v>7</v>
      </c>
      <c r="E6" s="126">
        <v>5</v>
      </c>
      <c r="F6" s="126">
        <v>9</v>
      </c>
      <c r="G6" s="126">
        <v>4</v>
      </c>
      <c r="H6" s="126">
        <v>9</v>
      </c>
      <c r="I6" s="123">
        <f t="shared" si="1"/>
        <v>6.8</v>
      </c>
      <c r="J6" s="114" t="str">
        <f t="shared" si="2"/>
        <v>APROBADO</v>
      </c>
      <c r="K6" s="145">
        <f t="shared" si="0"/>
        <v>9</v>
      </c>
      <c r="L6" s="147">
        <f t="shared" si="3"/>
        <v>4</v>
      </c>
      <c r="N6" s="64" t="s">
        <v>212</v>
      </c>
      <c r="O6" s="136">
        <f>AVERAGE(I3:I16)</f>
        <v>6.9971428571428591</v>
      </c>
      <c r="Q6" s="134"/>
      <c r="R6" s="134"/>
      <c r="S6" s="134"/>
      <c r="T6" s="134"/>
    </row>
    <row r="7" spans="1:20" ht="21.75" customHeight="1" x14ac:dyDescent="0.3">
      <c r="A7" s="3">
        <v>1005</v>
      </c>
      <c r="B7" s="1" t="s">
        <v>160</v>
      </c>
      <c r="C7" s="67">
        <v>9500</v>
      </c>
      <c r="D7" s="126">
        <v>10</v>
      </c>
      <c r="E7" s="126">
        <v>5</v>
      </c>
      <c r="F7" s="126">
        <v>2</v>
      </c>
      <c r="G7" s="126">
        <v>8</v>
      </c>
      <c r="H7" s="126">
        <v>5</v>
      </c>
      <c r="I7" s="123">
        <f t="shared" si="1"/>
        <v>6</v>
      </c>
      <c r="J7" s="114" t="str">
        <f t="shared" si="2"/>
        <v>APROBADO</v>
      </c>
      <c r="K7" s="145">
        <f t="shared" si="0"/>
        <v>10</v>
      </c>
      <c r="L7" s="147">
        <f t="shared" si="3"/>
        <v>2</v>
      </c>
      <c r="N7" s="64" t="s">
        <v>213</v>
      </c>
      <c r="O7" s="136">
        <f>COUNTA(B3:B16)</f>
        <v>14</v>
      </c>
      <c r="Q7" s="132"/>
      <c r="R7" s="132"/>
      <c r="S7" s="132"/>
      <c r="T7" s="132"/>
    </row>
    <row r="8" spans="1:20" ht="21.75" customHeight="1" x14ac:dyDescent="0.3">
      <c r="A8" s="3">
        <v>1006</v>
      </c>
      <c r="B8" s="1" t="s">
        <v>161</v>
      </c>
      <c r="C8" s="67">
        <v>8500</v>
      </c>
      <c r="D8" s="126">
        <v>8</v>
      </c>
      <c r="E8" s="126">
        <v>9.5</v>
      </c>
      <c r="F8" s="126">
        <v>5</v>
      </c>
      <c r="G8" s="126">
        <v>7</v>
      </c>
      <c r="H8" s="126">
        <v>4</v>
      </c>
      <c r="I8" s="123">
        <f t="shared" si="1"/>
        <v>6.7</v>
      </c>
      <c r="J8" s="114" t="str">
        <f t="shared" si="2"/>
        <v>APROBADO</v>
      </c>
      <c r="K8" s="145">
        <f t="shared" si="0"/>
        <v>9.5</v>
      </c>
      <c r="L8" s="147">
        <f t="shared" si="3"/>
        <v>4</v>
      </c>
      <c r="N8" s="64" t="s">
        <v>214</v>
      </c>
      <c r="O8" s="136">
        <f>COUNTIF(J3:J16,"APROBADO")</f>
        <v>11</v>
      </c>
      <c r="Q8" s="132"/>
      <c r="R8" s="132"/>
      <c r="S8" s="132"/>
      <c r="T8" s="133"/>
    </row>
    <row r="9" spans="1:20" ht="21.75" customHeight="1" x14ac:dyDescent="0.3">
      <c r="A9" s="3">
        <v>1007</v>
      </c>
      <c r="B9" s="1" t="s">
        <v>162</v>
      </c>
      <c r="C9" s="67">
        <v>7500</v>
      </c>
      <c r="D9" s="126">
        <v>7</v>
      </c>
      <c r="E9" s="126">
        <v>7.5</v>
      </c>
      <c r="F9" s="126">
        <v>1</v>
      </c>
      <c r="G9" s="126">
        <v>6</v>
      </c>
      <c r="H9" s="126">
        <v>9.5</v>
      </c>
      <c r="I9" s="123">
        <f t="shared" si="1"/>
        <v>6.2</v>
      </c>
      <c r="J9" s="114" t="str">
        <f t="shared" si="2"/>
        <v>APROBADO</v>
      </c>
      <c r="K9" s="145">
        <f>MAX(D9:H9)</f>
        <v>9.5</v>
      </c>
      <c r="L9" s="147">
        <f t="shared" si="3"/>
        <v>1</v>
      </c>
      <c r="N9" s="64" t="s">
        <v>215</v>
      </c>
      <c r="O9" s="136">
        <f>COUNTIF(J3:J16,"REPROBADO")</f>
        <v>3</v>
      </c>
    </row>
    <row r="10" spans="1:20" ht="21.75" customHeight="1" x14ac:dyDescent="0.3">
      <c r="A10" s="3">
        <v>1008</v>
      </c>
      <c r="B10" s="1" t="s">
        <v>163</v>
      </c>
      <c r="C10" s="67">
        <v>12500</v>
      </c>
      <c r="D10" s="126">
        <v>5</v>
      </c>
      <c r="E10" s="126">
        <v>1</v>
      </c>
      <c r="F10" s="126">
        <v>9.1</v>
      </c>
      <c r="G10" s="126">
        <v>9</v>
      </c>
      <c r="H10" s="126">
        <v>7.5</v>
      </c>
      <c r="I10" s="123">
        <v>7</v>
      </c>
      <c r="J10" s="114" t="str">
        <f t="shared" si="2"/>
        <v>APROBADO</v>
      </c>
      <c r="K10" s="145">
        <f t="shared" si="0"/>
        <v>9.1</v>
      </c>
      <c r="L10" s="147">
        <f t="shared" si="3"/>
        <v>1</v>
      </c>
      <c r="N10" s="64" t="s">
        <v>216</v>
      </c>
      <c r="O10" s="136">
        <f>AVERAGEIF(J3:J16,"APROBADO",I3:I16)</f>
        <v>7.3345454545454549</v>
      </c>
    </row>
    <row r="11" spans="1:20" ht="21.75" customHeight="1" x14ac:dyDescent="0.3">
      <c r="A11" s="3">
        <v>1009</v>
      </c>
      <c r="B11" s="1" t="s">
        <v>164</v>
      </c>
      <c r="C11" s="67">
        <v>13000</v>
      </c>
      <c r="D11" s="126">
        <v>7.75</v>
      </c>
      <c r="E11" s="126">
        <v>8.9</v>
      </c>
      <c r="F11" s="126">
        <v>7.9</v>
      </c>
      <c r="G11" s="126">
        <v>8.1999999999999993</v>
      </c>
      <c r="H11" s="126">
        <v>7.8</v>
      </c>
      <c r="I11" s="123">
        <f t="shared" si="1"/>
        <v>8.11</v>
      </c>
      <c r="J11" s="114" t="str">
        <f t="shared" si="2"/>
        <v>APROBADO</v>
      </c>
      <c r="K11" s="145">
        <f t="shared" si="0"/>
        <v>8.9</v>
      </c>
      <c r="L11" s="147">
        <f t="shared" si="3"/>
        <v>7.8</v>
      </c>
      <c r="N11" s="64" t="s">
        <v>217</v>
      </c>
      <c r="O11" s="136">
        <f>AVERAGEIF(J4:J17,"REPROBADO",I3:I16)</f>
        <v>7.9533333333333331</v>
      </c>
    </row>
    <row r="12" spans="1:20" ht="21.75" customHeight="1" x14ac:dyDescent="0.3">
      <c r="A12" s="3">
        <v>1010</v>
      </c>
      <c r="B12" s="1" t="s">
        <v>165</v>
      </c>
      <c r="C12" s="67">
        <v>14000</v>
      </c>
      <c r="D12" s="126">
        <v>6</v>
      </c>
      <c r="E12" s="126">
        <v>9.3000000000000007</v>
      </c>
      <c r="F12" s="126">
        <v>9.4</v>
      </c>
      <c r="G12" s="126">
        <v>9.3000000000000007</v>
      </c>
      <c r="H12" s="126">
        <v>8</v>
      </c>
      <c r="I12" s="123">
        <f t="shared" si="1"/>
        <v>8.4</v>
      </c>
      <c r="J12" s="114" t="str">
        <f t="shared" si="2"/>
        <v>APROBADO</v>
      </c>
      <c r="K12" s="145">
        <f t="shared" si="0"/>
        <v>9.4</v>
      </c>
      <c r="L12" s="147">
        <f t="shared" si="3"/>
        <v>8</v>
      </c>
      <c r="N12" s="64" t="s">
        <v>240</v>
      </c>
      <c r="O12" s="136">
        <f>SUMIF(J3:J16,"APROBADO",C3:C16)</f>
        <v>137500</v>
      </c>
    </row>
    <row r="13" spans="1:20" ht="21.75" customHeight="1" x14ac:dyDescent="0.3">
      <c r="A13" s="3">
        <v>1011</v>
      </c>
      <c r="B13" s="1" t="s">
        <v>166</v>
      </c>
      <c r="C13" s="67">
        <v>15000</v>
      </c>
      <c r="D13" s="126">
        <v>8</v>
      </c>
      <c r="E13" s="126">
        <v>2</v>
      </c>
      <c r="F13" s="126">
        <v>1</v>
      </c>
      <c r="G13" s="126">
        <v>9.1999999999999993</v>
      </c>
      <c r="H13" s="126">
        <v>9</v>
      </c>
      <c r="I13" s="123">
        <f t="shared" si="1"/>
        <v>5.84</v>
      </c>
      <c r="J13" s="114" t="str">
        <f t="shared" si="2"/>
        <v>REPROBADO</v>
      </c>
      <c r="K13" s="145">
        <f t="shared" si="0"/>
        <v>9.1999999999999993</v>
      </c>
      <c r="L13" s="147">
        <f t="shared" si="3"/>
        <v>1</v>
      </c>
      <c r="N13" s="64" t="s">
        <v>241</v>
      </c>
      <c r="O13" s="136">
        <f>SUMIF(J3:J16,"REPROBADO",C3:C16)</f>
        <v>35500</v>
      </c>
    </row>
    <row r="14" spans="1:20" ht="21.75" customHeight="1" thickBot="1" x14ac:dyDescent="0.35">
      <c r="A14" s="3">
        <v>1012</v>
      </c>
      <c r="B14" s="1" t="s">
        <v>167</v>
      </c>
      <c r="C14" s="67">
        <v>15000</v>
      </c>
      <c r="D14" s="126">
        <v>7.75</v>
      </c>
      <c r="E14" s="126">
        <v>8.9</v>
      </c>
      <c r="F14" s="126">
        <v>7.9</v>
      </c>
      <c r="G14" s="126">
        <v>8.1999999999999993</v>
      </c>
      <c r="H14" s="126">
        <v>7.8</v>
      </c>
      <c r="I14" s="123">
        <f t="shared" si="1"/>
        <v>8.11</v>
      </c>
      <c r="J14" s="114" t="str">
        <f t="shared" si="2"/>
        <v>APROBADO</v>
      </c>
      <c r="K14" s="145">
        <f t="shared" si="0"/>
        <v>8.9</v>
      </c>
      <c r="L14" s="147">
        <f t="shared" si="3"/>
        <v>7.8</v>
      </c>
      <c r="N14" s="66" t="s">
        <v>247</v>
      </c>
      <c r="O14" s="137">
        <f>SUM(C3:C16)</f>
        <v>173000</v>
      </c>
    </row>
    <row r="15" spans="1:20" ht="21.75" customHeight="1" x14ac:dyDescent="0.3">
      <c r="A15" s="3">
        <v>1013</v>
      </c>
      <c r="B15" s="1" t="s">
        <v>168</v>
      </c>
      <c r="C15" s="67">
        <v>14000</v>
      </c>
      <c r="D15" s="126">
        <v>6</v>
      </c>
      <c r="E15" s="126">
        <v>8</v>
      </c>
      <c r="F15" s="126">
        <v>5</v>
      </c>
      <c r="G15" s="126">
        <v>9.3000000000000007</v>
      </c>
      <c r="H15" s="126">
        <v>8</v>
      </c>
      <c r="I15" s="123">
        <f t="shared" si="1"/>
        <v>7.26</v>
      </c>
      <c r="J15" s="114" t="str">
        <f t="shared" si="2"/>
        <v>APROBADO</v>
      </c>
      <c r="K15" s="145">
        <f t="shared" si="0"/>
        <v>9.3000000000000007</v>
      </c>
      <c r="L15" s="147">
        <f t="shared" si="3"/>
        <v>5</v>
      </c>
    </row>
    <row r="16" spans="1:20" ht="21.75" customHeight="1" thickBot="1" x14ac:dyDescent="0.35">
      <c r="A16" s="4">
        <v>1014</v>
      </c>
      <c r="B16" s="5" t="s">
        <v>170</v>
      </c>
      <c r="C16" s="68">
        <v>12000</v>
      </c>
      <c r="D16" s="126">
        <v>8</v>
      </c>
      <c r="E16" s="126">
        <v>2</v>
      </c>
      <c r="F16" s="126">
        <v>1</v>
      </c>
      <c r="G16" s="126">
        <v>9.1999999999999993</v>
      </c>
      <c r="H16" s="126">
        <v>9</v>
      </c>
      <c r="I16" s="124">
        <f t="shared" si="1"/>
        <v>5.84</v>
      </c>
      <c r="J16" s="115" t="str">
        <f t="shared" si="2"/>
        <v>REPROBADO</v>
      </c>
      <c r="K16" s="148">
        <f t="shared" si="0"/>
        <v>9.1999999999999993</v>
      </c>
      <c r="L16" s="149">
        <f t="shared" si="3"/>
        <v>1</v>
      </c>
    </row>
  </sheetData>
  <mergeCells count="1">
    <mergeCell ref="Q2:T2"/>
  </mergeCells>
  <conditionalFormatting sqref="J3:L16">
    <cfRule type="cellIs" dxfId="4" priority="1" operator="equal">
      <formula>"REPROBADO"</formula>
    </cfRule>
    <cfRule type="cellIs" dxfId="3" priority="2" operator="equal">
      <formula>"APROBADO"</formula>
    </cfRule>
  </conditionalFormatting>
  <pageMargins left="0.7" right="0.7" top="0.75" bottom="0.75" header="0.3" footer="0.3"/>
  <ignoredErrors>
    <ignoredError sqref="K4:K5" formulaRange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7376F-C512-4118-9706-DFE6704BFF3D}">
  <sheetPr>
    <tabColor rgb="FF7030A0"/>
  </sheetPr>
  <dimension ref="B1:L130"/>
  <sheetViews>
    <sheetView zoomScale="130" zoomScaleNormal="130" workbookViewId="0">
      <pane ySplit="9" topLeftCell="A13" activePane="bottomLeft" state="frozen"/>
      <selection pane="bottomLeft" activeCell="D14" sqref="D14"/>
    </sheetView>
  </sheetViews>
  <sheetFormatPr baseColWidth="10" defaultRowHeight="15" x14ac:dyDescent="0.25"/>
  <cols>
    <col min="1" max="1" width="5" customWidth="1"/>
    <col min="2" max="2" width="25.42578125" style="6" bestFit="1" customWidth="1"/>
    <col min="3" max="3" width="13.28515625" bestFit="1" customWidth="1"/>
    <col min="4" max="4" width="14.7109375" bestFit="1" customWidth="1"/>
    <col min="5" max="5" width="12.5703125" bestFit="1" customWidth="1"/>
    <col min="6" max="6" width="13.42578125" customWidth="1"/>
    <col min="7" max="7" width="16.85546875" customWidth="1"/>
    <col min="8" max="8" width="22.140625" customWidth="1"/>
    <col min="9" max="9" width="10.42578125" bestFit="1" customWidth="1"/>
    <col min="10" max="10" width="14.28515625" bestFit="1" customWidth="1"/>
    <col min="11" max="11" width="12.42578125" bestFit="1" customWidth="1"/>
    <col min="12" max="12" width="13.28515625" bestFit="1" customWidth="1"/>
  </cols>
  <sheetData>
    <row r="1" spans="2:12" ht="15.75" thickBot="1" x14ac:dyDescent="0.3"/>
    <row r="2" spans="2:12" ht="15.75" thickBot="1" x14ac:dyDescent="0.3">
      <c r="B2" s="163" t="s">
        <v>253</v>
      </c>
      <c r="C2" s="151">
        <v>100000</v>
      </c>
    </row>
    <row r="3" spans="2:12" ht="15.75" thickBot="1" x14ac:dyDescent="0.3">
      <c r="B3" s="163" t="s">
        <v>254</v>
      </c>
      <c r="C3" s="152">
        <v>0.14000000000000001</v>
      </c>
    </row>
    <row r="4" spans="2:12" ht="15.75" thickBot="1" x14ac:dyDescent="0.3">
      <c r="B4" s="163" t="s">
        <v>255</v>
      </c>
      <c r="C4" s="152">
        <f>(1+C3)^(1/12)-1</f>
        <v>1.0978851950173452E-2</v>
      </c>
      <c r="D4" s="214" t="s">
        <v>266</v>
      </c>
      <c r="E4" s="215"/>
      <c r="I4" s="217" t="s">
        <v>267</v>
      </c>
      <c r="J4" s="217"/>
    </row>
    <row r="5" spans="2:12" ht="15.75" thickBot="1" x14ac:dyDescent="0.3">
      <c r="B5" s="163" t="s">
        <v>256</v>
      </c>
      <c r="C5" s="153">
        <v>1</v>
      </c>
      <c r="D5" s="216"/>
      <c r="E5" s="184"/>
      <c r="G5" s="150" t="s">
        <v>258</v>
      </c>
      <c r="H5" s="156">
        <f>PMT(C4,C6,-C2)</f>
        <v>8939.9223022841616</v>
      </c>
      <c r="I5" s="214" t="s">
        <v>268</v>
      </c>
      <c r="J5" s="215"/>
    </row>
    <row r="6" spans="2:12" ht="15.75" thickBot="1" x14ac:dyDescent="0.3">
      <c r="B6" s="163" t="s">
        <v>257</v>
      </c>
      <c r="C6" s="153">
        <f>C5*12</f>
        <v>12</v>
      </c>
      <c r="D6" s="214" t="s">
        <v>265</v>
      </c>
      <c r="E6" s="215"/>
      <c r="G6" s="150" t="s">
        <v>259</v>
      </c>
      <c r="H6" s="151">
        <f>H5*C6</f>
        <v>107279.06762740994</v>
      </c>
      <c r="I6" s="214" t="s">
        <v>269</v>
      </c>
      <c r="J6" s="215"/>
    </row>
    <row r="7" spans="2:12" ht="15.75" thickBot="1" x14ac:dyDescent="0.3"/>
    <row r="8" spans="2:12" ht="15.75" thickBot="1" x14ac:dyDescent="0.3">
      <c r="B8" s="211" t="s">
        <v>270</v>
      </c>
      <c r="C8" s="212"/>
      <c r="D8" s="212"/>
      <c r="E8" s="212"/>
      <c r="F8" s="213"/>
    </row>
    <row r="9" spans="2:12" ht="15.75" thickBot="1" x14ac:dyDescent="0.3">
      <c r="B9" s="155" t="s">
        <v>272</v>
      </c>
      <c r="C9" s="155" t="s">
        <v>261</v>
      </c>
      <c r="D9" s="154" t="s">
        <v>262</v>
      </c>
      <c r="E9" s="155" t="s">
        <v>263</v>
      </c>
      <c r="F9" s="155" t="s">
        <v>264</v>
      </c>
    </row>
    <row r="10" spans="2:12" x14ac:dyDescent="0.25">
      <c r="B10" s="6">
        <v>0</v>
      </c>
      <c r="C10" s="53"/>
      <c r="D10" s="162"/>
      <c r="E10" s="53"/>
      <c r="F10" s="162">
        <f>$C$2</f>
        <v>100000</v>
      </c>
    </row>
    <row r="11" spans="2:12" x14ac:dyDescent="0.25">
      <c r="B11" s="6">
        <f>IF(B10&lt;$C$6,B10+1,"")</f>
        <v>1</v>
      </c>
      <c r="C11" s="53">
        <f>IF(B11="", "", $H$5)</f>
        <v>8939.9223022841616</v>
      </c>
      <c r="D11" s="53">
        <f>IF(C11="","", IPMT($C$4,B11,$C$6,-$C$2))</f>
        <v>1097.8851950173453</v>
      </c>
      <c r="E11" s="53">
        <f>IF(B11="", "",PPMT($C$4,B11,$C$6,-$C$2))</f>
        <v>7842.0371072668167</v>
      </c>
      <c r="F11" s="162">
        <f>IF(B11="","",F10-E11)</f>
        <v>92157.96289273318</v>
      </c>
    </row>
    <row r="12" spans="2:12" x14ac:dyDescent="0.25">
      <c r="B12" s="6">
        <f t="shared" ref="B12:B22" si="0">IF(B11&lt;$C$6,B11+1,"")</f>
        <v>2</v>
      </c>
      <c r="C12" s="53">
        <f t="shared" ref="C12:C75" si="1">IF(B12="", "", $H$5)</f>
        <v>8939.9223022841616</v>
      </c>
      <c r="D12" s="53">
        <f t="shared" ref="D12:D21" si="2">IF(C12="","", IPMT($C$4,B12,$C$6,-$C$2))</f>
        <v>1011.7886306288964</v>
      </c>
      <c r="E12" s="53">
        <f t="shared" ref="E12:E22" si="3">IF(B12="", "",PPMT($C$4,B12,$C$6,-$C$2))</f>
        <v>7928.133671655266</v>
      </c>
      <c r="F12" s="162">
        <f t="shared" ref="F12:F22" si="4">IF(B12="","",F11-E12)</f>
        <v>84229.829221077918</v>
      </c>
    </row>
    <row r="13" spans="2:12" x14ac:dyDescent="0.25">
      <c r="B13" s="6">
        <f t="shared" si="0"/>
        <v>3</v>
      </c>
      <c r="C13" s="53">
        <f t="shared" si="1"/>
        <v>8939.9223022841616</v>
      </c>
      <c r="D13" s="53">
        <f t="shared" si="2"/>
        <v>924.74682480660829</v>
      </c>
      <c r="E13" s="53">
        <f t="shared" si="3"/>
        <v>8015.1754774775536</v>
      </c>
      <c r="F13" s="162">
        <f t="shared" si="4"/>
        <v>76214.653743600371</v>
      </c>
    </row>
    <row r="14" spans="2:12" ht="15.75" thickBot="1" x14ac:dyDescent="0.3">
      <c r="B14" s="6">
        <f t="shared" si="0"/>
        <v>4</v>
      </c>
      <c r="C14" s="53">
        <f t="shared" si="1"/>
        <v>8939.9223022841616</v>
      </c>
      <c r="D14" s="53">
        <f t="shared" si="2"/>
        <v>836.74939988472124</v>
      </c>
      <c r="E14" s="53">
        <f t="shared" si="3"/>
        <v>8103.1729023994403</v>
      </c>
      <c r="F14" s="162">
        <f t="shared" si="4"/>
        <v>68111.48084120093</v>
      </c>
    </row>
    <row r="15" spans="2:12" ht="15.75" thickBot="1" x14ac:dyDescent="0.3">
      <c r="B15" s="6">
        <f t="shared" si="0"/>
        <v>5</v>
      </c>
      <c r="C15" s="53">
        <f t="shared" si="1"/>
        <v>8939.9223022841616</v>
      </c>
      <c r="D15" s="53">
        <f t="shared" si="2"/>
        <v>747.78586426262052</v>
      </c>
      <c r="E15" s="53">
        <f t="shared" si="3"/>
        <v>8192.1364380215418</v>
      </c>
      <c r="F15" s="162">
        <f t="shared" si="4"/>
        <v>59919.344403179392</v>
      </c>
      <c r="H15" s="211" t="s">
        <v>271</v>
      </c>
      <c r="I15" s="212"/>
      <c r="J15" s="212"/>
      <c r="K15" s="212"/>
      <c r="L15" s="213"/>
    </row>
    <row r="16" spans="2:12" ht="15.75" thickBot="1" x14ac:dyDescent="0.3">
      <c r="B16" s="6">
        <f t="shared" si="0"/>
        <v>6</v>
      </c>
      <c r="C16" s="53">
        <f t="shared" si="1"/>
        <v>8939.9223022841616</v>
      </c>
      <c r="D16" s="53">
        <f t="shared" si="2"/>
        <v>657.84561115396082</v>
      </c>
      <c r="E16" s="53">
        <f t="shared" si="3"/>
        <v>8282.0766911302017</v>
      </c>
      <c r="F16" s="162">
        <f t="shared" si="4"/>
        <v>51637.267712049186</v>
      </c>
      <c r="H16" s="157" t="s">
        <v>260</v>
      </c>
      <c r="I16" s="157" t="s">
        <v>261</v>
      </c>
      <c r="J16" s="158" t="s">
        <v>262</v>
      </c>
      <c r="K16" s="157" t="s">
        <v>263</v>
      </c>
      <c r="L16" s="157" t="s">
        <v>264</v>
      </c>
    </row>
    <row r="17" spans="2:12" ht="15.75" thickBot="1" x14ac:dyDescent="0.3">
      <c r="B17" s="6">
        <f t="shared" si="0"/>
        <v>7</v>
      </c>
      <c r="C17" s="53">
        <f t="shared" si="1"/>
        <v>8939.9223022841616</v>
      </c>
      <c r="D17" s="53">
        <f t="shared" si="2"/>
        <v>566.91791732205979</v>
      </c>
      <c r="E17" s="53">
        <f t="shared" si="3"/>
        <v>8373.0043849621015</v>
      </c>
      <c r="F17" s="162">
        <f t="shared" si="4"/>
        <v>43264.263327087087</v>
      </c>
      <c r="H17" s="63">
        <v>0</v>
      </c>
      <c r="I17" s="159"/>
      <c r="J17" s="160"/>
      <c r="K17" s="159"/>
      <c r="L17" s="161">
        <f>$C$2</f>
        <v>100000</v>
      </c>
    </row>
    <row r="18" spans="2:12" ht="15.75" thickBot="1" x14ac:dyDescent="0.3">
      <c r="B18" s="6">
        <f t="shared" si="0"/>
        <v>8</v>
      </c>
      <c r="C18" s="53">
        <f t="shared" si="1"/>
        <v>8939.9223022841616</v>
      </c>
      <c r="D18" s="53">
        <f t="shared" si="2"/>
        <v>474.9919418014079</v>
      </c>
      <c r="E18" s="53">
        <f t="shared" si="3"/>
        <v>8464.9303604827528</v>
      </c>
      <c r="F18" s="162">
        <f t="shared" si="4"/>
        <v>34799.332966604336</v>
      </c>
      <c r="H18" s="3">
        <f>IF(H17&lt;$C$6,H17+1,"")</f>
        <v>1</v>
      </c>
      <c r="I18" s="159">
        <f>IF(H18="", "", $H$5)</f>
        <v>8939.9223022841616</v>
      </c>
      <c r="J18" s="159">
        <f>IF(H18="","",L17*$C$4)</f>
        <v>1097.8851950173453</v>
      </c>
      <c r="K18" s="159">
        <f>IF(H18="","",$H$5-J18)</f>
        <v>7842.0371072668167</v>
      </c>
      <c r="L18" s="161">
        <f>IF(H18="","",L17-K18)</f>
        <v>92157.96289273318</v>
      </c>
    </row>
    <row r="19" spans="2:12" ht="15.75" thickBot="1" x14ac:dyDescent="0.3">
      <c r="B19" s="6">
        <f t="shared" si="0"/>
        <v>9</v>
      </c>
      <c r="C19" s="53">
        <f t="shared" si="1"/>
        <v>8939.9223022841616</v>
      </c>
      <c r="D19" s="53">
        <f t="shared" si="2"/>
        <v>382.05672460513932</v>
      </c>
      <c r="E19" s="53">
        <f t="shared" si="3"/>
        <v>8557.865577679022</v>
      </c>
      <c r="F19" s="162">
        <f t="shared" si="4"/>
        <v>26241.467388925314</v>
      </c>
      <c r="H19" s="3">
        <f t="shared" ref="H19:H29" si="5">IF(H18&lt;$C$6,H18+1,"")</f>
        <v>2</v>
      </c>
      <c r="I19" s="159">
        <f t="shared" ref="I19:I29" si="6">IF(H19="", "", $H$5)</f>
        <v>8939.9223022841616</v>
      </c>
      <c r="J19" s="159">
        <f t="shared" ref="J19:J29" si="7">IF(H19="","",L18*$C$4)</f>
        <v>1011.7886306288963</v>
      </c>
      <c r="K19" s="159">
        <f t="shared" ref="K19:K29" si="8">IF(H19="","",$H$5-J19)</f>
        <v>7928.1336716552651</v>
      </c>
      <c r="L19" s="161">
        <f t="shared" ref="L19:L29" si="9">IF(H19="","",L18-K19)</f>
        <v>84229.829221077918</v>
      </c>
    </row>
    <row r="20" spans="2:12" ht="15.75" thickBot="1" x14ac:dyDescent="0.3">
      <c r="B20" s="6">
        <f t="shared" si="0"/>
        <v>10</v>
      </c>
      <c r="C20" s="53">
        <f t="shared" si="1"/>
        <v>8939.9223022841616</v>
      </c>
      <c r="D20" s="53">
        <f t="shared" si="2"/>
        <v>288.10118541831577</v>
      </c>
      <c r="E20" s="53">
        <f t="shared" si="3"/>
        <v>8651.8211168658472</v>
      </c>
      <c r="F20" s="162">
        <f t="shared" si="4"/>
        <v>17589.646272059465</v>
      </c>
      <c r="H20" s="3">
        <f t="shared" si="5"/>
        <v>3</v>
      </c>
      <c r="I20" s="159">
        <f t="shared" si="6"/>
        <v>8939.9223022841616</v>
      </c>
      <c r="J20" s="159">
        <f t="shared" si="7"/>
        <v>924.74682480660806</v>
      </c>
      <c r="K20" s="159">
        <f t="shared" si="8"/>
        <v>8015.1754774775536</v>
      </c>
      <c r="L20" s="161">
        <f t="shared" si="9"/>
        <v>76214.653743600371</v>
      </c>
    </row>
    <row r="21" spans="2:12" ht="15.75" thickBot="1" x14ac:dyDescent="0.3">
      <c r="B21" s="6">
        <f t="shared" si="0"/>
        <v>11</v>
      </c>
      <c r="C21" s="53">
        <f t="shared" si="1"/>
        <v>8939.9223022841616</v>
      </c>
      <c r="D21" s="53">
        <f t="shared" si="2"/>
        <v>193.11412227686128</v>
      </c>
      <c r="E21" s="53">
        <f t="shared" si="3"/>
        <v>8746.8081800072996</v>
      </c>
      <c r="F21" s="162">
        <f t="shared" si="4"/>
        <v>8842.8380920521649</v>
      </c>
      <c r="H21" s="3">
        <f t="shared" si="5"/>
        <v>4</v>
      </c>
      <c r="I21" s="159">
        <f t="shared" si="6"/>
        <v>8939.9223022841616</v>
      </c>
      <c r="J21" s="159">
        <f t="shared" si="7"/>
        <v>836.74939988472124</v>
      </c>
      <c r="K21" s="159">
        <f t="shared" si="8"/>
        <v>8103.1729023994403</v>
      </c>
      <c r="L21" s="161">
        <f t="shared" si="9"/>
        <v>68111.48084120093</v>
      </c>
    </row>
    <row r="22" spans="2:12" ht="15.75" thickBot="1" x14ac:dyDescent="0.3">
      <c r="B22" s="6">
        <f t="shared" si="0"/>
        <v>12</v>
      </c>
      <c r="C22" s="53">
        <f t="shared" si="1"/>
        <v>8939.9223022841616</v>
      </c>
      <c r="D22" s="53">
        <f t="shared" ref="D22:D25" si="10">IF(C22="","", IPMT($C$4,B22,$C$6,-$C$2))</f>
        <v>97.084210231995016</v>
      </c>
      <c r="E22" s="53">
        <f t="shared" si="3"/>
        <v>8842.8380920521668</v>
      </c>
      <c r="F22" s="162">
        <f t="shared" si="4"/>
        <v>-1.8189894035458565E-12</v>
      </c>
      <c r="H22" s="3">
        <f t="shared" si="5"/>
        <v>5</v>
      </c>
      <c r="I22" s="159">
        <f t="shared" si="6"/>
        <v>8939.9223022841616</v>
      </c>
      <c r="J22" s="159">
        <f t="shared" si="7"/>
        <v>747.78586426262052</v>
      </c>
      <c r="K22" s="159">
        <f t="shared" si="8"/>
        <v>8192.1364380215418</v>
      </c>
      <c r="L22" s="161">
        <f t="shared" si="9"/>
        <v>59919.344403179392</v>
      </c>
    </row>
    <row r="23" spans="2:12" ht="15.75" thickBot="1" x14ac:dyDescent="0.3">
      <c r="B23" s="6" t="str">
        <f t="shared" ref="B23:B86" si="11">IF(B22&lt;$C$6,B22+1,"")</f>
        <v/>
      </c>
      <c r="C23" s="53" t="str">
        <f t="shared" si="1"/>
        <v/>
      </c>
      <c r="D23" s="53" t="str">
        <f t="shared" si="10"/>
        <v/>
      </c>
      <c r="E23" s="53" t="str">
        <f t="shared" ref="E23:E86" si="12">IF(B23="", "",PPMT($C$4,B23,$C$6,-$C$2))</f>
        <v/>
      </c>
      <c r="F23" s="162" t="str">
        <f t="shared" ref="F23:F86" si="13">IF(B23="","",F22-E23)</f>
        <v/>
      </c>
      <c r="H23" s="3">
        <f t="shared" si="5"/>
        <v>6</v>
      </c>
      <c r="I23" s="159">
        <f t="shared" si="6"/>
        <v>8939.9223022841616</v>
      </c>
      <c r="J23" s="159">
        <f t="shared" si="7"/>
        <v>657.8456111539607</v>
      </c>
      <c r="K23" s="159">
        <f t="shared" si="8"/>
        <v>8282.0766911302017</v>
      </c>
      <c r="L23" s="161">
        <f t="shared" si="9"/>
        <v>51637.267712049186</v>
      </c>
    </row>
    <row r="24" spans="2:12" ht="15.75" thickBot="1" x14ac:dyDescent="0.3">
      <c r="B24" s="6" t="str">
        <f t="shared" si="11"/>
        <v/>
      </c>
      <c r="C24" s="53" t="str">
        <f t="shared" si="1"/>
        <v/>
      </c>
      <c r="D24" s="53" t="str">
        <f t="shared" si="10"/>
        <v/>
      </c>
      <c r="E24" s="53" t="str">
        <f t="shared" si="12"/>
        <v/>
      </c>
      <c r="F24" s="162" t="str">
        <f t="shared" si="13"/>
        <v/>
      </c>
      <c r="H24" s="3">
        <f t="shared" si="5"/>
        <v>7</v>
      </c>
      <c r="I24" s="159">
        <f t="shared" si="6"/>
        <v>8939.9223022841616</v>
      </c>
      <c r="J24" s="159">
        <f t="shared" si="7"/>
        <v>566.91791732205979</v>
      </c>
      <c r="K24" s="159">
        <f t="shared" si="8"/>
        <v>8373.0043849621015</v>
      </c>
      <c r="L24" s="161">
        <f t="shared" si="9"/>
        <v>43264.263327087087</v>
      </c>
    </row>
    <row r="25" spans="2:12" ht="15.75" thickBot="1" x14ac:dyDescent="0.3">
      <c r="B25" s="6" t="str">
        <f t="shared" si="11"/>
        <v/>
      </c>
      <c r="C25" s="53" t="str">
        <f t="shared" si="1"/>
        <v/>
      </c>
      <c r="D25" s="53" t="str">
        <f t="shared" si="10"/>
        <v/>
      </c>
      <c r="E25" s="53" t="str">
        <f t="shared" si="12"/>
        <v/>
      </c>
      <c r="F25" s="162" t="str">
        <f t="shared" si="13"/>
        <v/>
      </c>
      <c r="H25" s="3">
        <f t="shared" si="5"/>
        <v>8</v>
      </c>
      <c r="I25" s="159">
        <f t="shared" si="6"/>
        <v>8939.9223022841616</v>
      </c>
      <c r="J25" s="159">
        <f t="shared" si="7"/>
        <v>474.99194180140779</v>
      </c>
      <c r="K25" s="159">
        <f t="shared" si="8"/>
        <v>8464.9303604827546</v>
      </c>
      <c r="L25" s="161">
        <f t="shared" si="9"/>
        <v>34799.332966604328</v>
      </c>
    </row>
    <row r="26" spans="2:12" ht="15.75" thickBot="1" x14ac:dyDescent="0.3">
      <c r="B26" s="6" t="str">
        <f t="shared" si="11"/>
        <v/>
      </c>
      <c r="C26" s="53" t="str">
        <f t="shared" si="1"/>
        <v/>
      </c>
      <c r="D26" s="53" t="str">
        <f t="shared" ref="D26:D89" si="14">IF(C26="","", IPMT($C$4,B26,$C$6,-$C$2))</f>
        <v/>
      </c>
      <c r="E26" s="53" t="str">
        <f t="shared" si="12"/>
        <v/>
      </c>
      <c r="F26" s="162" t="str">
        <f t="shared" si="13"/>
        <v/>
      </c>
      <c r="H26" s="3">
        <f t="shared" si="5"/>
        <v>9</v>
      </c>
      <c r="I26" s="159">
        <f t="shared" si="6"/>
        <v>8939.9223022841616</v>
      </c>
      <c r="J26" s="159">
        <f t="shared" si="7"/>
        <v>382.05672460513921</v>
      </c>
      <c r="K26" s="159">
        <f t="shared" si="8"/>
        <v>8557.865577679022</v>
      </c>
      <c r="L26" s="161">
        <f t="shared" si="9"/>
        <v>26241.467388925306</v>
      </c>
    </row>
    <row r="27" spans="2:12" ht="15.75" thickBot="1" x14ac:dyDescent="0.3">
      <c r="B27" s="6" t="str">
        <f t="shared" si="11"/>
        <v/>
      </c>
      <c r="C27" s="53" t="str">
        <f t="shared" si="1"/>
        <v/>
      </c>
      <c r="D27" s="53" t="str">
        <f t="shared" si="14"/>
        <v/>
      </c>
      <c r="E27" s="53" t="str">
        <f t="shared" si="12"/>
        <v/>
      </c>
      <c r="F27" s="162" t="str">
        <f t="shared" si="13"/>
        <v/>
      </c>
      <c r="H27" s="3">
        <f t="shared" si="5"/>
        <v>10</v>
      </c>
      <c r="I27" s="159">
        <f t="shared" si="6"/>
        <v>8939.9223022841616</v>
      </c>
      <c r="J27" s="159">
        <f t="shared" si="7"/>
        <v>288.10118541831565</v>
      </c>
      <c r="K27" s="159">
        <f t="shared" si="8"/>
        <v>8651.8211168658454</v>
      </c>
      <c r="L27" s="161">
        <f t="shared" si="9"/>
        <v>17589.646272059461</v>
      </c>
    </row>
    <row r="28" spans="2:12" ht="15.75" thickBot="1" x14ac:dyDescent="0.3">
      <c r="B28" s="6" t="str">
        <f t="shared" si="11"/>
        <v/>
      </c>
      <c r="C28" s="53" t="str">
        <f t="shared" si="1"/>
        <v/>
      </c>
      <c r="D28" s="53" t="str">
        <f t="shared" si="14"/>
        <v/>
      </c>
      <c r="E28" s="53" t="str">
        <f t="shared" si="12"/>
        <v/>
      </c>
      <c r="F28" s="162" t="str">
        <f t="shared" si="13"/>
        <v/>
      </c>
      <c r="H28" s="3">
        <f t="shared" si="5"/>
        <v>11</v>
      </c>
      <c r="I28" s="159">
        <f t="shared" si="6"/>
        <v>8939.9223022841616</v>
      </c>
      <c r="J28" s="159">
        <f t="shared" si="7"/>
        <v>193.1141222768612</v>
      </c>
      <c r="K28" s="159">
        <f t="shared" si="8"/>
        <v>8746.8081800072996</v>
      </c>
      <c r="L28" s="161">
        <f t="shared" si="9"/>
        <v>8842.8380920521613</v>
      </c>
    </row>
    <row r="29" spans="2:12" x14ac:dyDescent="0.25">
      <c r="B29" s="6" t="str">
        <f t="shared" si="11"/>
        <v/>
      </c>
      <c r="C29" s="53" t="str">
        <f t="shared" si="1"/>
        <v/>
      </c>
      <c r="D29" s="53" t="str">
        <f t="shared" si="14"/>
        <v/>
      </c>
      <c r="E29" s="53" t="str">
        <f t="shared" si="12"/>
        <v/>
      </c>
      <c r="F29" s="162" t="str">
        <f t="shared" si="13"/>
        <v/>
      </c>
      <c r="H29" s="3">
        <f t="shared" si="5"/>
        <v>12</v>
      </c>
      <c r="I29" s="159">
        <f t="shared" si="6"/>
        <v>8939.9223022841616</v>
      </c>
      <c r="J29" s="159">
        <f t="shared" si="7"/>
        <v>97.084210231994959</v>
      </c>
      <c r="K29" s="159">
        <f t="shared" si="8"/>
        <v>8842.8380920521668</v>
      </c>
      <c r="L29" s="161">
        <f t="shared" si="9"/>
        <v>-5.4569682106375694E-12</v>
      </c>
    </row>
    <row r="30" spans="2:12" x14ac:dyDescent="0.25">
      <c r="B30" s="6" t="str">
        <f t="shared" si="11"/>
        <v/>
      </c>
      <c r="C30" s="53" t="str">
        <f t="shared" si="1"/>
        <v/>
      </c>
      <c r="D30" s="53" t="str">
        <f t="shared" si="14"/>
        <v/>
      </c>
      <c r="E30" s="53" t="str">
        <f t="shared" si="12"/>
        <v/>
      </c>
      <c r="F30" s="162" t="str">
        <f t="shared" si="13"/>
        <v/>
      </c>
    </row>
    <row r="31" spans="2:12" x14ac:dyDescent="0.25">
      <c r="B31" s="6" t="str">
        <f t="shared" si="11"/>
        <v/>
      </c>
      <c r="C31" s="53" t="str">
        <f t="shared" si="1"/>
        <v/>
      </c>
      <c r="D31" s="53" t="str">
        <f t="shared" si="14"/>
        <v/>
      </c>
      <c r="E31" s="53" t="str">
        <f t="shared" si="12"/>
        <v/>
      </c>
      <c r="F31" s="162" t="str">
        <f t="shared" si="13"/>
        <v/>
      </c>
    </row>
    <row r="32" spans="2:12" x14ac:dyDescent="0.25">
      <c r="B32" s="6" t="str">
        <f t="shared" si="11"/>
        <v/>
      </c>
      <c r="C32" s="53" t="str">
        <f t="shared" si="1"/>
        <v/>
      </c>
      <c r="D32" s="53" t="str">
        <f t="shared" si="14"/>
        <v/>
      </c>
      <c r="E32" s="53" t="str">
        <f t="shared" si="12"/>
        <v/>
      </c>
      <c r="F32" s="162" t="str">
        <f t="shared" si="13"/>
        <v/>
      </c>
    </row>
    <row r="33" spans="2:6" x14ac:dyDescent="0.25">
      <c r="B33" s="6" t="str">
        <f t="shared" si="11"/>
        <v/>
      </c>
      <c r="C33" s="53" t="str">
        <f t="shared" si="1"/>
        <v/>
      </c>
      <c r="D33" s="53" t="str">
        <f t="shared" si="14"/>
        <v/>
      </c>
      <c r="E33" s="53" t="str">
        <f t="shared" si="12"/>
        <v/>
      </c>
      <c r="F33" s="162" t="str">
        <f t="shared" si="13"/>
        <v/>
      </c>
    </row>
    <row r="34" spans="2:6" x14ac:dyDescent="0.25">
      <c r="B34" s="6" t="str">
        <f t="shared" si="11"/>
        <v/>
      </c>
      <c r="C34" s="53" t="str">
        <f t="shared" si="1"/>
        <v/>
      </c>
      <c r="D34" s="53" t="str">
        <f t="shared" si="14"/>
        <v/>
      </c>
      <c r="E34" s="53" t="str">
        <f t="shared" si="12"/>
        <v/>
      </c>
      <c r="F34" s="162" t="str">
        <f t="shared" si="13"/>
        <v/>
      </c>
    </row>
    <row r="35" spans="2:6" x14ac:dyDescent="0.25">
      <c r="B35" s="6" t="str">
        <f t="shared" si="11"/>
        <v/>
      </c>
      <c r="C35" s="53" t="str">
        <f t="shared" si="1"/>
        <v/>
      </c>
      <c r="D35" s="53" t="str">
        <f t="shared" si="14"/>
        <v/>
      </c>
      <c r="E35" s="53" t="str">
        <f t="shared" si="12"/>
        <v/>
      </c>
      <c r="F35" s="162" t="str">
        <f t="shared" si="13"/>
        <v/>
      </c>
    </row>
    <row r="36" spans="2:6" x14ac:dyDescent="0.25">
      <c r="B36" s="6" t="str">
        <f t="shared" si="11"/>
        <v/>
      </c>
      <c r="C36" s="53" t="str">
        <f t="shared" si="1"/>
        <v/>
      </c>
      <c r="D36" s="53" t="str">
        <f t="shared" si="14"/>
        <v/>
      </c>
      <c r="E36" s="53" t="str">
        <f t="shared" si="12"/>
        <v/>
      </c>
      <c r="F36" s="162" t="str">
        <f t="shared" si="13"/>
        <v/>
      </c>
    </row>
    <row r="37" spans="2:6" x14ac:dyDescent="0.25">
      <c r="B37" s="6" t="str">
        <f t="shared" si="11"/>
        <v/>
      </c>
      <c r="C37" s="53" t="str">
        <f t="shared" si="1"/>
        <v/>
      </c>
      <c r="D37" s="53" t="str">
        <f t="shared" si="14"/>
        <v/>
      </c>
      <c r="E37" s="53" t="str">
        <f t="shared" si="12"/>
        <v/>
      </c>
      <c r="F37" s="162" t="str">
        <f t="shared" si="13"/>
        <v/>
      </c>
    </row>
    <row r="38" spans="2:6" x14ac:dyDescent="0.25">
      <c r="B38" s="6" t="str">
        <f t="shared" si="11"/>
        <v/>
      </c>
      <c r="C38" s="53" t="str">
        <f t="shared" si="1"/>
        <v/>
      </c>
      <c r="D38" s="53" t="str">
        <f t="shared" si="14"/>
        <v/>
      </c>
      <c r="E38" s="53" t="str">
        <f t="shared" si="12"/>
        <v/>
      </c>
      <c r="F38" s="162" t="str">
        <f t="shared" si="13"/>
        <v/>
      </c>
    </row>
    <row r="39" spans="2:6" x14ac:dyDescent="0.25">
      <c r="B39" s="6" t="str">
        <f t="shared" si="11"/>
        <v/>
      </c>
      <c r="C39" s="53" t="str">
        <f t="shared" si="1"/>
        <v/>
      </c>
      <c r="D39" s="53" t="str">
        <f t="shared" si="14"/>
        <v/>
      </c>
      <c r="E39" s="53" t="str">
        <f t="shared" si="12"/>
        <v/>
      </c>
      <c r="F39" s="162" t="str">
        <f t="shared" si="13"/>
        <v/>
      </c>
    </row>
    <row r="40" spans="2:6" x14ac:dyDescent="0.25">
      <c r="B40" s="6" t="str">
        <f t="shared" si="11"/>
        <v/>
      </c>
      <c r="C40" s="53" t="str">
        <f t="shared" si="1"/>
        <v/>
      </c>
      <c r="D40" s="53" t="str">
        <f t="shared" si="14"/>
        <v/>
      </c>
      <c r="E40" s="53" t="str">
        <f t="shared" si="12"/>
        <v/>
      </c>
      <c r="F40" s="162" t="str">
        <f t="shared" si="13"/>
        <v/>
      </c>
    </row>
    <row r="41" spans="2:6" x14ac:dyDescent="0.25">
      <c r="B41" s="6" t="str">
        <f t="shared" si="11"/>
        <v/>
      </c>
      <c r="C41" s="53" t="str">
        <f t="shared" si="1"/>
        <v/>
      </c>
      <c r="D41" s="53" t="str">
        <f t="shared" si="14"/>
        <v/>
      </c>
      <c r="E41" s="53" t="str">
        <f t="shared" si="12"/>
        <v/>
      </c>
      <c r="F41" s="162" t="str">
        <f t="shared" si="13"/>
        <v/>
      </c>
    </row>
    <row r="42" spans="2:6" x14ac:dyDescent="0.25">
      <c r="B42" s="6" t="str">
        <f t="shared" si="11"/>
        <v/>
      </c>
      <c r="C42" s="53" t="str">
        <f t="shared" si="1"/>
        <v/>
      </c>
      <c r="D42" s="53" t="str">
        <f t="shared" si="14"/>
        <v/>
      </c>
      <c r="E42" s="53" t="str">
        <f t="shared" si="12"/>
        <v/>
      </c>
      <c r="F42" s="162" t="str">
        <f t="shared" si="13"/>
        <v/>
      </c>
    </row>
    <row r="43" spans="2:6" x14ac:dyDescent="0.25">
      <c r="B43" s="6" t="str">
        <f t="shared" si="11"/>
        <v/>
      </c>
      <c r="C43" s="53" t="str">
        <f t="shared" si="1"/>
        <v/>
      </c>
      <c r="D43" s="53" t="str">
        <f t="shared" si="14"/>
        <v/>
      </c>
      <c r="E43" s="53" t="str">
        <f t="shared" si="12"/>
        <v/>
      </c>
      <c r="F43" s="162" t="str">
        <f t="shared" si="13"/>
        <v/>
      </c>
    </row>
    <row r="44" spans="2:6" x14ac:dyDescent="0.25">
      <c r="B44" s="6" t="str">
        <f t="shared" si="11"/>
        <v/>
      </c>
      <c r="C44" s="53" t="str">
        <f t="shared" si="1"/>
        <v/>
      </c>
      <c r="D44" s="53" t="str">
        <f t="shared" si="14"/>
        <v/>
      </c>
      <c r="E44" s="53" t="str">
        <f t="shared" si="12"/>
        <v/>
      </c>
      <c r="F44" s="162" t="str">
        <f t="shared" si="13"/>
        <v/>
      </c>
    </row>
    <row r="45" spans="2:6" x14ac:dyDescent="0.25">
      <c r="B45" s="6" t="str">
        <f t="shared" si="11"/>
        <v/>
      </c>
      <c r="C45" s="53" t="str">
        <f t="shared" si="1"/>
        <v/>
      </c>
      <c r="D45" s="53" t="str">
        <f t="shared" si="14"/>
        <v/>
      </c>
      <c r="E45" s="53" t="str">
        <f t="shared" si="12"/>
        <v/>
      </c>
      <c r="F45" s="162" t="str">
        <f t="shared" si="13"/>
        <v/>
      </c>
    </row>
    <row r="46" spans="2:6" x14ac:dyDescent="0.25">
      <c r="B46" s="6" t="str">
        <f t="shared" si="11"/>
        <v/>
      </c>
      <c r="C46" s="53" t="str">
        <f t="shared" si="1"/>
        <v/>
      </c>
      <c r="D46" s="53" t="str">
        <f t="shared" si="14"/>
        <v/>
      </c>
      <c r="E46" s="53" t="str">
        <f t="shared" si="12"/>
        <v/>
      </c>
      <c r="F46" s="162" t="str">
        <f t="shared" si="13"/>
        <v/>
      </c>
    </row>
    <row r="47" spans="2:6" x14ac:dyDescent="0.25">
      <c r="B47" s="6" t="str">
        <f t="shared" si="11"/>
        <v/>
      </c>
      <c r="C47" s="53" t="str">
        <f t="shared" si="1"/>
        <v/>
      </c>
      <c r="D47" s="53" t="str">
        <f t="shared" si="14"/>
        <v/>
      </c>
      <c r="E47" s="53" t="str">
        <f t="shared" si="12"/>
        <v/>
      </c>
      <c r="F47" s="162" t="str">
        <f t="shared" si="13"/>
        <v/>
      </c>
    </row>
    <row r="48" spans="2:6" x14ac:dyDescent="0.25">
      <c r="B48" s="6" t="str">
        <f t="shared" si="11"/>
        <v/>
      </c>
      <c r="C48" s="53" t="str">
        <f t="shared" si="1"/>
        <v/>
      </c>
      <c r="D48" s="53" t="str">
        <f t="shared" si="14"/>
        <v/>
      </c>
      <c r="E48" s="53" t="str">
        <f t="shared" si="12"/>
        <v/>
      </c>
      <c r="F48" s="162" t="str">
        <f t="shared" si="13"/>
        <v/>
      </c>
    </row>
    <row r="49" spans="2:6" x14ac:dyDescent="0.25">
      <c r="B49" s="6" t="str">
        <f t="shared" si="11"/>
        <v/>
      </c>
      <c r="C49" s="53" t="str">
        <f t="shared" si="1"/>
        <v/>
      </c>
      <c r="D49" s="53" t="str">
        <f t="shared" si="14"/>
        <v/>
      </c>
      <c r="E49" s="53" t="str">
        <f t="shared" si="12"/>
        <v/>
      </c>
      <c r="F49" s="162" t="str">
        <f t="shared" si="13"/>
        <v/>
      </c>
    </row>
    <row r="50" spans="2:6" x14ac:dyDescent="0.25">
      <c r="B50" s="6" t="str">
        <f t="shared" si="11"/>
        <v/>
      </c>
      <c r="C50" s="53" t="str">
        <f t="shared" si="1"/>
        <v/>
      </c>
      <c r="D50" s="53" t="str">
        <f t="shared" si="14"/>
        <v/>
      </c>
      <c r="E50" s="53" t="str">
        <f t="shared" si="12"/>
        <v/>
      </c>
      <c r="F50" s="162" t="str">
        <f t="shared" si="13"/>
        <v/>
      </c>
    </row>
    <row r="51" spans="2:6" x14ac:dyDescent="0.25">
      <c r="B51" s="6" t="str">
        <f t="shared" si="11"/>
        <v/>
      </c>
      <c r="C51" s="53" t="str">
        <f t="shared" si="1"/>
        <v/>
      </c>
      <c r="D51" s="53" t="str">
        <f t="shared" si="14"/>
        <v/>
      </c>
      <c r="E51" s="53" t="str">
        <f t="shared" si="12"/>
        <v/>
      </c>
      <c r="F51" s="162" t="str">
        <f t="shared" si="13"/>
        <v/>
      </c>
    </row>
    <row r="52" spans="2:6" x14ac:dyDescent="0.25">
      <c r="B52" s="6" t="str">
        <f t="shared" si="11"/>
        <v/>
      </c>
      <c r="C52" s="53" t="str">
        <f t="shared" si="1"/>
        <v/>
      </c>
      <c r="D52" s="53" t="str">
        <f t="shared" si="14"/>
        <v/>
      </c>
      <c r="E52" s="53" t="str">
        <f t="shared" si="12"/>
        <v/>
      </c>
      <c r="F52" s="162" t="str">
        <f t="shared" si="13"/>
        <v/>
      </c>
    </row>
    <row r="53" spans="2:6" x14ac:dyDescent="0.25">
      <c r="B53" s="6" t="str">
        <f t="shared" si="11"/>
        <v/>
      </c>
      <c r="C53" s="53" t="str">
        <f t="shared" si="1"/>
        <v/>
      </c>
      <c r="D53" s="53" t="str">
        <f t="shared" si="14"/>
        <v/>
      </c>
      <c r="E53" s="53" t="str">
        <f t="shared" si="12"/>
        <v/>
      </c>
      <c r="F53" s="162" t="str">
        <f t="shared" si="13"/>
        <v/>
      </c>
    </row>
    <row r="54" spans="2:6" x14ac:dyDescent="0.25">
      <c r="B54" s="6" t="str">
        <f t="shared" si="11"/>
        <v/>
      </c>
      <c r="C54" s="53" t="str">
        <f t="shared" si="1"/>
        <v/>
      </c>
      <c r="D54" s="53" t="str">
        <f t="shared" si="14"/>
        <v/>
      </c>
      <c r="E54" s="53" t="str">
        <f t="shared" si="12"/>
        <v/>
      </c>
      <c r="F54" s="162" t="str">
        <f t="shared" si="13"/>
        <v/>
      </c>
    </row>
    <row r="55" spans="2:6" x14ac:dyDescent="0.25">
      <c r="B55" s="6" t="str">
        <f t="shared" si="11"/>
        <v/>
      </c>
      <c r="C55" s="53" t="str">
        <f t="shared" si="1"/>
        <v/>
      </c>
      <c r="D55" s="53" t="str">
        <f t="shared" si="14"/>
        <v/>
      </c>
      <c r="E55" s="53" t="str">
        <f t="shared" si="12"/>
        <v/>
      </c>
      <c r="F55" s="162" t="str">
        <f t="shared" si="13"/>
        <v/>
      </c>
    </row>
    <row r="56" spans="2:6" x14ac:dyDescent="0.25">
      <c r="B56" s="6" t="str">
        <f t="shared" si="11"/>
        <v/>
      </c>
      <c r="C56" s="53" t="str">
        <f t="shared" si="1"/>
        <v/>
      </c>
      <c r="D56" s="53" t="str">
        <f t="shared" si="14"/>
        <v/>
      </c>
      <c r="E56" s="53" t="str">
        <f t="shared" si="12"/>
        <v/>
      </c>
      <c r="F56" s="162" t="str">
        <f t="shared" si="13"/>
        <v/>
      </c>
    </row>
    <row r="57" spans="2:6" x14ac:dyDescent="0.25">
      <c r="B57" s="6" t="str">
        <f t="shared" si="11"/>
        <v/>
      </c>
      <c r="C57" s="53" t="str">
        <f t="shared" si="1"/>
        <v/>
      </c>
      <c r="D57" s="53" t="str">
        <f t="shared" si="14"/>
        <v/>
      </c>
      <c r="E57" s="53" t="str">
        <f t="shared" si="12"/>
        <v/>
      </c>
      <c r="F57" s="162" t="str">
        <f t="shared" si="13"/>
        <v/>
      </c>
    </row>
    <row r="58" spans="2:6" x14ac:dyDescent="0.25">
      <c r="B58" s="6" t="str">
        <f t="shared" si="11"/>
        <v/>
      </c>
      <c r="C58" s="53" t="str">
        <f t="shared" si="1"/>
        <v/>
      </c>
      <c r="D58" s="53" t="str">
        <f t="shared" si="14"/>
        <v/>
      </c>
      <c r="E58" s="53" t="str">
        <f t="shared" si="12"/>
        <v/>
      </c>
      <c r="F58" s="162" t="str">
        <f t="shared" si="13"/>
        <v/>
      </c>
    </row>
    <row r="59" spans="2:6" x14ac:dyDescent="0.25">
      <c r="B59" s="6" t="str">
        <f t="shared" si="11"/>
        <v/>
      </c>
      <c r="C59" s="53" t="str">
        <f t="shared" si="1"/>
        <v/>
      </c>
      <c r="D59" s="53" t="str">
        <f t="shared" si="14"/>
        <v/>
      </c>
      <c r="E59" s="53" t="str">
        <f t="shared" si="12"/>
        <v/>
      </c>
      <c r="F59" s="162" t="str">
        <f t="shared" si="13"/>
        <v/>
      </c>
    </row>
    <row r="60" spans="2:6" x14ac:dyDescent="0.25">
      <c r="B60" s="6" t="str">
        <f t="shared" si="11"/>
        <v/>
      </c>
      <c r="C60" s="53" t="str">
        <f t="shared" si="1"/>
        <v/>
      </c>
      <c r="D60" s="53" t="str">
        <f t="shared" si="14"/>
        <v/>
      </c>
      <c r="E60" s="53" t="str">
        <f t="shared" si="12"/>
        <v/>
      </c>
      <c r="F60" s="162" t="str">
        <f t="shared" si="13"/>
        <v/>
      </c>
    </row>
    <row r="61" spans="2:6" x14ac:dyDescent="0.25">
      <c r="B61" s="6" t="str">
        <f t="shared" si="11"/>
        <v/>
      </c>
      <c r="C61" s="53" t="str">
        <f t="shared" si="1"/>
        <v/>
      </c>
      <c r="D61" s="53" t="str">
        <f t="shared" si="14"/>
        <v/>
      </c>
      <c r="E61" s="53" t="str">
        <f t="shared" si="12"/>
        <v/>
      </c>
      <c r="F61" s="162" t="str">
        <f t="shared" si="13"/>
        <v/>
      </c>
    </row>
    <row r="62" spans="2:6" x14ac:dyDescent="0.25">
      <c r="B62" s="6" t="str">
        <f t="shared" si="11"/>
        <v/>
      </c>
      <c r="C62" s="53" t="str">
        <f t="shared" si="1"/>
        <v/>
      </c>
      <c r="D62" s="53" t="str">
        <f t="shared" si="14"/>
        <v/>
      </c>
      <c r="E62" s="53" t="str">
        <f t="shared" si="12"/>
        <v/>
      </c>
      <c r="F62" s="162" t="str">
        <f t="shared" si="13"/>
        <v/>
      </c>
    </row>
    <row r="63" spans="2:6" x14ac:dyDescent="0.25">
      <c r="B63" s="6" t="str">
        <f t="shared" si="11"/>
        <v/>
      </c>
      <c r="C63" s="53" t="str">
        <f t="shared" si="1"/>
        <v/>
      </c>
      <c r="D63" s="53" t="str">
        <f t="shared" si="14"/>
        <v/>
      </c>
      <c r="E63" s="53" t="str">
        <f t="shared" si="12"/>
        <v/>
      </c>
      <c r="F63" s="162" t="str">
        <f t="shared" si="13"/>
        <v/>
      </c>
    </row>
    <row r="64" spans="2:6" x14ac:dyDescent="0.25">
      <c r="B64" s="6" t="str">
        <f t="shared" si="11"/>
        <v/>
      </c>
      <c r="C64" s="53" t="str">
        <f t="shared" si="1"/>
        <v/>
      </c>
      <c r="D64" s="53" t="str">
        <f t="shared" si="14"/>
        <v/>
      </c>
      <c r="E64" s="53" t="str">
        <f t="shared" si="12"/>
        <v/>
      </c>
      <c r="F64" s="162" t="str">
        <f t="shared" si="13"/>
        <v/>
      </c>
    </row>
    <row r="65" spans="2:6" x14ac:dyDescent="0.25">
      <c r="B65" s="6" t="str">
        <f t="shared" si="11"/>
        <v/>
      </c>
      <c r="C65" s="53" t="str">
        <f t="shared" si="1"/>
        <v/>
      </c>
      <c r="D65" s="53" t="str">
        <f t="shared" si="14"/>
        <v/>
      </c>
      <c r="E65" s="53" t="str">
        <f t="shared" si="12"/>
        <v/>
      </c>
      <c r="F65" s="162" t="str">
        <f t="shared" si="13"/>
        <v/>
      </c>
    </row>
    <row r="66" spans="2:6" x14ac:dyDescent="0.25">
      <c r="B66" s="6" t="str">
        <f t="shared" si="11"/>
        <v/>
      </c>
      <c r="C66" s="53" t="str">
        <f t="shared" si="1"/>
        <v/>
      </c>
      <c r="D66" s="53" t="str">
        <f t="shared" si="14"/>
        <v/>
      </c>
      <c r="E66" s="53" t="str">
        <f t="shared" si="12"/>
        <v/>
      </c>
      <c r="F66" s="162" t="str">
        <f t="shared" si="13"/>
        <v/>
      </c>
    </row>
    <row r="67" spans="2:6" x14ac:dyDescent="0.25">
      <c r="B67" s="6" t="str">
        <f t="shared" si="11"/>
        <v/>
      </c>
      <c r="C67" s="53" t="str">
        <f t="shared" si="1"/>
        <v/>
      </c>
      <c r="D67" s="53" t="str">
        <f t="shared" si="14"/>
        <v/>
      </c>
      <c r="E67" s="53" t="str">
        <f t="shared" si="12"/>
        <v/>
      </c>
      <c r="F67" s="162" t="str">
        <f t="shared" si="13"/>
        <v/>
      </c>
    </row>
    <row r="68" spans="2:6" x14ac:dyDescent="0.25">
      <c r="B68" s="6" t="str">
        <f t="shared" si="11"/>
        <v/>
      </c>
      <c r="C68" s="53" t="str">
        <f t="shared" si="1"/>
        <v/>
      </c>
      <c r="D68" s="53" t="str">
        <f t="shared" si="14"/>
        <v/>
      </c>
      <c r="E68" s="53" t="str">
        <f t="shared" si="12"/>
        <v/>
      </c>
      <c r="F68" s="162" t="str">
        <f t="shared" si="13"/>
        <v/>
      </c>
    </row>
    <row r="69" spans="2:6" x14ac:dyDescent="0.25">
      <c r="B69" s="6" t="str">
        <f t="shared" si="11"/>
        <v/>
      </c>
      <c r="C69" s="53" t="str">
        <f t="shared" si="1"/>
        <v/>
      </c>
      <c r="D69" s="53" t="str">
        <f t="shared" si="14"/>
        <v/>
      </c>
      <c r="E69" s="53" t="str">
        <f t="shared" si="12"/>
        <v/>
      </c>
      <c r="F69" s="162" t="str">
        <f t="shared" si="13"/>
        <v/>
      </c>
    </row>
    <row r="70" spans="2:6" x14ac:dyDescent="0.25">
      <c r="B70" s="6" t="str">
        <f t="shared" si="11"/>
        <v/>
      </c>
      <c r="C70" s="53" t="str">
        <f t="shared" si="1"/>
        <v/>
      </c>
      <c r="D70" s="53" t="str">
        <f t="shared" si="14"/>
        <v/>
      </c>
      <c r="E70" s="53" t="str">
        <f t="shared" si="12"/>
        <v/>
      </c>
      <c r="F70" s="162" t="str">
        <f t="shared" si="13"/>
        <v/>
      </c>
    </row>
    <row r="71" spans="2:6" x14ac:dyDescent="0.25">
      <c r="B71" s="6" t="str">
        <f t="shared" si="11"/>
        <v/>
      </c>
      <c r="C71" s="53" t="str">
        <f t="shared" si="1"/>
        <v/>
      </c>
      <c r="D71" s="53" t="str">
        <f t="shared" si="14"/>
        <v/>
      </c>
      <c r="E71" s="53" t="str">
        <f t="shared" si="12"/>
        <v/>
      </c>
      <c r="F71" s="162" t="str">
        <f t="shared" si="13"/>
        <v/>
      </c>
    </row>
    <row r="72" spans="2:6" x14ac:dyDescent="0.25">
      <c r="B72" s="6" t="str">
        <f t="shared" si="11"/>
        <v/>
      </c>
      <c r="C72" s="53" t="str">
        <f t="shared" si="1"/>
        <v/>
      </c>
      <c r="D72" s="53" t="str">
        <f t="shared" si="14"/>
        <v/>
      </c>
      <c r="E72" s="53" t="str">
        <f t="shared" si="12"/>
        <v/>
      </c>
      <c r="F72" s="162" t="str">
        <f t="shared" si="13"/>
        <v/>
      </c>
    </row>
    <row r="73" spans="2:6" x14ac:dyDescent="0.25">
      <c r="B73" s="6" t="str">
        <f t="shared" si="11"/>
        <v/>
      </c>
      <c r="C73" s="53" t="str">
        <f t="shared" si="1"/>
        <v/>
      </c>
      <c r="D73" s="53" t="str">
        <f t="shared" si="14"/>
        <v/>
      </c>
      <c r="E73" s="53" t="str">
        <f t="shared" si="12"/>
        <v/>
      </c>
      <c r="F73" s="162" t="str">
        <f t="shared" si="13"/>
        <v/>
      </c>
    </row>
    <row r="74" spans="2:6" x14ac:dyDescent="0.25">
      <c r="B74" s="6" t="str">
        <f t="shared" si="11"/>
        <v/>
      </c>
      <c r="C74" s="53" t="str">
        <f t="shared" si="1"/>
        <v/>
      </c>
      <c r="D74" s="53" t="str">
        <f t="shared" si="14"/>
        <v/>
      </c>
      <c r="E74" s="53" t="str">
        <f t="shared" si="12"/>
        <v/>
      </c>
      <c r="F74" s="162" t="str">
        <f t="shared" si="13"/>
        <v/>
      </c>
    </row>
    <row r="75" spans="2:6" x14ac:dyDescent="0.25">
      <c r="B75" s="6" t="str">
        <f t="shared" si="11"/>
        <v/>
      </c>
      <c r="C75" s="53" t="str">
        <f t="shared" si="1"/>
        <v/>
      </c>
      <c r="D75" s="53" t="str">
        <f t="shared" si="14"/>
        <v/>
      </c>
      <c r="E75" s="53" t="str">
        <f t="shared" si="12"/>
        <v/>
      </c>
      <c r="F75" s="162" t="str">
        <f t="shared" si="13"/>
        <v/>
      </c>
    </row>
    <row r="76" spans="2:6" x14ac:dyDescent="0.25">
      <c r="B76" s="6" t="str">
        <f t="shared" si="11"/>
        <v/>
      </c>
      <c r="C76" s="53" t="str">
        <f t="shared" ref="C76:C130" si="15">IF(B76="", "", $H$5)</f>
        <v/>
      </c>
      <c r="D76" s="53" t="str">
        <f t="shared" si="14"/>
        <v/>
      </c>
      <c r="E76" s="53" t="str">
        <f t="shared" si="12"/>
        <v/>
      </c>
      <c r="F76" s="162" t="str">
        <f t="shared" si="13"/>
        <v/>
      </c>
    </row>
    <row r="77" spans="2:6" x14ac:dyDescent="0.25">
      <c r="B77" s="6" t="str">
        <f t="shared" si="11"/>
        <v/>
      </c>
      <c r="C77" s="53" t="str">
        <f t="shared" si="15"/>
        <v/>
      </c>
      <c r="D77" s="53" t="str">
        <f t="shared" si="14"/>
        <v/>
      </c>
      <c r="E77" s="53" t="str">
        <f t="shared" si="12"/>
        <v/>
      </c>
      <c r="F77" s="162" t="str">
        <f t="shared" si="13"/>
        <v/>
      </c>
    </row>
    <row r="78" spans="2:6" x14ac:dyDescent="0.25">
      <c r="B78" s="6" t="str">
        <f t="shared" si="11"/>
        <v/>
      </c>
      <c r="C78" s="53" t="str">
        <f t="shared" si="15"/>
        <v/>
      </c>
      <c r="D78" s="53" t="str">
        <f t="shared" si="14"/>
        <v/>
      </c>
      <c r="E78" s="53" t="str">
        <f t="shared" si="12"/>
        <v/>
      </c>
      <c r="F78" s="162" t="str">
        <f t="shared" si="13"/>
        <v/>
      </c>
    </row>
    <row r="79" spans="2:6" x14ac:dyDescent="0.25">
      <c r="B79" s="6" t="str">
        <f t="shared" si="11"/>
        <v/>
      </c>
      <c r="C79" s="53" t="str">
        <f t="shared" si="15"/>
        <v/>
      </c>
      <c r="D79" s="53" t="str">
        <f t="shared" si="14"/>
        <v/>
      </c>
      <c r="E79" s="53" t="str">
        <f t="shared" si="12"/>
        <v/>
      </c>
      <c r="F79" s="162" t="str">
        <f t="shared" si="13"/>
        <v/>
      </c>
    </row>
    <row r="80" spans="2:6" x14ac:dyDescent="0.25">
      <c r="B80" s="6" t="str">
        <f t="shared" si="11"/>
        <v/>
      </c>
      <c r="C80" s="53" t="str">
        <f t="shared" si="15"/>
        <v/>
      </c>
      <c r="D80" s="53" t="str">
        <f t="shared" si="14"/>
        <v/>
      </c>
      <c r="E80" s="53" t="str">
        <f t="shared" si="12"/>
        <v/>
      </c>
      <c r="F80" s="162" t="str">
        <f t="shared" si="13"/>
        <v/>
      </c>
    </row>
    <row r="81" spans="2:6" x14ac:dyDescent="0.25">
      <c r="B81" s="6" t="str">
        <f t="shared" si="11"/>
        <v/>
      </c>
      <c r="C81" s="53" t="str">
        <f t="shared" si="15"/>
        <v/>
      </c>
      <c r="D81" s="53" t="str">
        <f t="shared" si="14"/>
        <v/>
      </c>
      <c r="E81" s="53" t="str">
        <f t="shared" si="12"/>
        <v/>
      </c>
      <c r="F81" s="162" t="str">
        <f t="shared" si="13"/>
        <v/>
      </c>
    </row>
    <row r="82" spans="2:6" x14ac:dyDescent="0.25">
      <c r="B82" s="6" t="str">
        <f t="shared" si="11"/>
        <v/>
      </c>
      <c r="C82" s="53" t="str">
        <f t="shared" si="15"/>
        <v/>
      </c>
      <c r="D82" s="53" t="str">
        <f t="shared" si="14"/>
        <v/>
      </c>
      <c r="E82" s="53" t="str">
        <f t="shared" si="12"/>
        <v/>
      </c>
      <c r="F82" s="162" t="str">
        <f t="shared" si="13"/>
        <v/>
      </c>
    </row>
    <row r="83" spans="2:6" x14ac:dyDescent="0.25">
      <c r="B83" s="6" t="str">
        <f t="shared" si="11"/>
        <v/>
      </c>
      <c r="C83" s="53" t="str">
        <f t="shared" si="15"/>
        <v/>
      </c>
      <c r="D83" s="53" t="str">
        <f t="shared" si="14"/>
        <v/>
      </c>
      <c r="E83" s="53" t="str">
        <f t="shared" si="12"/>
        <v/>
      </c>
      <c r="F83" s="162" t="str">
        <f t="shared" si="13"/>
        <v/>
      </c>
    </row>
    <row r="84" spans="2:6" x14ac:dyDescent="0.25">
      <c r="B84" s="6" t="str">
        <f t="shared" si="11"/>
        <v/>
      </c>
      <c r="C84" s="53" t="str">
        <f t="shared" si="15"/>
        <v/>
      </c>
      <c r="D84" s="53" t="str">
        <f t="shared" si="14"/>
        <v/>
      </c>
      <c r="E84" s="53" t="str">
        <f t="shared" si="12"/>
        <v/>
      </c>
      <c r="F84" s="162" t="str">
        <f t="shared" si="13"/>
        <v/>
      </c>
    </row>
    <row r="85" spans="2:6" x14ac:dyDescent="0.25">
      <c r="B85" s="6" t="str">
        <f t="shared" si="11"/>
        <v/>
      </c>
      <c r="C85" s="53" t="str">
        <f t="shared" si="15"/>
        <v/>
      </c>
      <c r="D85" s="53" t="str">
        <f t="shared" si="14"/>
        <v/>
      </c>
      <c r="E85" s="53" t="str">
        <f t="shared" si="12"/>
        <v/>
      </c>
      <c r="F85" s="162" t="str">
        <f t="shared" si="13"/>
        <v/>
      </c>
    </row>
    <row r="86" spans="2:6" x14ac:dyDescent="0.25">
      <c r="B86" s="6" t="str">
        <f t="shared" si="11"/>
        <v/>
      </c>
      <c r="C86" s="53" t="str">
        <f t="shared" si="15"/>
        <v/>
      </c>
      <c r="D86" s="53" t="str">
        <f t="shared" si="14"/>
        <v/>
      </c>
      <c r="E86" s="53" t="str">
        <f t="shared" si="12"/>
        <v/>
      </c>
      <c r="F86" s="162" t="str">
        <f t="shared" si="13"/>
        <v/>
      </c>
    </row>
    <row r="87" spans="2:6" x14ac:dyDescent="0.25">
      <c r="B87" s="6" t="str">
        <f t="shared" ref="B87:B130" si="16">IF(B86&lt;$C$6,B86+1,"")</f>
        <v/>
      </c>
      <c r="C87" s="53" t="str">
        <f t="shared" si="15"/>
        <v/>
      </c>
      <c r="D87" s="53" t="str">
        <f t="shared" si="14"/>
        <v/>
      </c>
      <c r="E87" s="53" t="str">
        <f t="shared" ref="E87:E130" si="17">IF(B87="", "",PPMT($C$4,B87,$C$6,-$C$2))</f>
        <v/>
      </c>
      <c r="F87" s="162" t="str">
        <f t="shared" ref="F87:F130" si="18">IF(B87="","",F86-E87)</f>
        <v/>
      </c>
    </row>
    <row r="88" spans="2:6" x14ac:dyDescent="0.25">
      <c r="B88" s="6" t="str">
        <f t="shared" si="16"/>
        <v/>
      </c>
      <c r="C88" s="53" t="str">
        <f t="shared" si="15"/>
        <v/>
      </c>
      <c r="D88" s="53" t="str">
        <f t="shared" si="14"/>
        <v/>
      </c>
      <c r="E88" s="53" t="str">
        <f t="shared" si="17"/>
        <v/>
      </c>
      <c r="F88" s="162" t="str">
        <f t="shared" si="18"/>
        <v/>
      </c>
    </row>
    <row r="89" spans="2:6" x14ac:dyDescent="0.25">
      <c r="B89" s="6" t="str">
        <f t="shared" si="16"/>
        <v/>
      </c>
      <c r="C89" s="53" t="str">
        <f t="shared" si="15"/>
        <v/>
      </c>
      <c r="D89" s="53" t="str">
        <f t="shared" si="14"/>
        <v/>
      </c>
      <c r="E89" s="53" t="str">
        <f t="shared" si="17"/>
        <v/>
      </c>
      <c r="F89" s="162" t="str">
        <f t="shared" si="18"/>
        <v/>
      </c>
    </row>
    <row r="90" spans="2:6" x14ac:dyDescent="0.25">
      <c r="B90" s="6" t="str">
        <f t="shared" si="16"/>
        <v/>
      </c>
      <c r="C90" s="53" t="str">
        <f t="shared" si="15"/>
        <v/>
      </c>
      <c r="D90" s="53" t="str">
        <f t="shared" ref="D90:D130" si="19">IF(C90="","", IPMT($C$4,B90,$C$6,-$C$2))</f>
        <v/>
      </c>
      <c r="E90" s="53" t="str">
        <f t="shared" si="17"/>
        <v/>
      </c>
      <c r="F90" s="162" t="str">
        <f t="shared" si="18"/>
        <v/>
      </c>
    </row>
    <row r="91" spans="2:6" x14ac:dyDescent="0.25">
      <c r="B91" s="6" t="str">
        <f t="shared" si="16"/>
        <v/>
      </c>
      <c r="C91" s="53" t="str">
        <f t="shared" si="15"/>
        <v/>
      </c>
      <c r="D91" s="53" t="str">
        <f t="shared" si="19"/>
        <v/>
      </c>
      <c r="E91" s="53" t="str">
        <f t="shared" si="17"/>
        <v/>
      </c>
      <c r="F91" s="162" t="str">
        <f t="shared" si="18"/>
        <v/>
      </c>
    </row>
    <row r="92" spans="2:6" x14ac:dyDescent="0.25">
      <c r="B92" s="6" t="str">
        <f t="shared" si="16"/>
        <v/>
      </c>
      <c r="C92" s="53" t="str">
        <f t="shared" si="15"/>
        <v/>
      </c>
      <c r="D92" s="53" t="str">
        <f t="shared" si="19"/>
        <v/>
      </c>
      <c r="E92" s="53" t="str">
        <f t="shared" si="17"/>
        <v/>
      </c>
      <c r="F92" s="162" t="str">
        <f t="shared" si="18"/>
        <v/>
      </c>
    </row>
    <row r="93" spans="2:6" x14ac:dyDescent="0.25">
      <c r="B93" s="6" t="str">
        <f t="shared" si="16"/>
        <v/>
      </c>
      <c r="C93" s="53" t="str">
        <f t="shared" si="15"/>
        <v/>
      </c>
      <c r="D93" s="53" t="str">
        <f t="shared" si="19"/>
        <v/>
      </c>
      <c r="E93" s="53" t="str">
        <f t="shared" si="17"/>
        <v/>
      </c>
      <c r="F93" s="162" t="str">
        <f t="shared" si="18"/>
        <v/>
      </c>
    </row>
    <row r="94" spans="2:6" x14ac:dyDescent="0.25">
      <c r="B94" s="6" t="str">
        <f t="shared" si="16"/>
        <v/>
      </c>
      <c r="C94" s="53" t="str">
        <f t="shared" si="15"/>
        <v/>
      </c>
      <c r="D94" s="53" t="str">
        <f t="shared" si="19"/>
        <v/>
      </c>
      <c r="E94" s="53" t="str">
        <f t="shared" si="17"/>
        <v/>
      </c>
      <c r="F94" s="162" t="str">
        <f t="shared" si="18"/>
        <v/>
      </c>
    </row>
    <row r="95" spans="2:6" x14ac:dyDescent="0.25">
      <c r="B95" s="6" t="str">
        <f t="shared" si="16"/>
        <v/>
      </c>
      <c r="C95" s="53" t="str">
        <f t="shared" si="15"/>
        <v/>
      </c>
      <c r="D95" s="53" t="str">
        <f t="shared" si="19"/>
        <v/>
      </c>
      <c r="E95" s="53" t="str">
        <f t="shared" si="17"/>
        <v/>
      </c>
      <c r="F95" s="162" t="str">
        <f t="shared" si="18"/>
        <v/>
      </c>
    </row>
    <row r="96" spans="2:6" x14ac:dyDescent="0.25">
      <c r="B96" s="6" t="str">
        <f t="shared" si="16"/>
        <v/>
      </c>
      <c r="C96" s="53" t="str">
        <f t="shared" si="15"/>
        <v/>
      </c>
      <c r="D96" s="53" t="str">
        <f t="shared" si="19"/>
        <v/>
      </c>
      <c r="E96" s="53" t="str">
        <f t="shared" si="17"/>
        <v/>
      </c>
      <c r="F96" s="162" t="str">
        <f t="shared" si="18"/>
        <v/>
      </c>
    </row>
    <row r="97" spans="2:6" x14ac:dyDescent="0.25">
      <c r="B97" s="6" t="str">
        <f t="shared" si="16"/>
        <v/>
      </c>
      <c r="C97" s="53" t="str">
        <f t="shared" si="15"/>
        <v/>
      </c>
      <c r="D97" s="53" t="str">
        <f t="shared" si="19"/>
        <v/>
      </c>
      <c r="E97" s="53" t="str">
        <f t="shared" si="17"/>
        <v/>
      </c>
      <c r="F97" s="162" t="str">
        <f t="shared" si="18"/>
        <v/>
      </c>
    </row>
    <row r="98" spans="2:6" x14ac:dyDescent="0.25">
      <c r="B98" s="6" t="str">
        <f t="shared" si="16"/>
        <v/>
      </c>
      <c r="C98" s="53" t="str">
        <f t="shared" si="15"/>
        <v/>
      </c>
      <c r="D98" s="53" t="str">
        <f t="shared" si="19"/>
        <v/>
      </c>
      <c r="E98" s="53" t="str">
        <f t="shared" si="17"/>
        <v/>
      </c>
      <c r="F98" s="162" t="str">
        <f t="shared" si="18"/>
        <v/>
      </c>
    </row>
    <row r="99" spans="2:6" x14ac:dyDescent="0.25">
      <c r="B99" s="6" t="str">
        <f t="shared" si="16"/>
        <v/>
      </c>
      <c r="C99" s="53" t="str">
        <f t="shared" si="15"/>
        <v/>
      </c>
      <c r="D99" s="53" t="str">
        <f t="shared" si="19"/>
        <v/>
      </c>
      <c r="E99" s="53" t="str">
        <f t="shared" si="17"/>
        <v/>
      </c>
      <c r="F99" s="162" t="str">
        <f t="shared" si="18"/>
        <v/>
      </c>
    </row>
    <row r="100" spans="2:6" x14ac:dyDescent="0.25">
      <c r="B100" s="6" t="str">
        <f t="shared" si="16"/>
        <v/>
      </c>
      <c r="C100" s="53" t="str">
        <f t="shared" si="15"/>
        <v/>
      </c>
      <c r="D100" s="53" t="str">
        <f t="shared" si="19"/>
        <v/>
      </c>
      <c r="E100" s="53" t="str">
        <f t="shared" si="17"/>
        <v/>
      </c>
      <c r="F100" s="162" t="str">
        <f t="shared" si="18"/>
        <v/>
      </c>
    </row>
    <row r="101" spans="2:6" x14ac:dyDescent="0.25">
      <c r="B101" s="6" t="str">
        <f t="shared" si="16"/>
        <v/>
      </c>
      <c r="C101" s="53" t="str">
        <f t="shared" si="15"/>
        <v/>
      </c>
      <c r="D101" s="53" t="str">
        <f t="shared" si="19"/>
        <v/>
      </c>
      <c r="E101" s="53" t="str">
        <f t="shared" si="17"/>
        <v/>
      </c>
      <c r="F101" s="162" t="str">
        <f t="shared" si="18"/>
        <v/>
      </c>
    </row>
    <row r="102" spans="2:6" x14ac:dyDescent="0.25">
      <c r="B102" s="6" t="str">
        <f t="shared" si="16"/>
        <v/>
      </c>
      <c r="C102" s="53" t="str">
        <f t="shared" si="15"/>
        <v/>
      </c>
      <c r="D102" s="53" t="str">
        <f t="shared" si="19"/>
        <v/>
      </c>
      <c r="E102" s="53" t="str">
        <f t="shared" si="17"/>
        <v/>
      </c>
      <c r="F102" s="162" t="str">
        <f t="shared" si="18"/>
        <v/>
      </c>
    </row>
    <row r="103" spans="2:6" x14ac:dyDescent="0.25">
      <c r="B103" s="6" t="str">
        <f t="shared" si="16"/>
        <v/>
      </c>
      <c r="C103" s="53" t="str">
        <f t="shared" si="15"/>
        <v/>
      </c>
      <c r="D103" s="53" t="str">
        <f t="shared" si="19"/>
        <v/>
      </c>
      <c r="E103" s="53" t="str">
        <f t="shared" si="17"/>
        <v/>
      </c>
      <c r="F103" s="162" t="str">
        <f t="shared" si="18"/>
        <v/>
      </c>
    </row>
    <row r="104" spans="2:6" x14ac:dyDescent="0.25">
      <c r="B104" s="6" t="str">
        <f t="shared" si="16"/>
        <v/>
      </c>
      <c r="C104" s="53" t="str">
        <f t="shared" si="15"/>
        <v/>
      </c>
      <c r="D104" s="53" t="str">
        <f t="shared" si="19"/>
        <v/>
      </c>
      <c r="E104" s="53" t="str">
        <f t="shared" si="17"/>
        <v/>
      </c>
      <c r="F104" s="162" t="str">
        <f t="shared" si="18"/>
        <v/>
      </c>
    </row>
    <row r="105" spans="2:6" x14ac:dyDescent="0.25">
      <c r="B105" s="6" t="str">
        <f t="shared" si="16"/>
        <v/>
      </c>
      <c r="C105" s="53" t="str">
        <f t="shared" si="15"/>
        <v/>
      </c>
      <c r="D105" s="53" t="str">
        <f t="shared" si="19"/>
        <v/>
      </c>
      <c r="E105" s="53" t="str">
        <f t="shared" si="17"/>
        <v/>
      </c>
      <c r="F105" s="162" t="str">
        <f t="shared" si="18"/>
        <v/>
      </c>
    </row>
    <row r="106" spans="2:6" x14ac:dyDescent="0.25">
      <c r="B106" s="6" t="str">
        <f t="shared" si="16"/>
        <v/>
      </c>
      <c r="C106" s="53" t="str">
        <f t="shared" si="15"/>
        <v/>
      </c>
      <c r="D106" s="53" t="str">
        <f t="shared" si="19"/>
        <v/>
      </c>
      <c r="E106" s="53" t="str">
        <f t="shared" si="17"/>
        <v/>
      </c>
      <c r="F106" s="162" t="str">
        <f t="shared" si="18"/>
        <v/>
      </c>
    </row>
    <row r="107" spans="2:6" x14ac:dyDescent="0.25">
      <c r="B107" s="6" t="str">
        <f t="shared" si="16"/>
        <v/>
      </c>
      <c r="C107" s="53" t="str">
        <f t="shared" si="15"/>
        <v/>
      </c>
      <c r="D107" s="53" t="str">
        <f t="shared" si="19"/>
        <v/>
      </c>
      <c r="E107" s="53" t="str">
        <f t="shared" si="17"/>
        <v/>
      </c>
      <c r="F107" s="162" t="str">
        <f t="shared" si="18"/>
        <v/>
      </c>
    </row>
    <row r="108" spans="2:6" x14ac:dyDescent="0.25">
      <c r="B108" s="6" t="str">
        <f t="shared" si="16"/>
        <v/>
      </c>
      <c r="C108" s="53" t="str">
        <f t="shared" si="15"/>
        <v/>
      </c>
      <c r="D108" s="53" t="str">
        <f t="shared" si="19"/>
        <v/>
      </c>
      <c r="E108" s="53" t="str">
        <f t="shared" si="17"/>
        <v/>
      </c>
      <c r="F108" s="162" t="str">
        <f t="shared" si="18"/>
        <v/>
      </c>
    </row>
    <row r="109" spans="2:6" x14ac:dyDescent="0.25">
      <c r="B109" s="6" t="str">
        <f t="shared" si="16"/>
        <v/>
      </c>
      <c r="C109" s="53" t="str">
        <f t="shared" si="15"/>
        <v/>
      </c>
      <c r="D109" s="53" t="str">
        <f t="shared" si="19"/>
        <v/>
      </c>
      <c r="E109" s="53" t="str">
        <f t="shared" si="17"/>
        <v/>
      </c>
      <c r="F109" s="162" t="str">
        <f t="shared" si="18"/>
        <v/>
      </c>
    </row>
    <row r="110" spans="2:6" x14ac:dyDescent="0.25">
      <c r="B110" s="6" t="str">
        <f t="shared" si="16"/>
        <v/>
      </c>
      <c r="C110" s="53" t="str">
        <f t="shared" si="15"/>
        <v/>
      </c>
      <c r="D110" s="53" t="str">
        <f t="shared" si="19"/>
        <v/>
      </c>
      <c r="E110" s="53" t="str">
        <f t="shared" si="17"/>
        <v/>
      </c>
      <c r="F110" s="162" t="str">
        <f t="shared" si="18"/>
        <v/>
      </c>
    </row>
    <row r="111" spans="2:6" x14ac:dyDescent="0.25">
      <c r="B111" s="6" t="str">
        <f t="shared" si="16"/>
        <v/>
      </c>
      <c r="C111" s="53" t="str">
        <f t="shared" si="15"/>
        <v/>
      </c>
      <c r="D111" s="53" t="str">
        <f t="shared" si="19"/>
        <v/>
      </c>
      <c r="E111" s="53" t="str">
        <f t="shared" si="17"/>
        <v/>
      </c>
      <c r="F111" s="162" t="str">
        <f t="shared" si="18"/>
        <v/>
      </c>
    </row>
    <row r="112" spans="2:6" x14ac:dyDescent="0.25">
      <c r="B112" s="6" t="str">
        <f t="shared" si="16"/>
        <v/>
      </c>
      <c r="C112" s="53" t="str">
        <f t="shared" si="15"/>
        <v/>
      </c>
      <c r="D112" s="53" t="str">
        <f t="shared" si="19"/>
        <v/>
      </c>
      <c r="E112" s="53" t="str">
        <f t="shared" si="17"/>
        <v/>
      </c>
      <c r="F112" s="162" t="str">
        <f t="shared" si="18"/>
        <v/>
      </c>
    </row>
    <row r="113" spans="2:6" x14ac:dyDescent="0.25">
      <c r="B113" s="6" t="str">
        <f t="shared" si="16"/>
        <v/>
      </c>
      <c r="C113" s="53" t="str">
        <f t="shared" si="15"/>
        <v/>
      </c>
      <c r="D113" s="53" t="str">
        <f t="shared" si="19"/>
        <v/>
      </c>
      <c r="E113" s="53" t="str">
        <f t="shared" si="17"/>
        <v/>
      </c>
      <c r="F113" s="162" t="str">
        <f t="shared" si="18"/>
        <v/>
      </c>
    </row>
    <row r="114" spans="2:6" x14ac:dyDescent="0.25">
      <c r="B114" s="6" t="str">
        <f t="shared" si="16"/>
        <v/>
      </c>
      <c r="C114" s="53" t="str">
        <f t="shared" si="15"/>
        <v/>
      </c>
      <c r="D114" s="53" t="str">
        <f t="shared" si="19"/>
        <v/>
      </c>
      <c r="E114" s="53" t="str">
        <f t="shared" si="17"/>
        <v/>
      </c>
      <c r="F114" s="162" t="str">
        <f t="shared" si="18"/>
        <v/>
      </c>
    </row>
    <row r="115" spans="2:6" x14ac:dyDescent="0.25">
      <c r="B115" s="6" t="str">
        <f t="shared" si="16"/>
        <v/>
      </c>
      <c r="C115" s="53" t="str">
        <f t="shared" si="15"/>
        <v/>
      </c>
      <c r="D115" s="53" t="str">
        <f t="shared" si="19"/>
        <v/>
      </c>
      <c r="E115" s="53" t="str">
        <f t="shared" si="17"/>
        <v/>
      </c>
      <c r="F115" s="162" t="str">
        <f t="shared" si="18"/>
        <v/>
      </c>
    </row>
    <row r="116" spans="2:6" x14ac:dyDescent="0.25">
      <c r="B116" s="6" t="str">
        <f t="shared" si="16"/>
        <v/>
      </c>
      <c r="C116" s="53" t="str">
        <f t="shared" si="15"/>
        <v/>
      </c>
      <c r="D116" s="53" t="str">
        <f t="shared" si="19"/>
        <v/>
      </c>
      <c r="E116" s="53" t="str">
        <f t="shared" si="17"/>
        <v/>
      </c>
      <c r="F116" s="162" t="str">
        <f t="shared" si="18"/>
        <v/>
      </c>
    </row>
    <row r="117" spans="2:6" x14ac:dyDescent="0.25">
      <c r="B117" s="6" t="str">
        <f t="shared" si="16"/>
        <v/>
      </c>
      <c r="C117" s="53" t="str">
        <f t="shared" si="15"/>
        <v/>
      </c>
      <c r="D117" s="53" t="str">
        <f t="shared" si="19"/>
        <v/>
      </c>
      <c r="E117" s="53" t="str">
        <f t="shared" si="17"/>
        <v/>
      </c>
      <c r="F117" s="162" t="str">
        <f t="shared" si="18"/>
        <v/>
      </c>
    </row>
    <row r="118" spans="2:6" x14ac:dyDescent="0.25">
      <c r="B118" s="6" t="str">
        <f t="shared" si="16"/>
        <v/>
      </c>
      <c r="C118" s="53" t="str">
        <f t="shared" si="15"/>
        <v/>
      </c>
      <c r="D118" s="53" t="str">
        <f t="shared" si="19"/>
        <v/>
      </c>
      <c r="E118" s="53" t="str">
        <f t="shared" si="17"/>
        <v/>
      </c>
      <c r="F118" s="162" t="str">
        <f t="shared" si="18"/>
        <v/>
      </c>
    </row>
    <row r="119" spans="2:6" x14ac:dyDescent="0.25">
      <c r="B119" s="6" t="str">
        <f t="shared" si="16"/>
        <v/>
      </c>
      <c r="C119" s="53" t="str">
        <f t="shared" si="15"/>
        <v/>
      </c>
      <c r="D119" s="53" t="str">
        <f t="shared" si="19"/>
        <v/>
      </c>
      <c r="E119" s="53" t="str">
        <f t="shared" si="17"/>
        <v/>
      </c>
      <c r="F119" s="162" t="str">
        <f t="shared" si="18"/>
        <v/>
      </c>
    </row>
    <row r="120" spans="2:6" x14ac:dyDescent="0.25">
      <c r="B120" s="6" t="str">
        <f t="shared" si="16"/>
        <v/>
      </c>
      <c r="C120" s="53" t="str">
        <f t="shared" si="15"/>
        <v/>
      </c>
      <c r="D120" s="53" t="str">
        <f t="shared" si="19"/>
        <v/>
      </c>
      <c r="E120" s="53" t="str">
        <f t="shared" si="17"/>
        <v/>
      </c>
      <c r="F120" s="162" t="str">
        <f t="shared" si="18"/>
        <v/>
      </c>
    </row>
    <row r="121" spans="2:6" x14ac:dyDescent="0.25">
      <c r="B121" s="6" t="str">
        <f t="shared" si="16"/>
        <v/>
      </c>
      <c r="C121" s="53" t="str">
        <f t="shared" si="15"/>
        <v/>
      </c>
      <c r="D121" s="53" t="str">
        <f t="shared" si="19"/>
        <v/>
      </c>
      <c r="E121" s="53" t="str">
        <f t="shared" si="17"/>
        <v/>
      </c>
      <c r="F121" s="162" t="str">
        <f t="shared" si="18"/>
        <v/>
      </c>
    </row>
    <row r="122" spans="2:6" x14ac:dyDescent="0.25">
      <c r="B122" s="6" t="str">
        <f t="shared" si="16"/>
        <v/>
      </c>
      <c r="C122" s="53" t="str">
        <f t="shared" si="15"/>
        <v/>
      </c>
      <c r="D122" s="53" t="str">
        <f t="shared" si="19"/>
        <v/>
      </c>
      <c r="E122" s="53" t="str">
        <f t="shared" si="17"/>
        <v/>
      </c>
      <c r="F122" s="162" t="str">
        <f t="shared" si="18"/>
        <v/>
      </c>
    </row>
    <row r="123" spans="2:6" x14ac:dyDescent="0.25">
      <c r="B123" s="6" t="str">
        <f t="shared" si="16"/>
        <v/>
      </c>
      <c r="C123" s="53" t="str">
        <f t="shared" si="15"/>
        <v/>
      </c>
      <c r="D123" s="53" t="str">
        <f t="shared" si="19"/>
        <v/>
      </c>
      <c r="E123" s="53" t="str">
        <f t="shared" si="17"/>
        <v/>
      </c>
      <c r="F123" s="162" t="str">
        <f t="shared" si="18"/>
        <v/>
      </c>
    </row>
    <row r="124" spans="2:6" x14ac:dyDescent="0.25">
      <c r="B124" s="6" t="str">
        <f t="shared" si="16"/>
        <v/>
      </c>
      <c r="C124" s="53" t="str">
        <f t="shared" si="15"/>
        <v/>
      </c>
      <c r="D124" s="53" t="str">
        <f t="shared" si="19"/>
        <v/>
      </c>
      <c r="E124" s="53" t="str">
        <f t="shared" si="17"/>
        <v/>
      </c>
      <c r="F124" s="162" t="str">
        <f t="shared" si="18"/>
        <v/>
      </c>
    </row>
    <row r="125" spans="2:6" x14ac:dyDescent="0.25">
      <c r="B125" s="6" t="str">
        <f t="shared" si="16"/>
        <v/>
      </c>
      <c r="C125" s="53" t="str">
        <f t="shared" si="15"/>
        <v/>
      </c>
      <c r="D125" s="53" t="str">
        <f t="shared" si="19"/>
        <v/>
      </c>
      <c r="E125" s="53" t="str">
        <f t="shared" si="17"/>
        <v/>
      </c>
      <c r="F125" s="162" t="str">
        <f t="shared" si="18"/>
        <v/>
      </c>
    </row>
    <row r="126" spans="2:6" x14ac:dyDescent="0.25">
      <c r="B126" s="6" t="str">
        <f t="shared" si="16"/>
        <v/>
      </c>
      <c r="C126" s="53" t="str">
        <f t="shared" si="15"/>
        <v/>
      </c>
      <c r="D126" s="53" t="str">
        <f t="shared" si="19"/>
        <v/>
      </c>
      <c r="E126" s="53" t="str">
        <f t="shared" si="17"/>
        <v/>
      </c>
      <c r="F126" s="162" t="str">
        <f t="shared" si="18"/>
        <v/>
      </c>
    </row>
    <row r="127" spans="2:6" x14ac:dyDescent="0.25">
      <c r="B127" s="6" t="str">
        <f t="shared" si="16"/>
        <v/>
      </c>
      <c r="C127" s="53" t="str">
        <f t="shared" si="15"/>
        <v/>
      </c>
      <c r="D127" s="53" t="str">
        <f t="shared" si="19"/>
        <v/>
      </c>
      <c r="E127" s="53" t="str">
        <f t="shared" si="17"/>
        <v/>
      </c>
      <c r="F127" s="162" t="str">
        <f t="shared" si="18"/>
        <v/>
      </c>
    </row>
    <row r="128" spans="2:6" x14ac:dyDescent="0.25">
      <c r="B128" s="6" t="str">
        <f t="shared" si="16"/>
        <v/>
      </c>
      <c r="C128" s="53" t="str">
        <f t="shared" si="15"/>
        <v/>
      </c>
      <c r="D128" s="53" t="str">
        <f t="shared" si="19"/>
        <v/>
      </c>
      <c r="E128" s="53" t="str">
        <f t="shared" si="17"/>
        <v/>
      </c>
      <c r="F128" s="162" t="str">
        <f t="shared" si="18"/>
        <v/>
      </c>
    </row>
    <row r="129" spans="2:6" x14ac:dyDescent="0.25">
      <c r="B129" s="6" t="str">
        <f t="shared" si="16"/>
        <v/>
      </c>
      <c r="C129" s="53" t="str">
        <f t="shared" si="15"/>
        <v/>
      </c>
      <c r="D129" s="53" t="str">
        <f t="shared" si="19"/>
        <v/>
      </c>
      <c r="E129" s="53" t="str">
        <f t="shared" si="17"/>
        <v/>
      </c>
      <c r="F129" s="162" t="str">
        <f t="shared" si="18"/>
        <v/>
      </c>
    </row>
    <row r="130" spans="2:6" x14ac:dyDescent="0.25">
      <c r="B130" s="6" t="str">
        <f t="shared" si="16"/>
        <v/>
      </c>
      <c r="C130" s="53" t="str">
        <f t="shared" si="15"/>
        <v/>
      </c>
      <c r="D130" s="53" t="str">
        <f t="shared" si="19"/>
        <v/>
      </c>
      <c r="E130" s="53" t="str">
        <f t="shared" si="17"/>
        <v/>
      </c>
      <c r="F130" s="162" t="str">
        <f t="shared" si="18"/>
        <v/>
      </c>
    </row>
  </sheetData>
  <mergeCells count="8">
    <mergeCell ref="H15:L15"/>
    <mergeCell ref="B8:F8"/>
    <mergeCell ref="D4:E4"/>
    <mergeCell ref="D5:E5"/>
    <mergeCell ref="D6:E6"/>
    <mergeCell ref="I5:J5"/>
    <mergeCell ref="I4:J4"/>
    <mergeCell ref="I6:J6"/>
  </mergeCells>
  <conditionalFormatting sqref="B9:F130">
    <cfRule type="expression" dxfId="2" priority="1">
      <formula>$B10&lt;&gt;""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121A-63C9-44AA-B189-C527099AD7EA}">
  <sheetPr>
    <tabColor theme="4" tint="0.79998168889431442"/>
  </sheetPr>
  <dimension ref="A1:D34"/>
  <sheetViews>
    <sheetView workbookViewId="0">
      <selection activeCell="D16" sqref="D16"/>
    </sheetView>
  </sheetViews>
  <sheetFormatPr baseColWidth="10" defaultRowHeight="15" x14ac:dyDescent="0.25"/>
  <cols>
    <col min="1" max="1" width="12.140625" bestFit="1" customWidth="1"/>
    <col min="2" max="2" width="12.7109375" bestFit="1" customWidth="1"/>
    <col min="3" max="3" width="14.5703125" bestFit="1" customWidth="1"/>
  </cols>
  <sheetData>
    <row r="1" spans="1:3" ht="15.75" thickBot="1" x14ac:dyDescent="0.3"/>
    <row r="2" spans="1:3" ht="15.75" thickBot="1" x14ac:dyDescent="0.3">
      <c r="A2" s="173" t="s">
        <v>274</v>
      </c>
      <c r="B2" s="174" t="s">
        <v>276</v>
      </c>
      <c r="C2" s="175" t="s">
        <v>275</v>
      </c>
    </row>
    <row r="3" spans="1:3" x14ac:dyDescent="0.25">
      <c r="A3" s="171">
        <v>45322</v>
      </c>
      <c r="B3" s="172">
        <v>33588</v>
      </c>
      <c r="C3" s="172">
        <v>21692</v>
      </c>
    </row>
    <row r="4" spans="1:3" x14ac:dyDescent="0.25">
      <c r="A4" s="164">
        <v>45351</v>
      </c>
      <c r="B4" s="167">
        <v>30271</v>
      </c>
      <c r="C4" s="167">
        <v>12872</v>
      </c>
    </row>
    <row r="5" spans="1:3" x14ac:dyDescent="0.25">
      <c r="A5" s="164">
        <v>45382</v>
      </c>
      <c r="B5" s="167">
        <v>15599</v>
      </c>
      <c r="C5" s="167">
        <v>13262</v>
      </c>
    </row>
    <row r="6" spans="1:3" x14ac:dyDescent="0.25">
      <c r="A6" s="164">
        <v>45412</v>
      </c>
      <c r="B6" s="167">
        <v>32875</v>
      </c>
      <c r="C6" s="167">
        <v>16414</v>
      </c>
    </row>
    <row r="7" spans="1:3" x14ac:dyDescent="0.25">
      <c r="A7" s="164">
        <v>45443</v>
      </c>
      <c r="B7" s="167">
        <v>31758</v>
      </c>
      <c r="C7" s="167">
        <v>14684</v>
      </c>
    </row>
    <row r="8" spans="1:3" x14ac:dyDescent="0.25">
      <c r="A8" s="164">
        <v>45473</v>
      </c>
      <c r="B8" s="167">
        <v>16516</v>
      </c>
      <c r="C8" s="167">
        <v>23093</v>
      </c>
    </row>
    <row r="9" spans="1:3" x14ac:dyDescent="0.25">
      <c r="A9" s="164">
        <v>45504</v>
      </c>
      <c r="B9" s="167">
        <v>18868</v>
      </c>
      <c r="C9" s="167">
        <v>15872</v>
      </c>
    </row>
    <row r="10" spans="1:3" x14ac:dyDescent="0.25">
      <c r="A10" s="164">
        <v>45535</v>
      </c>
      <c r="B10" s="167">
        <v>31388</v>
      </c>
      <c r="C10" s="167">
        <v>21664</v>
      </c>
    </row>
    <row r="11" spans="1:3" x14ac:dyDescent="0.25">
      <c r="A11" s="164">
        <v>45565</v>
      </c>
      <c r="B11" s="167">
        <v>17128</v>
      </c>
      <c r="C11" s="167">
        <v>18922</v>
      </c>
    </row>
    <row r="12" spans="1:3" x14ac:dyDescent="0.25">
      <c r="A12" s="164">
        <v>45596</v>
      </c>
      <c r="B12" s="167">
        <v>22000</v>
      </c>
      <c r="C12" s="167">
        <v>23051</v>
      </c>
    </row>
    <row r="13" spans="1:3" x14ac:dyDescent="0.25">
      <c r="A13" s="164">
        <v>45626</v>
      </c>
      <c r="B13" s="167">
        <v>25979</v>
      </c>
      <c r="C13" s="167">
        <v>23566</v>
      </c>
    </row>
    <row r="14" spans="1:3" x14ac:dyDescent="0.25">
      <c r="A14" s="164">
        <v>45657</v>
      </c>
      <c r="B14" s="167">
        <v>33734</v>
      </c>
      <c r="C14" s="167">
        <v>20051</v>
      </c>
    </row>
    <row r="21" spans="1:4" ht="15.75" thickBot="1" x14ac:dyDescent="0.3"/>
    <row r="22" spans="1:4" ht="15.75" thickBot="1" x14ac:dyDescent="0.3">
      <c r="A22" s="173" t="s">
        <v>274</v>
      </c>
      <c r="B22" s="174" t="s">
        <v>277</v>
      </c>
      <c r="C22" s="174" t="s">
        <v>278</v>
      </c>
      <c r="D22" s="175" t="s">
        <v>279</v>
      </c>
    </row>
    <row r="23" spans="1:4" x14ac:dyDescent="0.25">
      <c r="A23" s="178">
        <v>45322</v>
      </c>
      <c r="B23" s="172">
        <v>33588</v>
      </c>
      <c r="C23" s="172">
        <f ca="1">B23 * (0.85 + RAND() * (0.98 - 0.85))</f>
        <v>30206.628924056324</v>
      </c>
      <c r="D23" s="179">
        <f ca="1">C23/B23</f>
        <v>0.89932800178802919</v>
      </c>
    </row>
    <row r="24" spans="1:4" x14ac:dyDescent="0.25">
      <c r="A24" s="165">
        <v>45351</v>
      </c>
      <c r="B24" s="167">
        <v>30271</v>
      </c>
      <c r="C24" s="170">
        <f t="shared" ref="C24:C34" ca="1" si="0">B24 * (0.85 + RAND() * (0.98 - 0.85))</f>
        <v>28929.436351339624</v>
      </c>
      <c r="D24" s="176">
        <f t="shared" ref="D24:D34" ca="1" si="1">C24/B24</f>
        <v>0.95568155499784035</v>
      </c>
    </row>
    <row r="25" spans="1:4" x14ac:dyDescent="0.25">
      <c r="A25" s="165">
        <v>45382</v>
      </c>
      <c r="B25" s="167">
        <v>15599</v>
      </c>
      <c r="C25" s="170">
        <f t="shared" ca="1" si="0"/>
        <v>13804.245572077907</v>
      </c>
      <c r="D25" s="176">
        <f t="shared" ca="1" si="1"/>
        <v>0.88494426386806246</v>
      </c>
    </row>
    <row r="26" spans="1:4" x14ac:dyDescent="0.25">
      <c r="A26" s="165">
        <v>45412</v>
      </c>
      <c r="B26" s="167">
        <v>32875</v>
      </c>
      <c r="C26" s="170">
        <f t="shared" ca="1" si="0"/>
        <v>30435.646618972729</v>
      </c>
      <c r="D26" s="176">
        <f t="shared" ca="1" si="1"/>
        <v>0.92579913669879021</v>
      </c>
    </row>
    <row r="27" spans="1:4" x14ac:dyDescent="0.25">
      <c r="A27" s="165">
        <v>45443</v>
      </c>
      <c r="B27" s="167">
        <v>31758</v>
      </c>
      <c r="C27" s="170">
        <f t="shared" ca="1" si="0"/>
        <v>27529.292691570405</v>
      </c>
      <c r="D27" s="176">
        <f t="shared" ca="1" si="1"/>
        <v>0.86684591887305262</v>
      </c>
    </row>
    <row r="28" spans="1:4" x14ac:dyDescent="0.25">
      <c r="A28" s="165">
        <v>45473</v>
      </c>
      <c r="B28" s="167">
        <v>16516</v>
      </c>
      <c r="C28" s="170">
        <f t="shared" ca="1" si="0"/>
        <v>14977.142198311816</v>
      </c>
      <c r="D28" s="176">
        <f t="shared" ca="1" si="1"/>
        <v>0.90682624111841947</v>
      </c>
    </row>
    <row r="29" spans="1:4" x14ac:dyDescent="0.25">
      <c r="A29" s="165">
        <v>45504</v>
      </c>
      <c r="B29" s="167">
        <v>18868</v>
      </c>
      <c r="C29" s="170">
        <f t="shared" ca="1" si="0"/>
        <v>17779.752925588564</v>
      </c>
      <c r="D29" s="176">
        <f t="shared" ca="1" si="1"/>
        <v>0.94232313576365079</v>
      </c>
    </row>
    <row r="30" spans="1:4" x14ac:dyDescent="0.25">
      <c r="A30" s="165">
        <v>45535</v>
      </c>
      <c r="B30" s="167">
        <v>31388</v>
      </c>
      <c r="C30" s="170">
        <f t="shared" ca="1" si="0"/>
        <v>28708.335823711379</v>
      </c>
      <c r="D30" s="176">
        <f t="shared" ca="1" si="1"/>
        <v>0.91462775021381992</v>
      </c>
    </row>
    <row r="31" spans="1:4" x14ac:dyDescent="0.25">
      <c r="A31" s="165">
        <v>45565</v>
      </c>
      <c r="B31" s="167">
        <v>17128</v>
      </c>
      <c r="C31" s="170">
        <f t="shared" ca="1" si="0"/>
        <v>16329.093743078263</v>
      </c>
      <c r="D31" s="176">
        <f t="shared" ca="1" si="1"/>
        <v>0.95335671082895046</v>
      </c>
    </row>
    <row r="32" spans="1:4" x14ac:dyDescent="0.25">
      <c r="A32" s="165">
        <v>45596</v>
      </c>
      <c r="B32" s="167">
        <v>22000</v>
      </c>
      <c r="C32" s="170">
        <f t="shared" ca="1" si="0"/>
        <v>19994.375750689254</v>
      </c>
      <c r="D32" s="176">
        <f t="shared" ca="1" si="1"/>
        <v>0.90883526139496607</v>
      </c>
    </row>
    <row r="33" spans="1:4" x14ac:dyDescent="0.25">
      <c r="A33" s="165">
        <v>45626</v>
      </c>
      <c r="B33" s="167">
        <v>25979</v>
      </c>
      <c r="C33" s="170">
        <f t="shared" ca="1" si="0"/>
        <v>24858.022453097557</v>
      </c>
      <c r="D33" s="176">
        <f t="shared" ca="1" si="1"/>
        <v>0.95685062754908035</v>
      </c>
    </row>
    <row r="34" spans="1:4" ht="15.75" thickBot="1" x14ac:dyDescent="0.3">
      <c r="A34" s="166">
        <v>45657</v>
      </c>
      <c r="B34" s="168">
        <v>33734</v>
      </c>
      <c r="C34" s="169">
        <f t="shared" ca="1" si="0"/>
        <v>30124.831535177087</v>
      </c>
      <c r="D34" s="177">
        <f t="shared" ca="1" si="1"/>
        <v>0.89301095438362144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NOMINA</vt:lpstr>
      <vt:lpstr>FACTURACION</vt:lpstr>
      <vt:lpstr>ALMACEN</vt:lpstr>
      <vt:lpstr>SISTEMA DE CALIFICACION</vt:lpstr>
      <vt:lpstr>VARIAS FUNCIONES</vt:lpstr>
      <vt:lpstr>CALCULAR AMORTIZACION </vt:lpstr>
      <vt:lpstr>GRAFICOS DE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</dc:creator>
  <cp:lastModifiedBy>Juancito Peña Vizcaino</cp:lastModifiedBy>
  <cp:lastPrinted>2023-12-02T15:31:18Z</cp:lastPrinted>
  <dcterms:created xsi:type="dcterms:W3CDTF">2023-10-10T21:49:51Z</dcterms:created>
  <dcterms:modified xsi:type="dcterms:W3CDTF">2024-09-28T05:07:10Z</dcterms:modified>
</cp:coreProperties>
</file>