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mestre 5\Analisis Numerico\"/>
    </mc:Choice>
  </mc:AlternateContent>
  <bookViews>
    <workbookView xWindow="0" yWindow="0" windowWidth="20490" windowHeight="8340"/>
  </bookViews>
  <sheets>
    <sheet name="Modelo Lineal" sheetId="2" r:id="rId1"/>
    <sheet name="Modelo Potencial" sheetId="3" r:id="rId2"/>
    <sheet name="Modelo Exponencial" sheetId="4" r:id="rId3"/>
    <sheet name="Modelo Cuadratico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2" i="2"/>
  <c r="H4" i="2"/>
  <c r="I5" i="2"/>
  <c r="C4" i="2"/>
  <c r="C5" i="2"/>
  <c r="C6" i="2"/>
  <c r="C7" i="2"/>
  <c r="C8" i="2"/>
  <c r="C9" i="2"/>
  <c r="C10" i="2"/>
  <c r="C11" i="2"/>
  <c r="C12" i="2"/>
  <c r="C3" i="2"/>
  <c r="B4" i="2"/>
  <c r="B5" i="2"/>
  <c r="B6" i="2"/>
  <c r="B7" i="2"/>
  <c r="B8" i="2"/>
  <c r="B9" i="2"/>
  <c r="B10" i="2"/>
  <c r="B11" i="2"/>
  <c r="B12" i="2"/>
  <c r="B3" i="2"/>
  <c r="C14" i="2" l="1"/>
  <c r="F4" i="2" l="1"/>
  <c r="F3" i="2"/>
  <c r="B13" i="2"/>
  <c r="G3" i="2" s="1"/>
  <c r="C13" i="2"/>
  <c r="B14" i="2"/>
  <c r="D3" i="2" l="1"/>
  <c r="B21" i="5" l="1"/>
  <c r="H18" i="5" s="1"/>
  <c r="C19" i="5"/>
  <c r="B19" i="5"/>
  <c r="A19" i="5"/>
  <c r="A21" i="5" s="1"/>
  <c r="F18" i="5"/>
  <c r="E18" i="5"/>
  <c r="D18" i="5"/>
  <c r="C18" i="5"/>
  <c r="G18" i="5" s="1"/>
  <c r="F17" i="5"/>
  <c r="E17" i="5"/>
  <c r="D17" i="5"/>
  <c r="C17" i="5"/>
  <c r="G17" i="5" s="1"/>
  <c r="F16" i="5"/>
  <c r="E16" i="5"/>
  <c r="D16" i="5"/>
  <c r="C16" i="5"/>
  <c r="G16" i="5" s="1"/>
  <c r="F15" i="5"/>
  <c r="E15" i="5"/>
  <c r="D15" i="5"/>
  <c r="C15" i="5"/>
  <c r="G15" i="5" s="1"/>
  <c r="F14" i="5"/>
  <c r="E14" i="5"/>
  <c r="D14" i="5"/>
  <c r="C14" i="5"/>
  <c r="G14" i="5" s="1"/>
  <c r="F13" i="5"/>
  <c r="E13" i="5"/>
  <c r="D13" i="5"/>
  <c r="C13" i="5"/>
  <c r="G13" i="5" s="1"/>
  <c r="F12" i="5"/>
  <c r="E12" i="5"/>
  <c r="D12" i="5"/>
  <c r="C12" i="5"/>
  <c r="G12" i="5" s="1"/>
  <c r="F11" i="5"/>
  <c r="E11" i="5"/>
  <c r="D11" i="5"/>
  <c r="C11" i="5"/>
  <c r="G11" i="5" s="1"/>
  <c r="F10" i="5"/>
  <c r="E10" i="5"/>
  <c r="D10" i="5"/>
  <c r="C10" i="5"/>
  <c r="G10" i="5" s="1"/>
  <c r="F9" i="5"/>
  <c r="E9" i="5"/>
  <c r="D9" i="5"/>
  <c r="C9" i="5"/>
  <c r="G9" i="5" s="1"/>
  <c r="F8" i="5"/>
  <c r="E8" i="5"/>
  <c r="D8" i="5"/>
  <c r="C8" i="5"/>
  <c r="G8" i="5" s="1"/>
  <c r="F7" i="5"/>
  <c r="E7" i="5"/>
  <c r="E19" i="5" s="1"/>
  <c r="D7" i="5"/>
  <c r="C7" i="5"/>
  <c r="G7" i="5" s="1"/>
  <c r="E52" i="4"/>
  <c r="E51" i="4"/>
  <c r="E50" i="4"/>
  <c r="E49" i="4"/>
  <c r="E48" i="4"/>
  <c r="E47" i="4"/>
  <c r="E46" i="4"/>
  <c r="E45" i="4"/>
  <c r="E44" i="4"/>
  <c r="E43" i="4"/>
  <c r="E42" i="4"/>
  <c r="E41" i="4"/>
  <c r="I25" i="4"/>
  <c r="C33" i="4"/>
  <c r="C32" i="4"/>
  <c r="C31" i="4"/>
  <c r="C30" i="4"/>
  <c r="C29" i="4"/>
  <c r="C28" i="4"/>
  <c r="C27" i="4"/>
  <c r="C26" i="4"/>
  <c r="D26" i="4" s="1"/>
  <c r="C25" i="4"/>
  <c r="C24" i="4"/>
  <c r="C23" i="4"/>
  <c r="C22" i="4"/>
  <c r="E33" i="4"/>
  <c r="E32" i="4"/>
  <c r="D32" i="4"/>
  <c r="E31" i="4"/>
  <c r="E30" i="4"/>
  <c r="E29" i="4"/>
  <c r="D29" i="4"/>
  <c r="E28" i="4"/>
  <c r="E27" i="4"/>
  <c r="E26" i="4"/>
  <c r="E25" i="4"/>
  <c r="E24" i="4"/>
  <c r="D23" i="4"/>
  <c r="E23" i="4"/>
  <c r="E22" i="4"/>
  <c r="B34" i="4"/>
  <c r="B15" i="4"/>
  <c r="B14" i="4"/>
  <c r="B13" i="4"/>
  <c r="B12" i="4"/>
  <c r="B11" i="4"/>
  <c r="B10" i="4"/>
  <c r="B9" i="4"/>
  <c r="B8" i="4"/>
  <c r="B7" i="4"/>
  <c r="B6" i="4"/>
  <c r="B5" i="4"/>
  <c r="B4" i="4"/>
  <c r="E53" i="3"/>
  <c r="E52" i="3"/>
  <c r="E51" i="3"/>
  <c r="E50" i="3"/>
  <c r="E49" i="3"/>
  <c r="E48" i="3"/>
  <c r="E47" i="3"/>
  <c r="E46" i="3"/>
  <c r="E45" i="3"/>
  <c r="E44" i="3"/>
  <c r="E43" i="3"/>
  <c r="E42" i="3"/>
  <c r="C34" i="3"/>
  <c r="B34" i="3"/>
  <c r="E34" i="3" s="1"/>
  <c r="C33" i="3"/>
  <c r="B33" i="3"/>
  <c r="E33" i="3" s="1"/>
  <c r="C32" i="3"/>
  <c r="B32" i="3"/>
  <c r="E32" i="3" s="1"/>
  <c r="C31" i="3"/>
  <c r="B31" i="3"/>
  <c r="C30" i="3"/>
  <c r="B30" i="3"/>
  <c r="E30" i="3" s="1"/>
  <c r="E29" i="3"/>
  <c r="C29" i="3"/>
  <c r="B29" i="3"/>
  <c r="C28" i="3"/>
  <c r="B28" i="3"/>
  <c r="E28" i="3" s="1"/>
  <c r="C27" i="3"/>
  <c r="B27" i="3"/>
  <c r="E27" i="3" s="1"/>
  <c r="C26" i="3"/>
  <c r="B26" i="3"/>
  <c r="C25" i="3"/>
  <c r="B25" i="3"/>
  <c r="E25" i="3" s="1"/>
  <c r="C24" i="3"/>
  <c r="B24" i="3"/>
  <c r="E24" i="3" s="1"/>
  <c r="C23" i="3"/>
  <c r="B23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F5" i="2"/>
  <c r="E5" i="2"/>
  <c r="D5" i="2"/>
  <c r="E4" i="2"/>
  <c r="D4" i="2"/>
  <c r="E3" i="2"/>
  <c r="D14" i="2" l="1"/>
  <c r="E14" i="2"/>
  <c r="E13" i="2"/>
  <c r="J5" i="2" s="1"/>
  <c r="D13" i="2"/>
  <c r="H3" i="2" s="1"/>
  <c r="F8" i="2"/>
  <c r="F12" i="2"/>
  <c r="F9" i="2"/>
  <c r="I9" i="5"/>
  <c r="I13" i="5"/>
  <c r="I17" i="5"/>
  <c r="F19" i="5"/>
  <c r="I10" i="5"/>
  <c r="I14" i="5"/>
  <c r="I18" i="5"/>
  <c r="G19" i="5"/>
  <c r="I7" i="5"/>
  <c r="I11" i="5"/>
  <c r="I15" i="5"/>
  <c r="D19" i="5"/>
  <c r="I8" i="5"/>
  <c r="I12" i="5"/>
  <c r="I16" i="5"/>
  <c r="C34" i="5"/>
  <c r="C35" i="5"/>
  <c r="C36" i="5"/>
  <c r="C37" i="5"/>
  <c r="C38" i="5"/>
  <c r="C39" i="5"/>
  <c r="C40" i="5"/>
  <c r="C41" i="5"/>
  <c r="C42" i="5"/>
  <c r="C43" i="5"/>
  <c r="C44" i="5"/>
  <c r="C45" i="5"/>
  <c r="H7" i="5"/>
  <c r="H8" i="5"/>
  <c r="H9" i="5"/>
  <c r="H10" i="5"/>
  <c r="H11" i="5"/>
  <c r="H12" i="5"/>
  <c r="H13" i="5"/>
  <c r="H14" i="5"/>
  <c r="H15" i="5"/>
  <c r="H16" i="5"/>
  <c r="H17" i="5"/>
  <c r="E34" i="4"/>
  <c r="D22" i="4"/>
  <c r="D27" i="4"/>
  <c r="D31" i="4"/>
  <c r="B35" i="4"/>
  <c r="J24" i="4" s="1"/>
  <c r="C34" i="4"/>
  <c r="F31" i="4" s="1"/>
  <c r="D24" i="4"/>
  <c r="D25" i="4"/>
  <c r="D28" i="4"/>
  <c r="D30" i="4"/>
  <c r="D33" i="4"/>
  <c r="D29" i="3"/>
  <c r="C35" i="3"/>
  <c r="F30" i="3" s="1"/>
  <c r="D26" i="3"/>
  <c r="D31" i="3"/>
  <c r="D27" i="3"/>
  <c r="E31" i="3"/>
  <c r="B36" i="3"/>
  <c r="E26" i="3"/>
  <c r="D34" i="3"/>
  <c r="F29" i="3"/>
  <c r="F34" i="3"/>
  <c r="F31" i="3"/>
  <c r="F24" i="3"/>
  <c r="F25" i="3"/>
  <c r="D25" i="3"/>
  <c r="D30" i="3"/>
  <c r="E23" i="3"/>
  <c r="E35" i="3" s="1"/>
  <c r="D24" i="3"/>
  <c r="F27" i="3"/>
  <c r="D33" i="3"/>
  <c r="B35" i="3"/>
  <c r="D23" i="3"/>
  <c r="D28" i="3"/>
  <c r="D32" i="3"/>
  <c r="F23" i="3"/>
  <c r="F28" i="3"/>
  <c r="F32" i="3"/>
  <c r="F7" i="2"/>
  <c r="F11" i="2"/>
  <c r="F6" i="2"/>
  <c r="F10" i="2"/>
  <c r="H5" i="2" l="1"/>
  <c r="J10" i="2" s="1"/>
  <c r="F13" i="2"/>
  <c r="F14" i="2"/>
  <c r="I19" i="5"/>
  <c r="I21" i="5" s="1"/>
  <c r="H19" i="5"/>
  <c r="D34" i="4"/>
  <c r="F33" i="4"/>
  <c r="H22" i="4"/>
  <c r="F26" i="4"/>
  <c r="F23" i="4"/>
  <c r="F32" i="4"/>
  <c r="F30" i="4"/>
  <c r="F28" i="4"/>
  <c r="F25" i="4"/>
  <c r="F24" i="4"/>
  <c r="F29" i="4"/>
  <c r="F27" i="4"/>
  <c r="F22" i="4"/>
  <c r="K24" i="4"/>
  <c r="J25" i="3"/>
  <c r="F33" i="3"/>
  <c r="F26" i="3"/>
  <c r="F35" i="3" s="1"/>
  <c r="I31" i="3" s="1"/>
  <c r="D35" i="3"/>
  <c r="K25" i="3"/>
  <c r="H23" i="3"/>
  <c r="J16" i="2" l="1"/>
  <c r="J17" i="2"/>
  <c r="J8" i="2"/>
  <c r="J9" i="2"/>
  <c r="J15" i="2"/>
  <c r="I22" i="5"/>
  <c r="I23" i="5"/>
  <c r="F34" i="4"/>
  <c r="I22" i="4"/>
  <c r="I23" i="4" s="1"/>
  <c r="I24" i="4" s="1"/>
  <c r="I23" i="3"/>
  <c r="I24" i="3" s="1"/>
  <c r="I25" i="3" s="1"/>
  <c r="J12" i="2"/>
  <c r="J11" i="2"/>
  <c r="J14" i="2"/>
  <c r="J13" i="2"/>
  <c r="I30" i="4" l="1"/>
  <c r="K37" i="4"/>
  <c r="K31" i="4"/>
  <c r="K33" i="4"/>
  <c r="K36" i="4"/>
  <c r="K38" i="4"/>
  <c r="K39" i="4"/>
  <c r="K29" i="4"/>
  <c r="K34" i="4"/>
  <c r="K30" i="4"/>
  <c r="K32" i="4"/>
  <c r="K40" i="4"/>
  <c r="K35" i="4"/>
  <c r="K33" i="3"/>
  <c r="K32" i="3"/>
  <c r="K41" i="3"/>
  <c r="K30" i="3"/>
  <c r="K35" i="3"/>
  <c r="K37" i="3"/>
  <c r="K31" i="3"/>
  <c r="K34" i="3"/>
  <c r="K40" i="3"/>
  <c r="K38" i="3"/>
  <c r="K36" i="3"/>
  <c r="K39" i="3"/>
  <c r="I34" i="3" s="1"/>
  <c r="I26" i="3"/>
  <c r="H11" i="2" l="1"/>
  <c r="I33" i="4"/>
  <c r="I30" i="3"/>
  <c r="I33" i="3"/>
  <c r="I29" i="4" l="1"/>
  <c r="I32" i="4"/>
</calcChain>
</file>

<file path=xl/sharedStrings.xml><?xml version="1.0" encoding="utf-8"?>
<sst xmlns="http://schemas.openxmlformats.org/spreadsheetml/2006/main" count="127" uniqueCount="69">
  <si>
    <t>b0</t>
  </si>
  <si>
    <t>b1</t>
  </si>
  <si>
    <t>xi</t>
  </si>
  <si>
    <t>yi</t>
  </si>
  <si>
    <t>xi^2</t>
  </si>
  <si>
    <t>xi^3</t>
  </si>
  <si>
    <t>xi^4</t>
  </si>
  <si>
    <t>xi*yi</t>
  </si>
  <si>
    <t>xi^2*yi</t>
  </si>
  <si>
    <t>(yi-yT)^2</t>
  </si>
  <si>
    <t>x</t>
  </si>
  <si>
    <t>y</t>
  </si>
  <si>
    <t>x*y</t>
  </si>
  <si>
    <t>x^2</t>
  </si>
  <si>
    <t>suma</t>
  </si>
  <si>
    <t>promedio</t>
  </si>
  <si>
    <t>sum x* y - (y pro * sum x)</t>
  </si>
  <si>
    <t>x pro * sum x</t>
  </si>
  <si>
    <t>sum x^2 - (x pro * sum x)</t>
  </si>
  <si>
    <t>Sy</t>
  </si>
  <si>
    <t>(Yi - Y pro)^2</t>
  </si>
  <si>
    <t>SY/x</t>
  </si>
  <si>
    <t>(Yi-b0-(b1*Xi))^2</t>
  </si>
  <si>
    <t>R^2</t>
  </si>
  <si>
    <t>y = 0,024612634X + 5023,1298</t>
  </si>
  <si>
    <t>Sr</t>
  </si>
  <si>
    <t>lineal</t>
  </si>
  <si>
    <t>potencial</t>
  </si>
  <si>
    <t>C</t>
  </si>
  <si>
    <t>y = C * X ^ b1</t>
  </si>
  <si>
    <t>y = 51,12057954 * X ^ (0,43274155)</t>
  </si>
  <si>
    <t>St</t>
  </si>
  <si>
    <t>promedio Y = 3,97014047</t>
  </si>
  <si>
    <t>suma (X*Y) = 249,141487</t>
  </si>
  <si>
    <t>suma (X^2) = 328,1179242</t>
  </si>
  <si>
    <t>St = 0,082317739</t>
  </si>
  <si>
    <t>y = 0,43274155X + 1,708595769</t>
  </si>
  <si>
    <t>y = 2,48031E-06X + 8,689343611</t>
  </si>
  <si>
    <t>ecuacion exponencial</t>
  </si>
  <si>
    <t>((YI-a0-a1*Xi-a2*Xi^2))^2</t>
  </si>
  <si>
    <t>a1</t>
  </si>
  <si>
    <t>a0</t>
  </si>
  <si>
    <t>a2</t>
  </si>
  <si>
    <t>Sy/x</t>
  </si>
  <si>
    <t xml:space="preserve">r^2 </t>
  </si>
  <si>
    <t>X</t>
  </si>
  <si>
    <t>Y</t>
  </si>
  <si>
    <t>ecuacion de la recta</t>
  </si>
  <si>
    <t>y promedio * sumatoria x</t>
  </si>
  <si>
    <t>ecuacion potencia</t>
  </si>
  <si>
    <t>y = C * (e^(a*X))</t>
  </si>
  <si>
    <t>y = 5939,282484 * E ^ (2,48031E-06*X)</t>
  </si>
  <si>
    <t>suma X = 2188000</t>
  </si>
  <si>
    <t>suma Y = 114130</t>
  </si>
  <si>
    <t>suma X ^2 = 4,60928E+11</t>
  </si>
  <si>
    <t>suma X^3 = 1,0889E+17</t>
  </si>
  <si>
    <t>suma X^4 = 1,2124e+270</t>
  </si>
  <si>
    <t>suma X*Y = 2,2335E+10</t>
  </si>
  <si>
    <t>suma X^2*Y = 5,0081E+15</t>
  </si>
  <si>
    <t>St (suma de ((yi-yT)^2))</t>
  </si>
  <si>
    <t>Sr (suma de (((YI-a0-a1*Xi-a2*Xi^2))^2))</t>
  </si>
  <si>
    <t>parametros</t>
  </si>
  <si>
    <t>valor</t>
  </si>
  <si>
    <t>valores para calculo del margen de error</t>
  </si>
  <si>
    <t>X trazo</t>
  </si>
  <si>
    <t>Y trazo</t>
  </si>
  <si>
    <t>Ecuacion</t>
  </si>
  <si>
    <t xml:space="preserve"> </t>
  </si>
  <si>
    <t>y = -11,8196 X + 514,7504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</si>
</sst>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/>
    <xf numFmtId="0" fontId="0" fillId="3" borderId="15" xfId="0" applyFill="1" applyBorder="1"/>
    <xf numFmtId="0" fontId="3" fillId="0" borderId="0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3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2" fillId="5" borderId="7" xfId="0" applyFont="1" applyFill="1" applyBorder="1"/>
    <xf numFmtId="0" fontId="0" fillId="4" borderId="7" xfId="0" applyFill="1" applyBorder="1"/>
    <xf numFmtId="0" fontId="4" fillId="3" borderId="16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'Modelo Lineal'!$B$17:$B$26</c:f>
              <c:numCache>
                <c:formatCode>General</c:formatCode>
                <c:ptCount val="10"/>
                <c:pt idx="0">
                  <c:v>7.5</c:v>
                </c:pt>
                <c:pt idx="1">
                  <c:v>9</c:v>
                </c:pt>
                <c:pt idx="2">
                  <c:v>10.5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20.5</c:v>
                </c:pt>
                <c:pt idx="8">
                  <c:v>23.5</c:v>
                </c:pt>
                <c:pt idx="9">
                  <c:v>27</c:v>
                </c:pt>
              </c:numCache>
            </c:numRef>
          </c:xVal>
          <c:yVal>
            <c:numRef>
              <c:f>'Modelo Lineal'!$C$17:$C$26</c:f>
              <c:numCache>
                <c:formatCode>General</c:formatCode>
                <c:ptCount val="10"/>
                <c:pt idx="0">
                  <c:v>450</c:v>
                </c:pt>
                <c:pt idx="1">
                  <c:v>425</c:v>
                </c:pt>
                <c:pt idx="2">
                  <c:v>400</c:v>
                </c:pt>
                <c:pt idx="3">
                  <c:v>350</c:v>
                </c:pt>
                <c:pt idx="4">
                  <c:v>325</c:v>
                </c:pt>
                <c:pt idx="5">
                  <c:v>300</c:v>
                </c:pt>
                <c:pt idx="6">
                  <c:v>290</c:v>
                </c:pt>
                <c:pt idx="7">
                  <c:v>280</c:v>
                </c:pt>
                <c:pt idx="8">
                  <c:v>260</c:v>
                </c:pt>
                <c:pt idx="9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48-4091-8831-4F84FD7D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5579200"/>
        <c:axId val="-1565585184"/>
      </c:scatterChart>
      <c:valAx>
        <c:axId val="-156557920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5184"/>
        <c:crosses val="autoZero"/>
        <c:crossBetween val="midCat"/>
        <c:majorUnit val="1"/>
      </c:valAx>
      <c:valAx>
        <c:axId val="-1565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792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Dispercion modelo</a:t>
            </a:r>
            <a:r>
              <a:rPr lang="es-CO" baseline="0"/>
              <a:t> potencial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Potencial'!$A$4:$A$15</c:f>
              <c:numCache>
                <c:formatCode>General</c:formatCode>
                <c:ptCount val="12"/>
                <c:pt idx="0">
                  <c:v>4.9084850188786495</c:v>
                </c:pt>
                <c:pt idx="1">
                  <c:v>4.9777236052888476</c:v>
                </c:pt>
                <c:pt idx="2">
                  <c:v>5.0827853703164498</c:v>
                </c:pt>
                <c:pt idx="3">
                  <c:v>5.1303337684950066</c:v>
                </c:pt>
                <c:pt idx="4">
                  <c:v>5.1613680022349753</c:v>
                </c:pt>
                <c:pt idx="5">
                  <c:v>5.2174839442139067</c:v>
                </c:pt>
                <c:pt idx="6">
                  <c:v>5.2504200023088936</c:v>
                </c:pt>
                <c:pt idx="7">
                  <c:v>5.3010299956639813</c:v>
                </c:pt>
                <c:pt idx="8">
                  <c:v>5.330413773349191</c:v>
                </c:pt>
                <c:pt idx="9">
                  <c:v>5.3802112417116064</c:v>
                </c:pt>
                <c:pt idx="10">
                  <c:v>5.4608978427565482</c:v>
                </c:pt>
                <c:pt idx="11">
                  <c:v>5.5118833609788744</c:v>
                </c:pt>
              </c:numCache>
            </c:numRef>
          </c:xVal>
          <c:yVal>
            <c:numRef>
              <c:f>'Modelo Potencial'!$B$4:$B$15</c:f>
              <c:numCache>
                <c:formatCode>General</c:formatCode>
                <c:ptCount val="12"/>
                <c:pt idx="0">
                  <c:v>3.823474229170301</c:v>
                </c:pt>
                <c:pt idx="1">
                  <c:v>3.8976270912904414</c:v>
                </c:pt>
                <c:pt idx="2">
                  <c:v>3.9138138523837167</c:v>
                </c:pt>
                <c:pt idx="3">
                  <c:v>3.920123326290724</c:v>
                </c:pt>
                <c:pt idx="4">
                  <c:v>3.9344984512435679</c:v>
                </c:pt>
                <c:pt idx="5">
                  <c:v>3.975431808509263</c:v>
                </c:pt>
                <c:pt idx="6">
                  <c:v>3.9934362304976116</c:v>
                </c:pt>
                <c:pt idx="7">
                  <c:v>4.012837224705172</c:v>
                </c:pt>
                <c:pt idx="8">
                  <c:v>3.9294189257142929</c:v>
                </c:pt>
                <c:pt idx="9">
                  <c:v>4.008600171761918</c:v>
                </c:pt>
                <c:pt idx="10">
                  <c:v>4.1020905255118363</c:v>
                </c:pt>
                <c:pt idx="11">
                  <c:v>4.1303337684950066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F4-4C01-91E6-627B7917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5584640"/>
        <c:axId val="-1565581920"/>
      </c:scatterChart>
      <c:valAx>
        <c:axId val="-15655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1920"/>
        <c:crosses val="autoZero"/>
        <c:crossBetween val="midCat"/>
      </c:valAx>
      <c:valAx>
        <c:axId val="-15655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Modelo Potencial VS datos originales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'Modelo Potencial'!$C$42:$C$53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Potencial'!$D$42:$D$53</c:f>
              <c:numCache>
                <c:formatCode>General</c:formatCode>
                <c:ptCount val="12"/>
                <c:pt idx="0">
                  <c:v>6660</c:v>
                </c:pt>
                <c:pt idx="1">
                  <c:v>7900</c:v>
                </c:pt>
                <c:pt idx="2">
                  <c:v>8200</c:v>
                </c:pt>
                <c:pt idx="3">
                  <c:v>8320</c:v>
                </c:pt>
                <c:pt idx="4">
                  <c:v>8600</c:v>
                </c:pt>
                <c:pt idx="5">
                  <c:v>9450</c:v>
                </c:pt>
                <c:pt idx="6">
                  <c:v>9850</c:v>
                </c:pt>
                <c:pt idx="7">
                  <c:v>10300</c:v>
                </c:pt>
                <c:pt idx="8">
                  <c:v>8500</c:v>
                </c:pt>
                <c:pt idx="9">
                  <c:v>10200</c:v>
                </c:pt>
                <c:pt idx="10">
                  <c:v>12650</c:v>
                </c:pt>
                <c:pt idx="11">
                  <c:v>13500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E8-4DA3-BAA1-2D5B344EA5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'Modelo Potencial'!$C$42:$C$53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Potencial'!$E$42:$E$53</c:f>
              <c:numCache>
                <c:formatCode>General</c:formatCode>
                <c:ptCount val="12"/>
                <c:pt idx="0">
                  <c:v>6803.0111794596114</c:v>
                </c:pt>
                <c:pt idx="1">
                  <c:v>7288.9269521354336</c:v>
                </c:pt>
                <c:pt idx="2">
                  <c:v>8093.3475193773729</c:v>
                </c:pt>
                <c:pt idx="3">
                  <c:v>8486.0259687772195</c:v>
                </c:pt>
                <c:pt idx="4">
                  <c:v>8752.5411015388108</c:v>
                </c:pt>
                <c:pt idx="5">
                  <c:v>9255.883050263843</c:v>
                </c:pt>
                <c:pt idx="6">
                  <c:v>9564.684729780929</c:v>
                </c:pt>
                <c:pt idx="7">
                  <c:v>10059.39140000815</c:v>
                </c:pt>
                <c:pt idx="8">
                  <c:v>10358.271447845169</c:v>
                </c:pt>
                <c:pt idx="9">
                  <c:v>10885.20773407671</c:v>
                </c:pt>
                <c:pt idx="10">
                  <c:v>11796.499846208275</c:v>
                </c:pt>
                <c:pt idx="11">
                  <c:v>12411.28414682433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E8-4DA3-BAA1-2D5B344E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5578656"/>
        <c:axId val="-1565580832"/>
      </c:scatterChart>
      <c:valAx>
        <c:axId val="-15655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0832"/>
        <c:crosses val="autoZero"/>
        <c:crossBetween val="midCat"/>
      </c:valAx>
      <c:valAx>
        <c:axId val="-1565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dispercion modelo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Exponencial'!$A$4:$A$15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Exponencial'!$B$4:$B$15</c:f>
              <c:numCache>
                <c:formatCode>General</c:formatCode>
                <c:ptCount val="12"/>
                <c:pt idx="0">
                  <c:v>8.8038747635344343</c:v>
                </c:pt>
                <c:pt idx="1">
                  <c:v>8.9746180384551124</c:v>
                </c:pt>
                <c:pt idx="2">
                  <c:v>9.0118894332523443</c:v>
                </c:pt>
                <c:pt idx="3">
                  <c:v>9.0264175338152537</c:v>
                </c:pt>
                <c:pt idx="4">
                  <c:v>9.0595174822415991</c:v>
                </c:pt>
                <c:pt idx="5">
                  <c:v>9.153770020487789</c:v>
                </c:pt>
                <c:pt idx="6">
                  <c:v>9.195226734166134</c:v>
                </c:pt>
                <c:pt idx="7">
                  <c:v>9.2398991742177277</c:v>
                </c:pt>
                <c:pt idx="8">
                  <c:v>9.0478214424784085</c:v>
                </c:pt>
                <c:pt idx="9">
                  <c:v>9.2301429992723616</c:v>
                </c:pt>
                <c:pt idx="10">
                  <c:v>9.4454124941556667</c:v>
                </c:pt>
                <c:pt idx="11">
                  <c:v>9.5104449644265205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1-449D-8CEB-B11F7129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5580288"/>
        <c:axId val="-1565582464"/>
      </c:scatterChart>
      <c:valAx>
        <c:axId val="-15655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2464"/>
        <c:crosses val="autoZero"/>
        <c:crossBetween val="midCat"/>
      </c:valAx>
      <c:valAx>
        <c:axId val="-1565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Modelo Exponencial</a:t>
            </a:r>
            <a:r>
              <a:rPr lang="es-CO" baseline="0"/>
              <a:t> vs Datos originales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'Modelo Exponencial'!$C$41:$C$52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Exponencial'!$D$41:$D$52</c:f>
              <c:numCache>
                <c:formatCode>General</c:formatCode>
                <c:ptCount val="12"/>
                <c:pt idx="0">
                  <c:v>6660</c:v>
                </c:pt>
                <c:pt idx="1">
                  <c:v>7900</c:v>
                </c:pt>
                <c:pt idx="2">
                  <c:v>8200</c:v>
                </c:pt>
                <c:pt idx="3">
                  <c:v>8320</c:v>
                </c:pt>
                <c:pt idx="4">
                  <c:v>8600</c:v>
                </c:pt>
                <c:pt idx="5">
                  <c:v>9450</c:v>
                </c:pt>
                <c:pt idx="6">
                  <c:v>9850</c:v>
                </c:pt>
                <c:pt idx="7">
                  <c:v>10300</c:v>
                </c:pt>
                <c:pt idx="8">
                  <c:v>8500</c:v>
                </c:pt>
                <c:pt idx="9">
                  <c:v>10200</c:v>
                </c:pt>
                <c:pt idx="10">
                  <c:v>12650</c:v>
                </c:pt>
                <c:pt idx="11">
                  <c:v>13500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BA-48A6-821B-B3F3485AB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'Modelo Exponencial'!$C$41:$C$52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Exponencial'!$E$41:$E$52</c:f>
              <c:numCache>
                <c:formatCode>General</c:formatCode>
                <c:ptCount val="12"/>
                <c:pt idx="0">
                  <c:v>7260.8231232312273</c:v>
                </c:pt>
                <c:pt idx="1">
                  <c:v>7517.378687974845</c:v>
                </c:pt>
                <c:pt idx="2">
                  <c:v>8018.1320304611381</c:v>
                </c:pt>
                <c:pt idx="3">
                  <c:v>8301.4465192388761</c:v>
                </c:pt>
                <c:pt idx="4">
                  <c:v>8509.9226155427277</c:v>
                </c:pt>
                <c:pt idx="5">
                  <c:v>8942.712810115685</c:v>
                </c:pt>
                <c:pt idx="6">
                  <c:v>9235.7606906906258</c:v>
                </c:pt>
                <c:pt idx="7">
                  <c:v>9753.7296003688007</c:v>
                </c:pt>
                <c:pt idx="8">
                  <c:v>10098.370085821853</c:v>
                </c:pt>
                <c:pt idx="9">
                  <c:v>10771.050388894513</c:v>
                </c:pt>
                <c:pt idx="10">
                  <c:v>12162.981787478995</c:v>
                </c:pt>
                <c:pt idx="11">
                  <c:v>13298.99025652312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BA-48A6-821B-B3F3485A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405040"/>
        <c:axId val="-1564404496"/>
      </c:scatterChart>
      <c:valAx>
        <c:axId val="-15644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4404496"/>
        <c:crosses val="autoZero"/>
        <c:crossBetween val="midCat"/>
      </c:valAx>
      <c:valAx>
        <c:axId val="-15644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44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Modelo Cuadratico</a:t>
            </a:r>
            <a:r>
              <a:rPr lang="es-CO" baseline="0"/>
              <a:t> vs Datos originales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'Modelo Cuadratico'!$A$34:$A$45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Cuadratico'!$B$34:$B$45</c:f>
              <c:numCache>
                <c:formatCode>General</c:formatCode>
                <c:ptCount val="12"/>
                <c:pt idx="0">
                  <c:v>6660</c:v>
                </c:pt>
                <c:pt idx="1">
                  <c:v>7900</c:v>
                </c:pt>
                <c:pt idx="2">
                  <c:v>8200</c:v>
                </c:pt>
                <c:pt idx="3">
                  <c:v>8320</c:v>
                </c:pt>
                <c:pt idx="4">
                  <c:v>8600</c:v>
                </c:pt>
                <c:pt idx="5">
                  <c:v>9450</c:v>
                </c:pt>
                <c:pt idx="6">
                  <c:v>9850</c:v>
                </c:pt>
                <c:pt idx="7">
                  <c:v>10300</c:v>
                </c:pt>
                <c:pt idx="8">
                  <c:v>8500</c:v>
                </c:pt>
                <c:pt idx="9">
                  <c:v>10200</c:v>
                </c:pt>
                <c:pt idx="10">
                  <c:v>12650</c:v>
                </c:pt>
                <c:pt idx="11">
                  <c:v>13500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EE-47C3-9DD6-DC4750177F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'Modelo Cuadratico'!$A$34:$A$45</c:f>
              <c:numCache>
                <c:formatCode>General</c:formatCode>
                <c:ptCount val="12"/>
                <c:pt idx="0">
                  <c:v>81000</c:v>
                </c:pt>
                <c:pt idx="1">
                  <c:v>95000</c:v>
                </c:pt>
                <c:pt idx="2">
                  <c:v>121000</c:v>
                </c:pt>
                <c:pt idx="3">
                  <c:v>135000</c:v>
                </c:pt>
                <c:pt idx="4">
                  <c:v>145000</c:v>
                </c:pt>
                <c:pt idx="5">
                  <c:v>165000</c:v>
                </c:pt>
                <c:pt idx="6">
                  <c:v>178000</c:v>
                </c:pt>
                <c:pt idx="7">
                  <c:v>200000</c:v>
                </c:pt>
                <c:pt idx="8">
                  <c:v>214000</c:v>
                </c:pt>
                <c:pt idx="9">
                  <c:v>240000</c:v>
                </c:pt>
                <c:pt idx="10">
                  <c:v>289000</c:v>
                </c:pt>
                <c:pt idx="11">
                  <c:v>325000</c:v>
                </c:pt>
              </c:numCache>
            </c:numRef>
          </c:xVal>
          <c:yVal>
            <c:numRef>
              <c:f>'Modelo Cuadratico'!$C$34:$C$45</c:f>
              <c:numCache>
                <c:formatCode>0.0000000E+00</c:formatCode>
                <c:ptCount val="12"/>
                <c:pt idx="0">
                  <c:v>7345.8710664479995</c:v>
                </c:pt>
                <c:pt idx="1">
                  <c:v>7572.3524372000002</c:v>
                </c:pt>
                <c:pt idx="2">
                  <c:v>8031.9685678879996</c:v>
                </c:pt>
                <c:pt idx="3">
                  <c:v>8300.4584147999994</c:v>
                </c:pt>
                <c:pt idx="4">
                  <c:v>8501.2386932000009</c:v>
                </c:pt>
                <c:pt idx="5">
                  <c:v>8925.3037908000006</c:v>
                </c:pt>
                <c:pt idx="6">
                  <c:v>9217.0368509119999</c:v>
                </c:pt>
                <c:pt idx="7">
                  <c:v>9739.6197800000009</c:v>
                </c:pt>
                <c:pt idx="8">
                  <c:v>10091.076367328</c:v>
                </c:pt>
                <c:pt idx="9">
                  <c:v>10782.7893288</c:v>
                </c:pt>
                <c:pt idx="10">
                  <c:v>12224.242530128</c:v>
                </c:pt>
                <c:pt idx="11">
                  <c:v>13398.042530000001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EE-47C3-9DD6-DC475017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410480"/>
        <c:axId val="-1564400688"/>
      </c:scatterChart>
      <c:valAx>
        <c:axId val="-15644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4400688"/>
        <c:crosses val="autoZero"/>
        <c:crossBetween val="midCat"/>
      </c:valAx>
      <c:valAx>
        <c:axId val="-15644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441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20782</xdr:colOff>
      <xdr:row>14</xdr:row>
      <xdr:rowOff>189634</xdr:rowOff>
    </xdr:from>
    <xdr:to>
      <xdr:col>9</xdr:col>
      <xdr:colOff>0</xdr:colOff>
      <xdr:row>35</xdr:row>
      <xdr:rowOff>25978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593B4A-AD83-4D43-9B7B-CA2CC175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185737</xdr:rowOff>
    </xdr:from>
    <xdr:to>
      <xdr:col>10</xdr:col>
      <xdr:colOff>28574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51E2C3F-D14D-4834-9D33-C328F37B3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148825</xdr:colOff>
      <xdr:row>41</xdr:row>
      <xdr:rowOff>110726</xdr:rowOff>
    </xdr:from>
    <xdr:to>
      <xdr:col>9</xdr:col>
      <xdr:colOff>881062</xdr:colOff>
      <xdr:row>56</xdr:row>
      <xdr:rowOff>83342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744A2C9-B56D-416E-B312-34A704864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14286</xdr:rowOff>
    </xdr:from>
    <xdr:to>
      <xdr:col>10</xdr:col>
      <xdr:colOff>361950</xdr:colOff>
      <xdr:row>17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014FD9A-C362-47CC-8F7D-BE3D04C8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38</xdr:row>
      <xdr:rowOff>204786</xdr:rowOff>
    </xdr:from>
    <xdr:to>
      <xdr:col>9</xdr:col>
      <xdr:colOff>714375</xdr:colOff>
      <xdr:row>53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16498939-34EE-46CF-8AF6-49C3BC43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33</xdr:row>
      <xdr:rowOff>4761</xdr:rowOff>
    </xdr:from>
    <xdr:to>
      <xdr:col>9</xdr:col>
      <xdr:colOff>400050</xdr:colOff>
      <xdr:row>48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DCB7AF3-5DFB-4F13-B2DC-A6B3B7D46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C1" zoomScale="130" zoomScaleNormal="130" workbookViewId="0">
      <selection activeCell="H4" sqref="H4"/>
    </sheetView>
  </sheetViews>
  <sheetFormatPr baseColWidth="10" defaultRowHeight="15" x14ac:dyDescent="0.25"/>
  <cols>
    <col min="4" max="4" width="15.7109375" customWidth="1"/>
    <col min="5" max="5" width="14.140625" customWidth="1"/>
    <col min="6" max="6" width="14.28515625" customWidth="1"/>
    <col min="7" max="7" width="21.140625" customWidth="1"/>
    <col min="8" max="8" width="23.28515625" bestFit="1" customWidth="1"/>
    <col min="9" max="9" width="13.42578125" customWidth="1"/>
    <col min="10" max="10" width="22.85546875" bestFit="1" customWidth="1"/>
  </cols>
  <sheetData>
    <row r="1" spans="1:11" x14ac:dyDescent="0.25">
      <c r="B1" t="s">
        <v>26</v>
      </c>
    </row>
    <row r="2" spans="1:11" x14ac:dyDescent="0.25">
      <c r="B2" s="19" t="s">
        <v>10</v>
      </c>
      <c r="C2" s="19" t="s">
        <v>11</v>
      </c>
      <c r="D2" s="17" t="s">
        <v>12</v>
      </c>
      <c r="E2" s="17" t="s">
        <v>13</v>
      </c>
      <c r="F2" s="17" t="s">
        <v>20</v>
      </c>
      <c r="G2" s="17" t="s">
        <v>48</v>
      </c>
      <c r="H2" s="17" t="s">
        <v>16</v>
      </c>
      <c r="I2" s="46" t="s">
        <v>47</v>
      </c>
      <c r="J2" s="47"/>
      <c r="K2" s="48"/>
    </row>
    <row r="3" spans="1:11" x14ac:dyDescent="0.25">
      <c r="B3" s="31">
        <f t="shared" ref="B3:C12" si="0">B17</f>
        <v>7.5</v>
      </c>
      <c r="C3" s="31">
        <f t="shared" si="0"/>
        <v>450</v>
      </c>
      <c r="D3" s="36">
        <f>B3*C3</f>
        <v>3375</v>
      </c>
      <c r="E3" s="26">
        <f>POWER(B3,2)</f>
        <v>56.25</v>
      </c>
      <c r="F3" s="30">
        <f>POWER((C3-C14),2)</f>
        <v>14884</v>
      </c>
      <c r="G3" s="38">
        <f>C14*B13</f>
        <v>51824</v>
      </c>
      <c r="H3" s="28">
        <f>D13-G3</f>
        <v>-4404</v>
      </c>
      <c r="I3" s="49" t="s">
        <v>24</v>
      </c>
      <c r="J3" s="50"/>
      <c r="K3" s="51"/>
    </row>
    <row r="4" spans="1:11" x14ac:dyDescent="0.25">
      <c r="B4" s="33">
        <f t="shared" si="0"/>
        <v>9</v>
      </c>
      <c r="C4" s="33">
        <f t="shared" si="0"/>
        <v>425</v>
      </c>
      <c r="D4" s="36">
        <f t="shared" ref="D4:D12" si="1">B4*C4</f>
        <v>3825</v>
      </c>
      <c r="E4" s="26">
        <f>POWER(B4,2)</f>
        <v>81</v>
      </c>
      <c r="F4" s="23">
        <f>POWER((C4-C14),2)</f>
        <v>9409</v>
      </c>
      <c r="G4" s="39" t="s">
        <v>1</v>
      </c>
      <c r="H4" s="28">
        <f>H3/J5</f>
        <v>-11.819645732689214</v>
      </c>
      <c r="I4" s="25" t="s">
        <v>17</v>
      </c>
      <c r="J4" s="42" t="s">
        <v>18</v>
      </c>
      <c r="K4" s="43"/>
    </row>
    <row r="5" spans="1:11" x14ac:dyDescent="0.25">
      <c r="B5" s="33">
        <f t="shared" si="0"/>
        <v>10.5</v>
      </c>
      <c r="C5" s="33">
        <f t="shared" si="0"/>
        <v>400</v>
      </c>
      <c r="D5" s="36">
        <f t="shared" si="1"/>
        <v>4200</v>
      </c>
      <c r="E5" s="26">
        <f t="shared" ref="E5:E12" si="2">POWER(B5,2)</f>
        <v>110.25</v>
      </c>
      <c r="F5" s="23">
        <f>POWER((C5-C14),2)</f>
        <v>5184</v>
      </c>
      <c r="G5" s="39" t="s">
        <v>0</v>
      </c>
      <c r="H5" s="28">
        <f>C14-(H4*B14)</f>
        <v>514.75040257648959</v>
      </c>
      <c r="I5" s="27">
        <f>B14*B13</f>
        <v>2496.4</v>
      </c>
      <c r="J5" s="44">
        <f>E13-I5</f>
        <v>372.59999999999991</v>
      </c>
      <c r="K5" s="45"/>
    </row>
    <row r="6" spans="1:11" x14ac:dyDescent="0.25">
      <c r="B6" s="33">
        <f t="shared" si="0"/>
        <v>12</v>
      </c>
      <c r="C6" s="33">
        <f t="shared" si="0"/>
        <v>350</v>
      </c>
      <c r="D6" s="36">
        <f t="shared" si="1"/>
        <v>4200</v>
      </c>
      <c r="E6" s="26">
        <f t="shared" si="2"/>
        <v>144</v>
      </c>
      <c r="F6" s="23">
        <f>POWER((C6-C14),2)</f>
        <v>484</v>
      </c>
      <c r="G6" s="22"/>
      <c r="H6" s="16"/>
      <c r="I6" s="2"/>
      <c r="J6" s="2"/>
      <c r="K6" s="2"/>
    </row>
    <row r="7" spans="1:11" x14ac:dyDescent="0.25">
      <c r="B7" s="33">
        <f t="shared" si="0"/>
        <v>14</v>
      </c>
      <c r="C7" s="33">
        <f t="shared" si="0"/>
        <v>325</v>
      </c>
      <c r="D7" s="36">
        <f t="shared" si="1"/>
        <v>4550</v>
      </c>
      <c r="E7" s="26">
        <f t="shared" si="2"/>
        <v>196</v>
      </c>
      <c r="F7" s="23">
        <f>POWER((C7-C14),2)</f>
        <v>9</v>
      </c>
      <c r="G7" s="47" t="s">
        <v>63</v>
      </c>
      <c r="H7" s="48"/>
      <c r="I7" s="2"/>
      <c r="J7" s="18" t="s">
        <v>22</v>
      </c>
      <c r="K7" s="2"/>
    </row>
    <row r="8" spans="1:11" x14ac:dyDescent="0.25">
      <c r="B8" s="33">
        <f t="shared" si="0"/>
        <v>16</v>
      </c>
      <c r="C8" s="33">
        <f t="shared" si="0"/>
        <v>300</v>
      </c>
      <c r="D8" s="36">
        <f t="shared" si="1"/>
        <v>4800</v>
      </c>
      <c r="E8" s="26">
        <f t="shared" si="2"/>
        <v>256</v>
      </c>
      <c r="F8" s="23">
        <f>POWER((C8-C14),2)</f>
        <v>784</v>
      </c>
      <c r="G8" s="39" t="s">
        <v>21</v>
      </c>
      <c r="H8" s="28">
        <f>SQRT(H12/10)</f>
        <v>18.591073646340902</v>
      </c>
      <c r="I8" s="2"/>
      <c r="J8" s="23">
        <f>POWER((C3-H5-(H4*B3)),2)</f>
        <v>571.06376137391828</v>
      </c>
      <c r="K8" s="2"/>
    </row>
    <row r="9" spans="1:11" x14ac:dyDescent="0.25">
      <c r="B9" s="33">
        <f t="shared" si="0"/>
        <v>18</v>
      </c>
      <c r="C9" s="33">
        <f t="shared" si="0"/>
        <v>290</v>
      </c>
      <c r="D9" s="36">
        <f t="shared" si="1"/>
        <v>5220</v>
      </c>
      <c r="E9" s="26">
        <f t="shared" si="2"/>
        <v>324</v>
      </c>
      <c r="F9" s="23">
        <f>POWER((C9-C14),2)</f>
        <v>1444</v>
      </c>
      <c r="G9" s="39" t="s">
        <v>19</v>
      </c>
      <c r="H9" s="28">
        <f>SQRT(F13/9)</f>
        <v>78.535200883284034</v>
      </c>
      <c r="I9" s="2"/>
      <c r="J9" s="23">
        <f>POWER((C4-H5-(H4*B4)),2)</f>
        <v>276.4374768242991</v>
      </c>
      <c r="K9" s="2"/>
    </row>
    <row r="10" spans="1:11" x14ac:dyDescent="0.25">
      <c r="B10" s="33">
        <f t="shared" si="0"/>
        <v>20.5</v>
      </c>
      <c r="C10" s="33">
        <f t="shared" si="0"/>
        <v>280</v>
      </c>
      <c r="D10" s="36">
        <f t="shared" si="1"/>
        <v>5740</v>
      </c>
      <c r="E10" s="26">
        <f t="shared" si="2"/>
        <v>420.25</v>
      </c>
      <c r="F10" s="23">
        <f>POWER((C10-C14),2)</f>
        <v>2304</v>
      </c>
      <c r="G10" s="39" t="s">
        <v>31</v>
      </c>
      <c r="H10" s="28">
        <v>42694091.670000002</v>
      </c>
      <c r="I10" s="2"/>
      <c r="J10" s="23">
        <f>POWER((C5-H5-(H4*B5)),2)</f>
        <v>87.532445979550346</v>
      </c>
      <c r="K10" s="2"/>
    </row>
    <row r="11" spans="1:11" x14ac:dyDescent="0.25">
      <c r="B11" s="33">
        <f t="shared" si="0"/>
        <v>23.5</v>
      </c>
      <c r="C11" s="33">
        <f t="shared" si="0"/>
        <v>260</v>
      </c>
      <c r="D11" s="36">
        <f t="shared" si="1"/>
        <v>6110</v>
      </c>
      <c r="E11" s="26">
        <f t="shared" si="2"/>
        <v>552.25</v>
      </c>
      <c r="F11" s="23">
        <f>POWER((C11-C14),2)</f>
        <v>4624</v>
      </c>
      <c r="G11" s="39" t="s">
        <v>23</v>
      </c>
      <c r="H11" s="28">
        <f>(F13-H12)/F13</f>
        <v>0.93773589995970608</v>
      </c>
      <c r="I11" s="2"/>
      <c r="J11" s="23">
        <f>POWER((C6-H5-(H4*B6)),2)</f>
        <v>525.08135805062273</v>
      </c>
      <c r="K11" s="2"/>
    </row>
    <row r="12" spans="1:11" x14ac:dyDescent="0.25">
      <c r="B12" s="34">
        <f t="shared" si="0"/>
        <v>27</v>
      </c>
      <c r="C12" s="34">
        <f t="shared" si="0"/>
        <v>200</v>
      </c>
      <c r="D12" s="37">
        <f t="shared" si="1"/>
        <v>5400</v>
      </c>
      <c r="E12" s="27">
        <f t="shared" si="2"/>
        <v>729</v>
      </c>
      <c r="F12" s="27">
        <f>POWER((C12-C14),2)</f>
        <v>16384</v>
      </c>
      <c r="G12" s="39" t="s">
        <v>25</v>
      </c>
      <c r="H12" s="28">
        <f>SUM(J8:J17)</f>
        <v>3456.2801932367124</v>
      </c>
      <c r="I12" s="2"/>
      <c r="J12" s="23">
        <f>POWER((C7-H5-(H4*B7)),2)</f>
        <v>589.29321571098569</v>
      </c>
      <c r="K12" s="2"/>
    </row>
    <row r="13" spans="1:11" x14ac:dyDescent="0.25">
      <c r="A13" s="20" t="s">
        <v>14</v>
      </c>
      <c r="B13" s="24">
        <f>SUM(B3:B12)</f>
        <v>158</v>
      </c>
      <c r="C13" s="37">
        <f>SUM(C3:C12)</f>
        <v>3280</v>
      </c>
      <c r="D13" s="28">
        <f>SUM(D3:D12)</f>
        <v>47420</v>
      </c>
      <c r="E13" s="28">
        <f>SUM(E3:E12)</f>
        <v>2869</v>
      </c>
      <c r="F13" s="28">
        <f>SUM(F3:F12)</f>
        <v>55510</v>
      </c>
      <c r="G13" s="2"/>
      <c r="H13" s="2"/>
      <c r="I13" s="2"/>
      <c r="J13" s="23">
        <f>POWER((C8-H5-(H4*B8)),2)</f>
        <v>657.20812880373273</v>
      </c>
      <c r="K13" s="2"/>
    </row>
    <row r="14" spans="1:11" x14ac:dyDescent="0.25">
      <c r="A14" s="21" t="s">
        <v>15</v>
      </c>
      <c r="B14" s="24">
        <f>AVERAGE(B3:B12)</f>
        <v>15.8</v>
      </c>
      <c r="C14" s="29">
        <f>AVERAGE(C3:C12)</f>
        <v>328</v>
      </c>
      <c r="D14" s="29">
        <f>AVERAGE(D3:D12)</f>
        <v>4742</v>
      </c>
      <c r="E14" s="29">
        <f>AVERAGE(E3:E12)</f>
        <v>286.89999999999998</v>
      </c>
      <c r="F14" s="29">
        <f>AVERAGE(F3:F12)</f>
        <v>5551</v>
      </c>
      <c r="G14" s="2"/>
      <c r="H14" s="2"/>
      <c r="I14" s="2"/>
      <c r="J14" s="23">
        <f>POWER((C9-H5-(H4*B9)),2)</f>
        <v>143.92271568635115</v>
      </c>
      <c r="K14" s="2"/>
    </row>
    <row r="15" spans="1:11" x14ac:dyDescent="0.25">
      <c r="G15" s="2"/>
      <c r="H15" s="2"/>
      <c r="I15" s="2"/>
      <c r="J15" s="23">
        <f>POWER((C10-H5-(H4*B10)),2)</f>
        <v>57.03776310091515</v>
      </c>
      <c r="K15" s="2"/>
    </row>
    <row r="16" spans="1:11" x14ac:dyDescent="0.25">
      <c r="B16" s="19" t="s">
        <v>45</v>
      </c>
      <c r="C16" s="18" t="s">
        <v>46</v>
      </c>
      <c r="G16" s="2"/>
      <c r="H16" s="2"/>
      <c r="I16" s="2"/>
      <c r="J16" s="23">
        <f>POWER((C11-H5-(H4*B11)),2)</f>
        <v>529.51864557969657</v>
      </c>
      <c r="K16" s="2"/>
    </row>
    <row r="17" spans="2:10" x14ac:dyDescent="0.25">
      <c r="B17" s="31">
        <v>7.5</v>
      </c>
      <c r="C17" s="32">
        <v>450</v>
      </c>
      <c r="J17" s="24">
        <f>POWER((C12-H5-(H4*B12)),2)</f>
        <v>19.184682126641022</v>
      </c>
    </row>
    <row r="18" spans="2:10" x14ac:dyDescent="0.25">
      <c r="B18" s="33">
        <v>9</v>
      </c>
      <c r="C18" s="32">
        <v>425</v>
      </c>
    </row>
    <row r="19" spans="2:10" x14ac:dyDescent="0.25">
      <c r="B19" s="33">
        <v>10.5</v>
      </c>
      <c r="C19" s="32">
        <v>400</v>
      </c>
      <c r="J19" s="40" t="s">
        <v>66</v>
      </c>
    </row>
    <row r="20" spans="2:10" x14ac:dyDescent="0.25">
      <c r="B20" s="33">
        <v>12</v>
      </c>
      <c r="C20" s="32">
        <v>350</v>
      </c>
      <c r="I20" t="s">
        <v>67</v>
      </c>
      <c r="J20" s="41" t="s">
        <v>68</v>
      </c>
    </row>
    <row r="21" spans="2:10" x14ac:dyDescent="0.25">
      <c r="B21" s="33">
        <v>14</v>
      </c>
      <c r="C21" s="32">
        <v>325</v>
      </c>
    </row>
    <row r="22" spans="2:10" x14ac:dyDescent="0.25">
      <c r="B22" s="33">
        <v>16</v>
      </c>
      <c r="C22" s="32">
        <v>300</v>
      </c>
    </row>
    <row r="23" spans="2:10" x14ac:dyDescent="0.25">
      <c r="B23" s="33">
        <v>18</v>
      </c>
      <c r="C23" s="32">
        <v>290</v>
      </c>
    </row>
    <row r="24" spans="2:10" x14ac:dyDescent="0.25">
      <c r="B24" s="33">
        <v>20.5</v>
      </c>
      <c r="C24" s="32">
        <v>280</v>
      </c>
    </row>
    <row r="25" spans="2:10" x14ac:dyDescent="0.25">
      <c r="B25" s="33">
        <v>23.5</v>
      </c>
      <c r="C25" s="32">
        <v>260</v>
      </c>
    </row>
    <row r="26" spans="2:10" x14ac:dyDescent="0.25">
      <c r="B26" s="34">
        <v>27</v>
      </c>
      <c r="C26" s="35">
        <v>200</v>
      </c>
    </row>
    <row r="34" spans="4:10" x14ac:dyDescent="0.25">
      <c r="J34" s="16"/>
    </row>
    <row r="35" spans="4:10" x14ac:dyDescent="0.25">
      <c r="J35" s="16"/>
    </row>
    <row r="36" spans="4:10" x14ac:dyDescent="0.25">
      <c r="E36" s="2"/>
      <c r="F36" s="2"/>
      <c r="G36" s="6"/>
      <c r="H36" s="2"/>
      <c r="I36" s="2"/>
    </row>
    <row r="37" spans="4:10" ht="15.75" thickBot="1" x14ac:dyDescent="0.3">
      <c r="D37" s="2"/>
      <c r="E37" s="2"/>
      <c r="F37" s="2"/>
      <c r="G37" s="2"/>
      <c r="H37" s="2"/>
      <c r="I37" s="2"/>
    </row>
    <row r="38" spans="4:10" ht="16.5" thickTop="1" thickBot="1" x14ac:dyDescent="0.3">
      <c r="E38" s="3"/>
      <c r="I38" s="2"/>
    </row>
    <row r="39" spans="4:10" ht="15.75" thickTop="1" x14ac:dyDescent="0.25">
      <c r="E39" s="2"/>
      <c r="F39" s="2"/>
      <c r="I39" s="2"/>
    </row>
    <row r="40" spans="4:10" x14ac:dyDescent="0.25">
      <c r="E40" s="2"/>
      <c r="F40" s="2"/>
      <c r="I40" s="2"/>
    </row>
    <row r="41" spans="4:10" x14ac:dyDescent="0.25">
      <c r="E41" s="2"/>
      <c r="F41" s="2"/>
      <c r="I41" s="2"/>
    </row>
    <row r="42" spans="4:10" x14ac:dyDescent="0.25">
      <c r="E42" s="2"/>
      <c r="F42" s="2"/>
      <c r="I42" s="2"/>
    </row>
    <row r="43" spans="4:10" x14ac:dyDescent="0.25">
      <c r="G43" s="2"/>
      <c r="H43" s="2"/>
      <c r="I43" s="2"/>
    </row>
    <row r="44" spans="4:10" x14ac:dyDescent="0.25">
      <c r="G44" s="2"/>
      <c r="H44" s="2"/>
      <c r="I44" s="2"/>
    </row>
    <row r="45" spans="4:10" x14ac:dyDescent="0.25">
      <c r="E45" s="2"/>
      <c r="F45" s="2"/>
      <c r="G45" s="2"/>
      <c r="H45" s="2"/>
      <c r="I45" s="2"/>
    </row>
    <row r="46" spans="4:10" x14ac:dyDescent="0.25">
      <c r="E46" s="2"/>
      <c r="F46" s="2"/>
      <c r="G46" s="2"/>
      <c r="H46" s="2"/>
      <c r="I46" s="2"/>
    </row>
    <row r="47" spans="4:10" x14ac:dyDescent="0.25">
      <c r="E47" s="2"/>
      <c r="F47" s="2"/>
      <c r="G47" s="2"/>
      <c r="H47" s="2"/>
      <c r="I47" s="2"/>
    </row>
    <row r="48" spans="4:10" x14ac:dyDescent="0.25">
      <c r="E48" s="2"/>
      <c r="F48" s="2"/>
      <c r="G48" s="2"/>
      <c r="H48" s="2"/>
      <c r="I48" s="2"/>
    </row>
    <row r="49" spans="5:8" x14ac:dyDescent="0.25">
      <c r="E49" s="2"/>
      <c r="F49" s="2"/>
      <c r="G49" s="2"/>
      <c r="H49" s="2"/>
    </row>
  </sheetData>
  <mergeCells count="5">
    <mergeCell ref="J4:K4"/>
    <mergeCell ref="J5:K5"/>
    <mergeCell ref="I2:K2"/>
    <mergeCell ref="I3:K3"/>
    <mergeCell ref="G7:H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C16" zoomScale="90" zoomScaleNormal="90" workbookViewId="0">
      <selection activeCell="H36" sqref="H36"/>
    </sheetView>
  </sheetViews>
  <sheetFormatPr baseColWidth="10" defaultRowHeight="15" x14ac:dyDescent="0.25"/>
  <cols>
    <col min="2" max="2" width="13.85546875" customWidth="1"/>
    <col min="3" max="3" width="22.85546875" bestFit="1" customWidth="1"/>
    <col min="4" max="4" width="22.42578125" bestFit="1" customWidth="1"/>
    <col min="5" max="5" width="23.42578125" bestFit="1" customWidth="1"/>
    <col min="6" max="6" width="18.7109375" bestFit="1" customWidth="1"/>
    <col min="7" max="7" width="11.42578125" customWidth="1"/>
    <col min="8" max="8" width="23.85546875" customWidth="1"/>
    <col min="9" max="9" width="24.140625" customWidth="1"/>
    <col min="10" max="10" width="13.5703125" customWidth="1"/>
    <col min="11" max="11" width="22.140625" customWidth="1"/>
    <col min="12" max="12" width="6.28515625" customWidth="1"/>
  </cols>
  <sheetData>
    <row r="2" spans="1:2" ht="15.75" thickBot="1" x14ac:dyDescent="0.3"/>
    <row r="3" spans="1:2" ht="16.5" thickTop="1" thickBot="1" x14ac:dyDescent="0.3">
      <c r="A3" s="7" t="s">
        <v>45</v>
      </c>
      <c r="B3" s="7" t="s">
        <v>46</v>
      </c>
    </row>
    <row r="4" spans="1:2" ht="16.5" thickTop="1" thickBot="1" x14ac:dyDescent="0.3">
      <c r="A4" s="7">
        <f>LOG10(81000)</f>
        <v>4.9084850188786495</v>
      </c>
      <c r="B4" s="7">
        <f>LOG10(6660)</f>
        <v>3.823474229170301</v>
      </c>
    </row>
    <row r="5" spans="1:2" ht="16.5" thickTop="1" thickBot="1" x14ac:dyDescent="0.3">
      <c r="A5" s="7">
        <f>LOG10(95000)</f>
        <v>4.9777236052888476</v>
      </c>
      <c r="B5" s="7">
        <f>LOG10(7900)</f>
        <v>3.8976270912904414</v>
      </c>
    </row>
    <row r="6" spans="1:2" ht="16.5" thickTop="1" thickBot="1" x14ac:dyDescent="0.3">
      <c r="A6" s="7">
        <f>LOG10(121000)</f>
        <v>5.0827853703164498</v>
      </c>
      <c r="B6" s="7">
        <f>LOG10(8200)</f>
        <v>3.9138138523837167</v>
      </c>
    </row>
    <row r="7" spans="1:2" ht="16.5" thickTop="1" thickBot="1" x14ac:dyDescent="0.3">
      <c r="A7" s="7">
        <f>LOG10(135000)</f>
        <v>5.1303337684950066</v>
      </c>
      <c r="B7" s="7">
        <f>LOG10(8320)</f>
        <v>3.920123326290724</v>
      </c>
    </row>
    <row r="8" spans="1:2" ht="16.5" thickTop="1" thickBot="1" x14ac:dyDescent="0.3">
      <c r="A8" s="7">
        <f>LOG10(145000)</f>
        <v>5.1613680022349753</v>
      </c>
      <c r="B8" s="7">
        <f>LOG10(8600)</f>
        <v>3.9344984512435679</v>
      </c>
    </row>
    <row r="9" spans="1:2" ht="16.5" thickTop="1" thickBot="1" x14ac:dyDescent="0.3">
      <c r="A9" s="7">
        <f>LOG10(165000)</f>
        <v>5.2174839442139067</v>
      </c>
      <c r="B9" s="7">
        <f>LOG10(9450)</f>
        <v>3.975431808509263</v>
      </c>
    </row>
    <row r="10" spans="1:2" ht="16.5" thickTop="1" thickBot="1" x14ac:dyDescent="0.3">
      <c r="A10" s="7">
        <f>LOG10(178000)</f>
        <v>5.2504200023088936</v>
      </c>
      <c r="B10" s="7">
        <f>LOG10(9850)</f>
        <v>3.9934362304976116</v>
      </c>
    </row>
    <row r="11" spans="1:2" ht="16.5" thickTop="1" thickBot="1" x14ac:dyDescent="0.3">
      <c r="A11" s="7">
        <f>LOG10(200000)</f>
        <v>5.3010299956639813</v>
      </c>
      <c r="B11" s="7">
        <f>LOG10(10300)</f>
        <v>4.012837224705172</v>
      </c>
    </row>
    <row r="12" spans="1:2" ht="16.5" thickTop="1" thickBot="1" x14ac:dyDescent="0.3">
      <c r="A12" s="7">
        <f>LOG10(214000)</f>
        <v>5.330413773349191</v>
      </c>
      <c r="B12" s="7">
        <f>LOG10(8500)</f>
        <v>3.9294189257142929</v>
      </c>
    </row>
    <row r="13" spans="1:2" ht="16.5" thickTop="1" thickBot="1" x14ac:dyDescent="0.3">
      <c r="A13" s="7">
        <f>LOG10(240000)</f>
        <v>5.3802112417116064</v>
      </c>
      <c r="B13" s="7">
        <f>LOG10(10200)</f>
        <v>4.008600171761918</v>
      </c>
    </row>
    <row r="14" spans="1:2" ht="16.5" thickTop="1" thickBot="1" x14ac:dyDescent="0.3">
      <c r="A14" s="7">
        <f>LOG10(289000)</f>
        <v>5.4608978427565482</v>
      </c>
      <c r="B14" s="7">
        <f>LOG10(12650)</f>
        <v>4.1020905255118363</v>
      </c>
    </row>
    <row r="15" spans="1:2" ht="16.5" thickTop="1" thickBot="1" x14ac:dyDescent="0.3">
      <c r="A15" s="7">
        <f>LOG10(325000)</f>
        <v>5.5118833609788744</v>
      </c>
      <c r="B15" s="7">
        <f>LOG10(13500)</f>
        <v>4.1303337684950066</v>
      </c>
    </row>
    <row r="16" spans="1:2" ht="15.75" thickTop="1" x14ac:dyDescent="0.25"/>
    <row r="20" spans="2:12" x14ac:dyDescent="0.25">
      <c r="B20" t="s">
        <v>27</v>
      </c>
    </row>
    <row r="21" spans="2:12" ht="15.75" thickBot="1" x14ac:dyDescent="0.3"/>
    <row r="22" spans="2:12" ht="16.5" thickTop="1" thickBot="1" x14ac:dyDescent="0.3">
      <c r="B22" s="3" t="s">
        <v>10</v>
      </c>
      <c r="C22" s="3" t="s">
        <v>11</v>
      </c>
      <c r="D22" s="3" t="s">
        <v>12</v>
      </c>
      <c r="E22" s="3" t="s">
        <v>13</v>
      </c>
      <c r="F22" s="3" t="s">
        <v>20</v>
      </c>
      <c r="H22" s="3" t="s">
        <v>48</v>
      </c>
      <c r="I22" s="3" t="s">
        <v>16</v>
      </c>
      <c r="J22" s="54" t="s">
        <v>47</v>
      </c>
      <c r="K22" s="54"/>
      <c r="L22" s="54"/>
    </row>
    <row r="23" spans="2:12" ht="16.5" thickTop="1" thickBot="1" x14ac:dyDescent="0.3">
      <c r="B23" s="3">
        <f>LOG10(81000)</f>
        <v>4.9084850188786495</v>
      </c>
      <c r="C23" s="3">
        <f>LOG10(6660)</f>
        <v>3.823474229170301</v>
      </c>
      <c r="D23" s="3">
        <f>B23*C23</f>
        <v>18.767465973951015</v>
      </c>
      <c r="E23" s="3">
        <f>POWER(B23,2)</f>
        <v>24.093225180556136</v>
      </c>
      <c r="F23" s="3">
        <f>POWER((C23-C35),2)</f>
        <v>2.1510985357589552E-2</v>
      </c>
      <c r="H23" s="3">
        <f>C35*B35</f>
        <v>248.97956174724436</v>
      </c>
      <c r="I23" s="3">
        <f>D35-H23</f>
        <v>0.1619252198867116</v>
      </c>
      <c r="J23" s="54" t="s">
        <v>36</v>
      </c>
      <c r="K23" s="54"/>
      <c r="L23" s="54"/>
    </row>
    <row r="24" spans="2:12" ht="16.5" thickTop="1" thickBot="1" x14ac:dyDescent="0.3">
      <c r="B24" s="3">
        <f>LOG10(95000)</f>
        <v>4.9777236052888476</v>
      </c>
      <c r="C24" s="3">
        <f>LOG10(7900)</f>
        <v>3.8976270912904414</v>
      </c>
      <c r="D24" s="3">
        <f>B24*C24</f>
        <v>19.401310376929739</v>
      </c>
      <c r="E24" s="3">
        <f>POWER(B24,2)</f>
        <v>24.777732290649801</v>
      </c>
      <c r="F24" s="3">
        <f>POWER((C24-C35),2)</f>
        <v>5.2581896758164418E-3</v>
      </c>
      <c r="H24" s="3" t="s">
        <v>1</v>
      </c>
      <c r="I24" s="3">
        <f>I23/K25</f>
        <v>0.43274155016258703</v>
      </c>
      <c r="J24" s="3" t="s">
        <v>17</v>
      </c>
      <c r="K24" s="54" t="s">
        <v>18</v>
      </c>
      <c r="L24" s="54"/>
    </row>
    <row r="25" spans="2:12" ht="16.5" thickTop="1" thickBot="1" x14ac:dyDescent="0.3">
      <c r="B25" s="3">
        <f>LOG10(121000)</f>
        <v>5.0827853703164498</v>
      </c>
      <c r="C25" s="3">
        <f>LOG10(8200)</f>
        <v>3.9138138523837167</v>
      </c>
      <c r="D25" s="3">
        <f t="shared" ref="D25:D34" si="0">B25*C25</f>
        <v>19.89307579103782</v>
      </c>
      <c r="E25" s="3">
        <f t="shared" ref="E25:E34" si="1">POWER(B25,2)</f>
        <v>25.83470712070293</v>
      </c>
      <c r="F25" s="3">
        <f>POWER((C25-C35),2)</f>
        <v>3.1726875289062183E-3</v>
      </c>
      <c r="H25" s="3" t="s">
        <v>0</v>
      </c>
      <c r="I25" s="3">
        <f>C35-(I24*B36)</f>
        <v>1.7085957686224478</v>
      </c>
      <c r="J25" s="3">
        <f>B36*B35</f>
        <v>327.74373959003901</v>
      </c>
      <c r="K25" s="54">
        <f>E35-J25</f>
        <v>0.37418459083920652</v>
      </c>
      <c r="L25" s="54"/>
    </row>
    <row r="26" spans="2:12" ht="16.5" thickTop="1" thickBot="1" x14ac:dyDescent="0.3">
      <c r="B26" s="3">
        <f>LOG10(135000)</f>
        <v>5.1303337684950066</v>
      </c>
      <c r="C26" s="3">
        <f>LOG10(8320)</f>
        <v>3.920123326290724</v>
      </c>
      <c r="D26" s="3">
        <f t="shared" si="0"/>
        <v>20.11154107753427</v>
      </c>
      <c r="E26" s="3">
        <f t="shared" si="1"/>
        <v>26.320324576160175</v>
      </c>
      <c r="F26" s="3">
        <f>POWER((C26-C35),2)</f>
        <v>2.5017143778514068E-3</v>
      </c>
      <c r="H26" s="3" t="s">
        <v>28</v>
      </c>
      <c r="I26" s="3">
        <f>POWER(10,I25)</f>
        <v>51.120579536077749</v>
      </c>
      <c r="J26" s="54" t="s">
        <v>49</v>
      </c>
      <c r="K26" s="54"/>
      <c r="L26" s="54"/>
    </row>
    <row r="27" spans="2:12" ht="16.5" thickTop="1" thickBot="1" x14ac:dyDescent="0.3">
      <c r="B27" s="3">
        <f>LOG10(145000)</f>
        <v>5.1613680022349753</v>
      </c>
      <c r="C27" s="3">
        <f>LOG10(8600)</f>
        <v>3.9344984512435679</v>
      </c>
      <c r="D27" s="3">
        <f t="shared" si="0"/>
        <v>20.307394411091618</v>
      </c>
      <c r="E27" s="3">
        <f t="shared" si="1"/>
        <v>26.63971965449506</v>
      </c>
      <c r="F27" s="3">
        <f>POWER((C27-C35),2)</f>
        <v>1.270353296530939E-3</v>
      </c>
      <c r="H27" s="8"/>
      <c r="I27" s="9"/>
      <c r="J27" s="54" t="s">
        <v>30</v>
      </c>
      <c r="K27" s="54"/>
      <c r="L27" s="54"/>
    </row>
    <row r="28" spans="2:12" ht="16.5" thickTop="1" thickBot="1" x14ac:dyDescent="0.3">
      <c r="B28" s="3">
        <f>LOG10(165000)</f>
        <v>5.2174839442139067</v>
      </c>
      <c r="C28" s="3">
        <f>LOG10(9450)</f>
        <v>3.975431808509263</v>
      </c>
      <c r="D28" s="3">
        <f t="shared" si="0"/>
        <v>20.741751632214335</v>
      </c>
      <c r="E28" s="3">
        <f t="shared" si="1"/>
        <v>27.222138708129904</v>
      </c>
      <c r="F28" s="3">
        <f>POWER((C28-C35),2)</f>
        <v>2.799829357968897E-5</v>
      </c>
    </row>
    <row r="29" spans="2:12" ht="16.5" thickTop="1" thickBot="1" x14ac:dyDescent="0.3">
      <c r="B29" s="3">
        <f>LOG10(178000)</f>
        <v>5.2504200023088936</v>
      </c>
      <c r="C29" s="3">
        <f>LOG10(9850)</f>
        <v>3.9934362304976116</v>
      </c>
      <c r="D29" s="3">
        <f t="shared" si="0"/>
        <v>20.967217462549691</v>
      </c>
      <c r="E29" s="3">
        <f t="shared" si="1"/>
        <v>27.566910200645321</v>
      </c>
      <c r="F29" s="3">
        <f>POWER((C29-C35),2)</f>
        <v>5.42692590825991E-4</v>
      </c>
      <c r="H29" s="52" t="s">
        <v>63</v>
      </c>
      <c r="I29" s="53"/>
      <c r="K29" s="3" t="s">
        <v>22</v>
      </c>
    </row>
    <row r="30" spans="2:12" ht="16.5" thickTop="1" thickBot="1" x14ac:dyDescent="0.3">
      <c r="B30" s="3">
        <f>LOG10(200000)</f>
        <v>5.3010299956639813</v>
      </c>
      <c r="C30" s="3">
        <f>LOG10(10300)</f>
        <v>4.012837224705172</v>
      </c>
      <c r="D30" s="3">
        <f t="shared" si="0"/>
        <v>21.27217049587912</v>
      </c>
      <c r="E30" s="3">
        <f t="shared" si="1"/>
        <v>28.100919014929268</v>
      </c>
      <c r="F30" s="3">
        <f>POWER((C30-C35),2)</f>
        <v>1.823013107334466E-3</v>
      </c>
      <c r="H30" s="3" t="s">
        <v>43</v>
      </c>
      <c r="I30" s="3">
        <f>SQRT(I34/10)</f>
        <v>3.4994239652285604E-2</v>
      </c>
      <c r="K30" s="3">
        <f>POWER((C23-I25-(I24*B23)),2)</f>
        <v>8.5136707273578279E-5</v>
      </c>
    </row>
    <row r="31" spans="2:12" ht="16.5" thickTop="1" thickBot="1" x14ac:dyDescent="0.3">
      <c r="B31" s="3">
        <f>LOG10(214000)</f>
        <v>5.330413773349191</v>
      </c>
      <c r="C31" s="3">
        <f>LOG10(8500)</f>
        <v>3.9294189257142929</v>
      </c>
      <c r="D31" s="3">
        <f t="shared" si="0"/>
        <v>20.945428762886447</v>
      </c>
      <c r="E31" s="3">
        <f t="shared" si="1"/>
        <v>28.413310995110759</v>
      </c>
      <c r="F31" s="3">
        <f>POWER((C31-C35),2)</f>
        <v>1.6582439353651363E-3</v>
      </c>
      <c r="H31" s="3" t="s">
        <v>19</v>
      </c>
      <c r="I31" s="3">
        <f>SQRT(F35/11)</f>
        <v>8.6506825139355328E-2</v>
      </c>
      <c r="K31" s="3">
        <f>POWER((C24-I25-(I24*B24)),2)</f>
        <v>1.2224458731370739E-3</v>
      </c>
    </row>
    <row r="32" spans="2:12" ht="16.5" thickTop="1" thickBot="1" x14ac:dyDescent="0.3">
      <c r="B32" s="3">
        <f>LOG10(240000)</f>
        <v>5.3802112417116064</v>
      </c>
      <c r="C32" s="3">
        <f>LOG10(10200)</f>
        <v>4.008600171761918</v>
      </c>
      <c r="D32" s="3">
        <f t="shared" si="0"/>
        <v>21.567115707640546</v>
      </c>
      <c r="E32" s="3">
        <f t="shared" si="1"/>
        <v>28.946673005439944</v>
      </c>
      <c r="F32" s="3">
        <f>POWER((C32-C35),2)</f>
        <v>1.4791488802856083E-3</v>
      </c>
      <c r="H32" s="4" t="s">
        <v>31</v>
      </c>
      <c r="I32" s="3">
        <v>8.2317739000000001E-2</v>
      </c>
      <c r="K32" s="3">
        <f>POWER((C25-I25-(I24*B25)),2)</f>
        <v>3.2326769057813975E-5</v>
      </c>
    </row>
    <row r="33" spans="1:11" ht="16.5" thickTop="1" thickBot="1" x14ac:dyDescent="0.3">
      <c r="B33" s="3">
        <f>LOG10(289000)</f>
        <v>5.4608978427565482</v>
      </c>
      <c r="C33" s="3">
        <f>LOG10(12650)</f>
        <v>4.1020905255118363</v>
      </c>
      <c r="D33" s="3">
        <f t="shared" si="0"/>
        <v>22.401097301559663</v>
      </c>
      <c r="E33" s="3">
        <f t="shared" si="1"/>
        <v>29.821405249023123</v>
      </c>
      <c r="F33" s="3">
        <f>POWER((C33-C35),2)</f>
        <v>1.7410817906665467E-2</v>
      </c>
      <c r="H33" s="4" t="s">
        <v>23</v>
      </c>
      <c r="I33" s="3">
        <f>(F35-I34)/F35</f>
        <v>0.85123536829382307</v>
      </c>
      <c r="K33" s="3">
        <f>POWER((C26-I25-(I24*B26)),2)</f>
        <v>7.3634078636343876E-5</v>
      </c>
    </row>
    <row r="34" spans="1:11" ht="16.5" thickTop="1" thickBot="1" x14ac:dyDescent="0.3">
      <c r="B34" s="5">
        <f>LOG10(325000)</f>
        <v>5.5118833609788744</v>
      </c>
      <c r="C34" s="5">
        <f>LOG10(13500)</f>
        <v>4.1303337684950066</v>
      </c>
      <c r="D34" s="5">
        <f t="shared" si="0"/>
        <v>22.765917973856798</v>
      </c>
      <c r="E34" s="5">
        <f t="shared" si="1"/>
        <v>30.380858185035773</v>
      </c>
      <c r="F34" s="5">
        <f>POWER((C34-C35),2)</f>
        <v>2.5661893801850088E-2</v>
      </c>
      <c r="H34" s="4" t="s">
        <v>25</v>
      </c>
      <c r="I34" s="3">
        <f>SUM(K30:K41)</f>
        <v>1.2245968088415979E-2</v>
      </c>
      <c r="K34" s="3">
        <f>POWER((C27-I25-(I24*B27)),2)</f>
        <v>5.8304030943923316E-5</v>
      </c>
    </row>
    <row r="35" spans="1:11" ht="16.5" thickTop="1" thickBot="1" x14ac:dyDescent="0.3">
      <c r="A35" s="3" t="s">
        <v>14</v>
      </c>
      <c r="B35" s="3">
        <f>SUM(B23:B34)</f>
        <v>62.713035926196937</v>
      </c>
      <c r="C35" s="7">
        <f>AVERAGE(C23:C34)</f>
        <v>3.970140467131154</v>
      </c>
      <c r="D35" s="3">
        <f>SUM(D23:D34)</f>
        <v>249.14148696713107</v>
      </c>
      <c r="E35" s="3">
        <f>SUM(E23:E34)</f>
        <v>328.11792418087822</v>
      </c>
      <c r="F35" s="3">
        <f>SUM(F23:F34)</f>
        <v>8.2317738752600997E-2</v>
      </c>
      <c r="K35" s="3">
        <f>POWER((C28-I25-(I24*B28)),2)</f>
        <v>8.1251293147297044E-5</v>
      </c>
    </row>
    <row r="36" spans="1:11" ht="16.5" thickTop="1" thickBot="1" x14ac:dyDescent="0.3">
      <c r="A36" s="3" t="s">
        <v>15</v>
      </c>
      <c r="B36" s="3">
        <f>AVERAGE(B23:B34)</f>
        <v>5.2260863271830784</v>
      </c>
      <c r="C36" s="3" t="s">
        <v>32</v>
      </c>
      <c r="D36" s="3" t="s">
        <v>33</v>
      </c>
      <c r="E36" s="3" t="s">
        <v>34</v>
      </c>
      <c r="F36" s="3" t="s">
        <v>35</v>
      </c>
      <c r="K36" s="3">
        <f>POWER((C29-I25-(I24*B29)),2)</f>
        <v>1.6295980477792923E-4</v>
      </c>
    </row>
    <row r="37" spans="1:11" ht="16.5" thickTop="1" thickBot="1" x14ac:dyDescent="0.3">
      <c r="K37" s="3">
        <f>POWER((C30-I25-(I24*B30)),2)</f>
        <v>1.053808659824373E-4</v>
      </c>
    </row>
    <row r="38" spans="1:11" ht="16.5" thickTop="1" thickBot="1" x14ac:dyDescent="0.3">
      <c r="K38" s="3">
        <f>POWER((C31-I25-(I24*B31)),2)</f>
        <v>7.3733756261012487E-3</v>
      </c>
    </row>
    <row r="39" spans="1:11" ht="16.5" thickTop="1" thickBot="1" x14ac:dyDescent="0.3">
      <c r="K39" s="3">
        <f>POWER((C32-I25-(I24*B32)),2)</f>
        <v>7.9730274466365025E-4</v>
      </c>
    </row>
    <row r="40" spans="1:11" ht="16.5" thickTop="1" thickBot="1" x14ac:dyDescent="0.3">
      <c r="K40" s="3">
        <f>POWER((C33-I25-(I24*B33)),2)</f>
        <v>9.2035535930977506E-4</v>
      </c>
    </row>
    <row r="41" spans="1:11" ht="16.5" thickTop="1" thickBot="1" x14ac:dyDescent="0.3">
      <c r="C41" s="3" t="s">
        <v>45</v>
      </c>
      <c r="D41" s="3" t="s">
        <v>46</v>
      </c>
      <c r="E41" s="3" t="s">
        <v>29</v>
      </c>
      <c r="K41" s="3">
        <f>POWER((C34-I25-(I24*B34)),2)</f>
        <v>1.3334949353849086E-3</v>
      </c>
    </row>
    <row r="42" spans="1:11" ht="16.5" thickTop="1" thickBot="1" x14ac:dyDescent="0.3">
      <c r="C42" s="3">
        <v>81000</v>
      </c>
      <c r="D42" s="3">
        <v>6660</v>
      </c>
      <c r="E42" s="4">
        <f>I26*POWER(C42,I24)</f>
        <v>6803.0111794596114</v>
      </c>
    </row>
    <row r="43" spans="1:11" ht="16.5" thickTop="1" thickBot="1" x14ac:dyDescent="0.3">
      <c r="C43" s="3">
        <v>95000</v>
      </c>
      <c r="D43" s="3">
        <v>7900</v>
      </c>
      <c r="E43" s="4">
        <f>I26*POWER(C43,I24)</f>
        <v>7288.9269521354336</v>
      </c>
      <c r="G43" s="1"/>
    </row>
    <row r="44" spans="1:11" ht="16.5" thickTop="1" thickBot="1" x14ac:dyDescent="0.3">
      <c r="C44" s="3">
        <v>121000</v>
      </c>
      <c r="D44" s="3">
        <v>8200</v>
      </c>
      <c r="E44" s="4">
        <f>I26*POWER(C44,I24)</f>
        <v>8093.3475193773729</v>
      </c>
    </row>
    <row r="45" spans="1:11" ht="16.5" thickTop="1" thickBot="1" x14ac:dyDescent="0.3">
      <c r="C45" s="3">
        <v>135000</v>
      </c>
      <c r="D45" s="3">
        <v>8320</v>
      </c>
      <c r="E45" s="4">
        <f>I26*POWER(C45,I24)</f>
        <v>8486.0259687772195</v>
      </c>
    </row>
    <row r="46" spans="1:11" ht="16.5" thickTop="1" thickBot="1" x14ac:dyDescent="0.3">
      <c r="C46" s="3">
        <v>145000</v>
      </c>
      <c r="D46" s="3">
        <v>8600</v>
      </c>
      <c r="E46" s="4">
        <f>I26*POWER(C46,I24)</f>
        <v>8752.5411015388108</v>
      </c>
    </row>
    <row r="47" spans="1:11" ht="16.5" thickTop="1" thickBot="1" x14ac:dyDescent="0.3">
      <c r="C47" s="3">
        <v>165000</v>
      </c>
      <c r="D47" s="3">
        <v>9450</v>
      </c>
      <c r="E47" s="4">
        <f>I26*POWER(C47,I24)</f>
        <v>9255.883050263843</v>
      </c>
    </row>
    <row r="48" spans="1:11" ht="16.5" thickTop="1" thickBot="1" x14ac:dyDescent="0.3">
      <c r="C48" s="3">
        <v>178000</v>
      </c>
      <c r="D48" s="3">
        <v>9850</v>
      </c>
      <c r="E48" s="4">
        <f>I26*POWER(C48,I24)</f>
        <v>9564.684729780929</v>
      </c>
    </row>
    <row r="49" spans="3:5" ht="16.5" thickTop="1" thickBot="1" x14ac:dyDescent="0.3">
      <c r="C49" s="3">
        <v>200000</v>
      </c>
      <c r="D49" s="3">
        <v>10300</v>
      </c>
      <c r="E49" s="4">
        <f>I26*POWER(C49,I24)</f>
        <v>10059.39140000815</v>
      </c>
    </row>
    <row r="50" spans="3:5" ht="16.5" thickTop="1" thickBot="1" x14ac:dyDescent="0.3">
      <c r="C50" s="3">
        <v>214000</v>
      </c>
      <c r="D50" s="3">
        <v>8500</v>
      </c>
      <c r="E50" s="4">
        <f>I26*POWER(C50,I24)</f>
        <v>10358.271447845169</v>
      </c>
    </row>
    <row r="51" spans="3:5" ht="16.5" thickTop="1" thickBot="1" x14ac:dyDescent="0.3">
      <c r="C51" s="3">
        <v>240000</v>
      </c>
      <c r="D51" s="3">
        <v>10200</v>
      </c>
      <c r="E51" s="4">
        <f>I26*POWER(C51,I24)</f>
        <v>10885.20773407671</v>
      </c>
    </row>
    <row r="52" spans="3:5" ht="16.5" thickTop="1" thickBot="1" x14ac:dyDescent="0.3">
      <c r="C52" s="3">
        <v>289000</v>
      </c>
      <c r="D52" s="3">
        <v>12650</v>
      </c>
      <c r="E52" s="4">
        <f>I26*POWER(C52,I24)</f>
        <v>11796.499846208275</v>
      </c>
    </row>
    <row r="53" spans="3:5" ht="16.5" thickTop="1" thickBot="1" x14ac:dyDescent="0.3">
      <c r="C53" s="3">
        <v>325000</v>
      </c>
      <c r="D53" s="3">
        <v>13500</v>
      </c>
      <c r="E53" s="4">
        <f>I26*POWER(C53,I24)</f>
        <v>12411.28414682433</v>
      </c>
    </row>
    <row r="54" spans="3:5" ht="15.75" thickTop="1" x14ac:dyDescent="0.25"/>
  </sheetData>
  <mergeCells count="7">
    <mergeCell ref="H29:I29"/>
    <mergeCell ref="J22:L22"/>
    <mergeCell ref="J23:L23"/>
    <mergeCell ref="K24:L24"/>
    <mergeCell ref="K25:L25"/>
    <mergeCell ref="J27:L27"/>
    <mergeCell ref="J26:L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opLeftCell="A22" workbookViewId="0">
      <selection activeCell="H37" sqref="H37"/>
    </sheetView>
  </sheetViews>
  <sheetFormatPr baseColWidth="10" defaultRowHeight="15" x14ac:dyDescent="0.25"/>
  <cols>
    <col min="2" max="2" width="12" bestFit="1" customWidth="1"/>
    <col min="3" max="3" width="22.85546875" bestFit="1" customWidth="1"/>
    <col min="4" max="4" width="22.42578125" bestFit="1" customWidth="1"/>
    <col min="5" max="5" width="23.42578125" bestFit="1" customWidth="1"/>
    <col min="6" max="6" width="15.140625" bestFit="1" customWidth="1"/>
    <col min="8" max="8" width="23.5703125" bestFit="1" customWidth="1"/>
    <col min="9" max="9" width="23.28515625" bestFit="1" customWidth="1"/>
    <col min="10" max="10" width="12.42578125" bestFit="1" customWidth="1"/>
    <col min="11" max="11" width="15.85546875" bestFit="1" customWidth="1"/>
  </cols>
  <sheetData>
    <row r="2" spans="1:2" ht="15.75" thickBot="1" x14ac:dyDescent="0.3"/>
    <row r="3" spans="1:2" ht="16.5" thickTop="1" thickBot="1" x14ac:dyDescent="0.3">
      <c r="A3" s="3" t="s">
        <v>10</v>
      </c>
      <c r="B3" s="3" t="s">
        <v>11</v>
      </c>
    </row>
    <row r="4" spans="1:2" ht="16.5" thickTop="1" thickBot="1" x14ac:dyDescent="0.3">
      <c r="A4" s="3">
        <v>81000</v>
      </c>
      <c r="B4" s="3">
        <f>LN(6660)</f>
        <v>8.8038747635344343</v>
      </c>
    </row>
    <row r="5" spans="1:2" ht="16.5" thickTop="1" thickBot="1" x14ac:dyDescent="0.3">
      <c r="A5" s="3">
        <v>95000</v>
      </c>
      <c r="B5" s="3">
        <f>LN(7900)</f>
        <v>8.9746180384551124</v>
      </c>
    </row>
    <row r="6" spans="1:2" ht="16.5" thickTop="1" thickBot="1" x14ac:dyDescent="0.3">
      <c r="A6" s="3">
        <v>121000</v>
      </c>
      <c r="B6" s="3">
        <f>LN(8200)</f>
        <v>9.0118894332523443</v>
      </c>
    </row>
    <row r="7" spans="1:2" ht="16.5" thickTop="1" thickBot="1" x14ac:dyDescent="0.3">
      <c r="A7" s="3">
        <v>135000</v>
      </c>
      <c r="B7" s="3">
        <f>LN(8320)</f>
        <v>9.0264175338152537</v>
      </c>
    </row>
    <row r="8" spans="1:2" ht="16.5" thickTop="1" thickBot="1" x14ac:dyDescent="0.3">
      <c r="A8" s="3">
        <v>145000</v>
      </c>
      <c r="B8" s="3">
        <f>LN(8600)</f>
        <v>9.0595174822415991</v>
      </c>
    </row>
    <row r="9" spans="1:2" ht="16.5" thickTop="1" thickBot="1" x14ac:dyDescent="0.3">
      <c r="A9" s="3">
        <v>165000</v>
      </c>
      <c r="B9" s="3">
        <f>LN(9450)</f>
        <v>9.153770020487789</v>
      </c>
    </row>
    <row r="10" spans="1:2" ht="16.5" thickTop="1" thickBot="1" x14ac:dyDescent="0.3">
      <c r="A10" s="3">
        <v>178000</v>
      </c>
      <c r="B10" s="3">
        <f>LN(9850)</f>
        <v>9.195226734166134</v>
      </c>
    </row>
    <row r="11" spans="1:2" ht="16.5" thickTop="1" thickBot="1" x14ac:dyDescent="0.3">
      <c r="A11" s="3">
        <v>200000</v>
      </c>
      <c r="B11" s="3">
        <f>LN(10300)</f>
        <v>9.2398991742177277</v>
      </c>
    </row>
    <row r="12" spans="1:2" ht="16.5" thickTop="1" thickBot="1" x14ac:dyDescent="0.3">
      <c r="A12" s="3">
        <v>214000</v>
      </c>
      <c r="B12" s="3">
        <f>LN(8500)</f>
        <v>9.0478214424784085</v>
      </c>
    </row>
    <row r="13" spans="1:2" ht="16.5" thickTop="1" thickBot="1" x14ac:dyDescent="0.3">
      <c r="A13" s="3">
        <v>240000</v>
      </c>
      <c r="B13" s="3">
        <f>LN(10200)</f>
        <v>9.2301429992723616</v>
      </c>
    </row>
    <row r="14" spans="1:2" ht="16.5" thickTop="1" thickBot="1" x14ac:dyDescent="0.3">
      <c r="A14" s="3">
        <v>289000</v>
      </c>
      <c r="B14" s="3">
        <f>LN(12650)</f>
        <v>9.4454124941556667</v>
      </c>
    </row>
    <row r="15" spans="1:2" ht="16.5" thickTop="1" thickBot="1" x14ac:dyDescent="0.3">
      <c r="A15" s="3">
        <v>325000</v>
      </c>
      <c r="B15" s="3">
        <f>LN(13500)</f>
        <v>9.5104449644265205</v>
      </c>
    </row>
    <row r="16" spans="1:2" ht="15.75" thickTop="1" x14ac:dyDescent="0.25"/>
    <row r="20" spans="2:12" ht="15.75" thickBot="1" x14ac:dyDescent="0.3"/>
    <row r="21" spans="2:12" ht="16.5" thickTop="1" thickBot="1" x14ac:dyDescent="0.3">
      <c r="B21" s="3" t="s">
        <v>10</v>
      </c>
      <c r="C21" s="3" t="s">
        <v>11</v>
      </c>
      <c r="D21" s="3" t="s">
        <v>12</v>
      </c>
      <c r="E21" s="3" t="s">
        <v>13</v>
      </c>
      <c r="F21" s="3" t="s">
        <v>20</v>
      </c>
      <c r="H21" s="3" t="s">
        <v>48</v>
      </c>
      <c r="I21" s="3" t="s">
        <v>16</v>
      </c>
      <c r="J21" s="54" t="s">
        <v>47</v>
      </c>
      <c r="K21" s="54"/>
      <c r="L21" s="54"/>
    </row>
    <row r="22" spans="2:12" ht="16.5" thickTop="1" thickBot="1" x14ac:dyDescent="0.3">
      <c r="B22" s="3">
        <v>81000</v>
      </c>
      <c r="C22" s="3">
        <f>LN(6660)</f>
        <v>8.8038747635344343</v>
      </c>
      <c r="D22" s="3">
        <f>B22*C22</f>
        <v>713113.8558462892</v>
      </c>
      <c r="E22" s="3">
        <f>POWER(B22,2)</f>
        <v>6561000000</v>
      </c>
      <c r="F22" s="3">
        <f>POWER((C22-C34),2)</f>
        <v>0.1140490526219326</v>
      </c>
      <c r="H22" s="3">
        <f>C34*B34</f>
        <v>20001790.729678445</v>
      </c>
      <c r="I22" s="3">
        <f>D34-H22</f>
        <v>153736.04290565848</v>
      </c>
      <c r="J22" s="54" t="s">
        <v>37</v>
      </c>
      <c r="K22" s="54"/>
      <c r="L22" s="54"/>
    </row>
    <row r="23" spans="2:12" ht="16.5" thickTop="1" thickBot="1" x14ac:dyDescent="0.3">
      <c r="B23" s="3">
        <v>95000</v>
      </c>
      <c r="C23" s="3">
        <f>LN(7900)</f>
        <v>8.9746180384551124</v>
      </c>
      <c r="D23" s="3">
        <f>B23*C23</f>
        <v>852588.7136532357</v>
      </c>
      <c r="E23" s="3">
        <f>POWER(B23,2)</f>
        <v>9025000000</v>
      </c>
      <c r="F23" s="3">
        <f>POWER((C23-C34),2)</f>
        <v>2.7878385906748245E-2</v>
      </c>
      <c r="H23" s="3" t="s">
        <v>1</v>
      </c>
      <c r="I23" s="3">
        <f>I22/K24</f>
        <v>2.4803070144178791E-6</v>
      </c>
      <c r="J23" s="3" t="s">
        <v>17</v>
      </c>
      <c r="K23" s="54" t="s">
        <v>18</v>
      </c>
      <c r="L23" s="54"/>
    </row>
    <row r="24" spans="2:12" ht="16.5" thickTop="1" thickBot="1" x14ac:dyDescent="0.3">
      <c r="B24" s="3">
        <v>121000</v>
      </c>
      <c r="C24" s="3">
        <f>LN(8200)</f>
        <v>9.0118894332523443</v>
      </c>
      <c r="D24" s="3">
        <f t="shared" ref="D24:D33" si="0">B24*C24</f>
        <v>1090438.6214235337</v>
      </c>
      <c r="E24" s="3">
        <f t="shared" ref="E24:E33" si="1">POWER(B24,2)</f>
        <v>14641000000</v>
      </c>
      <c r="F24" s="3">
        <f>POWER((C24-C34),2)</f>
        <v>1.6821266014646258E-2</v>
      </c>
      <c r="H24" s="3" t="s">
        <v>0</v>
      </c>
      <c r="I24" s="3">
        <f>C34-(I23*B35)</f>
        <v>8.6893436110797513</v>
      </c>
      <c r="J24" s="3">
        <f>B35*B34</f>
        <v>398945333333.33337</v>
      </c>
      <c r="K24" s="54">
        <f>E34-J24</f>
        <v>61982666666.666626</v>
      </c>
      <c r="L24" s="54"/>
    </row>
    <row r="25" spans="2:12" ht="16.5" thickTop="1" thickBot="1" x14ac:dyDescent="0.3">
      <c r="B25" s="3">
        <v>135000</v>
      </c>
      <c r="C25" s="3">
        <f>LN(8320)</f>
        <v>9.0264175338152537</v>
      </c>
      <c r="D25" s="3">
        <f t="shared" si="0"/>
        <v>1218566.3670650593</v>
      </c>
      <c r="E25" s="3">
        <f t="shared" si="1"/>
        <v>18225000000</v>
      </c>
      <c r="F25" s="3">
        <f>POWER((C25-C34),2)</f>
        <v>1.3263834732887135E-2</v>
      </c>
      <c r="H25" s="3" t="s">
        <v>28</v>
      </c>
      <c r="I25" s="3">
        <f>EXP(I24)</f>
        <v>5939.2824837542921</v>
      </c>
      <c r="J25" s="54" t="s">
        <v>38</v>
      </c>
      <c r="K25" s="54"/>
      <c r="L25" s="54"/>
    </row>
    <row r="26" spans="2:12" ht="16.5" thickTop="1" thickBot="1" x14ac:dyDescent="0.3">
      <c r="B26" s="3">
        <v>145000</v>
      </c>
      <c r="C26" s="3">
        <f>LN(8600)</f>
        <v>9.0595174822415991</v>
      </c>
      <c r="D26" s="3">
        <f t="shared" si="0"/>
        <v>1313630.0349250319</v>
      </c>
      <c r="E26" s="3">
        <f t="shared" si="1"/>
        <v>21025000000</v>
      </c>
      <c r="F26" s="3">
        <f>POWER((C26-C34),2)</f>
        <v>6.7352837425174077E-3</v>
      </c>
      <c r="H26" s="8"/>
      <c r="I26" s="9"/>
      <c r="J26" s="54" t="s">
        <v>51</v>
      </c>
      <c r="K26" s="54"/>
      <c r="L26" s="54"/>
    </row>
    <row r="27" spans="2:12" ht="16.5" thickTop="1" thickBot="1" x14ac:dyDescent="0.3">
      <c r="B27" s="3">
        <v>165000</v>
      </c>
      <c r="C27" s="3">
        <f>LN(9450)</f>
        <v>9.153770020487789</v>
      </c>
      <c r="D27" s="3">
        <f t="shared" si="0"/>
        <v>1510372.0533804852</v>
      </c>
      <c r="E27" s="3">
        <f t="shared" si="1"/>
        <v>27225000000</v>
      </c>
      <c r="F27" s="3">
        <f>POWER((C27-C34),2)</f>
        <v>1.4844409982678713E-4</v>
      </c>
    </row>
    <row r="28" spans="2:12" ht="16.5" thickTop="1" thickBot="1" x14ac:dyDescent="0.3">
      <c r="B28" s="3">
        <v>178000</v>
      </c>
      <c r="C28" s="3">
        <f>LN(9850)</f>
        <v>9.195226734166134</v>
      </c>
      <c r="D28" s="3">
        <f t="shared" si="0"/>
        <v>1636750.3586815719</v>
      </c>
      <c r="E28" s="3">
        <f t="shared" si="1"/>
        <v>31684000000</v>
      </c>
      <c r="F28" s="3">
        <f>POWER((C28-C34),2)</f>
        <v>2.8773008218709361E-3</v>
      </c>
      <c r="H28" s="52" t="s">
        <v>63</v>
      </c>
      <c r="I28" s="53"/>
      <c r="K28" s="3" t="s">
        <v>22</v>
      </c>
    </row>
    <row r="29" spans="2:12" ht="16.5" thickTop="1" thickBot="1" x14ac:dyDescent="0.3">
      <c r="B29" s="3">
        <v>200000</v>
      </c>
      <c r="C29" s="3">
        <f>LN(10300)</f>
        <v>9.2398991742177277</v>
      </c>
      <c r="D29" s="3">
        <f t="shared" si="0"/>
        <v>1847979.8348435455</v>
      </c>
      <c r="E29" s="3">
        <f t="shared" si="1"/>
        <v>40000000000</v>
      </c>
      <c r="F29" s="3">
        <f>POWER((C29-C34),2)</f>
        <v>9.6654297491541984E-3</v>
      </c>
      <c r="H29" s="3" t="s">
        <v>43</v>
      </c>
      <c r="I29" s="3">
        <f>SQRT(I33/10)</f>
        <v>7.4248015437118689E-2</v>
      </c>
      <c r="K29" s="3">
        <f>POWER((C22-I24-(I23*B22)),2)</f>
        <v>7.4604187660986731E-3</v>
      </c>
    </row>
    <row r="30" spans="2:12" ht="16.5" thickTop="1" thickBot="1" x14ac:dyDescent="0.3">
      <c r="B30" s="3">
        <v>214000</v>
      </c>
      <c r="C30" s="3">
        <f>LN(8500)</f>
        <v>9.0478214424784085</v>
      </c>
      <c r="D30" s="3">
        <f t="shared" si="0"/>
        <v>1936233.7886903794</v>
      </c>
      <c r="E30" s="3">
        <f t="shared" si="1"/>
        <v>45796000000</v>
      </c>
      <c r="F30" s="3">
        <f>POWER((C30-C34),2)</f>
        <v>8.7918403876245613E-3</v>
      </c>
      <c r="H30" s="3" t="s">
        <v>19</v>
      </c>
      <c r="I30" s="3">
        <f>SQRT(F34/11)</f>
        <v>0.19918932600812225</v>
      </c>
      <c r="K30" s="3">
        <f>POWER((C23-I24-(I23*B23)),2)</f>
        <v>2.4646519403203641E-3</v>
      </c>
    </row>
    <row r="31" spans="2:12" ht="16.5" thickTop="1" thickBot="1" x14ac:dyDescent="0.3">
      <c r="B31" s="3">
        <v>240000</v>
      </c>
      <c r="C31" s="3">
        <f>LN(10200)</f>
        <v>9.2301429992723616</v>
      </c>
      <c r="D31" s="3">
        <f t="shared" si="0"/>
        <v>2215234.3198253666</v>
      </c>
      <c r="E31" s="3">
        <f t="shared" si="1"/>
        <v>57600000000</v>
      </c>
      <c r="F31" s="3">
        <f>POWER((C31-C34),2)</f>
        <v>7.8422966535022336E-3</v>
      </c>
      <c r="H31" s="4" t="s">
        <v>31</v>
      </c>
      <c r="I31" s="3">
        <v>8.2317739000000001E-2</v>
      </c>
      <c r="K31" s="3">
        <f>POWER((C24-I24-(I23*B24)),2)</f>
        <v>5.0304539174120201E-4</v>
      </c>
    </row>
    <row r="32" spans="2:12" ht="16.5" thickTop="1" thickBot="1" x14ac:dyDescent="0.3">
      <c r="B32" s="3">
        <v>289000</v>
      </c>
      <c r="C32" s="3">
        <f>LN(12650)</f>
        <v>9.4454124941556667</v>
      </c>
      <c r="D32" s="3">
        <f t="shared" si="0"/>
        <v>2729724.2108109877</v>
      </c>
      <c r="E32" s="3">
        <f t="shared" si="1"/>
        <v>83521000000</v>
      </c>
      <c r="F32" s="3">
        <f>POWER((C32-C34),2)</f>
        <v>9.2310382561234153E-2</v>
      </c>
      <c r="H32" s="4" t="s">
        <v>23</v>
      </c>
      <c r="I32" s="3">
        <f>(F34-I33)/F34</f>
        <v>0.87368791890340769</v>
      </c>
      <c r="K32" s="3">
        <f>POWER((C25-I24-(I23*B25)),2)</f>
        <v>4.9839481488674384E-6</v>
      </c>
    </row>
    <row r="33" spans="1:11" ht="16.5" thickTop="1" thickBot="1" x14ac:dyDescent="0.3">
      <c r="B33" s="3">
        <v>325000</v>
      </c>
      <c r="C33" s="3">
        <f>LN(13500)</f>
        <v>9.5104449644265205</v>
      </c>
      <c r="D33" s="5">
        <f t="shared" si="0"/>
        <v>3090894.6134386193</v>
      </c>
      <c r="E33" s="5">
        <f t="shared" si="1"/>
        <v>105625000000</v>
      </c>
      <c r="F33" s="5">
        <f>POWER((C33-C34),2)</f>
        <v>0.13605674625932554</v>
      </c>
      <c r="H33" s="4" t="s">
        <v>25</v>
      </c>
      <c r="I33" s="3">
        <f>SUM(K29:K40)</f>
        <v>5.512767796350615E-2</v>
      </c>
      <c r="K33" s="3">
        <f>POWER((C26-I24-(I23*B26)),2)</f>
        <v>1.1086729715786228E-4</v>
      </c>
    </row>
    <row r="34" spans="1:11" ht="16.5" thickTop="1" thickBot="1" x14ac:dyDescent="0.3">
      <c r="A34" s="3" t="s">
        <v>14</v>
      </c>
      <c r="B34" s="3">
        <f>SUM(B22:B33)</f>
        <v>2188000</v>
      </c>
      <c r="C34" s="7">
        <f>AVERAGE(C22:C33)</f>
        <v>9.1415862567086119</v>
      </c>
      <c r="D34" s="3">
        <f>SUM(D22:D33)</f>
        <v>20155526.772584103</v>
      </c>
      <c r="E34" s="3">
        <f>SUM(E22:E33)</f>
        <v>460928000000</v>
      </c>
      <c r="F34" s="3">
        <f>SUM(F22:F33)</f>
        <v>0.43644026355127008</v>
      </c>
      <c r="K34" s="3">
        <f>POWER((C27-I24-(I23*B27)),2)</f>
        <v>3.0443636119753693E-3</v>
      </c>
    </row>
    <row r="35" spans="1:11" ht="16.5" thickTop="1" thickBot="1" x14ac:dyDescent="0.3">
      <c r="A35" s="3" t="s">
        <v>15</v>
      </c>
      <c r="B35" s="3">
        <f>AVERAGE(B22:B33)</f>
        <v>182333.33333333334</v>
      </c>
      <c r="C35" s="3" t="s">
        <v>32</v>
      </c>
      <c r="D35" s="3" t="s">
        <v>33</v>
      </c>
      <c r="E35" s="3" t="s">
        <v>34</v>
      </c>
      <c r="F35" s="3" t="s">
        <v>35</v>
      </c>
      <c r="K35" s="3">
        <f>POWER((C28-I24-(I23*B28)),2)</f>
        <v>4.1458756510127197E-3</v>
      </c>
    </row>
    <row r="36" spans="1:11" ht="16.5" thickTop="1" thickBot="1" x14ac:dyDescent="0.3">
      <c r="K36" s="3">
        <f>POWER((C29-I24-(I23*B29)),2)</f>
        <v>2.9696135018322909E-3</v>
      </c>
    </row>
    <row r="37" spans="1:11" ht="16.5" thickTop="1" thickBot="1" x14ac:dyDescent="0.3">
      <c r="K37" s="3">
        <f>POWER((C30-I24-(I23*B30)),2)</f>
        <v>2.9690001955992539E-2</v>
      </c>
    </row>
    <row r="38" spans="1:11" ht="16.5" thickTop="1" thickBot="1" x14ac:dyDescent="0.3">
      <c r="K38" s="3">
        <f>POWER((C31-I24-(I23*B31)),2)</f>
        <v>2.9674488449104555E-3</v>
      </c>
    </row>
    <row r="39" spans="1:11" ht="16.5" thickTop="1" thickBot="1" x14ac:dyDescent="0.3">
      <c r="K39" s="3">
        <f>POWER((C32-I24-(I23*B32)),2)</f>
        <v>1.5413598420106432E-3</v>
      </c>
    </row>
    <row r="40" spans="1:11" ht="16.5" thickTop="1" thickBot="1" x14ac:dyDescent="0.3">
      <c r="C40" s="3" t="s">
        <v>45</v>
      </c>
      <c r="D40" s="3" t="s">
        <v>46</v>
      </c>
      <c r="E40" s="3" t="s">
        <v>50</v>
      </c>
      <c r="K40" s="3">
        <f>POWER((C33-I24-(I23*B33)),2)</f>
        <v>2.250472123051655E-4</v>
      </c>
    </row>
    <row r="41" spans="1:11" ht="16.5" thickTop="1" thickBot="1" x14ac:dyDescent="0.3">
      <c r="C41" s="3">
        <v>81000</v>
      </c>
      <c r="D41" s="3">
        <v>6660</v>
      </c>
      <c r="E41" s="3">
        <f>I25*EXP((I23*C41))</f>
        <v>7260.8231232312273</v>
      </c>
    </row>
    <row r="42" spans="1:11" ht="16.5" thickTop="1" thickBot="1" x14ac:dyDescent="0.3">
      <c r="C42" s="3">
        <v>95000</v>
      </c>
      <c r="D42" s="3">
        <v>7900</v>
      </c>
      <c r="E42" s="3">
        <f>I25*EXP((I23*C42))</f>
        <v>7517.378687974845</v>
      </c>
    </row>
    <row r="43" spans="1:11" ht="16.5" thickTop="1" thickBot="1" x14ac:dyDescent="0.3">
      <c r="C43" s="3">
        <v>121000</v>
      </c>
      <c r="D43" s="3">
        <v>8200</v>
      </c>
      <c r="E43" s="3">
        <f>I25*EXP((I23*C43))</f>
        <v>8018.1320304611381</v>
      </c>
    </row>
    <row r="44" spans="1:11" ht="16.5" thickTop="1" thickBot="1" x14ac:dyDescent="0.3">
      <c r="C44" s="3">
        <v>135000</v>
      </c>
      <c r="D44" s="3">
        <v>8320</v>
      </c>
      <c r="E44" s="3">
        <f>I25*EXP((I23*C44))</f>
        <v>8301.4465192388761</v>
      </c>
    </row>
    <row r="45" spans="1:11" ht="16.5" thickTop="1" thickBot="1" x14ac:dyDescent="0.3">
      <c r="C45" s="3">
        <v>145000</v>
      </c>
      <c r="D45" s="3">
        <v>8600</v>
      </c>
      <c r="E45" s="3">
        <f>I25*EXP((I23*C45))</f>
        <v>8509.9226155427277</v>
      </c>
    </row>
    <row r="46" spans="1:11" ht="16.5" thickTop="1" thickBot="1" x14ac:dyDescent="0.3">
      <c r="C46" s="3">
        <v>165000</v>
      </c>
      <c r="D46" s="3">
        <v>9450</v>
      </c>
      <c r="E46" s="3">
        <f>I25*EXP((I23*C46))</f>
        <v>8942.712810115685</v>
      </c>
    </row>
    <row r="47" spans="1:11" ht="16.5" thickTop="1" thickBot="1" x14ac:dyDescent="0.3">
      <c r="C47" s="3">
        <v>178000</v>
      </c>
      <c r="D47" s="3">
        <v>9850</v>
      </c>
      <c r="E47" s="3">
        <f>I25*EXP((I23*C47))</f>
        <v>9235.7606906906258</v>
      </c>
    </row>
    <row r="48" spans="1:11" ht="16.5" thickTop="1" thickBot="1" x14ac:dyDescent="0.3">
      <c r="C48" s="3">
        <v>200000</v>
      </c>
      <c r="D48" s="3">
        <v>10300</v>
      </c>
      <c r="E48" s="3">
        <f>I25*EXP((I23*C48))</f>
        <v>9753.7296003688007</v>
      </c>
    </row>
    <row r="49" spans="3:5" ht="16.5" thickTop="1" thickBot="1" x14ac:dyDescent="0.3">
      <c r="C49" s="3">
        <v>214000</v>
      </c>
      <c r="D49" s="3">
        <v>8500</v>
      </c>
      <c r="E49" s="3">
        <f>I25*EXP((I23*C49))</f>
        <v>10098.370085821853</v>
      </c>
    </row>
    <row r="50" spans="3:5" ht="16.5" thickTop="1" thickBot="1" x14ac:dyDescent="0.3">
      <c r="C50" s="3">
        <v>240000</v>
      </c>
      <c r="D50" s="3">
        <v>10200</v>
      </c>
      <c r="E50" s="3">
        <f>I25*EXP((I23*C50))</f>
        <v>10771.050388894513</v>
      </c>
    </row>
    <row r="51" spans="3:5" ht="16.5" thickTop="1" thickBot="1" x14ac:dyDescent="0.3">
      <c r="C51" s="3">
        <v>289000</v>
      </c>
      <c r="D51" s="3">
        <v>12650</v>
      </c>
      <c r="E51" s="3">
        <f>I25*EXP((I23*C51))</f>
        <v>12162.981787478995</v>
      </c>
    </row>
    <row r="52" spans="3:5" ht="16.5" thickTop="1" thickBot="1" x14ac:dyDescent="0.3">
      <c r="C52" s="3">
        <v>325000</v>
      </c>
      <c r="D52" s="3">
        <v>13500</v>
      </c>
      <c r="E52" s="3">
        <f>I25*EXP((I23*C52))</f>
        <v>13298.99025652312</v>
      </c>
    </row>
    <row r="53" spans="3:5" ht="15.75" thickTop="1" x14ac:dyDescent="0.25"/>
  </sheetData>
  <mergeCells count="7">
    <mergeCell ref="H28:I28"/>
    <mergeCell ref="J25:L25"/>
    <mergeCell ref="J26:L26"/>
    <mergeCell ref="J21:L21"/>
    <mergeCell ref="J22:L22"/>
    <mergeCell ref="K23:L23"/>
    <mergeCell ref="K24:L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6" zoomScaleNormal="100" workbookViewId="0">
      <selection activeCell="D27" sqref="D27"/>
    </sheetView>
  </sheetViews>
  <sheetFormatPr baseColWidth="10" defaultRowHeight="15" x14ac:dyDescent="0.25"/>
  <cols>
    <col min="1" max="1" width="16.28515625" bestFit="1" customWidth="1"/>
    <col min="2" max="2" width="16.5703125" customWidth="1"/>
    <col min="3" max="3" width="22.42578125" bestFit="1" customWidth="1"/>
    <col min="4" max="4" width="20.85546875" bestFit="1" customWidth="1"/>
    <col min="5" max="5" width="25.7109375" bestFit="1" customWidth="1"/>
    <col min="6" max="6" width="20.85546875" bestFit="1" customWidth="1"/>
    <col min="7" max="7" width="23" bestFit="1" customWidth="1"/>
    <col min="8" max="8" width="21.85546875" bestFit="1" customWidth="1"/>
    <col min="9" max="9" width="36.42578125" bestFit="1" customWidth="1"/>
    <col min="13" max="13" width="13.5703125" bestFit="1" customWidth="1"/>
  </cols>
  <sheetData>
    <row r="1" spans="1:11" ht="15.75" thickBot="1" x14ac:dyDescent="0.3"/>
    <row r="2" spans="1:11" ht="16.5" thickTop="1" thickBot="1" x14ac:dyDescent="0.3">
      <c r="D2" s="11" t="s">
        <v>61</v>
      </c>
      <c r="E2" s="11" t="s">
        <v>62</v>
      </c>
    </row>
    <row r="3" spans="1:11" ht="16.5" thickTop="1" thickBot="1" x14ac:dyDescent="0.3">
      <c r="A3" s="2"/>
      <c r="B3" s="2"/>
      <c r="C3" s="2"/>
      <c r="D3" s="11" t="s">
        <v>41</v>
      </c>
      <c r="E3" s="11">
        <v>6324.1352999999999</v>
      </c>
      <c r="F3" s="2"/>
      <c r="G3" s="2"/>
      <c r="H3" s="2"/>
      <c r="I3" s="2"/>
      <c r="J3" s="2"/>
      <c r="K3" s="2"/>
    </row>
    <row r="4" spans="1:11" ht="16.5" thickTop="1" thickBot="1" x14ac:dyDescent="0.3">
      <c r="A4" s="2"/>
      <c r="B4" s="2"/>
      <c r="C4" s="2"/>
      <c r="D4" s="11" t="s">
        <v>40</v>
      </c>
      <c r="E4" s="14">
        <v>9.5759087999999996E-3</v>
      </c>
      <c r="F4" s="2"/>
      <c r="G4" s="2"/>
      <c r="H4" s="2"/>
      <c r="I4" s="2"/>
      <c r="J4" s="2"/>
      <c r="K4" s="2"/>
    </row>
    <row r="5" spans="1:11" ht="16.5" thickTop="1" thickBot="1" x14ac:dyDescent="0.3">
      <c r="A5" s="2"/>
      <c r="B5" s="2"/>
      <c r="C5" s="2"/>
      <c r="D5" s="11" t="s">
        <v>42</v>
      </c>
      <c r="E5" s="15">
        <v>3.7507568000000002E-8</v>
      </c>
      <c r="F5" s="2"/>
      <c r="G5" s="2"/>
      <c r="H5" s="2"/>
      <c r="I5" s="2"/>
      <c r="J5" s="2"/>
      <c r="K5" s="2"/>
    </row>
    <row r="6" spans="1:11" ht="16.5" thickTop="1" thickBot="1" x14ac:dyDescent="0.3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39</v>
      </c>
      <c r="J6" s="2"/>
      <c r="K6" s="2"/>
    </row>
    <row r="7" spans="1:11" ht="16.5" thickTop="1" thickBot="1" x14ac:dyDescent="0.3">
      <c r="A7" s="11">
        <v>81000</v>
      </c>
      <c r="B7" s="11">
        <v>6660</v>
      </c>
      <c r="C7" s="11">
        <f t="shared" ref="C7:C18" si="0">POWER(A7,2)</f>
        <v>6561000000</v>
      </c>
      <c r="D7" s="11">
        <f t="shared" ref="D7:D18" si="1">POWER(A7,3)</f>
        <v>531441000000000</v>
      </c>
      <c r="E7" s="11">
        <f t="shared" ref="E7:E18" si="2">POWER(A7,49)</f>
        <v>3.2791850478503013E+240</v>
      </c>
      <c r="F7" s="11">
        <f t="shared" ref="F7:F18" si="3">A7*B7</f>
        <v>539460000</v>
      </c>
      <c r="G7" s="11">
        <f t="shared" ref="G7:G18" si="4">C7*B7</f>
        <v>43696260000000</v>
      </c>
      <c r="H7" s="11">
        <f>POWER((B7-B21),2)</f>
        <v>8127250.6944444478</v>
      </c>
      <c r="I7" s="11">
        <f>POWER((B7-E3-(E4*A7)-(E5*C7)),2)</f>
        <v>470419.11979051662</v>
      </c>
      <c r="J7" s="2"/>
      <c r="K7" s="2"/>
    </row>
    <row r="8" spans="1:11" ht="16.5" thickTop="1" thickBot="1" x14ac:dyDescent="0.3">
      <c r="A8" s="11">
        <v>95000</v>
      </c>
      <c r="B8" s="11">
        <v>7900</v>
      </c>
      <c r="C8" s="11">
        <f t="shared" si="0"/>
        <v>9025000000</v>
      </c>
      <c r="D8" s="11">
        <f t="shared" si="1"/>
        <v>857375000000000</v>
      </c>
      <c r="E8" s="11">
        <f t="shared" si="2"/>
        <v>8.099471081759295E+243</v>
      </c>
      <c r="F8" s="11">
        <f t="shared" si="3"/>
        <v>750500000</v>
      </c>
      <c r="G8" s="11">
        <f t="shared" si="4"/>
        <v>71297500000000</v>
      </c>
      <c r="H8" s="11">
        <f>POWER((B8-B21),2)</f>
        <v>2594784.0277777798</v>
      </c>
      <c r="I8" s="11">
        <f>POWER((B8-E3-(E4*A8)-(E5*C8)),2)</f>
        <v>107352.92540878002</v>
      </c>
      <c r="J8" s="2"/>
      <c r="K8" s="2"/>
    </row>
    <row r="9" spans="1:11" ht="16.5" thickTop="1" thickBot="1" x14ac:dyDescent="0.3">
      <c r="A9" s="11">
        <v>121000</v>
      </c>
      <c r="B9" s="11">
        <v>8200</v>
      </c>
      <c r="C9" s="11">
        <f t="shared" si="0"/>
        <v>14641000000</v>
      </c>
      <c r="D9" s="11">
        <f t="shared" si="1"/>
        <v>1771561000000000</v>
      </c>
      <c r="E9" s="11">
        <f t="shared" si="2"/>
        <v>1.1388935818034933E+249</v>
      </c>
      <c r="F9" s="11">
        <f t="shared" si="3"/>
        <v>992200000</v>
      </c>
      <c r="G9" s="11">
        <f t="shared" si="4"/>
        <v>120056200000000</v>
      </c>
      <c r="H9" s="11">
        <f>POWER((B9-B21),2)</f>
        <v>1718284.0277777794</v>
      </c>
      <c r="I9" s="11">
        <f>POWER((B9-E3-(E4*A9)-(E5*C9)),2)</f>
        <v>28234.562177609685</v>
      </c>
      <c r="J9" s="2"/>
      <c r="K9" s="2"/>
    </row>
    <row r="10" spans="1:11" ht="16.5" thickTop="1" thickBot="1" x14ac:dyDescent="0.3">
      <c r="A10" s="11">
        <v>135000</v>
      </c>
      <c r="B10" s="11">
        <v>8320</v>
      </c>
      <c r="C10" s="11">
        <f t="shared" si="0"/>
        <v>18225000000</v>
      </c>
      <c r="D10" s="11">
        <f t="shared" si="1"/>
        <v>2460375000000000</v>
      </c>
      <c r="E10" s="11">
        <f t="shared" si="2"/>
        <v>2.4341910218203138E+251</v>
      </c>
      <c r="F10" s="11">
        <f t="shared" si="3"/>
        <v>1123200000</v>
      </c>
      <c r="G10" s="11">
        <f t="shared" si="4"/>
        <v>151632000000000</v>
      </c>
      <c r="H10" s="11">
        <f>POWER((B10-B21),2)</f>
        <v>1418084.0277777791</v>
      </c>
      <c r="I10" s="11">
        <f>POWER((B10-E3-(E4*A10)-(E5*C10)),2)</f>
        <v>381.87355212886291</v>
      </c>
      <c r="J10" s="2"/>
      <c r="K10" s="2"/>
    </row>
    <row r="11" spans="1:11" ht="16.5" thickTop="1" thickBot="1" x14ac:dyDescent="0.3">
      <c r="A11" s="11">
        <v>145000</v>
      </c>
      <c r="B11" s="11">
        <v>8600</v>
      </c>
      <c r="C11" s="11">
        <f t="shared" si="0"/>
        <v>21025000000</v>
      </c>
      <c r="D11" s="11">
        <f t="shared" si="1"/>
        <v>3048625000000000</v>
      </c>
      <c r="E11" s="11">
        <f t="shared" si="2"/>
        <v>8.0729471528656252E+252</v>
      </c>
      <c r="F11" s="11">
        <f t="shared" si="3"/>
        <v>1247000000</v>
      </c>
      <c r="G11" s="11">
        <f t="shared" si="4"/>
        <v>180815000000000</v>
      </c>
      <c r="H11" s="11">
        <f>POWER((B11-B21),2)</f>
        <v>829617.36111111217</v>
      </c>
      <c r="I11" s="11">
        <f>POWER((B11-E3-(E4*A11)-(E5*C11)),2)</f>
        <v>9753.7957208437383</v>
      </c>
      <c r="J11" s="2"/>
      <c r="K11" s="2"/>
    </row>
    <row r="12" spans="1:11" ht="16.5" thickTop="1" thickBot="1" x14ac:dyDescent="0.3">
      <c r="A12" s="11">
        <v>165000</v>
      </c>
      <c r="B12" s="11">
        <v>9450</v>
      </c>
      <c r="C12" s="11">
        <f t="shared" si="0"/>
        <v>27225000000</v>
      </c>
      <c r="D12" s="11">
        <f t="shared" si="1"/>
        <v>4492125000000000</v>
      </c>
      <c r="E12" s="11">
        <f t="shared" si="2"/>
        <v>4.5364201045186736E+255</v>
      </c>
      <c r="F12" s="11">
        <f t="shared" si="3"/>
        <v>1559250000</v>
      </c>
      <c r="G12" s="11">
        <f t="shared" si="4"/>
        <v>257276250000000</v>
      </c>
      <c r="H12" s="11">
        <f>POWER((B12-B21),2)</f>
        <v>3700.694444444518</v>
      </c>
      <c r="I12" s="11">
        <f>POWER((B12-E3-(E4*A12)-(E5*C12)),2)</f>
        <v>275306.11194885016</v>
      </c>
      <c r="J12" s="2"/>
      <c r="K12" s="2"/>
    </row>
    <row r="13" spans="1:11" ht="16.5" thickTop="1" thickBot="1" x14ac:dyDescent="0.3">
      <c r="A13" s="11">
        <v>178000</v>
      </c>
      <c r="B13" s="11">
        <v>9850</v>
      </c>
      <c r="C13" s="11">
        <f t="shared" si="0"/>
        <v>31684000000</v>
      </c>
      <c r="D13" s="11">
        <f t="shared" si="1"/>
        <v>5639752000000000</v>
      </c>
      <c r="E13" s="11">
        <f t="shared" si="2"/>
        <v>1.8645760998720172E+257</v>
      </c>
      <c r="F13" s="11">
        <f t="shared" si="3"/>
        <v>1753300000</v>
      </c>
      <c r="G13" s="11">
        <f t="shared" si="4"/>
        <v>312087400000000</v>
      </c>
      <c r="H13" s="11">
        <f>POWER((B13-B21),2)</f>
        <v>115034.02777777737</v>
      </c>
      <c r="I13" s="11">
        <f>POWER((B13-E3-(E4*A13)-(E5*C13)),2)</f>
        <v>400642.34810339788</v>
      </c>
      <c r="J13" s="2"/>
      <c r="K13" s="2"/>
    </row>
    <row r="14" spans="1:11" ht="16.5" thickTop="1" thickBot="1" x14ac:dyDescent="0.3">
      <c r="A14" s="11">
        <v>200000</v>
      </c>
      <c r="B14" s="11">
        <v>10300</v>
      </c>
      <c r="C14" s="11">
        <f t="shared" si="0"/>
        <v>40000000000</v>
      </c>
      <c r="D14" s="11">
        <f t="shared" si="1"/>
        <v>8000000000000000</v>
      </c>
      <c r="E14" s="11">
        <f t="shared" si="2"/>
        <v>5.6294995342131202E+259</v>
      </c>
      <c r="F14" s="11">
        <f t="shared" si="3"/>
        <v>2060000000</v>
      </c>
      <c r="G14" s="11">
        <f t="shared" si="4"/>
        <v>412000000000000</v>
      </c>
      <c r="H14" s="11">
        <f>POWER((B14-B21),2)</f>
        <v>622784.02777777682</v>
      </c>
      <c r="I14" s="11">
        <f>POWER((B14-E3-(E4*A14)-(E5*C14)),2)</f>
        <v>314025.99096724839</v>
      </c>
      <c r="J14" s="2"/>
      <c r="K14" s="2"/>
    </row>
    <row r="15" spans="1:11" ht="16.5" thickTop="1" thickBot="1" x14ac:dyDescent="0.3">
      <c r="A15" s="11">
        <v>214000</v>
      </c>
      <c r="B15" s="11">
        <v>8500</v>
      </c>
      <c r="C15" s="11">
        <f t="shared" si="0"/>
        <v>45796000000</v>
      </c>
      <c r="D15" s="11">
        <f t="shared" si="1"/>
        <v>9800344000000000</v>
      </c>
      <c r="E15" s="11">
        <f t="shared" si="2"/>
        <v>1.5497972791763007E+261</v>
      </c>
      <c r="F15" s="11">
        <f t="shared" si="3"/>
        <v>1819000000</v>
      </c>
      <c r="G15" s="11">
        <f t="shared" si="4"/>
        <v>389266000000000</v>
      </c>
      <c r="H15" s="11">
        <f>POWER((B15-B21),2)</f>
        <v>1021784.027777779</v>
      </c>
      <c r="I15" s="11">
        <f>POWER((B15-E3-(E4*A15)-(E5*C15)),2)</f>
        <v>2531524.0066696648</v>
      </c>
      <c r="J15" s="2"/>
      <c r="K15" s="2"/>
    </row>
    <row r="16" spans="1:11" ht="16.5" thickTop="1" thickBot="1" x14ac:dyDescent="0.3">
      <c r="A16" s="11">
        <v>240000</v>
      </c>
      <c r="B16" s="11">
        <v>10200</v>
      </c>
      <c r="C16" s="11">
        <f t="shared" si="0"/>
        <v>57600000000</v>
      </c>
      <c r="D16" s="11">
        <f t="shared" si="1"/>
        <v>1.3824E+16</v>
      </c>
      <c r="E16" s="11">
        <f t="shared" si="2"/>
        <v>4.2692426938810331E+263</v>
      </c>
      <c r="F16" s="11">
        <f t="shared" si="3"/>
        <v>2448000000</v>
      </c>
      <c r="G16" s="11">
        <f t="shared" si="4"/>
        <v>587520000000000</v>
      </c>
      <c r="H16" s="11">
        <f>POWER((B16-B21),2)</f>
        <v>474950.69444444362</v>
      </c>
      <c r="I16" s="11">
        <f>POWER((B16-E3-(E4*A16)-(E5*C16)),2)</f>
        <v>339643.40176315454</v>
      </c>
      <c r="J16" s="2"/>
      <c r="K16" s="2"/>
    </row>
    <row r="17" spans="1:11" ht="16.5" thickTop="1" thickBot="1" x14ac:dyDescent="0.3">
      <c r="A17" s="11">
        <v>289000</v>
      </c>
      <c r="B17" s="11">
        <v>12650</v>
      </c>
      <c r="C17" s="11">
        <f t="shared" si="0"/>
        <v>83521000000</v>
      </c>
      <c r="D17" s="11">
        <f t="shared" si="1"/>
        <v>2.4137569E+16</v>
      </c>
      <c r="E17" s="11">
        <f t="shared" si="2"/>
        <v>3.8370220511445824E+267</v>
      </c>
      <c r="F17" s="11">
        <f t="shared" si="3"/>
        <v>3655850000</v>
      </c>
      <c r="G17" s="11">
        <f t="shared" si="4"/>
        <v>1056540650000000</v>
      </c>
      <c r="H17" s="11">
        <f>POWER((B17-B21),2)</f>
        <v>9854367.3611111082</v>
      </c>
      <c r="I17" s="11">
        <f>POWER((B17-E3-(E4*A17)-(E5*C17)),2)</f>
        <v>181269.42315180699</v>
      </c>
      <c r="J17" s="2"/>
      <c r="K17" s="2"/>
    </row>
    <row r="18" spans="1:11" ht="16.5" thickTop="1" thickBot="1" x14ac:dyDescent="0.3">
      <c r="A18" s="11">
        <v>325000</v>
      </c>
      <c r="B18" s="11">
        <v>13500</v>
      </c>
      <c r="C18" s="11">
        <f t="shared" si="0"/>
        <v>105625000000</v>
      </c>
      <c r="D18" s="11">
        <f t="shared" si="1"/>
        <v>3.4328125E+16</v>
      </c>
      <c r="E18" s="11">
        <f t="shared" si="2"/>
        <v>1.2086058386932579E+270</v>
      </c>
      <c r="F18" s="11">
        <f t="shared" si="3"/>
        <v>4387500000</v>
      </c>
      <c r="G18" s="11">
        <f t="shared" si="4"/>
        <v>1425937500000000</v>
      </c>
      <c r="H18" s="11">
        <f>POWER((B18-B21),2)</f>
        <v>15913450.69444444</v>
      </c>
      <c r="I18" s="11">
        <f>POWER((B18-E3-(E4*A18)-(E5*C18)),2)</f>
        <v>10395.325688800865</v>
      </c>
      <c r="J18" s="2"/>
      <c r="K18" s="2"/>
    </row>
    <row r="19" spans="1:11" ht="16.5" thickTop="1" thickBot="1" x14ac:dyDescent="0.3">
      <c r="A19" s="11">
        <f t="shared" ref="A19:I19" si="5">SUM(A7:A18)</f>
        <v>2188000</v>
      </c>
      <c r="B19" s="11">
        <f t="shared" si="5"/>
        <v>114130</v>
      </c>
      <c r="C19" s="11">
        <f t="shared" si="5"/>
        <v>460928000000</v>
      </c>
      <c r="D19" s="11">
        <f t="shared" si="5"/>
        <v>1.08891292E+17</v>
      </c>
      <c r="E19" s="11">
        <f t="shared" si="5"/>
        <v>1.2124432892749551E+270</v>
      </c>
      <c r="F19" s="11">
        <f t="shared" si="5"/>
        <v>22335260000</v>
      </c>
      <c r="G19" s="10">
        <f t="shared" si="5"/>
        <v>5008124760000000</v>
      </c>
      <c r="H19" s="13">
        <f t="shared" si="5"/>
        <v>42694091.666666672</v>
      </c>
      <c r="I19" s="13">
        <f t="shared" si="5"/>
        <v>4668948.8849428017</v>
      </c>
      <c r="J19" s="2"/>
      <c r="K19" s="2"/>
    </row>
    <row r="20" spans="1:11" ht="16.5" thickTop="1" thickBot="1" x14ac:dyDescent="0.3">
      <c r="A20" s="11" t="s">
        <v>52</v>
      </c>
      <c r="B20" s="11" t="s">
        <v>53</v>
      </c>
      <c r="C20" s="11" t="s">
        <v>54</v>
      </c>
      <c r="D20" s="11" t="s">
        <v>55</v>
      </c>
      <c r="E20" s="11" t="s">
        <v>56</v>
      </c>
      <c r="F20" s="11" t="s">
        <v>57</v>
      </c>
      <c r="G20" s="10" t="s">
        <v>58</v>
      </c>
      <c r="H20" s="13" t="s">
        <v>59</v>
      </c>
      <c r="I20" s="13" t="s">
        <v>60</v>
      </c>
      <c r="J20" s="2"/>
      <c r="K20" s="2"/>
    </row>
    <row r="21" spans="1:11" ht="16.5" thickTop="1" thickBot="1" x14ac:dyDescent="0.3">
      <c r="A21" s="11">
        <f>A19/12</f>
        <v>182333.33333333334</v>
      </c>
      <c r="B21" s="11">
        <f>B19/12</f>
        <v>9510.8333333333339</v>
      </c>
      <c r="C21" s="2"/>
      <c r="D21" s="2"/>
      <c r="E21" s="2"/>
      <c r="F21" s="2"/>
      <c r="G21" s="2"/>
      <c r="H21" s="11" t="s">
        <v>43</v>
      </c>
      <c r="I21" s="11">
        <f>SQRT(I19/9)</f>
        <v>720.2583552635665</v>
      </c>
      <c r="J21" s="2"/>
      <c r="K21" s="2"/>
    </row>
    <row r="22" spans="1:11" ht="16.5" thickTop="1" thickBot="1" x14ac:dyDescent="0.3">
      <c r="A22" s="11" t="s">
        <v>64</v>
      </c>
      <c r="B22" s="11" t="s">
        <v>65</v>
      </c>
      <c r="C22" s="2"/>
      <c r="D22" s="2"/>
      <c r="E22" s="2"/>
      <c r="F22" s="2"/>
      <c r="G22" s="2"/>
      <c r="H22" s="11" t="s">
        <v>19</v>
      </c>
      <c r="I22" s="11">
        <f>SQRT(H19/11)</f>
        <v>1970.0967135158774</v>
      </c>
      <c r="J22" s="2"/>
      <c r="K22" s="2"/>
    </row>
    <row r="23" spans="1:11" ht="16.5" thickTop="1" thickBot="1" x14ac:dyDescent="0.3">
      <c r="A23" s="2"/>
      <c r="B23" s="2"/>
      <c r="C23" s="2"/>
      <c r="D23" s="2"/>
      <c r="E23" s="2"/>
      <c r="F23" s="2"/>
      <c r="G23" s="2"/>
      <c r="H23" s="11" t="s">
        <v>44</v>
      </c>
      <c r="I23" s="11">
        <f>(H19-I19)/H19</f>
        <v>0.89064180305332341</v>
      </c>
      <c r="J23" s="2"/>
      <c r="K23" s="2"/>
    </row>
    <row r="24" spans="1:11" ht="15.75" thickTop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F28" s="2"/>
      <c r="G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F31" s="2"/>
      <c r="G31" s="2"/>
      <c r="H31" s="2"/>
      <c r="I31" s="2"/>
      <c r="J31" s="2"/>
      <c r="K31" s="2"/>
    </row>
    <row r="32" spans="1:11" ht="15.75" thickBot="1" x14ac:dyDescent="0.3"/>
    <row r="33" spans="1:3" ht="16.5" thickTop="1" thickBot="1" x14ac:dyDescent="0.3">
      <c r="A33" s="7" t="s">
        <v>2</v>
      </c>
      <c r="B33" s="7" t="s">
        <v>3</v>
      </c>
      <c r="C33" s="7"/>
    </row>
    <row r="34" spans="1:3" ht="16.5" thickTop="1" thickBot="1" x14ac:dyDescent="0.3">
      <c r="A34" s="7">
        <v>81000</v>
      </c>
      <c r="B34" s="7">
        <v>6660</v>
      </c>
      <c r="C34" s="12">
        <f>(E5*C7)+(E4*A7)+E3</f>
        <v>7345.8710664479995</v>
      </c>
    </row>
    <row r="35" spans="1:3" ht="16.5" thickTop="1" thickBot="1" x14ac:dyDescent="0.3">
      <c r="A35" s="7">
        <v>95000</v>
      </c>
      <c r="B35" s="7">
        <v>7900</v>
      </c>
      <c r="C35" s="12">
        <f>(E5*C8)+(E4*A8)+E3</f>
        <v>7572.3524372000002</v>
      </c>
    </row>
    <row r="36" spans="1:3" ht="16.5" thickTop="1" thickBot="1" x14ac:dyDescent="0.3">
      <c r="A36" s="7">
        <v>121000</v>
      </c>
      <c r="B36" s="7">
        <v>8200</v>
      </c>
      <c r="C36" s="12">
        <f>(E5*C9)+(E4*A9)+E3</f>
        <v>8031.9685678879996</v>
      </c>
    </row>
    <row r="37" spans="1:3" ht="16.5" thickTop="1" thickBot="1" x14ac:dyDescent="0.3">
      <c r="A37" s="7">
        <v>135000</v>
      </c>
      <c r="B37" s="7">
        <v>8320</v>
      </c>
      <c r="C37" s="12">
        <f>(E5*C10)+(E4*A10)+E3</f>
        <v>8300.4584147999994</v>
      </c>
    </row>
    <row r="38" spans="1:3" ht="16.5" thickTop="1" thickBot="1" x14ac:dyDescent="0.3">
      <c r="A38" s="7">
        <v>145000</v>
      </c>
      <c r="B38" s="7">
        <v>8600</v>
      </c>
      <c r="C38" s="12">
        <f>(E5*C11)+(E4*A11)+E3</f>
        <v>8501.2386932000009</v>
      </c>
    </row>
    <row r="39" spans="1:3" ht="16.5" thickTop="1" thickBot="1" x14ac:dyDescent="0.3">
      <c r="A39" s="7">
        <v>165000</v>
      </c>
      <c r="B39" s="7">
        <v>9450</v>
      </c>
      <c r="C39" s="12">
        <f>(E5*C12)+(E4*A12)+E3</f>
        <v>8925.3037908000006</v>
      </c>
    </row>
    <row r="40" spans="1:3" ht="16.5" thickTop="1" thickBot="1" x14ac:dyDescent="0.3">
      <c r="A40" s="7">
        <v>178000</v>
      </c>
      <c r="B40" s="7">
        <v>9850</v>
      </c>
      <c r="C40" s="12">
        <f>(E5*C13)+(E4*A13)+E3</f>
        <v>9217.0368509119999</v>
      </c>
    </row>
    <row r="41" spans="1:3" ht="16.5" thickTop="1" thickBot="1" x14ac:dyDescent="0.3">
      <c r="A41" s="7">
        <v>200000</v>
      </c>
      <c r="B41" s="7">
        <v>10300</v>
      </c>
      <c r="C41" s="12">
        <f>(E5*C14)+(E4*A14)+E3</f>
        <v>9739.6197800000009</v>
      </c>
    </row>
    <row r="42" spans="1:3" ht="16.5" thickTop="1" thickBot="1" x14ac:dyDescent="0.3">
      <c r="A42" s="7">
        <v>214000</v>
      </c>
      <c r="B42" s="7">
        <v>8500</v>
      </c>
      <c r="C42" s="12">
        <f>(E5*C15)+(E4*A15)+E3</f>
        <v>10091.076367328</v>
      </c>
    </row>
    <row r="43" spans="1:3" ht="16.5" thickTop="1" thickBot="1" x14ac:dyDescent="0.3">
      <c r="A43" s="7">
        <v>240000</v>
      </c>
      <c r="B43" s="7">
        <v>10200</v>
      </c>
      <c r="C43" s="12">
        <f>(E5*C16)+(E4*A16)+E3</f>
        <v>10782.7893288</v>
      </c>
    </row>
    <row r="44" spans="1:3" ht="16.5" thickTop="1" thickBot="1" x14ac:dyDescent="0.3">
      <c r="A44" s="7">
        <v>289000</v>
      </c>
      <c r="B44" s="7">
        <v>12650</v>
      </c>
      <c r="C44" s="12">
        <f>(E5*C17)+(E4*A17)+E3</f>
        <v>12224.242530128</v>
      </c>
    </row>
    <row r="45" spans="1:3" ht="16.5" thickTop="1" thickBot="1" x14ac:dyDescent="0.3">
      <c r="A45" s="7">
        <v>325000</v>
      </c>
      <c r="B45" s="7">
        <v>13500</v>
      </c>
      <c r="C45" s="12">
        <f>(E5*C18)+(E4*A18)+E3</f>
        <v>13398.042530000001</v>
      </c>
    </row>
    <row r="46" spans="1: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18B001281157448B3D60C492E12B6F" ma:contentTypeVersion="5" ma:contentTypeDescription="Create a new document." ma:contentTypeScope="" ma:versionID="8490303a681055f471c1ff55fb4c2531">
  <xsd:schema xmlns:xsd="http://www.w3.org/2001/XMLSchema" xmlns:xs="http://www.w3.org/2001/XMLSchema" xmlns:p="http://schemas.microsoft.com/office/2006/metadata/properties" xmlns:ns3="224923f2-0039-4649-945d-1ed29796b58e" xmlns:ns4="4bec8aa7-d22e-4c8e-aea4-02aa3de611a7" targetNamespace="http://schemas.microsoft.com/office/2006/metadata/properties" ma:root="true" ma:fieldsID="8e3b09ef09c6c452b8bb7df27b5e6fad" ns3:_="" ns4:_="">
    <xsd:import namespace="224923f2-0039-4649-945d-1ed29796b58e"/>
    <xsd:import namespace="4bec8aa7-d22e-4c8e-aea4-02aa3de611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923f2-0039-4649-945d-1ed29796b5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c8aa7-d22e-4c8e-aea4-02aa3de611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5A2DF-973E-4FD6-9A04-70D464DA74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ED95C7-6585-447B-8046-DADE2116EC11}">
  <ds:schemaRefs>
    <ds:schemaRef ds:uri="http://purl.org/dc/elements/1.1/"/>
    <ds:schemaRef ds:uri="http://www.w3.org/XML/1998/namespace"/>
    <ds:schemaRef ds:uri="http://purl.org/dc/dcmitype/"/>
    <ds:schemaRef ds:uri="4bec8aa7-d22e-4c8e-aea4-02aa3de611a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24923f2-0039-4649-945d-1ed29796b58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0165ED-2A37-4492-92F0-5C88F2DA9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4923f2-0039-4649-945d-1ed29796b58e"/>
    <ds:schemaRef ds:uri="4bec8aa7-d22e-4c8e-aea4-02aa3de61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Lineal</vt:lpstr>
      <vt:lpstr>Modelo Potencial</vt:lpstr>
      <vt:lpstr>Modelo Exponencial</vt:lpstr>
      <vt:lpstr>Modelo Cuadratico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Usuario</cp:lastModifiedBy>
  <dcterms:created xsi:type="dcterms:W3CDTF">2022-02-11T20:18:38Z</dcterms:created>
  <dcterms:modified xsi:type="dcterms:W3CDTF">2022-07-05T17:22:25Z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0x010100F118B001281157448B3D60C492E12B6F</vt:lpwstr>
  </property>
</Properties>
</file>